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https://d.docs.live.net/db77b60aaf6b228c/Regularização/Demonstrativos/"/>
    </mc:Choice>
  </mc:AlternateContent>
  <xr:revisionPtr revIDLastSave="9" documentId="11_DD6ECB5AFA3B61B72489F7813CD1AA059619C760" xr6:coauthVersionLast="47" xr6:coauthVersionMax="47" xr10:uidLastSave="{1D969EBC-7F80-4353-8CC6-92C6508B7A6E}"/>
  <bookViews>
    <workbookView xWindow="-120" yWindow="-120" windowWidth="20730" windowHeight="11040" tabRatio="754" firstSheet="66" activeTab="76" xr2:uid="{00000000-000D-0000-FFFF-FFFF00000000}"/>
  </bookViews>
  <sheets>
    <sheet name="Ago17" sheetId="114" r:id="rId1"/>
    <sheet name="Ago17(2)" sheetId="115" r:id="rId2"/>
    <sheet name="Set17" sheetId="116" r:id="rId3"/>
    <sheet name="Set17 (2)" sheetId="117" r:id="rId4"/>
    <sheet name="Out17" sheetId="118" r:id="rId5"/>
    <sheet name="Out17 (2)" sheetId="119" r:id="rId6"/>
    <sheet name="Nov17" sheetId="120" r:id="rId7"/>
    <sheet name="Nov17 (2)" sheetId="121" r:id="rId8"/>
    <sheet name="Dez17" sheetId="122" r:id="rId9"/>
    <sheet name="Dez17 (2)" sheetId="123" r:id="rId10"/>
    <sheet name="Classifica (2)" sheetId="125" r:id="rId11"/>
    <sheet name="Jan18" sheetId="126" r:id="rId12"/>
    <sheet name="Jan18 (2)" sheetId="127" r:id="rId13"/>
    <sheet name="Fev18" sheetId="128" r:id="rId14"/>
    <sheet name="Fev18 (2)" sheetId="129" r:id="rId15"/>
    <sheet name="Mar18" sheetId="130" r:id="rId16"/>
    <sheet name="Mar18 (2)" sheetId="131" r:id="rId17"/>
    <sheet name="Abr18" sheetId="132" r:id="rId18"/>
    <sheet name="Abr18 (2)" sheetId="133" r:id="rId19"/>
    <sheet name="Mai18" sheetId="134" r:id="rId20"/>
    <sheet name="Mai18 (2)" sheetId="135" r:id="rId21"/>
    <sheet name="Jun18" sheetId="136" r:id="rId22"/>
    <sheet name="Jun18 (2)" sheetId="137" r:id="rId23"/>
    <sheet name="Jul18" sheetId="138" r:id="rId24"/>
    <sheet name="Jul18 (2)" sheetId="139" r:id="rId25"/>
    <sheet name="Ago 18" sheetId="28" r:id="rId26"/>
    <sheet name="Ago 18 (2)" sheetId="29" r:id="rId27"/>
    <sheet name="Set 18 1" sheetId="22" r:id="rId28"/>
    <sheet name="Set 18 (2)" sheetId="27" r:id="rId29"/>
    <sheet name="Out 18 1" sheetId="11" r:id="rId30"/>
    <sheet name="Out 18 (2)" sheetId="17" r:id="rId31"/>
    <sheet name="Nov 18 (1)" sheetId="14" r:id="rId32"/>
    <sheet name="Nov 18 (2)" sheetId="16" r:id="rId33"/>
    <sheet name="Dez 18 (1)" sheetId="19" r:id="rId34"/>
    <sheet name="Dez 18 (2)" sheetId="21" r:id="rId35"/>
    <sheet name="Jan 19" sheetId="30" r:id="rId36"/>
    <sheet name="Jan 19 (2)" sheetId="36" r:id="rId37"/>
    <sheet name="Fev 19" sheetId="60" r:id="rId38"/>
    <sheet name="Fev 19 (2)" sheetId="59" r:id="rId39"/>
    <sheet name="Mar 19" sheetId="34" r:id="rId40"/>
    <sheet name="Mar 19 (2)" sheetId="35" r:id="rId41"/>
    <sheet name="Abr 19" sheetId="42" r:id="rId42"/>
    <sheet name="Abr 19 (2)" sheetId="46" r:id="rId43"/>
    <sheet name="Mai 19" sheetId="43" r:id="rId44"/>
    <sheet name="Mai 19 (2)" sheetId="64" r:id="rId45"/>
    <sheet name="Jun 19 (1)" sheetId="44" r:id="rId46"/>
    <sheet name="Jun 19 (2)" sheetId="67" r:id="rId47"/>
    <sheet name="Jul 19" sheetId="49" r:id="rId48"/>
    <sheet name="Jul 19 (2)" sheetId="55" r:id="rId49"/>
    <sheet name="Ago 19" sheetId="50" r:id="rId50"/>
    <sheet name="Ago 19 (2)" sheetId="56" r:id="rId51"/>
    <sheet name="Set 19" sheetId="51" r:id="rId52"/>
    <sheet name="Set 19 (2)" sheetId="71" r:id="rId53"/>
    <sheet name="Out 19" sheetId="52" r:id="rId54"/>
    <sheet name="Out 19 (2)" sheetId="73" r:id="rId55"/>
    <sheet name="Nov 19" sheetId="53" r:id="rId56"/>
    <sheet name="Nov 19 (2)" sheetId="74" r:id="rId57"/>
    <sheet name="Dez 19 " sheetId="75" r:id="rId58"/>
    <sheet name="Dez 19 (2)" sheetId="54" r:id="rId59"/>
    <sheet name="Classifica" sheetId="10" r:id="rId60"/>
    <sheet name="Jan 20" sheetId="76" r:id="rId61"/>
    <sheet name="Jan 20 (2)" sheetId="77" r:id="rId62"/>
    <sheet name="Fev 20" sheetId="78" r:id="rId63"/>
    <sheet name="Fev 20 (2)" sheetId="79" r:id="rId64"/>
    <sheet name="Mar 20" sheetId="80" r:id="rId65"/>
    <sheet name="Mar 20 (2)" sheetId="81" r:id="rId66"/>
    <sheet name="Abr 20" sheetId="82" r:id="rId67"/>
    <sheet name="Mai 20" sheetId="84" r:id="rId68"/>
    <sheet name="Jun 20 " sheetId="102" r:id="rId69"/>
    <sheet name="Jul 20" sheetId="88" r:id="rId70"/>
    <sheet name="Ago 20" sheetId="90" r:id="rId71"/>
    <sheet name="Set 20" sheetId="93" r:id="rId72"/>
    <sheet name="Out 20" sheetId="95" r:id="rId73"/>
    <sheet name="Nov 20" sheetId="97" r:id="rId74"/>
    <sheet name="Dez 20" sheetId="99" r:id="rId75"/>
    <sheet name="Set 24" sheetId="140" r:id="rId76"/>
    <sheet name="Critérios" sheetId="141" r:id="rId77"/>
  </sheets>
  <definedNames>
    <definedName name="_xlnm._FilterDatabase" localSheetId="9" hidden="1">'Dez17 (2)'!$A$131:$C$136</definedName>
    <definedName name="_xlnm._FilterDatabase" localSheetId="20" hidden="1">'Mai18 (2)'!$A$2:$G$235</definedName>
    <definedName name="_xlnm._FilterDatabase" localSheetId="3" hidden="1">'Set17 (2)'!$B$2:$P$352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44" i="140" l="1"/>
  <c r="E256" i="140"/>
  <c r="F256" i="140"/>
  <c r="E290" i="140"/>
  <c r="E294" i="140" s="1"/>
  <c r="E311" i="140" s="1"/>
  <c r="F290" i="140"/>
  <c r="E309" i="140"/>
  <c r="F309" i="140"/>
  <c r="F311" i="140" s="1"/>
  <c r="F313" i="140" s="1"/>
  <c r="E339" i="140"/>
  <c r="E348" i="140"/>
  <c r="E363" i="140"/>
  <c r="E370" i="140"/>
  <c r="E372" i="140" s="1"/>
  <c r="E382" i="140"/>
  <c r="E387" i="140"/>
  <c r="G228" i="140"/>
  <c r="G229" i="140" s="1"/>
  <c r="G230" i="140" s="1"/>
  <c r="G231" i="140" s="1"/>
  <c r="G232" i="140" s="1"/>
  <c r="G236" i="140"/>
  <c r="G237" i="140" s="1"/>
  <c r="G238" i="140" s="1"/>
  <c r="G239" i="140" s="1"/>
  <c r="P167" i="140"/>
  <c r="Q167" i="140" s="1"/>
  <c r="N167" i="140"/>
  <c r="O167" i="140" s="1"/>
  <c r="P163" i="140"/>
  <c r="Q163" i="140" s="1"/>
  <c r="N163" i="140"/>
  <c r="O163" i="140" s="1"/>
  <c r="F163" i="140"/>
  <c r="P162" i="140"/>
  <c r="Q162" i="140" s="1"/>
  <c r="N162" i="140"/>
  <c r="O162" i="140" s="1"/>
  <c r="P156" i="140"/>
  <c r="Q156" i="140" s="1"/>
  <c r="N156" i="140"/>
  <c r="O156" i="140" s="1"/>
  <c r="P155" i="140"/>
  <c r="Q155" i="140" s="1"/>
  <c r="N155" i="140"/>
  <c r="O155" i="140" s="1"/>
  <c r="G103" i="140"/>
  <c r="G104" i="140" s="1"/>
  <c r="G105" i="140" s="1"/>
  <c r="G106" i="140" s="1"/>
  <c r="G107" i="140" s="1"/>
  <c r="G108" i="140" s="1"/>
  <c r="G109" i="140" s="1"/>
  <c r="G110" i="140" s="1"/>
  <c r="G111" i="140" s="1"/>
  <c r="G112" i="140" s="1"/>
  <c r="G113" i="140" s="1"/>
  <c r="G114" i="140" s="1"/>
  <c r="G115" i="140" s="1"/>
  <c r="G116" i="140" s="1"/>
  <c r="G117" i="140" s="1"/>
  <c r="G118" i="140" s="1"/>
  <c r="G74" i="140"/>
  <c r="G75" i="140" s="1"/>
  <c r="G76" i="140" s="1"/>
  <c r="G77" i="140" s="1"/>
  <c r="G78" i="140" s="1"/>
  <c r="G79" i="140" s="1"/>
  <c r="G80" i="140" s="1"/>
  <c r="G81" i="140" s="1"/>
  <c r="G82" i="140" s="1"/>
  <c r="G83" i="140" s="1"/>
  <c r="G84" i="140" s="1"/>
  <c r="G85" i="140" s="1"/>
  <c r="G86" i="140" s="1"/>
  <c r="G87" i="140" s="1"/>
  <c r="G88" i="140" s="1"/>
  <c r="G89" i="140" s="1"/>
  <c r="G90" i="140" s="1"/>
  <c r="G91" i="140" s="1"/>
  <c r="G92" i="140" s="1"/>
  <c r="G93" i="140" s="1"/>
  <c r="G94" i="140" s="1"/>
  <c r="G95" i="140" s="1"/>
  <c r="G96" i="140" s="1"/>
  <c r="G97" i="140" s="1"/>
  <c r="G98" i="140" s="1"/>
  <c r="G4" i="140"/>
  <c r="G5" i="140" s="1"/>
  <c r="G6" i="140" s="1"/>
  <c r="G7" i="140" s="1"/>
  <c r="G8" i="140" s="1"/>
  <c r="G9" i="140" s="1"/>
  <c r="G10" i="140" s="1"/>
  <c r="G11" i="140" s="1"/>
  <c r="G12" i="140" s="1"/>
  <c r="G13" i="140" s="1"/>
  <c r="G14" i="140" s="1"/>
  <c r="G15" i="140" s="1"/>
  <c r="G16" i="140" s="1"/>
  <c r="G17" i="140" s="1"/>
  <c r="G18" i="140" s="1"/>
  <c r="G19" i="140" s="1"/>
  <c r="G20" i="140" s="1"/>
  <c r="G21" i="140" s="1"/>
  <c r="G22" i="140" s="1"/>
  <c r="G23" i="140" s="1"/>
  <c r="G24" i="140" s="1"/>
  <c r="G25" i="140" s="1"/>
  <c r="G26" i="140" s="1"/>
  <c r="G27" i="140" s="1"/>
  <c r="G28" i="140" s="1"/>
  <c r="G29" i="140" s="1"/>
  <c r="G30" i="140" s="1"/>
  <c r="G31" i="140" s="1"/>
  <c r="G32" i="140" s="1"/>
  <c r="G33" i="140" s="1"/>
  <c r="G34" i="140" s="1"/>
  <c r="G35" i="140" s="1"/>
  <c r="G36" i="140" s="1"/>
  <c r="G37" i="140" s="1"/>
  <c r="G38" i="140" s="1"/>
  <c r="G39" i="140" s="1"/>
  <c r="G40" i="140" s="1"/>
  <c r="G41" i="140" s="1"/>
  <c r="G42" i="140" s="1"/>
  <c r="G43" i="140" s="1"/>
  <c r="G44" i="140" s="1"/>
  <c r="G45" i="140" s="1"/>
  <c r="G46" i="140" s="1"/>
  <c r="G47" i="140" s="1"/>
  <c r="G48" i="140" s="1"/>
  <c r="G49" i="140" s="1"/>
  <c r="G50" i="140" s="1"/>
  <c r="G51" i="140" s="1"/>
  <c r="G52" i="140" s="1"/>
  <c r="G53" i="140" s="1"/>
  <c r="G54" i="140" s="1"/>
  <c r="G55" i="140" s="1"/>
  <c r="G56" i="140" s="1"/>
  <c r="G57" i="140" s="1"/>
  <c r="G58" i="140" s="1"/>
  <c r="G59" i="140" s="1"/>
  <c r="G60" i="140" s="1"/>
  <c r="G61" i="140" s="1"/>
  <c r="G62" i="140" s="1"/>
  <c r="G63" i="140" s="1"/>
  <c r="G64" i="140" s="1"/>
  <c r="G65" i="140" s="1"/>
  <c r="G66" i="140" s="1"/>
  <c r="G67" i="140" s="1"/>
  <c r="G68" i="140" s="1"/>
  <c r="G69" i="140" s="1"/>
  <c r="G70" i="140" s="1"/>
  <c r="I212" i="80"/>
  <c r="I214" i="80"/>
  <c r="E99" i="78"/>
  <c r="F99" i="78"/>
  <c r="F118" i="78"/>
  <c r="F151" i="78"/>
  <c r="E151" i="78"/>
  <c r="F194" i="78"/>
  <c r="E194" i="78"/>
  <c r="I198" i="78"/>
  <c r="E108" i="76"/>
  <c r="E84" i="76"/>
  <c r="F84" i="76"/>
  <c r="F108" i="76"/>
  <c r="F143" i="76"/>
  <c r="I195" i="76" s="1"/>
  <c r="E143" i="76"/>
  <c r="F186" i="76"/>
  <c r="E186" i="76"/>
  <c r="I193" i="76"/>
  <c r="E111" i="75"/>
  <c r="F111" i="75"/>
  <c r="F137" i="75"/>
  <c r="E137" i="75"/>
  <c r="F173" i="75"/>
  <c r="E173" i="75"/>
  <c r="F215" i="75"/>
  <c r="I225" i="75" s="1"/>
  <c r="E215" i="75"/>
  <c r="I223" i="75"/>
  <c r="E103" i="53"/>
  <c r="F103" i="53"/>
  <c r="E117" i="53"/>
  <c r="F117" i="53"/>
  <c r="F156" i="53"/>
  <c r="E156" i="53"/>
  <c r="F211" i="53"/>
  <c r="E211" i="53"/>
  <c r="I218" i="53" s="1"/>
  <c r="I216" i="53"/>
  <c r="I228" i="52"/>
  <c r="I319" i="51"/>
  <c r="F254" i="50"/>
  <c r="E254" i="50"/>
  <c r="F202" i="50"/>
  <c r="E202" i="50"/>
  <c r="E155" i="50"/>
  <c r="F155" i="50"/>
  <c r="F119" i="50"/>
  <c r="E119" i="50"/>
  <c r="I289" i="50"/>
  <c r="I287" i="49"/>
  <c r="L266" i="44"/>
  <c r="L264" i="43"/>
  <c r="L235" i="42"/>
  <c r="L237" i="42"/>
  <c r="L253" i="34"/>
  <c r="L251" i="34"/>
  <c r="M310" i="60"/>
  <c r="M307" i="60"/>
  <c r="H259" i="30"/>
  <c r="I259" i="30"/>
  <c r="F221" i="30"/>
  <c r="E221" i="30"/>
  <c r="L261" i="30" s="1"/>
  <c r="I167" i="30"/>
  <c r="H167" i="30"/>
  <c r="F167" i="30"/>
  <c r="E167" i="30"/>
  <c r="L259" i="30"/>
  <c r="L257" i="30"/>
  <c r="E313" i="140" l="1"/>
  <c r="E374" i="140" s="1"/>
  <c r="H118" i="140"/>
  <c r="I118" i="140" s="1"/>
  <c r="G119" i="140"/>
  <c r="G120" i="140" s="1"/>
  <c r="G121" i="140" s="1"/>
  <c r="G122" i="140" s="1"/>
  <c r="G123" i="140" s="1"/>
  <c r="G124" i="140" s="1"/>
  <c r="G125" i="140" s="1"/>
  <c r="G126" i="140" s="1"/>
  <c r="G127" i="140" s="1"/>
  <c r="G128" i="140" s="1"/>
  <c r="G129" i="140" s="1"/>
  <c r="G130" i="140" s="1"/>
  <c r="G131" i="140" s="1"/>
  <c r="G132" i="140" s="1"/>
  <c r="G133" i="140" s="1"/>
  <c r="G134" i="140" s="1"/>
  <c r="G135" i="140" s="1"/>
  <c r="L265" i="30"/>
  <c r="I221" i="75"/>
  <c r="I228" i="75" s="1"/>
  <c r="E376" i="140" l="1"/>
  <c r="E378" i="140"/>
  <c r="H135" i="140"/>
  <c r="I135" i="140" s="1"/>
  <c r="G136" i="140"/>
  <c r="G137" i="140" s="1"/>
  <c r="G138" i="140" s="1"/>
  <c r="G139" i="140" s="1"/>
  <c r="G140" i="140" s="1"/>
  <c r="I251" i="34"/>
  <c r="H251" i="34"/>
  <c r="F194" i="34"/>
  <c r="E194" i="34"/>
  <c r="I143" i="34"/>
  <c r="H143" i="34"/>
  <c r="F142" i="34"/>
  <c r="E142" i="34"/>
  <c r="F213" i="79"/>
  <c r="H190" i="88"/>
  <c r="F166" i="88"/>
  <c r="E166" i="88"/>
  <c r="F137" i="88"/>
  <c r="E137" i="88"/>
  <c r="F101" i="88"/>
  <c r="E101" i="88"/>
  <c r="F59" i="88"/>
  <c r="E59" i="88"/>
  <c r="H196" i="88"/>
  <c r="F178" i="82"/>
  <c r="E178" i="82"/>
  <c r="F140" i="82"/>
  <c r="E140" i="82"/>
  <c r="F104" i="82"/>
  <c r="E104" i="82"/>
  <c r="F54" i="82"/>
  <c r="E54" i="82"/>
  <c r="I188" i="82"/>
  <c r="H267" i="99"/>
  <c r="F262" i="99"/>
  <c r="E262" i="99"/>
  <c r="F231" i="99"/>
  <c r="E231" i="99"/>
  <c r="F204" i="99"/>
  <c r="E204" i="99"/>
  <c r="H273" i="99" s="1"/>
  <c r="H277" i="99" s="1"/>
  <c r="F153" i="99"/>
  <c r="E153" i="99"/>
  <c r="H269" i="99"/>
  <c r="H271" i="99"/>
  <c r="H224" i="97"/>
  <c r="F211" i="97"/>
  <c r="E211" i="97"/>
  <c r="F181" i="97"/>
  <c r="E181" i="97"/>
  <c r="F154" i="97"/>
  <c r="E154" i="97"/>
  <c r="F104" i="97"/>
  <c r="H230" i="97" s="1"/>
  <c r="H234" i="97" s="1"/>
  <c r="E104" i="97"/>
  <c r="H226" i="97"/>
  <c r="H228" i="97"/>
  <c r="H181" i="95"/>
  <c r="E75" i="95"/>
  <c r="F75" i="95"/>
  <c r="E117" i="95"/>
  <c r="F117" i="95"/>
  <c r="E146" i="95"/>
  <c r="F146" i="95"/>
  <c r="E176" i="95"/>
  <c r="F176" i="95"/>
  <c r="H187" i="95"/>
  <c r="H191" i="95" s="1"/>
  <c r="H183" i="95"/>
  <c r="H185" i="95"/>
  <c r="H185" i="93"/>
  <c r="F180" i="93"/>
  <c r="E180" i="93"/>
  <c r="F147" i="93"/>
  <c r="E147" i="93"/>
  <c r="F119" i="93"/>
  <c r="E119" i="93"/>
  <c r="H191" i="93" s="1"/>
  <c r="H195" i="93" s="1"/>
  <c r="F80" i="93"/>
  <c r="E80" i="93"/>
  <c r="H187" i="93"/>
  <c r="H189" i="93"/>
  <c r="H157" i="90"/>
  <c r="F155" i="90"/>
  <c r="E155" i="90"/>
  <c r="F125" i="90"/>
  <c r="E125" i="90"/>
  <c r="F95" i="90"/>
  <c r="E95" i="90"/>
  <c r="H163" i="90" s="1"/>
  <c r="H167" i="90" s="1"/>
  <c r="F53" i="90"/>
  <c r="E53" i="90"/>
  <c r="H159" i="90"/>
  <c r="H161" i="90"/>
  <c r="H97" i="90"/>
  <c r="H98" i="90"/>
  <c r="H99" i="90"/>
  <c r="H100" i="90" s="1"/>
  <c r="H101" i="90" s="1"/>
  <c r="H102" i="90" s="1"/>
  <c r="H103" i="90" s="1"/>
  <c r="H104" i="90" s="1"/>
  <c r="H105" i="90" s="1"/>
  <c r="H106" i="90" s="1"/>
  <c r="H107" i="90" s="1"/>
  <c r="H108" i="90" s="1"/>
  <c r="H109" i="90" s="1"/>
  <c r="H110" i="90" s="1"/>
  <c r="H111" i="90" s="1"/>
  <c r="H112" i="90" s="1"/>
  <c r="H113" i="90" s="1"/>
  <c r="H114" i="90" s="1"/>
  <c r="H115" i="90" s="1"/>
  <c r="H116" i="90" s="1"/>
  <c r="H117" i="90" s="1"/>
  <c r="H118" i="90" s="1"/>
  <c r="H119" i="90" s="1"/>
  <c r="H120" i="90" s="1"/>
  <c r="H121" i="90" s="1"/>
  <c r="H122" i="90" s="1"/>
  <c r="H123" i="90" s="1"/>
  <c r="H124" i="90" s="1"/>
  <c r="H55" i="90"/>
  <c r="H56" i="90"/>
  <c r="H57" i="90"/>
  <c r="H58" i="90" s="1"/>
  <c r="H59" i="90" s="1"/>
  <c r="H60" i="90" s="1"/>
  <c r="H61" i="90" s="1"/>
  <c r="H62" i="90" s="1"/>
  <c r="H63" i="90" s="1"/>
  <c r="H64" i="90" s="1"/>
  <c r="H65" i="90" s="1"/>
  <c r="H66" i="90" s="1"/>
  <c r="H67" i="90" s="1"/>
  <c r="H68" i="90" s="1"/>
  <c r="H69" i="90" s="1"/>
  <c r="H70" i="90" s="1"/>
  <c r="H71" i="90" s="1"/>
  <c r="H72" i="90" s="1"/>
  <c r="H73" i="90" s="1"/>
  <c r="H74" i="90" s="1"/>
  <c r="H75" i="90" s="1"/>
  <c r="H76" i="90" s="1"/>
  <c r="H77" i="90" s="1"/>
  <c r="H78" i="90" s="1"/>
  <c r="H79" i="90" s="1"/>
  <c r="H80" i="90" s="1"/>
  <c r="H81" i="90" s="1"/>
  <c r="H82" i="90" s="1"/>
  <c r="H83" i="90" s="1"/>
  <c r="H84" i="90" s="1"/>
  <c r="H85" i="90" s="1"/>
  <c r="H86" i="90" s="1"/>
  <c r="H87" i="90" s="1"/>
  <c r="H88" i="90" s="1"/>
  <c r="H89" i="90" s="1"/>
  <c r="H90" i="90" s="1"/>
  <c r="H91" i="90" s="1"/>
  <c r="H92" i="90" s="1"/>
  <c r="H93" i="90" s="1"/>
  <c r="H94" i="90" s="1"/>
  <c r="H4" i="90"/>
  <c r="H5" i="90"/>
  <c r="H6" i="90"/>
  <c r="H7" i="90" s="1"/>
  <c r="H8" i="90" s="1"/>
  <c r="H9" i="90" s="1"/>
  <c r="H10" i="90" s="1"/>
  <c r="H11" i="90" s="1"/>
  <c r="H12" i="90" s="1"/>
  <c r="H13" i="90" s="1"/>
  <c r="H14" i="90" s="1"/>
  <c r="H15" i="90" s="1"/>
  <c r="H16" i="90" s="1"/>
  <c r="H17" i="90" s="1"/>
  <c r="H18" i="90" s="1"/>
  <c r="H19" i="90" s="1"/>
  <c r="H20" i="90" s="1"/>
  <c r="H21" i="90" s="1"/>
  <c r="H22" i="90" s="1"/>
  <c r="H23" i="90" s="1"/>
  <c r="H24" i="90" s="1"/>
  <c r="H25" i="90" s="1"/>
  <c r="H26" i="90" s="1"/>
  <c r="H27" i="90" s="1"/>
  <c r="H28" i="90" s="1"/>
  <c r="H29" i="90" s="1"/>
  <c r="H30" i="90" s="1"/>
  <c r="H31" i="90" s="1"/>
  <c r="H32" i="90" s="1"/>
  <c r="H33" i="90" s="1"/>
  <c r="H34" i="90" s="1"/>
  <c r="H35" i="90" s="1"/>
  <c r="H36" i="90" s="1"/>
  <c r="H37" i="90" s="1"/>
  <c r="H38" i="90" s="1"/>
  <c r="H39" i="90" s="1"/>
  <c r="H40" i="90" s="1"/>
  <c r="H41" i="90" s="1"/>
  <c r="H42" i="90" s="1"/>
  <c r="H43" i="90" s="1"/>
  <c r="H44" i="90" s="1"/>
  <c r="H45" i="90" s="1"/>
  <c r="H46" i="90" s="1"/>
  <c r="H47" i="90" s="1"/>
  <c r="H48" i="90" s="1"/>
  <c r="H49" i="90" s="1"/>
  <c r="H50" i="90" s="1"/>
  <c r="H51" i="90" s="1"/>
  <c r="H52" i="90" s="1"/>
  <c r="H192" i="88"/>
  <c r="H200" i="88" s="1"/>
  <c r="H194" i="88"/>
  <c r="H180" i="102"/>
  <c r="F179" i="102"/>
  <c r="E179" i="102"/>
  <c r="F149" i="102"/>
  <c r="E149" i="102"/>
  <c r="F115" i="102"/>
  <c r="E115" i="102"/>
  <c r="F80" i="102"/>
  <c r="E80" i="102"/>
  <c r="H186" i="102"/>
  <c r="H190" i="102" s="1"/>
  <c r="H182" i="102"/>
  <c r="H184" i="102"/>
  <c r="D185" i="102"/>
  <c r="I228" i="84"/>
  <c r="F221" i="84"/>
  <c r="E221" i="84"/>
  <c r="F187" i="84"/>
  <c r="E187" i="84"/>
  <c r="F94" i="84"/>
  <c r="E94" i="84"/>
  <c r="F63" i="84"/>
  <c r="I234" i="84" s="1"/>
  <c r="I238" i="84" s="1"/>
  <c r="E63" i="84"/>
  <c r="I230" i="84"/>
  <c r="I232" i="84"/>
  <c r="I182" i="82"/>
  <c r="I184" i="82"/>
  <c r="I186" i="82"/>
  <c r="I192" i="82"/>
  <c r="C225" i="81"/>
  <c r="C212" i="81"/>
  <c r="C206" i="81"/>
  <c r="C198" i="81"/>
  <c r="C193" i="81"/>
  <c r="C182" i="81"/>
  <c r="C176" i="81"/>
  <c r="C165" i="81" a="1"/>
  <c r="C165" i="81" s="1"/>
  <c r="C137" i="81" a="1"/>
  <c r="C137" i="81" s="1"/>
  <c r="C152" i="81" s="1"/>
  <c r="C153" i="81" s="1"/>
  <c r="C135" i="81"/>
  <c r="D70" i="81" a="1"/>
  <c r="D70" i="81" s="1"/>
  <c r="C87" i="81" a="1"/>
  <c r="C87" i="81" s="1"/>
  <c r="C58" i="81"/>
  <c r="D43" i="81"/>
  <c r="D36" i="81"/>
  <c r="C216" i="81"/>
  <c r="I43" i="81"/>
  <c r="H43" i="81"/>
  <c r="G43" i="81"/>
  <c r="J42" i="81"/>
  <c r="J40" i="81"/>
  <c r="J39" i="81"/>
  <c r="J38" i="81"/>
  <c r="E34" i="81"/>
  <c r="I21" i="81"/>
  <c r="H21" i="81"/>
  <c r="G21" i="81"/>
  <c r="J20" i="81"/>
  <c r="J19" i="81"/>
  <c r="J18" i="81"/>
  <c r="J17" i="81"/>
  <c r="J16" i="81"/>
  <c r="J15" i="81"/>
  <c r="J14" i="81"/>
  <c r="J13" i="81"/>
  <c r="J12" i="81"/>
  <c r="J11" i="81"/>
  <c r="J10" i="81"/>
  <c r="J9" i="81"/>
  <c r="J8" i="81"/>
  <c r="J7" i="81"/>
  <c r="J6" i="81"/>
  <c r="J5" i="81"/>
  <c r="J4" i="81"/>
  <c r="J3" i="81"/>
  <c r="J2" i="81"/>
  <c r="F209" i="80"/>
  <c r="E209" i="80"/>
  <c r="F170" i="80"/>
  <c r="E170" i="80"/>
  <c r="F128" i="80"/>
  <c r="E128" i="80"/>
  <c r="F103" i="80"/>
  <c r="E103" i="80"/>
  <c r="C205" i="79"/>
  <c r="C192" i="79"/>
  <c r="C188" i="79"/>
  <c r="C181" i="79"/>
  <c r="C171" i="79"/>
  <c r="C142" i="79"/>
  <c r="C166" i="79"/>
  <c r="C167" i="79"/>
  <c r="C143" i="79"/>
  <c r="C118" i="79"/>
  <c r="C135" i="79"/>
  <c r="C136" i="79"/>
  <c r="D65" i="79"/>
  <c r="C102" i="79" s="1"/>
  <c r="C112" i="79" s="1"/>
  <c r="C79" i="79"/>
  <c r="C98" i="79" s="1"/>
  <c r="C99" i="79" s="1"/>
  <c r="D64" i="79"/>
  <c r="C61" i="79" s="1"/>
  <c r="C62" i="79" s="1"/>
  <c r="C56" i="79"/>
  <c r="D40" i="79"/>
  <c r="J39" i="79"/>
  <c r="J38" i="79"/>
  <c r="J37" i="79"/>
  <c r="J36" i="79"/>
  <c r="J35" i="79"/>
  <c r="G20" i="79"/>
  <c r="D14" i="79"/>
  <c r="D33" i="79"/>
  <c r="E32" i="79"/>
  <c r="I20" i="79"/>
  <c r="H20" i="79"/>
  <c r="J19" i="79"/>
  <c r="J18" i="79"/>
  <c r="J17" i="79"/>
  <c r="J16" i="79"/>
  <c r="J15" i="79"/>
  <c r="J13" i="79"/>
  <c r="J11" i="79"/>
  <c r="J10" i="79"/>
  <c r="J9" i="79"/>
  <c r="J8" i="79"/>
  <c r="J7" i="79"/>
  <c r="J6" i="79"/>
  <c r="J5" i="79"/>
  <c r="J4" i="79"/>
  <c r="J3" i="79"/>
  <c r="J2" i="79"/>
  <c r="I196" i="78"/>
  <c r="I200" i="78"/>
  <c r="E118" i="78"/>
  <c r="C204" i="77"/>
  <c r="C191" i="77"/>
  <c r="C187" i="77"/>
  <c r="C167" i="77"/>
  <c r="C140" i="77" a="1"/>
  <c r="C140" i="77"/>
  <c r="C141" i="77" s="1"/>
  <c r="C162" i="77"/>
  <c r="C163" i="77" s="1"/>
  <c r="C121" i="77"/>
  <c r="C136" i="77" s="1"/>
  <c r="C137" i="77" s="1"/>
  <c r="D69" i="77" a="1"/>
  <c r="D69" i="77"/>
  <c r="D68" i="77" s="1"/>
  <c r="C101" i="77"/>
  <c r="C114" i="77" s="1"/>
  <c r="D114" i="77" s="1"/>
  <c r="C91" i="77" a="1"/>
  <c r="C91" i="77" s="1"/>
  <c r="C77" i="77"/>
  <c r="C66" i="77"/>
  <c r="C59" i="77"/>
  <c r="D43" i="77"/>
  <c r="I21" i="77"/>
  <c r="D36" i="77" s="1"/>
  <c r="D37" i="77" s="1"/>
  <c r="D204" i="77"/>
  <c r="I43" i="77"/>
  <c r="H43" i="77"/>
  <c r="G43" i="77"/>
  <c r="J42" i="77"/>
  <c r="J41" i="77"/>
  <c r="J40" i="77"/>
  <c r="J39" i="77"/>
  <c r="E35" i="77"/>
  <c r="H21" i="77"/>
  <c r="G21" i="77"/>
  <c r="J20" i="77"/>
  <c r="J19" i="77"/>
  <c r="J18" i="77"/>
  <c r="J17" i="77"/>
  <c r="J16" i="77"/>
  <c r="J13" i="77"/>
  <c r="J12" i="77"/>
  <c r="J11" i="77"/>
  <c r="J10" i="77"/>
  <c r="J9" i="77"/>
  <c r="J8" i="77"/>
  <c r="J7" i="77"/>
  <c r="J6" i="77"/>
  <c r="J5" i="77"/>
  <c r="J4" i="77"/>
  <c r="J3" i="77"/>
  <c r="J2" i="77"/>
  <c r="I191" i="76"/>
  <c r="I198" i="76"/>
  <c r="C207" i="54"/>
  <c r="D207" i="54" s="1"/>
  <c r="C198" i="54"/>
  <c r="C185" i="54"/>
  <c r="C180" i="54"/>
  <c r="C176" i="54"/>
  <c r="C163" i="54"/>
  <c r="C142" i="54"/>
  <c r="C158" i="54" s="1"/>
  <c r="C159" i="54" s="1"/>
  <c r="C119" i="54" a="1"/>
  <c r="C119" i="54" s="1"/>
  <c r="C117" i="54"/>
  <c r="C110" i="54"/>
  <c r="C83" i="54" a="1"/>
  <c r="C83" i="54" s="1"/>
  <c r="C68" i="54"/>
  <c r="C60" i="54"/>
  <c r="C52" i="54"/>
  <c r="I40" i="54"/>
  <c r="D39" i="54" s="1"/>
  <c r="D40" i="54" s="1"/>
  <c r="D31" i="54"/>
  <c r="D198" i="54"/>
  <c r="D110" i="54"/>
  <c r="D63" i="54" a="1"/>
  <c r="D63" i="54" s="1"/>
  <c r="D62" i="54" s="1"/>
  <c r="J33" i="54"/>
  <c r="J40" i="54" s="1"/>
  <c r="J34" i="54"/>
  <c r="J35" i="54"/>
  <c r="J36" i="54"/>
  <c r="J37" i="54"/>
  <c r="J38" i="54"/>
  <c r="H40" i="54"/>
  <c r="G40" i="54"/>
  <c r="F40" i="54"/>
  <c r="E29" i="54"/>
  <c r="I19" i="54"/>
  <c r="H19" i="54"/>
  <c r="G19" i="54"/>
  <c r="J18" i="54"/>
  <c r="J17" i="54"/>
  <c r="J16" i="54"/>
  <c r="J15" i="54"/>
  <c r="J14" i="54"/>
  <c r="J13" i="54"/>
  <c r="J11" i="54"/>
  <c r="J10" i="54"/>
  <c r="J9" i="54"/>
  <c r="J8" i="54"/>
  <c r="J7" i="54"/>
  <c r="J6" i="54"/>
  <c r="J5" i="54"/>
  <c r="J4" i="54"/>
  <c r="J3" i="54"/>
  <c r="J2" i="54"/>
  <c r="G259" i="75"/>
  <c r="C212" i="74"/>
  <c r="C195" i="74"/>
  <c r="C201" i="74" s="1"/>
  <c r="C202" i="74" s="1"/>
  <c r="C192" i="74"/>
  <c r="C186" i="74"/>
  <c r="C173" i="74"/>
  <c r="C169" i="74"/>
  <c r="C145" i="74"/>
  <c r="C120" i="74" a="1"/>
  <c r="C120" i="74" s="1"/>
  <c r="C115" i="74"/>
  <c r="D65" i="74" a="1"/>
  <c r="D65" i="74" s="1"/>
  <c r="C77" i="74" a="1"/>
  <c r="C77" i="74" s="1"/>
  <c r="C52" i="74"/>
  <c r="I34" i="74"/>
  <c r="D35" i="74"/>
  <c r="D36" i="74"/>
  <c r="D11" i="74"/>
  <c r="D29" i="74" s="1"/>
  <c r="I18" i="74"/>
  <c r="D28" i="74"/>
  <c r="D212" i="74"/>
  <c r="J31" i="74"/>
  <c r="J34" i="74" s="1"/>
  <c r="J32" i="74"/>
  <c r="J33" i="74"/>
  <c r="H34" i="74"/>
  <c r="G34" i="74"/>
  <c r="E27" i="74"/>
  <c r="H18" i="74"/>
  <c r="G18" i="74"/>
  <c r="J17" i="74"/>
  <c r="J16" i="74"/>
  <c r="J15" i="74"/>
  <c r="J14" i="74"/>
  <c r="J13" i="74"/>
  <c r="J12" i="74"/>
  <c r="J10" i="74"/>
  <c r="J9" i="74"/>
  <c r="J8" i="74"/>
  <c r="J7" i="74"/>
  <c r="J6" i="74"/>
  <c r="J5" i="74"/>
  <c r="J4" i="74"/>
  <c r="J3" i="74"/>
  <c r="J2" i="74"/>
  <c r="I214" i="53"/>
  <c r="C236" i="73"/>
  <c r="C232" i="73"/>
  <c r="C218" i="73"/>
  <c r="C228" i="73"/>
  <c r="C203" i="73"/>
  <c r="C198" i="73"/>
  <c r="C186" i="73"/>
  <c r="C156" i="73" a="1"/>
  <c r="C156" i="73" s="1"/>
  <c r="C132" i="73" a="1"/>
  <c r="C132" i="73" s="1"/>
  <c r="C125" i="73"/>
  <c r="C93" i="73" a="1"/>
  <c r="C93" i="73"/>
  <c r="C110" i="73"/>
  <c r="C111" i="73" s="1"/>
  <c r="C94" i="73"/>
  <c r="C79" i="73"/>
  <c r="D71" i="73" a="1"/>
  <c r="D71" i="73" s="1"/>
  <c r="D69" i="73" s="1"/>
  <c r="C66" i="73" s="1"/>
  <c r="C67" i="73" s="1"/>
  <c r="C59" i="73"/>
  <c r="D37" i="73"/>
  <c r="G18" i="73"/>
  <c r="D11" i="73"/>
  <c r="D29" i="73" s="1"/>
  <c r="I18" i="73"/>
  <c r="D28" i="73"/>
  <c r="D232" i="73"/>
  <c r="D228" i="73"/>
  <c r="D125" i="73"/>
  <c r="J31" i="73"/>
  <c r="J32" i="73"/>
  <c r="J33" i="73"/>
  <c r="J34" i="73"/>
  <c r="J37" i="73" s="1"/>
  <c r="J35" i="73"/>
  <c r="J36" i="73"/>
  <c r="I37" i="73"/>
  <c r="H37" i="73"/>
  <c r="G37" i="73"/>
  <c r="F37" i="73"/>
  <c r="E27" i="73"/>
  <c r="H18" i="73"/>
  <c r="J17" i="73"/>
  <c r="J16" i="73"/>
  <c r="J15" i="73"/>
  <c r="J14" i="73"/>
  <c r="J13" i="73"/>
  <c r="J12" i="73"/>
  <c r="J9" i="73"/>
  <c r="J8" i="73"/>
  <c r="J7" i="73"/>
  <c r="J6" i="73"/>
  <c r="J5" i="73"/>
  <c r="J4" i="73"/>
  <c r="J3" i="73"/>
  <c r="J2" i="73"/>
  <c r="E223" i="52"/>
  <c r="F223" i="52"/>
  <c r="F157" i="52"/>
  <c r="E157" i="52"/>
  <c r="F118" i="52"/>
  <c r="E118" i="52"/>
  <c r="F73" i="52"/>
  <c r="E73" i="52"/>
  <c r="I226" i="52"/>
  <c r="C325" i="71"/>
  <c r="C316" i="71"/>
  <c r="C302" i="71"/>
  <c r="C295" i="71"/>
  <c r="C291" i="71"/>
  <c r="C277" i="71"/>
  <c r="C263" i="71"/>
  <c r="C210" i="71" a="1"/>
  <c r="C210" i="71" s="1"/>
  <c r="C166" i="71" a="1"/>
  <c r="C166" i="71" s="1"/>
  <c r="D72" i="71" a="1"/>
  <c r="D72" i="71"/>
  <c r="C116" i="71"/>
  <c r="C153" i="71" s="1"/>
  <c r="D153" i="71" s="1"/>
  <c r="C88" i="71"/>
  <c r="C113" i="71"/>
  <c r="C114" i="71"/>
  <c r="C89" i="71"/>
  <c r="D71" i="71"/>
  <c r="C68" i="71"/>
  <c r="C69" i="71"/>
  <c r="C61" i="71"/>
  <c r="I42" i="71"/>
  <c r="D42" i="71" s="1"/>
  <c r="D43" i="71" s="1"/>
  <c r="I22" i="71"/>
  <c r="D34" i="71" s="1"/>
  <c r="D35" i="71" s="1"/>
  <c r="D318" i="71"/>
  <c r="D316" i="71"/>
  <c r="J37" i="71"/>
  <c r="J42" i="71" s="1"/>
  <c r="J38" i="71"/>
  <c r="J39" i="71"/>
  <c r="J40" i="71"/>
  <c r="J41" i="71"/>
  <c r="H42" i="71"/>
  <c r="G42" i="71"/>
  <c r="F42" i="71"/>
  <c r="E33" i="71"/>
  <c r="H22" i="71"/>
  <c r="G22" i="71"/>
  <c r="J21" i="71"/>
  <c r="J20" i="71"/>
  <c r="J19" i="71"/>
  <c r="J18" i="71"/>
  <c r="J17" i="71"/>
  <c r="J16" i="71"/>
  <c r="J15" i="71"/>
  <c r="J14" i="71"/>
  <c r="J13" i="71"/>
  <c r="J12" i="71"/>
  <c r="J11" i="71"/>
  <c r="J10" i="71"/>
  <c r="J9" i="71"/>
  <c r="J8" i="71"/>
  <c r="J7" i="71"/>
  <c r="J6" i="71"/>
  <c r="J5" i="71"/>
  <c r="J4" i="71"/>
  <c r="J3" i="71"/>
  <c r="J2" i="71"/>
  <c r="I317" i="51"/>
  <c r="F312" i="51"/>
  <c r="E312" i="51"/>
  <c r="F255" i="51"/>
  <c r="E255" i="51"/>
  <c r="F194" i="51"/>
  <c r="E194" i="51"/>
  <c r="F119" i="51"/>
  <c r="E119" i="51"/>
  <c r="C258" i="56"/>
  <c r="C246" i="56"/>
  <c r="C228" i="56" a="1"/>
  <c r="C228" i="56" s="1"/>
  <c r="C223" i="56"/>
  <c r="C216" i="56"/>
  <c r="C204" i="56"/>
  <c r="C171" i="56" a="1"/>
  <c r="C171" i="56" s="1"/>
  <c r="C138" i="56" a="1"/>
  <c r="C138" i="56" s="1"/>
  <c r="C131" i="56"/>
  <c r="C85" i="56" a="1"/>
  <c r="C85" i="56" s="1"/>
  <c r="C58" i="56"/>
  <c r="C51" i="56"/>
  <c r="D33" i="56"/>
  <c r="I14" i="56"/>
  <c r="D24" i="56" s="1"/>
  <c r="D25" i="56" s="1"/>
  <c r="D246" i="56"/>
  <c r="D130" i="56"/>
  <c r="D61" i="56" a="1"/>
  <c r="D61" i="56" s="1"/>
  <c r="D60" i="56" s="1"/>
  <c r="J27" i="56"/>
  <c r="J33" i="56" s="1"/>
  <c r="J28" i="56"/>
  <c r="J29" i="56"/>
  <c r="J30" i="56"/>
  <c r="J31" i="56"/>
  <c r="I33" i="56"/>
  <c r="H33" i="56"/>
  <c r="G33" i="56"/>
  <c r="F33" i="56"/>
  <c r="E23" i="56"/>
  <c r="H14" i="56"/>
  <c r="G14" i="56"/>
  <c r="J13" i="56"/>
  <c r="J12" i="56"/>
  <c r="J11" i="56"/>
  <c r="J10" i="56"/>
  <c r="J9" i="56"/>
  <c r="J8" i="56"/>
  <c r="J7" i="56"/>
  <c r="J6" i="56"/>
  <c r="J5" i="56"/>
  <c r="J4" i="56"/>
  <c r="J3" i="56"/>
  <c r="J2" i="56"/>
  <c r="I287" i="50"/>
  <c r="I291" i="50"/>
  <c r="C263" i="55"/>
  <c r="C255" i="55"/>
  <c r="C249" i="55"/>
  <c r="C236" i="55"/>
  <c r="C232" i="55"/>
  <c r="C225" i="55"/>
  <c r="C208" i="55"/>
  <c r="C163" i="55" a="1"/>
  <c r="C163" i="55"/>
  <c r="C164" i="55" s="1"/>
  <c r="C139" i="55" a="1"/>
  <c r="C139" i="55" s="1"/>
  <c r="C132" i="55"/>
  <c r="D132" i="55" s="1"/>
  <c r="C95" i="55" a="1"/>
  <c r="C95" i="55" s="1"/>
  <c r="C84" i="55"/>
  <c r="C73" i="55"/>
  <c r="C65" i="55"/>
  <c r="I45" i="55"/>
  <c r="D44" i="55" s="1"/>
  <c r="D45" i="55" s="1"/>
  <c r="I19" i="55"/>
  <c r="D38" i="55" s="1"/>
  <c r="D39" i="55" s="1"/>
  <c r="D255" i="55"/>
  <c r="D249" i="55"/>
  <c r="D76" i="55" a="1"/>
  <c r="D76" i="55" s="1"/>
  <c r="D75" i="55" s="1"/>
  <c r="J41" i="55"/>
  <c r="J45" i="55" s="1"/>
  <c r="J42" i="55"/>
  <c r="H45" i="55"/>
  <c r="G45" i="55"/>
  <c r="F45" i="55"/>
  <c r="E37" i="55"/>
  <c r="H19" i="55"/>
  <c r="G19" i="55"/>
  <c r="J18" i="55"/>
  <c r="J17" i="55"/>
  <c r="J16" i="55"/>
  <c r="J15" i="55"/>
  <c r="J14" i="55"/>
  <c r="J13" i="55"/>
  <c r="J12" i="55"/>
  <c r="J11" i="55"/>
  <c r="J10" i="55"/>
  <c r="J9" i="55"/>
  <c r="J8" i="55"/>
  <c r="J7" i="55"/>
  <c r="J6" i="55"/>
  <c r="J5" i="55"/>
  <c r="J4" i="55"/>
  <c r="J3" i="55"/>
  <c r="J2" i="55"/>
  <c r="I285" i="49"/>
  <c r="F251" i="49"/>
  <c r="E251" i="49"/>
  <c r="F197" i="49"/>
  <c r="E197" i="49"/>
  <c r="F141" i="49"/>
  <c r="E141" i="49"/>
  <c r="F117" i="49"/>
  <c r="E117" i="49"/>
  <c r="C250" i="67"/>
  <c r="C244" i="67"/>
  <c r="C234" i="67"/>
  <c r="D234" i="67" s="1"/>
  <c r="C213" i="67"/>
  <c r="C214" i="67" s="1"/>
  <c r="C210" i="67"/>
  <c r="C202" i="67"/>
  <c r="C187" i="67"/>
  <c r="C159" i="67" a="1"/>
  <c r="C159" i="67"/>
  <c r="C125" i="67" a="1"/>
  <c r="C125" i="67" s="1"/>
  <c r="C140" i="67" s="1"/>
  <c r="C141" i="67" s="1"/>
  <c r="C126" i="67"/>
  <c r="D128" i="67" s="1"/>
  <c r="D121" i="67" s="1"/>
  <c r="D122" i="67" s="1"/>
  <c r="D61" i="67" a="1"/>
  <c r="D61" i="67" s="1"/>
  <c r="C79" i="67" a="1"/>
  <c r="C79" i="67" s="1"/>
  <c r="C80" i="67" s="1"/>
  <c r="C86" i="67"/>
  <c r="C87" i="67"/>
  <c r="C50" i="67"/>
  <c r="I32" i="67"/>
  <c r="D31" i="67"/>
  <c r="D32" i="67"/>
  <c r="I16" i="67"/>
  <c r="D24" i="67" s="1"/>
  <c r="D25" i="67" s="1"/>
  <c r="D244" i="67"/>
  <c r="J27" i="67"/>
  <c r="J28" i="67"/>
  <c r="J32" i="67" s="1"/>
  <c r="J29" i="67"/>
  <c r="J30" i="67"/>
  <c r="H32" i="67"/>
  <c r="G32" i="67"/>
  <c r="F32" i="67"/>
  <c r="E23" i="67"/>
  <c r="H16" i="67"/>
  <c r="G16" i="67"/>
  <c r="J15" i="67"/>
  <c r="J14" i="67"/>
  <c r="J13" i="67"/>
  <c r="J12" i="67"/>
  <c r="J11" i="67"/>
  <c r="J10" i="67"/>
  <c r="J9" i="67"/>
  <c r="J8" i="67"/>
  <c r="J7" i="67"/>
  <c r="J6" i="67"/>
  <c r="J5" i="67"/>
  <c r="J4" i="67"/>
  <c r="J3" i="67"/>
  <c r="J2" i="67"/>
  <c r="L264" i="44"/>
  <c r="I262" i="44"/>
  <c r="H262" i="44"/>
  <c r="F202" i="44"/>
  <c r="E202" i="44"/>
  <c r="I156" i="44"/>
  <c r="H156" i="44"/>
  <c r="F156" i="44"/>
  <c r="E156" i="44"/>
  <c r="C245" i="64"/>
  <c r="C241" i="64"/>
  <c r="C228" i="64" a="1"/>
  <c r="C228" i="64"/>
  <c r="C232" i="64"/>
  <c r="C233" i="64" s="1"/>
  <c r="C226" i="64"/>
  <c r="C218" i="64"/>
  <c r="C202" i="64"/>
  <c r="C175" i="64" a="1"/>
  <c r="C175" i="64" s="1"/>
  <c r="C141" i="64" a="1"/>
  <c r="C141" i="64"/>
  <c r="C158" i="64"/>
  <c r="C159" i="64" s="1"/>
  <c r="C137" i="64"/>
  <c r="D67" i="64" a="1"/>
  <c r="D67" i="64"/>
  <c r="C91" i="64"/>
  <c r="C92" i="64" s="1"/>
  <c r="C101" i="64"/>
  <c r="C102" i="64" s="1"/>
  <c r="C56" i="64"/>
  <c r="I37" i="64"/>
  <c r="D36" i="64"/>
  <c r="D37" i="64" s="1"/>
  <c r="G20" i="64"/>
  <c r="D11" i="64"/>
  <c r="I20" i="64"/>
  <c r="D28" i="64" s="1"/>
  <c r="D241" i="64"/>
  <c r="J31" i="64"/>
  <c r="J32" i="64"/>
  <c r="J33" i="64"/>
  <c r="J34" i="64"/>
  <c r="J35" i="64"/>
  <c r="J37" i="64"/>
  <c r="H37" i="64"/>
  <c r="G37" i="64"/>
  <c r="F37" i="64"/>
  <c r="E28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H20" i="64"/>
  <c r="L262" i="43"/>
  <c r="I259" i="43"/>
  <c r="H259" i="43"/>
  <c r="F209" i="43"/>
  <c r="E209" i="43"/>
  <c r="I163" i="43"/>
  <c r="H163" i="43"/>
  <c r="F163" i="43"/>
  <c r="E163" i="43"/>
  <c r="O163" i="43"/>
  <c r="C234" i="46"/>
  <c r="C230" i="46"/>
  <c r="C217" i="46"/>
  <c r="C209" i="46"/>
  <c r="C203" i="46"/>
  <c r="C199" i="46"/>
  <c r="C185" i="46"/>
  <c r="C142" i="46"/>
  <c r="C179" i="46"/>
  <c r="C180" i="46"/>
  <c r="C143" i="46"/>
  <c r="C118" i="46" a="1"/>
  <c r="C118" i="46"/>
  <c r="C119" i="46" s="1"/>
  <c r="C129" i="46"/>
  <c r="C130" i="46" s="1"/>
  <c r="D56" i="46" a="1"/>
  <c r="D56" i="46"/>
  <c r="C74" i="46" a="1"/>
  <c r="C74" i="46"/>
  <c r="C65" i="46"/>
  <c r="C44" i="46"/>
  <c r="D27" i="46"/>
  <c r="D23" i="46"/>
  <c r="D230" i="46"/>
  <c r="I27" i="46"/>
  <c r="H27" i="46"/>
  <c r="G27" i="46"/>
  <c r="J26" i="46"/>
  <c r="J25" i="46"/>
  <c r="E21" i="46"/>
  <c r="I15" i="46"/>
  <c r="H15" i="46"/>
  <c r="G15" i="46"/>
  <c r="J14" i="46"/>
  <c r="J13" i="46"/>
  <c r="J12" i="46"/>
  <c r="J11" i="46"/>
  <c r="J10" i="46"/>
  <c r="J9" i="46"/>
  <c r="J8" i="46"/>
  <c r="J7" i="46"/>
  <c r="J6" i="46"/>
  <c r="J5" i="46"/>
  <c r="J4" i="46"/>
  <c r="J3" i="46"/>
  <c r="J2" i="46"/>
  <c r="I243" i="42"/>
  <c r="H243" i="42"/>
  <c r="F196" i="42"/>
  <c r="E196" i="42"/>
  <c r="F148" i="42"/>
  <c r="E148" i="42"/>
  <c r="I148" i="42"/>
  <c r="H148" i="42"/>
  <c r="C236" i="35"/>
  <c r="C231" i="35"/>
  <c r="C223" i="35"/>
  <c r="C210" i="35"/>
  <c r="C206" i="35"/>
  <c r="C190" i="35"/>
  <c r="C186" i="35"/>
  <c r="C160" i="35" a="1"/>
  <c r="C160" i="35" s="1"/>
  <c r="C161" i="35" s="1"/>
  <c r="C136" i="35"/>
  <c r="C112" i="35" a="1"/>
  <c r="C112" i="35" s="1"/>
  <c r="C113" i="35" s="1"/>
  <c r="C101" i="35"/>
  <c r="D101" i="35" s="1"/>
  <c r="C76" i="35" a="1"/>
  <c r="C76" i="35" s="1"/>
  <c r="C51" i="35"/>
  <c r="C46" i="35"/>
  <c r="D30" i="35"/>
  <c r="D25" i="35"/>
  <c r="D231" i="35"/>
  <c r="D223" i="35"/>
  <c r="C55" i="35"/>
  <c r="D54" i="35" a="1"/>
  <c r="D54" i="35" s="1"/>
  <c r="D53" i="35" s="1"/>
  <c r="I30" i="35"/>
  <c r="H30" i="35"/>
  <c r="G30" i="35"/>
  <c r="E24" i="35"/>
  <c r="I14" i="35"/>
  <c r="H14" i="35"/>
  <c r="G14" i="35"/>
  <c r="J13" i="35"/>
  <c r="J12" i="35"/>
  <c r="J11" i="35"/>
  <c r="J10" i="35"/>
  <c r="J9" i="35"/>
  <c r="J8" i="35"/>
  <c r="J7" i="35"/>
  <c r="J6" i="35"/>
  <c r="J5" i="35"/>
  <c r="J4" i="35"/>
  <c r="J3" i="35"/>
  <c r="J2" i="35"/>
  <c r="C267" i="59"/>
  <c r="C251" i="59"/>
  <c r="D251" i="59" s="1"/>
  <c r="C231" i="59"/>
  <c r="C227" i="59"/>
  <c r="C215" i="59"/>
  <c r="C185" i="59"/>
  <c r="C186" i="59" s="1"/>
  <c r="C210" i="59"/>
  <c r="C211" i="59" s="1"/>
  <c r="C111" i="59"/>
  <c r="C112" i="59" s="1"/>
  <c r="D112" i="59" s="1"/>
  <c r="D106" i="59" s="1"/>
  <c r="D107" i="59" s="1"/>
  <c r="C135" i="59"/>
  <c r="C136" i="59" s="1"/>
  <c r="C107" i="59"/>
  <c r="C102" i="59"/>
  <c r="D50" i="59" a="1"/>
  <c r="D50" i="59" s="1"/>
  <c r="C71" i="59"/>
  <c r="C77" i="59" s="1"/>
  <c r="C78" i="59" s="1"/>
  <c r="C72" i="59"/>
  <c r="C42" i="59"/>
  <c r="D26" i="59"/>
  <c r="D21" i="59"/>
  <c r="D253" i="59"/>
  <c r="I26" i="59"/>
  <c r="H26" i="59"/>
  <c r="G26" i="59"/>
  <c r="J25" i="59"/>
  <c r="J24" i="59"/>
  <c r="J23" i="59"/>
  <c r="E19" i="59"/>
  <c r="I16" i="59"/>
  <c r="H16" i="59"/>
  <c r="G16" i="59"/>
  <c r="J15" i="59"/>
  <c r="J14" i="59"/>
  <c r="J13" i="59"/>
  <c r="J12" i="59"/>
  <c r="J11" i="59"/>
  <c r="J10" i="59"/>
  <c r="J9" i="59"/>
  <c r="J8" i="59"/>
  <c r="J7" i="59"/>
  <c r="J6" i="59"/>
  <c r="J5" i="59"/>
  <c r="J4" i="59"/>
  <c r="J3" i="59"/>
  <c r="J2" i="59"/>
  <c r="I305" i="60"/>
  <c r="H305" i="60"/>
  <c r="F215" i="60"/>
  <c r="E215" i="60"/>
  <c r="F160" i="60"/>
  <c r="E160" i="60"/>
  <c r="I160" i="60"/>
  <c r="H160" i="60"/>
  <c r="G309" i="60"/>
  <c r="K242" i="60"/>
  <c r="K243" i="60"/>
  <c r="K244" i="60" s="1"/>
  <c r="K245" i="60" s="1"/>
  <c r="K246" i="60" s="1"/>
  <c r="K247" i="60" s="1"/>
  <c r="K248" i="60" s="1"/>
  <c r="K249" i="60" s="1"/>
  <c r="K250" i="60" s="1"/>
  <c r="K251" i="60" s="1"/>
  <c r="K252" i="60" s="1"/>
  <c r="K253" i="60" s="1"/>
  <c r="K254" i="60" s="1"/>
  <c r="K255" i="60" s="1"/>
  <c r="K256" i="60" s="1"/>
  <c r="K257" i="60" s="1"/>
  <c r="K258" i="60" s="1"/>
  <c r="K259" i="60" s="1"/>
  <c r="K260" i="60" s="1"/>
  <c r="K261" i="60" s="1"/>
  <c r="K262" i="60" s="1"/>
  <c r="K263" i="60" s="1"/>
  <c r="K264" i="60" s="1"/>
  <c r="K265" i="60" s="1"/>
  <c r="K266" i="60" s="1"/>
  <c r="K267" i="60" s="1"/>
  <c r="K268" i="60" s="1"/>
  <c r="K269" i="60" s="1"/>
  <c r="K270" i="60" s="1"/>
  <c r="K271" i="60" s="1"/>
  <c r="K272" i="60" s="1"/>
  <c r="K273" i="60" s="1"/>
  <c r="K274" i="60" s="1"/>
  <c r="K275" i="60" s="1"/>
  <c r="K276" i="60" s="1"/>
  <c r="K277" i="60" s="1"/>
  <c r="K278" i="60" s="1"/>
  <c r="K279" i="60" s="1"/>
  <c r="K280" i="60" s="1"/>
  <c r="K281" i="60" s="1"/>
  <c r="K282" i="60" s="1"/>
  <c r="K283" i="60" s="1"/>
  <c r="K284" i="60" s="1"/>
  <c r="K285" i="60" s="1"/>
  <c r="K286" i="60" s="1"/>
  <c r="K287" i="60" s="1"/>
  <c r="K288" i="60" s="1"/>
  <c r="K289" i="60" s="1"/>
  <c r="K290" i="60" s="1"/>
  <c r="K291" i="60" s="1"/>
  <c r="K292" i="60" s="1"/>
  <c r="K293" i="60" s="1"/>
  <c r="K294" i="60" s="1"/>
  <c r="K295" i="60" s="1"/>
  <c r="K296" i="60" s="1"/>
  <c r="K297" i="60" s="1"/>
  <c r="K298" i="60" s="1"/>
  <c r="K299" i="60" s="1"/>
  <c r="K300" i="60" s="1"/>
  <c r="K301" i="60" s="1"/>
  <c r="K302" i="60" s="1"/>
  <c r="K303" i="60" s="1"/>
  <c r="K304" i="60" s="1"/>
  <c r="F292" i="60"/>
  <c r="K162" i="60"/>
  <c r="K163" i="60"/>
  <c r="K164" i="60" s="1"/>
  <c r="K165" i="60" s="1"/>
  <c r="K166" i="60" s="1"/>
  <c r="K167" i="60" s="1"/>
  <c r="K168" i="60" s="1"/>
  <c r="K169" i="60" s="1"/>
  <c r="K170" i="60" s="1"/>
  <c r="K171" i="60" s="1"/>
  <c r="K172" i="60" s="1"/>
  <c r="K173" i="60" s="1"/>
  <c r="K174" i="60" s="1"/>
  <c r="K175" i="60" s="1"/>
  <c r="K176" i="60" s="1"/>
  <c r="K177" i="60" s="1"/>
  <c r="K178" i="60" s="1"/>
  <c r="K179" i="60" s="1"/>
  <c r="K180" i="60" s="1"/>
  <c r="K181" i="60" s="1"/>
  <c r="K182" i="60" s="1"/>
  <c r="K183" i="60" s="1"/>
  <c r="K184" i="60" s="1"/>
  <c r="K185" i="60" s="1"/>
  <c r="K186" i="60" s="1"/>
  <c r="K187" i="60" s="1"/>
  <c r="K188" i="60" s="1"/>
  <c r="K189" i="60" s="1"/>
  <c r="K190" i="60" s="1"/>
  <c r="K191" i="60" s="1"/>
  <c r="K192" i="60" s="1"/>
  <c r="K193" i="60" s="1"/>
  <c r="K194" i="60" s="1"/>
  <c r="K195" i="60" s="1"/>
  <c r="K196" i="60" s="1"/>
  <c r="K197" i="60" s="1"/>
  <c r="K198" i="60" s="1"/>
  <c r="K199" i="60" s="1"/>
  <c r="K200" i="60" s="1"/>
  <c r="K201" i="60" s="1"/>
  <c r="K202" i="60" s="1"/>
  <c r="K203" i="60" s="1"/>
  <c r="K204" i="60" s="1"/>
  <c r="K205" i="60" s="1"/>
  <c r="K206" i="60" s="1"/>
  <c r="K207" i="60" s="1"/>
  <c r="K208" i="60" s="1"/>
  <c r="K209" i="60" s="1"/>
  <c r="K210" i="60" s="1"/>
  <c r="K211" i="60" s="1"/>
  <c r="K212" i="60" s="1"/>
  <c r="K213" i="60" s="1"/>
  <c r="L3" i="60"/>
  <c r="L4" i="60"/>
  <c r="L5" i="60" s="1"/>
  <c r="L6" i="60" s="1"/>
  <c r="L7" i="60" s="1"/>
  <c r="L8" i="60" s="1"/>
  <c r="L9" i="60" s="1"/>
  <c r="L10" i="60" s="1"/>
  <c r="L11" i="60" s="1"/>
  <c r="L12" i="60" s="1"/>
  <c r="L13" i="60" s="1"/>
  <c r="L14" i="60" s="1"/>
  <c r="L15" i="60" s="1"/>
  <c r="L16" i="60" s="1"/>
  <c r="L17" i="60" s="1"/>
  <c r="L18" i="60" s="1"/>
  <c r="L19" i="60" s="1"/>
  <c r="L20" i="60" s="1"/>
  <c r="L21" i="60" s="1"/>
  <c r="L22" i="60" s="1"/>
  <c r="L23" i="60" s="1"/>
  <c r="L24" i="60" s="1"/>
  <c r="L25" i="60" s="1"/>
  <c r="L26" i="60" s="1"/>
  <c r="L27" i="60" s="1"/>
  <c r="L28" i="60" s="1"/>
  <c r="L29" i="60" s="1"/>
  <c r="L30" i="60" s="1"/>
  <c r="L31" i="60" s="1"/>
  <c r="L32" i="60" s="1"/>
  <c r="L33" i="60" s="1"/>
  <c r="L34" i="60" s="1"/>
  <c r="L35" i="60" s="1"/>
  <c r="L36" i="60" s="1"/>
  <c r="L37" i="60" s="1"/>
  <c r="L38" i="60" s="1"/>
  <c r="L39" i="60" s="1"/>
  <c r="L40" i="60" s="1"/>
  <c r="L41" i="60" s="1"/>
  <c r="L42" i="60" s="1"/>
  <c r="L43" i="60" s="1"/>
  <c r="L44" i="60" s="1"/>
  <c r="L45" i="60" s="1"/>
  <c r="L46" i="60" s="1"/>
  <c r="L47" i="60" s="1"/>
  <c r="L48" i="60" s="1"/>
  <c r="L49" i="60" s="1"/>
  <c r="L50" i="60" s="1"/>
  <c r="L51" i="60" s="1"/>
  <c r="L52" i="60" s="1"/>
  <c r="L53" i="60" s="1"/>
  <c r="L54" i="60" s="1"/>
  <c r="L55" i="60" s="1"/>
  <c r="L56" i="60" s="1"/>
  <c r="L57" i="60" s="1"/>
  <c r="L58" i="60" s="1"/>
  <c r="L59" i="60" s="1"/>
  <c r="L60" i="60" s="1"/>
  <c r="L61" i="60" s="1"/>
  <c r="L62" i="60" s="1"/>
  <c r="L63" i="60" s="1"/>
  <c r="L64" i="60" s="1"/>
  <c r="L65" i="60" s="1"/>
  <c r="L66" i="60" s="1"/>
  <c r="L67" i="60" s="1"/>
  <c r="L68" i="60" s="1"/>
  <c r="L69" i="60" s="1"/>
  <c r="L70" i="60" s="1"/>
  <c r="L71" i="60" s="1"/>
  <c r="L72" i="60" s="1"/>
  <c r="L73" i="60" s="1"/>
  <c r="L74" i="60" s="1"/>
  <c r="L75" i="60" s="1"/>
  <c r="L76" i="60" s="1"/>
  <c r="L77" i="60" s="1"/>
  <c r="L78" i="60" s="1"/>
  <c r="L79" i="60" s="1"/>
  <c r="L80" i="60" s="1"/>
  <c r="L81" i="60" s="1"/>
  <c r="L82" i="60" s="1"/>
  <c r="L83" i="60" s="1"/>
  <c r="L84" i="60" s="1"/>
  <c r="L85" i="60" s="1"/>
  <c r="L86" i="60" s="1"/>
  <c r="L87" i="60" s="1"/>
  <c r="L88" i="60" s="1"/>
  <c r="L89" i="60" s="1"/>
  <c r="L90" i="60" s="1"/>
  <c r="L91" i="60" s="1"/>
  <c r="L92" i="60" s="1"/>
  <c r="L93" i="60" s="1"/>
  <c r="L94" i="60" s="1"/>
  <c r="L95" i="60" s="1"/>
  <c r="L96" i="60" s="1"/>
  <c r="L97" i="60" s="1"/>
  <c r="L98" i="60" s="1"/>
  <c r="L99" i="60" s="1"/>
  <c r="L100" i="60" s="1"/>
  <c r="L101" i="60" s="1"/>
  <c r="L102" i="60" s="1"/>
  <c r="L103" i="60" s="1"/>
  <c r="L104" i="60" s="1"/>
  <c r="L105" i="60" s="1"/>
  <c r="L106" i="60" s="1"/>
  <c r="L107" i="60" s="1"/>
  <c r="L108" i="60" s="1"/>
  <c r="L109" i="60" s="1"/>
  <c r="L110" i="60" s="1"/>
  <c r="L111" i="60" s="1"/>
  <c r="L112" i="60" s="1"/>
  <c r="L113" i="60" s="1"/>
  <c r="L114" i="60" s="1"/>
  <c r="L115" i="60" s="1"/>
  <c r="L116" i="60" s="1"/>
  <c r="L117" i="60" s="1"/>
  <c r="L118" i="60" s="1"/>
  <c r="L119" i="60" s="1"/>
  <c r="L120" i="60" s="1"/>
  <c r="L121" i="60" s="1"/>
  <c r="L122" i="60" s="1"/>
  <c r="L123" i="60" s="1"/>
  <c r="L124" i="60" s="1"/>
  <c r="L125" i="60" s="1"/>
  <c r="L126" i="60" s="1"/>
  <c r="L127" i="60" s="1"/>
  <c r="L128" i="60" s="1"/>
  <c r="L129" i="60" s="1"/>
  <c r="L130" i="60" s="1"/>
  <c r="L131" i="60" s="1"/>
  <c r="L132" i="60" s="1"/>
  <c r="L133" i="60" s="1"/>
  <c r="L134" i="60" s="1"/>
  <c r="L135" i="60" s="1"/>
  <c r="L136" i="60" s="1"/>
  <c r="L137" i="60" s="1"/>
  <c r="L138" i="60" s="1"/>
  <c r="L139" i="60" s="1"/>
  <c r="L140" i="60" s="1"/>
  <c r="L141" i="60" s="1"/>
  <c r="L142" i="60" s="1"/>
  <c r="L143" i="60" s="1"/>
  <c r="L144" i="60" s="1"/>
  <c r="L145" i="60" s="1"/>
  <c r="L146" i="60" s="1"/>
  <c r="L147" i="60" s="1"/>
  <c r="L148" i="60" s="1"/>
  <c r="L149" i="60" s="1"/>
  <c r="L150" i="60" s="1"/>
  <c r="L151" i="60" s="1"/>
  <c r="L152" i="60" s="1"/>
  <c r="L153" i="60" s="1"/>
  <c r="L154" i="60" s="1"/>
  <c r="L155" i="60" s="1"/>
  <c r="L156" i="60" s="1"/>
  <c r="L157" i="60" s="1"/>
  <c r="L158" i="60" s="1"/>
  <c r="L159" i="60" s="1"/>
  <c r="K3" i="60"/>
  <c r="K4" i="60" s="1"/>
  <c r="K5" i="60" s="1"/>
  <c r="K6" i="60" s="1"/>
  <c r="K7" i="60"/>
  <c r="K8" i="60" s="1"/>
  <c r="K9" i="60" s="1"/>
  <c r="K10" i="60" s="1"/>
  <c r="K11" i="60" s="1"/>
  <c r="K12" i="60" s="1"/>
  <c r="K13" i="60" s="1"/>
  <c r="K14" i="60" s="1"/>
  <c r="K15" i="60" s="1"/>
  <c r="K16" i="60" s="1"/>
  <c r="K17" i="60" s="1"/>
  <c r="K18" i="60" s="1"/>
  <c r="K19" i="60" s="1"/>
  <c r="K20" i="60" s="1"/>
  <c r="K21" i="60" s="1"/>
  <c r="K22" i="60" s="1"/>
  <c r="K23" i="60" s="1"/>
  <c r="K24" i="60" s="1"/>
  <c r="K25" i="60" s="1"/>
  <c r="K26" i="60" s="1"/>
  <c r="K27" i="60" s="1"/>
  <c r="K28" i="60" s="1"/>
  <c r="K29" i="60" s="1"/>
  <c r="K30" i="60" s="1"/>
  <c r="K31" i="60" s="1"/>
  <c r="K32" i="60" s="1"/>
  <c r="K33" i="60" s="1"/>
  <c r="K34" i="60" s="1"/>
  <c r="K35" i="60" s="1"/>
  <c r="K36" i="60" s="1"/>
  <c r="K37" i="60" s="1"/>
  <c r="K38" i="60" s="1"/>
  <c r="K39" i="60" s="1"/>
  <c r="K40" i="60" s="1"/>
  <c r="K41" i="60" s="1"/>
  <c r="K42" i="60" s="1"/>
  <c r="K43" i="60" s="1"/>
  <c r="K44" i="60" s="1"/>
  <c r="K45" i="60" s="1"/>
  <c r="K46" i="60" s="1"/>
  <c r="K47" i="60" s="1"/>
  <c r="K48" i="60" s="1"/>
  <c r="K49" i="60" s="1"/>
  <c r="K50" i="60" s="1"/>
  <c r="K51" i="60" s="1"/>
  <c r="K52" i="60" s="1"/>
  <c r="K53" i="60" s="1"/>
  <c r="K54" i="60" s="1"/>
  <c r="K55" i="60" s="1"/>
  <c r="K56" i="60" s="1"/>
  <c r="K57" i="60" s="1"/>
  <c r="K58" i="60" s="1"/>
  <c r="K59" i="60" s="1"/>
  <c r="K60" i="60" s="1"/>
  <c r="K61" i="60" s="1"/>
  <c r="K62" i="60" s="1"/>
  <c r="K63" i="60" s="1"/>
  <c r="K64" i="60" s="1"/>
  <c r="K65" i="60" s="1"/>
  <c r="K66" i="60" s="1"/>
  <c r="K67" i="60" s="1"/>
  <c r="K68" i="60" s="1"/>
  <c r="K69" i="60" s="1"/>
  <c r="K70" i="60" s="1"/>
  <c r="K71" i="60" s="1"/>
  <c r="K72" i="60" s="1"/>
  <c r="K73" i="60" s="1"/>
  <c r="K74" i="60" s="1"/>
  <c r="K75" i="60" s="1"/>
  <c r="K76" i="60" s="1"/>
  <c r="K77" i="60" s="1"/>
  <c r="K78" i="60" s="1"/>
  <c r="K79" i="60" s="1"/>
  <c r="K80" i="60" s="1"/>
  <c r="K81" i="60" s="1"/>
  <c r="K82" i="60" s="1"/>
  <c r="K83" i="60" s="1"/>
  <c r="K84" i="60" s="1"/>
  <c r="K85" i="60" s="1"/>
  <c r="K86" i="60" s="1"/>
  <c r="K87" i="60" s="1"/>
  <c r="K88" i="60" s="1"/>
  <c r="K89" i="60" s="1"/>
  <c r="K90" i="60" s="1"/>
  <c r="K91" i="60" s="1"/>
  <c r="K92" i="60" s="1"/>
  <c r="K93" i="60" s="1"/>
  <c r="K94" i="60" s="1"/>
  <c r="K95" i="60" s="1"/>
  <c r="K96" i="60" s="1"/>
  <c r="K97" i="60" s="1"/>
  <c r="K98" i="60" s="1"/>
  <c r="K99" i="60" s="1"/>
  <c r="K100" i="60" s="1"/>
  <c r="K101" i="60" s="1"/>
  <c r="K102" i="60" s="1"/>
  <c r="K103" i="60" s="1"/>
  <c r="K104" i="60" s="1"/>
  <c r="K105" i="60" s="1"/>
  <c r="K106" i="60" s="1"/>
  <c r="K107" i="60" s="1"/>
  <c r="K108" i="60" s="1"/>
  <c r="K109" i="60" s="1"/>
  <c r="K110" i="60" s="1"/>
  <c r="K111" i="60" s="1"/>
  <c r="K112" i="60" s="1"/>
  <c r="K113" i="60" s="1"/>
  <c r="K114" i="60" s="1"/>
  <c r="K115" i="60" s="1"/>
  <c r="K116" i="60" s="1"/>
  <c r="K117" i="60" s="1"/>
  <c r="K118" i="60" s="1"/>
  <c r="K119" i="60" s="1"/>
  <c r="K120" i="60" s="1"/>
  <c r="K121" i="60" s="1"/>
  <c r="K122" i="60" s="1"/>
  <c r="K123" i="60" s="1"/>
  <c r="K124" i="60" s="1"/>
  <c r="K125" i="60" s="1"/>
  <c r="K126" i="60" s="1"/>
  <c r="K127" i="60" s="1"/>
  <c r="K128" i="60" s="1"/>
  <c r="K129" i="60" s="1"/>
  <c r="K130" i="60" s="1"/>
  <c r="K131" i="60" s="1"/>
  <c r="K132" i="60" s="1"/>
  <c r="K133" i="60" s="1"/>
  <c r="K134" i="60" s="1"/>
  <c r="K135" i="60" s="1"/>
  <c r="K136" i="60" s="1"/>
  <c r="K137" i="60" s="1"/>
  <c r="K138" i="60" s="1"/>
  <c r="K139" i="60" s="1"/>
  <c r="K140" i="60" s="1"/>
  <c r="K141" i="60" s="1"/>
  <c r="K142" i="60" s="1"/>
  <c r="K143" i="60" s="1"/>
  <c r="K144" i="60" s="1"/>
  <c r="K145" i="60" s="1"/>
  <c r="K146" i="60" s="1"/>
  <c r="K147" i="60" s="1"/>
  <c r="K148" i="60" s="1"/>
  <c r="K149" i="60" s="1"/>
  <c r="K150" i="60" s="1"/>
  <c r="K151" i="60" s="1"/>
  <c r="K152" i="60" s="1"/>
  <c r="K153" i="60" s="1"/>
  <c r="K154" i="60" s="1"/>
  <c r="K155" i="60" s="1"/>
  <c r="K156" i="60" s="1"/>
  <c r="K157" i="60" s="1"/>
  <c r="K158" i="60" s="1"/>
  <c r="K159" i="60" s="1"/>
  <c r="O58" i="60"/>
  <c r="C247" i="36"/>
  <c r="C248" i="36" s="1"/>
  <c r="C242" i="36"/>
  <c r="D242" i="36" s="1"/>
  <c r="C225" i="36"/>
  <c r="C226" i="36" s="1"/>
  <c r="C220" i="36"/>
  <c r="C205" i="36"/>
  <c r="C201" i="36"/>
  <c r="C197" i="36"/>
  <c r="C172" i="36" a="1"/>
  <c r="C172" i="36" s="1"/>
  <c r="C173" i="36" s="1"/>
  <c r="C150" i="36"/>
  <c r="C127" i="36" a="1"/>
  <c r="C127" i="36" s="1"/>
  <c r="D129" i="36"/>
  <c r="C111" i="36"/>
  <c r="D111" i="36"/>
  <c r="C92" i="36"/>
  <c r="C86" i="36" a="1"/>
  <c r="C86" i="36" s="1"/>
  <c r="C87" i="36" s="1"/>
  <c r="C69" i="36"/>
  <c r="C62" i="36"/>
  <c r="D62" i="36" s="1"/>
  <c r="D60" i="36"/>
  <c r="C54" i="36"/>
  <c r="C48" i="36"/>
  <c r="I32" i="36"/>
  <c r="H32" i="36"/>
  <c r="G32" i="36"/>
  <c r="D32" i="36"/>
  <c r="J31" i="36"/>
  <c r="J30" i="36"/>
  <c r="J29" i="36"/>
  <c r="D24" i="36"/>
  <c r="D25" i="36" s="1"/>
  <c r="E23" i="36"/>
  <c r="I16" i="36"/>
  <c r="H16" i="36"/>
  <c r="G16" i="36"/>
  <c r="J15" i="36"/>
  <c r="J14" i="36"/>
  <c r="J13" i="36"/>
  <c r="J12" i="36"/>
  <c r="J11" i="36"/>
  <c r="J10" i="36"/>
  <c r="J9" i="36"/>
  <c r="J8" i="36"/>
  <c r="J7" i="36"/>
  <c r="J6" i="36"/>
  <c r="J5" i="36"/>
  <c r="J4" i="36"/>
  <c r="J3" i="36"/>
  <c r="J2" i="36"/>
  <c r="K3" i="30"/>
  <c r="K4" i="30" s="1"/>
  <c r="C266" i="21"/>
  <c r="C264" i="21"/>
  <c r="C237" i="21"/>
  <c r="C233" i="21"/>
  <c r="C217" i="21"/>
  <c r="C213" i="21"/>
  <c r="C188" i="21" a="1"/>
  <c r="C188" i="21" s="1"/>
  <c r="C189" i="21" s="1"/>
  <c r="C131" i="21" a="1"/>
  <c r="C131" i="21"/>
  <c r="C132" i="21" s="1"/>
  <c r="C126" i="21"/>
  <c r="D126" i="21" s="1"/>
  <c r="C122" i="21"/>
  <c r="C103" i="21"/>
  <c r="C118" i="21" s="1"/>
  <c r="D118" i="21" s="1"/>
  <c r="C83" i="21" a="1"/>
  <c r="C83" i="21" s="1"/>
  <c r="C64" i="21"/>
  <c r="C53" i="21"/>
  <c r="C54" i="21" s="1"/>
  <c r="D24" i="21"/>
  <c r="C260" i="21"/>
  <c r="C48" i="21"/>
  <c r="D260" i="21"/>
  <c r="D122" i="21" a="1"/>
  <c r="D122" i="21" s="1"/>
  <c r="C60" i="21"/>
  <c r="J28" i="21"/>
  <c r="J27" i="21"/>
  <c r="J26" i="21"/>
  <c r="E22" i="21"/>
  <c r="I13" i="21"/>
  <c r="H13" i="21"/>
  <c r="G13" i="21"/>
  <c r="J12" i="21"/>
  <c r="J11" i="21"/>
  <c r="J10" i="21"/>
  <c r="J9" i="21"/>
  <c r="J8" i="21"/>
  <c r="J7" i="21"/>
  <c r="J6" i="21"/>
  <c r="J5" i="21"/>
  <c r="J4" i="21"/>
  <c r="J3" i="21"/>
  <c r="J2" i="21"/>
  <c r="I276" i="19"/>
  <c r="H276" i="19"/>
  <c r="C98" i="19"/>
  <c r="C100" i="19" s="1"/>
  <c r="E270" i="19" s="1"/>
  <c r="G236" i="19"/>
  <c r="G237" i="19"/>
  <c r="G238" i="19" s="1"/>
  <c r="G239" i="19" s="1"/>
  <c r="G240" i="19" s="1"/>
  <c r="F232" i="19"/>
  <c r="E232" i="19"/>
  <c r="I169" i="19"/>
  <c r="H169" i="19"/>
  <c r="F167" i="19"/>
  <c r="L7" i="19" s="1"/>
  <c r="E167" i="19"/>
  <c r="L2" i="19"/>
  <c r="L5" i="19"/>
  <c r="L9" i="19"/>
  <c r="C278" i="16"/>
  <c r="C279" i="16" s="1"/>
  <c r="D279" i="16" s="1"/>
  <c r="C281" i="16"/>
  <c r="C275" i="16"/>
  <c r="C252" i="16"/>
  <c r="C229" i="16"/>
  <c r="C171" i="16"/>
  <c r="C222" i="16"/>
  <c r="C224" i="16" s="1"/>
  <c r="C174" i="16"/>
  <c r="C110" i="16"/>
  <c r="C147" i="16"/>
  <c r="C148" i="16" s="1"/>
  <c r="C111" i="16"/>
  <c r="C101" i="16"/>
  <c r="C78" i="16"/>
  <c r="C79" i="16" s="1"/>
  <c r="C55" i="16"/>
  <c r="C50" i="16"/>
  <c r="D33" i="16"/>
  <c r="D27" i="16"/>
  <c r="C247" i="16"/>
  <c r="D275" i="16"/>
  <c r="D106" i="16"/>
  <c r="D103" i="16"/>
  <c r="C61" i="16"/>
  <c r="D61" i="16"/>
  <c r="D60" i="16" s="1"/>
  <c r="J32" i="16"/>
  <c r="J30" i="16"/>
  <c r="J29" i="16"/>
  <c r="E25" i="16"/>
  <c r="I20" i="16"/>
  <c r="H20" i="16"/>
  <c r="G20" i="16"/>
  <c r="G249" i="14"/>
  <c r="G250" i="14"/>
  <c r="G251" i="14" s="1"/>
  <c r="G252" i="14" s="1"/>
  <c r="G253" i="14" s="1"/>
  <c r="G254" i="14" s="1"/>
  <c r="G255" i="14" s="1"/>
  <c r="G256" i="14" s="1"/>
  <c r="G257" i="14" s="1"/>
  <c r="G258" i="14" s="1"/>
  <c r="G259" i="14" s="1"/>
  <c r="G260" i="14" s="1"/>
  <c r="C103" i="14"/>
  <c r="C78" i="14"/>
  <c r="C79" i="14" s="1"/>
  <c r="C290" i="17"/>
  <c r="D290" i="17" s="1"/>
  <c r="C284" i="17"/>
  <c r="C266" i="17"/>
  <c r="C262" i="17"/>
  <c r="C241" i="17"/>
  <c r="C237" i="17"/>
  <c r="C157" i="17" a="1"/>
  <c r="C157" i="17" s="1"/>
  <c r="C158" i="17" s="1"/>
  <c r="C151" i="17"/>
  <c r="C113" i="17" a="1"/>
  <c r="C113" i="17" s="1"/>
  <c r="C114" i="17" s="1"/>
  <c r="C106" i="17"/>
  <c r="D106" i="17" s="1"/>
  <c r="C88" i="17"/>
  <c r="C78" i="17" a="1"/>
  <c r="C78" i="17"/>
  <c r="C79" i="17" s="1"/>
  <c r="C51" i="17"/>
  <c r="C45" i="17"/>
  <c r="D28" i="17"/>
  <c r="D21" i="17"/>
  <c r="D284" i="17"/>
  <c r="D110" i="17"/>
  <c r="D108" i="17"/>
  <c r="C57" i="17"/>
  <c r="D57" i="17" s="1"/>
  <c r="D56" i="17"/>
  <c r="J27" i="17"/>
  <c r="J26" i="17"/>
  <c r="J25" i="17"/>
  <c r="J24" i="17"/>
  <c r="J23" i="17"/>
  <c r="E20" i="17"/>
  <c r="I15" i="17"/>
  <c r="I16" i="17"/>
  <c r="H15" i="17"/>
  <c r="G15" i="17"/>
  <c r="J14" i="17"/>
  <c r="J13" i="17"/>
  <c r="J12" i="17"/>
  <c r="J11" i="17"/>
  <c r="J10" i="17"/>
  <c r="J9" i="17"/>
  <c r="J8" i="17"/>
  <c r="J7" i="17"/>
  <c r="J6" i="17"/>
  <c r="J5" i="17"/>
  <c r="J4" i="17"/>
  <c r="J3" i="17"/>
  <c r="J2" i="17"/>
  <c r="M304" i="11"/>
  <c r="H304" i="11"/>
  <c r="F260" i="11"/>
  <c r="E260" i="11"/>
  <c r="E199" i="11"/>
  <c r="F199" i="11"/>
  <c r="H199" i="11"/>
  <c r="I199" i="11"/>
  <c r="M310" i="11"/>
  <c r="M306" i="11"/>
  <c r="M308" i="11"/>
  <c r="G263" i="11"/>
  <c r="G264" i="11" s="1"/>
  <c r="G265" i="11" s="1"/>
  <c r="G266" i="11" s="1"/>
  <c r="G267" i="11"/>
  <c r="G268" i="11" s="1"/>
  <c r="G269" i="11" s="1"/>
  <c r="G270" i="11" s="1"/>
  <c r="G271" i="11"/>
  <c r="G272" i="11" s="1"/>
  <c r="C221" i="27"/>
  <c r="D221" i="27" s="1"/>
  <c r="C217" i="27"/>
  <c r="C201" i="27"/>
  <c r="C196" i="27"/>
  <c r="C191" i="27"/>
  <c r="C176" i="27"/>
  <c r="H133" i="27"/>
  <c r="H114" i="27"/>
  <c r="C121" i="27"/>
  <c r="C122" i="27" s="1"/>
  <c r="C102" i="27"/>
  <c r="C103" i="27" s="1"/>
  <c r="C95" i="27"/>
  <c r="D95" i="27" s="1"/>
  <c r="H71" i="27"/>
  <c r="C82" i="27"/>
  <c r="C83" i="27" s="1"/>
  <c r="C67" i="27"/>
  <c r="C68" i="27" s="1"/>
  <c r="C50" i="27"/>
  <c r="C42" i="27"/>
  <c r="D30" i="27"/>
  <c r="D24" i="27"/>
  <c r="D220" i="27"/>
  <c r="D217" i="27"/>
  <c r="D55" i="27"/>
  <c r="D53" i="27"/>
  <c r="K29" i="27"/>
  <c r="K28" i="27"/>
  <c r="K27" i="27"/>
  <c r="K26" i="27"/>
  <c r="E23" i="27"/>
  <c r="J16" i="27"/>
  <c r="H16" i="27"/>
  <c r="K15" i="27"/>
  <c r="K14" i="27"/>
  <c r="K13" i="27"/>
  <c r="K12" i="27"/>
  <c r="K11" i="27"/>
  <c r="K10" i="27"/>
  <c r="K8" i="27"/>
  <c r="K7" i="27"/>
  <c r="K6" i="27"/>
  <c r="K5" i="27"/>
  <c r="K4" i="27"/>
  <c r="K3" i="27"/>
  <c r="K2" i="27"/>
  <c r="G197" i="22"/>
  <c r="G198" i="22" s="1"/>
  <c r="G199" i="22" s="1"/>
  <c r="G200" i="22" s="1"/>
  <c r="G201" i="22"/>
  <c r="G202" i="22" s="1"/>
  <c r="G203" i="22" s="1"/>
  <c r="G204" i="22" s="1"/>
  <c r="G205" i="22"/>
  <c r="C278" i="29"/>
  <c r="C268" i="29"/>
  <c r="D268" i="29" s="1"/>
  <c r="C250" i="29"/>
  <c r="C236" i="29"/>
  <c r="F278" i="29" s="1"/>
  <c r="C232" i="29"/>
  <c r="C215" i="29"/>
  <c r="C211" i="29"/>
  <c r="C207" i="29"/>
  <c r="C171" i="29"/>
  <c r="C172" i="29"/>
  <c r="C150" i="29"/>
  <c r="C132" i="29" a="1"/>
  <c r="C132" i="29" s="1"/>
  <c r="C133" i="29" s="1"/>
  <c r="C123" i="29"/>
  <c r="C109" i="29"/>
  <c r="C98" i="29" a="1"/>
  <c r="C98" i="29"/>
  <c r="C99" i="29" s="1"/>
  <c r="C63" i="29"/>
  <c r="C56" i="29"/>
  <c r="D34" i="29"/>
  <c r="D40" i="29"/>
  <c r="D128" i="29"/>
  <c r="D125" i="29"/>
  <c r="D123" i="29"/>
  <c r="D72" i="29" a="1"/>
  <c r="D72" i="29"/>
  <c r="C72" i="29"/>
  <c r="D70" i="29"/>
  <c r="J39" i="29"/>
  <c r="J38" i="29"/>
  <c r="J37" i="29"/>
  <c r="J36" i="29"/>
  <c r="E33" i="29"/>
  <c r="I18" i="29"/>
  <c r="H18" i="29"/>
  <c r="G18" i="29"/>
  <c r="J15" i="29"/>
  <c r="J14" i="29"/>
  <c r="J13" i="29"/>
  <c r="J12" i="29"/>
  <c r="J11" i="29"/>
  <c r="J10" i="29"/>
  <c r="J9" i="29"/>
  <c r="J8" i="29"/>
  <c r="J7" i="29"/>
  <c r="J6" i="29"/>
  <c r="J5" i="29"/>
  <c r="J4" i="29"/>
  <c r="J3" i="29"/>
  <c r="J2" i="29"/>
  <c r="L256" i="28"/>
  <c r="I256" i="28"/>
  <c r="H242" i="28"/>
  <c r="H256" i="28"/>
  <c r="F228" i="28"/>
  <c r="E228" i="28"/>
  <c r="H184" i="28"/>
  <c r="I184" i="28"/>
  <c r="F184" i="28"/>
  <c r="E184" i="28"/>
  <c r="L258" i="28"/>
  <c r="J242" i="28"/>
  <c r="J243" i="28"/>
  <c r="J244" i="28" s="1"/>
  <c r="J245" i="28" s="1"/>
  <c r="J246" i="28" s="1"/>
  <c r="J247" i="28"/>
  <c r="J248" i="28" s="1"/>
  <c r="J249" i="28" s="1"/>
  <c r="J250" i="28" s="1"/>
  <c r="J251" i="28" s="1"/>
  <c r="J252" i="28" s="1"/>
  <c r="J253" i="28" s="1"/>
  <c r="J254" i="28" s="1"/>
  <c r="J255" i="28" s="1"/>
  <c r="G258" i="28"/>
  <c r="G260" i="28" s="1"/>
  <c r="G238" i="28"/>
  <c r="G231" i="28"/>
  <c r="G232" i="28" s="1"/>
  <c r="G233" i="28" s="1"/>
  <c r="G234" i="28" s="1"/>
  <c r="J227" i="28"/>
  <c r="J187" i="28"/>
  <c r="J188" i="28"/>
  <c r="J189" i="28" s="1"/>
  <c r="J190" i="28" s="1"/>
  <c r="J191" i="28" s="1"/>
  <c r="J192" i="28" s="1"/>
  <c r="J193" i="28" s="1"/>
  <c r="J194" i="28" s="1"/>
  <c r="J195" i="28" s="1"/>
  <c r="J196" i="28" s="1"/>
  <c r="J197" i="28" s="1"/>
  <c r="J198" i="28" s="1"/>
  <c r="J199" i="28" s="1"/>
  <c r="J200" i="28" s="1"/>
  <c r="J201" i="28" s="1"/>
  <c r="J202" i="28" s="1"/>
  <c r="J203" i="28" s="1"/>
  <c r="J204" i="28" s="1"/>
  <c r="J205" i="28" s="1"/>
  <c r="J206" i="28" s="1"/>
  <c r="J207" i="28" s="1"/>
  <c r="J208" i="28" s="1"/>
  <c r="J209" i="28" s="1"/>
  <c r="J210" i="28" s="1"/>
  <c r="J211" i="28" s="1"/>
  <c r="J212" i="28" s="1"/>
  <c r="J213" i="28" s="1"/>
  <c r="J214" i="28" s="1"/>
  <c r="J215" i="28" s="1"/>
  <c r="J216" i="28" s="1"/>
  <c r="J217" i="28" s="1"/>
  <c r="J218" i="28" s="1"/>
  <c r="J219" i="28" s="1"/>
  <c r="J220" i="28" s="1"/>
  <c r="J221" i="28" s="1"/>
  <c r="J222" i="28" s="1"/>
  <c r="J223" i="28" s="1"/>
  <c r="J224" i="28" s="1"/>
  <c r="J225" i="28" s="1"/>
  <c r="J226" i="28" s="1"/>
  <c r="C247" i="139"/>
  <c r="C241" i="139"/>
  <c r="D241" i="139"/>
  <c r="C234" i="139"/>
  <c r="D234" i="139"/>
  <c r="C218" i="139"/>
  <c r="C211" i="139"/>
  <c r="C207" i="139"/>
  <c r="C189" i="139"/>
  <c r="C185" i="139"/>
  <c r="C152" i="139"/>
  <c r="G148" i="139"/>
  <c r="C148" i="139"/>
  <c r="C138" i="139"/>
  <c r="C132" i="139"/>
  <c r="D132" i="139" s="1"/>
  <c r="D127" i="139"/>
  <c r="D124" i="139"/>
  <c r="C122" i="139"/>
  <c r="D122" i="139" s="1"/>
  <c r="C106" i="139"/>
  <c r="G77" i="139"/>
  <c r="C87" i="139"/>
  <c r="C88" i="139" s="1"/>
  <c r="G78" i="139"/>
  <c r="C70" i="139"/>
  <c r="C64" i="139"/>
  <c r="C54" i="139"/>
  <c r="I37" i="139"/>
  <c r="D37" i="139"/>
  <c r="J35" i="139"/>
  <c r="J34" i="139"/>
  <c r="J33" i="139"/>
  <c r="J32" i="139"/>
  <c r="J31" i="139"/>
  <c r="D29" i="139"/>
  <c r="E27" i="139"/>
  <c r="I21" i="139"/>
  <c r="H21" i="139"/>
  <c r="G5" i="139"/>
  <c r="G21" i="139"/>
  <c r="J20" i="139"/>
  <c r="J19" i="139"/>
  <c r="J18" i="139"/>
  <c r="J17" i="139"/>
  <c r="J16" i="139"/>
  <c r="J15" i="139"/>
  <c r="J14" i="139"/>
  <c r="J13" i="139"/>
  <c r="J11" i="139"/>
  <c r="J10" i="139"/>
  <c r="J9" i="139"/>
  <c r="J8" i="139"/>
  <c r="J7" i="139"/>
  <c r="J6" i="139"/>
  <c r="J5" i="139"/>
  <c r="J4" i="139"/>
  <c r="J3" i="139"/>
  <c r="J2" i="139"/>
  <c r="G214" i="138"/>
  <c r="G215" i="138"/>
  <c r="G216" i="138" s="1"/>
  <c r="G217" i="138"/>
  <c r="G218" i="138" s="1"/>
  <c r="L3" i="138"/>
  <c r="L4" i="138" s="1"/>
  <c r="L5" i="138"/>
  <c r="L6" i="138" s="1"/>
  <c r="L7" i="138"/>
  <c r="L8" i="138" s="1"/>
  <c r="L9" i="138"/>
  <c r="L10" i="138" s="1"/>
  <c r="L11" i="138" s="1"/>
  <c r="L12" i="138" s="1"/>
  <c r="L13" i="138" s="1"/>
  <c r="L14" i="138" s="1"/>
  <c r="L15" i="138" s="1"/>
  <c r="L16" i="138" s="1"/>
  <c r="L17" i="138" s="1"/>
  <c r="L18" i="138" s="1"/>
  <c r="L19" i="138" s="1"/>
  <c r="L20" i="138" s="1"/>
  <c r="L21" i="138" s="1"/>
  <c r="L22" i="138" s="1"/>
  <c r="L23" i="138" s="1"/>
  <c r="L24" i="138" s="1"/>
  <c r="L25" i="138" s="1"/>
  <c r="L26" i="138" s="1"/>
  <c r="L27" i="138" s="1"/>
  <c r="L28" i="138" s="1"/>
  <c r="L29" i="138" s="1"/>
  <c r="L30" i="138" s="1"/>
  <c r="L31" i="138" s="1"/>
  <c r="L32" i="138" s="1"/>
  <c r="L33" i="138" s="1"/>
  <c r="L34" i="138" s="1"/>
  <c r="L35" i="138" s="1"/>
  <c r="L36" i="138" s="1"/>
  <c r="L37" i="138" s="1"/>
  <c r="L38" i="138" s="1"/>
  <c r="L39" i="138" s="1"/>
  <c r="L40" i="138" s="1"/>
  <c r="L41" i="138" s="1"/>
  <c r="L42" i="138" s="1"/>
  <c r="L43" i="138" s="1"/>
  <c r="L44" i="138" s="1"/>
  <c r="L45" i="138" s="1"/>
  <c r="L46" i="138" s="1"/>
  <c r="L47" i="138" s="1"/>
  <c r="L48" i="138" s="1"/>
  <c r="L49" i="138" s="1"/>
  <c r="L50" i="138" s="1"/>
  <c r="L51" i="138" s="1"/>
  <c r="L52" i="138" s="1"/>
  <c r="L53" i="138" s="1"/>
  <c r="L54" i="138" s="1"/>
  <c r="L55" i="138" s="1"/>
  <c r="L56" i="138" s="1"/>
  <c r="L57" i="138" s="1"/>
  <c r="L58" i="138" s="1"/>
  <c r="L59" i="138" s="1"/>
  <c r="L60" i="138" s="1"/>
  <c r="L61" i="138" s="1"/>
  <c r="L62" i="138" s="1"/>
  <c r="L63" i="138" s="1"/>
  <c r="L64" i="138" s="1"/>
  <c r="L65" i="138" s="1"/>
  <c r="L66" i="138" s="1"/>
  <c r="L67" i="138" s="1"/>
  <c r="L68" i="138" s="1"/>
  <c r="L69" i="138" s="1"/>
  <c r="L70" i="138" s="1"/>
  <c r="L71" i="138" s="1"/>
  <c r="L72" i="138" s="1"/>
  <c r="L73" i="138" s="1"/>
  <c r="L74" i="138" s="1"/>
  <c r="L75" i="138" s="1"/>
  <c r="L76" i="138" s="1"/>
  <c r="L77" i="138" s="1"/>
  <c r="L78" i="138" s="1"/>
  <c r="L79" i="138" s="1"/>
  <c r="L80" i="138" s="1"/>
  <c r="L81" i="138" s="1"/>
  <c r="L82" i="138" s="1"/>
  <c r="L83" i="138" s="1"/>
  <c r="L84" i="138" s="1"/>
  <c r="L85" i="138" s="1"/>
  <c r="L86" i="138" s="1"/>
  <c r="L87" i="138" s="1"/>
  <c r="L88" i="138" s="1"/>
  <c r="L89" i="138" s="1"/>
  <c r="L90" i="138" s="1"/>
  <c r="L91" i="138" s="1"/>
  <c r="L92" i="138" s="1"/>
  <c r="L93" i="138" s="1"/>
  <c r="L94" i="138" s="1"/>
  <c r="L95" i="138" s="1"/>
  <c r="L96" i="138" s="1"/>
  <c r="L97" i="138" s="1"/>
  <c r="L98" i="138" s="1"/>
  <c r="L99" i="138" s="1"/>
  <c r="L100" i="138" s="1"/>
  <c r="L101" i="138" s="1"/>
  <c r="L102" i="138" s="1"/>
  <c r="L103" i="138" s="1"/>
  <c r="L104" i="138" s="1"/>
  <c r="L105" i="138" s="1"/>
  <c r="L106" i="138" s="1"/>
  <c r="L107" i="138" s="1"/>
  <c r="L108" i="138" s="1"/>
  <c r="L109" i="138" s="1"/>
  <c r="L110" i="138" s="1"/>
  <c r="L111" i="138" s="1"/>
  <c r="L112" i="138" s="1"/>
  <c r="L113" i="138" s="1"/>
  <c r="L114" i="138" s="1"/>
  <c r="L115" i="138" s="1"/>
  <c r="L116" i="138" s="1"/>
  <c r="L117" i="138" s="1"/>
  <c r="L118" i="138" s="1"/>
  <c r="L119" i="138" s="1"/>
  <c r="L120" i="138" s="1"/>
  <c r="L121" i="138" s="1"/>
  <c r="L122" i="138" s="1"/>
  <c r="L123" i="138" s="1"/>
  <c r="L124" i="138" s="1"/>
  <c r="L125" i="138" s="1"/>
  <c r="L126" i="138" s="1"/>
  <c r="L127" i="138" s="1"/>
  <c r="L128" i="138" s="1"/>
  <c r="L129" i="138" s="1"/>
  <c r="L130" i="138" s="1"/>
  <c r="L131" i="138" s="1"/>
  <c r="L132" i="138" s="1"/>
  <c r="L133" i="138" s="1"/>
  <c r="L134" i="138" s="1"/>
  <c r="L135" i="138" s="1"/>
  <c r="L136" i="138" s="1"/>
  <c r="L137" i="138" s="1"/>
  <c r="L138" i="138" s="1"/>
  <c r="L139" i="138" s="1"/>
  <c r="L140" i="138" s="1"/>
  <c r="L141" i="138" s="1"/>
  <c r="L142" i="138" s="1"/>
  <c r="L143" i="138" s="1"/>
  <c r="L144" i="138" s="1"/>
  <c r="L145" i="138" s="1"/>
  <c r="L146" i="138" s="1"/>
  <c r="L147" i="138" s="1"/>
  <c r="L148" i="138" s="1"/>
  <c r="L149" i="138" s="1"/>
  <c r="L150" i="138" s="1"/>
  <c r="L151" i="138" s="1"/>
  <c r="L152" i="138" s="1"/>
  <c r="L153" i="138" s="1"/>
  <c r="L154" i="138" s="1"/>
  <c r="L155" i="138" s="1"/>
  <c r="L156" i="138" s="1"/>
  <c r="L157" i="138" s="1"/>
  <c r="C100" i="137"/>
  <c r="C211" i="135"/>
  <c r="D211" i="135" s="1"/>
  <c r="C207" i="135"/>
  <c r="D207" i="135" s="1"/>
  <c r="C198" i="135"/>
  <c r="C192" i="135"/>
  <c r="C174" i="135"/>
  <c r="C170" i="135"/>
  <c r="C153" i="135"/>
  <c r="G144" i="135"/>
  <c r="C142" i="135"/>
  <c r="C133" i="135"/>
  <c r="C125" i="135"/>
  <c r="D125" i="135"/>
  <c r="C114" i="135"/>
  <c r="D114" i="135" s="1"/>
  <c r="C100" i="135"/>
  <c r="C90" i="135"/>
  <c r="G82" i="135"/>
  <c r="C71" i="135"/>
  <c r="D71" i="135"/>
  <c r="D70" i="135"/>
  <c r="C61" i="135"/>
  <c r="C54" i="135"/>
  <c r="I38" i="135"/>
  <c r="H38" i="135"/>
  <c r="G18" i="135"/>
  <c r="G38" i="135" s="1"/>
  <c r="D38" i="135"/>
  <c r="J36" i="135"/>
  <c r="J35" i="135"/>
  <c r="J34" i="135"/>
  <c r="J33" i="135"/>
  <c r="D31" i="135"/>
  <c r="E29" i="135"/>
  <c r="I18" i="135"/>
  <c r="J17" i="135"/>
  <c r="J16" i="135"/>
  <c r="J15" i="135"/>
  <c r="J14" i="135"/>
  <c r="J13" i="135"/>
  <c r="J12" i="135"/>
  <c r="J10" i="135"/>
  <c r="J9" i="135"/>
  <c r="J8" i="135"/>
  <c r="J7" i="135"/>
  <c r="J6" i="135"/>
  <c r="J5" i="135"/>
  <c r="J4" i="135"/>
  <c r="J3" i="135"/>
  <c r="G196" i="134"/>
  <c r="G197" i="134" s="1"/>
  <c r="C230" i="133"/>
  <c r="C226" i="133"/>
  <c r="C218" i="133"/>
  <c r="D218" i="133" s="1"/>
  <c r="C212" i="133"/>
  <c r="D212" i="133"/>
  <c r="C201" i="133"/>
  <c r="C195" i="133"/>
  <c r="C190" i="133"/>
  <c r="C170" i="133"/>
  <c r="C166" i="133"/>
  <c r="C148" i="133"/>
  <c r="G147" i="133"/>
  <c r="C128" i="133" s="1"/>
  <c r="C129" i="133" s="1"/>
  <c r="C141" i="133"/>
  <c r="C142" i="133" s="1"/>
  <c r="C122" i="133"/>
  <c r="D122" i="133" s="1"/>
  <c r="G88" i="133"/>
  <c r="C107" i="133"/>
  <c r="C108" i="133"/>
  <c r="F97" i="133"/>
  <c r="C90" i="133"/>
  <c r="C91" i="133"/>
  <c r="C69" i="133"/>
  <c r="C59" i="133"/>
  <c r="C53" i="133"/>
  <c r="I38" i="133"/>
  <c r="H38" i="133"/>
  <c r="G38" i="133"/>
  <c r="D38" i="133"/>
  <c r="J36" i="133"/>
  <c r="J35" i="133"/>
  <c r="J34" i="133"/>
  <c r="D32" i="133"/>
  <c r="E30" i="133"/>
  <c r="I17" i="133"/>
  <c r="G17" i="133"/>
  <c r="J15" i="133"/>
  <c r="J14" i="133"/>
  <c r="J13" i="133"/>
  <c r="J12" i="133"/>
  <c r="J11" i="133"/>
  <c r="J9" i="133"/>
  <c r="J8" i="133"/>
  <c r="J7" i="133"/>
  <c r="J6" i="133"/>
  <c r="J5" i="133"/>
  <c r="J4" i="133"/>
  <c r="J3" i="133"/>
  <c r="C288" i="131"/>
  <c r="C281" i="131"/>
  <c r="D281" i="131" s="1"/>
  <c r="C277" i="131"/>
  <c r="D277" i="131" s="1"/>
  <c r="C253" i="131"/>
  <c r="C244" i="131"/>
  <c r="C239" i="131"/>
  <c r="D239" i="131" s="1"/>
  <c r="C218" i="131"/>
  <c r="C214" i="131"/>
  <c r="C194" i="131"/>
  <c r="C166" i="131"/>
  <c r="C156" i="131"/>
  <c r="C150" i="131"/>
  <c r="C142" i="131"/>
  <c r="C130" i="131"/>
  <c r="D130" i="131"/>
  <c r="D126" i="131"/>
  <c r="C124" i="131"/>
  <c r="D124" i="131" s="1"/>
  <c r="C107" i="131"/>
  <c r="C94" i="131"/>
  <c r="D72" i="131"/>
  <c r="D71" i="131" s="1"/>
  <c r="C60" i="131"/>
  <c r="C53" i="131"/>
  <c r="D34" i="131"/>
  <c r="I29" i="131"/>
  <c r="I33" i="131"/>
  <c r="H33" i="131"/>
  <c r="G33" i="131"/>
  <c r="J32" i="131"/>
  <c r="J31" i="131"/>
  <c r="J30" i="131"/>
  <c r="J29" i="131"/>
  <c r="D27" i="131"/>
  <c r="E25" i="131"/>
  <c r="I19" i="131"/>
  <c r="G19" i="131"/>
  <c r="J17" i="131"/>
  <c r="J16" i="131"/>
  <c r="J15" i="131"/>
  <c r="J14" i="131"/>
  <c r="J13" i="131"/>
  <c r="J12" i="131"/>
  <c r="J11" i="131"/>
  <c r="J9" i="131"/>
  <c r="J8" i="131"/>
  <c r="J7" i="131"/>
  <c r="J6" i="131"/>
  <c r="J5" i="131"/>
  <c r="J4" i="131"/>
  <c r="J3" i="131"/>
  <c r="L268" i="130"/>
  <c r="L269" i="130" s="1"/>
  <c r="L270" i="130" s="1"/>
  <c r="L271" i="130" s="1"/>
  <c r="L272" i="130" s="1"/>
  <c r="L273" i="130" s="1"/>
  <c r="L274" i="130" s="1"/>
  <c r="L275" i="130" s="1"/>
  <c r="L276" i="130" s="1"/>
  <c r="L277" i="130" s="1"/>
  <c r="L278" i="130" s="1"/>
  <c r="L279" i="130" s="1"/>
  <c r="L280" i="130" s="1"/>
  <c r="L281" i="130" s="1"/>
  <c r="L282" i="130" s="1"/>
  <c r="L283" i="130" s="1"/>
  <c r="L284" i="130" s="1"/>
  <c r="L285" i="130" s="1"/>
  <c r="L286" i="130" s="1"/>
  <c r="L287" i="130" s="1"/>
  <c r="L288" i="130" s="1"/>
  <c r="L289" i="130" s="1"/>
  <c r="L290" i="130" s="1"/>
  <c r="L291" i="130" s="1"/>
  <c r="L292" i="130" s="1"/>
  <c r="L293" i="130" s="1"/>
  <c r="L294" i="130" s="1"/>
  <c r="L295" i="130" s="1"/>
  <c r="L296" i="130" s="1"/>
  <c r="L297" i="130" s="1"/>
  <c r="L298" i="130" s="1"/>
  <c r="L299" i="130" s="1"/>
  <c r="L300" i="130" s="1"/>
  <c r="L301" i="130" s="1"/>
  <c r="L302" i="130" s="1"/>
  <c r="L303" i="130" s="1"/>
  <c r="L192" i="130"/>
  <c r="L193" i="130"/>
  <c r="L194" i="130" s="1"/>
  <c r="L195" i="130" s="1"/>
  <c r="L196" i="130"/>
  <c r="L197" i="130" s="1"/>
  <c r="L198" i="130" s="1"/>
  <c r="L199" i="130" s="1"/>
  <c r="L200" i="130" s="1"/>
  <c r="L201" i="130" s="1"/>
  <c r="L202" i="130" s="1"/>
  <c r="L203" i="130" s="1"/>
  <c r="L204" i="130" s="1"/>
  <c r="L205" i="130" s="1"/>
  <c r="L206" i="130" s="1"/>
  <c r="L207" i="130" s="1"/>
  <c r="L208" i="130" s="1"/>
  <c r="L209" i="130" s="1"/>
  <c r="L210" i="130" s="1"/>
  <c r="L211" i="130" s="1"/>
  <c r="L212" i="130" s="1"/>
  <c r="L213" i="130" s="1"/>
  <c r="L214" i="130" s="1"/>
  <c r="L215" i="130" s="1"/>
  <c r="L216" i="130" s="1"/>
  <c r="L217" i="130" s="1"/>
  <c r="L218" i="130" s="1"/>
  <c r="L219" i="130" s="1"/>
  <c r="L220" i="130" s="1"/>
  <c r="L221" i="130" s="1"/>
  <c r="L222" i="130" s="1"/>
  <c r="L223" i="130" s="1"/>
  <c r="L224" i="130" s="1"/>
  <c r="L225" i="130" s="1"/>
  <c r="L226" i="130" s="1"/>
  <c r="L227" i="130" s="1"/>
  <c r="L228" i="130" s="1"/>
  <c r="L229" i="130" s="1"/>
  <c r="L230" i="130" s="1"/>
  <c r="L231" i="130" s="1"/>
  <c r="L232" i="130" s="1"/>
  <c r="L233" i="130" s="1"/>
  <c r="L234" i="130" s="1"/>
  <c r="L235" i="130" s="1"/>
  <c r="L236" i="130" s="1"/>
  <c r="L237" i="130" s="1"/>
  <c r="L238" i="130" s="1"/>
  <c r="L239" i="130" s="1"/>
  <c r="L240" i="130" s="1"/>
  <c r="L241" i="130" s="1"/>
  <c r="L242" i="130" s="1"/>
  <c r="L243" i="130" s="1"/>
  <c r="L244" i="130" s="1"/>
  <c r="L245" i="130" s="1"/>
  <c r="L246" i="130" s="1"/>
  <c r="L247" i="130" s="1"/>
  <c r="L248" i="130" s="1"/>
  <c r="L249" i="130" s="1"/>
  <c r="L250" i="130" s="1"/>
  <c r="L251" i="130" s="1"/>
  <c r="L252" i="130" s="1"/>
  <c r="L253" i="130" s="1"/>
  <c r="L254" i="130" s="1"/>
  <c r="L255" i="130" s="1"/>
  <c r="L256" i="130" s="1"/>
  <c r="L3" i="130"/>
  <c r="L4" i="130" s="1"/>
  <c r="L5" i="130"/>
  <c r="L6" i="130"/>
  <c r="L7" i="130" s="1"/>
  <c r="L8" i="130" s="1"/>
  <c r="L9" i="130" s="1"/>
  <c r="L10" i="130" s="1"/>
  <c r="L11" i="130" s="1"/>
  <c r="L12" i="130" s="1"/>
  <c r="L13" i="130" s="1"/>
  <c r="L14" i="130" s="1"/>
  <c r="L15" i="130" s="1"/>
  <c r="L16" i="130" s="1"/>
  <c r="L17" i="130" s="1"/>
  <c r="L18" i="130" s="1"/>
  <c r="L19" i="130" s="1"/>
  <c r="L20" i="130" s="1"/>
  <c r="L21" i="130" s="1"/>
  <c r="L22" i="130" s="1"/>
  <c r="L23" i="130" s="1"/>
  <c r="L24" i="130" s="1"/>
  <c r="L25" i="130" s="1"/>
  <c r="L26" i="130" s="1"/>
  <c r="L27" i="130" s="1"/>
  <c r="L28" i="130" s="1"/>
  <c r="L29" i="130" s="1"/>
  <c r="L30" i="130" s="1"/>
  <c r="L31" i="130" s="1"/>
  <c r="L32" i="130" s="1"/>
  <c r="L33" i="130" s="1"/>
  <c r="L34" i="130" s="1"/>
  <c r="L35" i="130" s="1"/>
  <c r="L36" i="130" s="1"/>
  <c r="L37" i="130" s="1"/>
  <c r="L38" i="130" s="1"/>
  <c r="L39" i="130" s="1"/>
  <c r="L40" i="130" s="1"/>
  <c r="L41" i="130" s="1"/>
  <c r="L42" i="130" s="1"/>
  <c r="L43" i="130" s="1"/>
  <c r="L44" i="130" s="1"/>
  <c r="L45" i="130" s="1"/>
  <c r="L46" i="130" s="1"/>
  <c r="L47" i="130" s="1"/>
  <c r="L48" i="130" s="1"/>
  <c r="L49" i="130" s="1"/>
  <c r="L50" i="130" s="1"/>
  <c r="L51" i="130" s="1"/>
  <c r="L52" i="130" s="1"/>
  <c r="L53" i="130" s="1"/>
  <c r="L54" i="130" s="1"/>
  <c r="L55" i="130" s="1"/>
  <c r="L56" i="130" s="1"/>
  <c r="L57" i="130" s="1"/>
  <c r="L58" i="130" s="1"/>
  <c r="L59" i="130" s="1"/>
  <c r="L60" i="130" s="1"/>
  <c r="L61" i="130" s="1"/>
  <c r="L62" i="130" s="1"/>
  <c r="L63" i="130" s="1"/>
  <c r="L64" i="130" s="1"/>
  <c r="L65" i="130" s="1"/>
  <c r="L66" i="130" s="1"/>
  <c r="L67" i="130" s="1"/>
  <c r="L68" i="130" s="1"/>
  <c r="L69" i="130" s="1"/>
  <c r="L70" i="130" s="1"/>
  <c r="L71" i="130" s="1"/>
  <c r="L72" i="130" s="1"/>
  <c r="L73" i="130" s="1"/>
  <c r="L74" i="130" s="1"/>
  <c r="L75" i="130" s="1"/>
  <c r="L76" i="130" s="1"/>
  <c r="L77" i="130" s="1"/>
  <c r="L78" i="130" s="1"/>
  <c r="L79" i="130" s="1"/>
  <c r="L80" i="130" s="1"/>
  <c r="L81" i="130" s="1"/>
  <c r="L82" i="130" s="1"/>
  <c r="L83" i="130" s="1"/>
  <c r="L84" i="130" s="1"/>
  <c r="L85" i="130" s="1"/>
  <c r="L86" i="130" s="1"/>
  <c r="L87" i="130" s="1"/>
  <c r="L88" i="130" s="1"/>
  <c r="L89" i="130" s="1"/>
  <c r="L90" i="130" s="1"/>
  <c r="L91" i="130" s="1"/>
  <c r="L92" i="130" s="1"/>
  <c r="L93" i="130" s="1"/>
  <c r="L94" i="130" s="1"/>
  <c r="L95" i="130" s="1"/>
  <c r="L96" i="130" s="1"/>
  <c r="L97" i="130" s="1"/>
  <c r="L98" i="130" s="1"/>
  <c r="L99" i="130" s="1"/>
  <c r="L100" i="130" s="1"/>
  <c r="L101" i="130" s="1"/>
  <c r="L102" i="130" s="1"/>
  <c r="L103" i="130" s="1"/>
  <c r="L104" i="130" s="1"/>
  <c r="L105" i="130" s="1"/>
  <c r="L106" i="130" s="1"/>
  <c r="L107" i="130" s="1"/>
  <c r="L108" i="130" s="1"/>
  <c r="L109" i="130" s="1"/>
  <c r="L110" i="130" s="1"/>
  <c r="L111" i="130" s="1"/>
  <c r="L112" i="130" s="1"/>
  <c r="L113" i="130" s="1"/>
  <c r="L114" i="130" s="1"/>
  <c r="L115" i="130" s="1"/>
  <c r="L116" i="130" s="1"/>
  <c r="L117" i="130" s="1"/>
  <c r="L118" i="130" s="1"/>
  <c r="L119" i="130" s="1"/>
  <c r="L120" i="130" s="1"/>
  <c r="L121" i="130" s="1"/>
  <c r="L122" i="130" s="1"/>
  <c r="L123" i="130" s="1"/>
  <c r="L124" i="130" s="1"/>
  <c r="L125" i="130" s="1"/>
  <c r="L126" i="130" s="1"/>
  <c r="L127" i="130" s="1"/>
  <c r="L128" i="130" s="1"/>
  <c r="L129" i="130" s="1"/>
  <c r="L130" i="130" s="1"/>
  <c r="L131" i="130" s="1"/>
  <c r="L132" i="130" s="1"/>
  <c r="L133" i="130" s="1"/>
  <c r="L134" i="130" s="1"/>
  <c r="L135" i="130" s="1"/>
  <c r="L136" i="130" s="1"/>
  <c r="L137" i="130" s="1"/>
  <c r="L138" i="130" s="1"/>
  <c r="L139" i="130" s="1"/>
  <c r="L140" i="130" s="1"/>
  <c r="L141" i="130" s="1"/>
  <c r="L142" i="130" s="1"/>
  <c r="L143" i="130" s="1"/>
  <c r="L144" i="130" s="1"/>
  <c r="L145" i="130" s="1"/>
  <c r="L146" i="130" s="1"/>
  <c r="L147" i="130" s="1"/>
  <c r="L148" i="130" s="1"/>
  <c r="L149" i="130" s="1"/>
  <c r="L150" i="130" s="1"/>
  <c r="L151" i="130" s="1"/>
  <c r="L152" i="130" s="1"/>
  <c r="L153" i="130" s="1"/>
  <c r="L154" i="130" s="1"/>
  <c r="L155" i="130" s="1"/>
  <c r="L156" i="130" s="1"/>
  <c r="L157" i="130" s="1"/>
  <c r="L158" i="130" s="1"/>
  <c r="L159" i="130" s="1"/>
  <c r="L160" i="130" s="1"/>
  <c r="L161" i="130" s="1"/>
  <c r="L162" i="130" s="1"/>
  <c r="L163" i="130" s="1"/>
  <c r="L164" i="130" s="1"/>
  <c r="L165" i="130" s="1"/>
  <c r="L166" i="130" s="1"/>
  <c r="L167" i="130" s="1"/>
  <c r="L168" i="130" s="1"/>
  <c r="L169" i="130" s="1"/>
  <c r="L170" i="130" s="1"/>
  <c r="L171" i="130" s="1"/>
  <c r="L172" i="130" s="1"/>
  <c r="L173" i="130" s="1"/>
  <c r="L174" i="130" s="1"/>
  <c r="L175" i="130" s="1"/>
  <c r="L176" i="130" s="1"/>
  <c r="L177" i="130" s="1"/>
  <c r="L178" i="130" s="1"/>
  <c r="L179" i="130" s="1"/>
  <c r="L180" i="130" s="1"/>
  <c r="L181" i="130" s="1"/>
  <c r="L182" i="130" s="1"/>
  <c r="L183" i="130" s="1"/>
  <c r="L184" i="130" s="1"/>
  <c r="L185" i="130" s="1"/>
  <c r="L186" i="130" s="1"/>
  <c r="L187" i="130" s="1"/>
  <c r="L188" i="130" s="1"/>
  <c r="L189" i="130" s="1"/>
  <c r="K3" i="130"/>
  <c r="K4" i="130" s="1"/>
  <c r="K5" i="130" s="1"/>
  <c r="K6" i="130" s="1"/>
  <c r="K7" i="130" s="1"/>
  <c r="K8" i="130" s="1"/>
  <c r="K9" i="130" s="1"/>
  <c r="K10" i="130" s="1"/>
  <c r="K11" i="130" s="1"/>
  <c r="K12" i="130" s="1"/>
  <c r="K13" i="130" s="1"/>
  <c r="K14" i="130" s="1"/>
  <c r="K15" i="130" s="1"/>
  <c r="K16" i="130" s="1"/>
  <c r="K17" i="130" s="1"/>
  <c r="K18" i="130" s="1"/>
  <c r="K19" i="130" s="1"/>
  <c r="K20" i="130" s="1"/>
  <c r="K21" i="130" s="1"/>
  <c r="K22" i="130" s="1"/>
  <c r="K23" i="130" s="1"/>
  <c r="K24" i="130" s="1"/>
  <c r="K25" i="130" s="1"/>
  <c r="K26" i="130" s="1"/>
  <c r="K27" i="130" s="1"/>
  <c r="K28" i="130" s="1"/>
  <c r="K29" i="130" s="1"/>
  <c r="K30" i="130" s="1"/>
  <c r="K31" i="130" s="1"/>
  <c r="K32" i="130" s="1"/>
  <c r="K33" i="130" s="1"/>
  <c r="K34" i="130" s="1"/>
  <c r="K35" i="130" s="1"/>
  <c r="K36" i="130" s="1"/>
  <c r="K37" i="130" s="1"/>
  <c r="K38" i="130" s="1"/>
  <c r="K39" i="130" s="1"/>
  <c r="K40" i="130" s="1"/>
  <c r="K41" i="130" s="1"/>
  <c r="K42" i="130" s="1"/>
  <c r="K43" i="130" s="1"/>
  <c r="K44" i="130" s="1"/>
  <c r="K45" i="130" s="1"/>
  <c r="K46" i="130" s="1"/>
  <c r="K47" i="130" s="1"/>
  <c r="K48" i="130" s="1"/>
  <c r="K49" i="130" s="1"/>
  <c r="K50" i="130" s="1"/>
  <c r="K51" i="130" s="1"/>
  <c r="K52" i="130" s="1"/>
  <c r="K53" i="130" s="1"/>
  <c r="K54" i="130" s="1"/>
  <c r="K55" i="130" s="1"/>
  <c r="K56" i="130" s="1"/>
  <c r="K57" i="130" s="1"/>
  <c r="K58" i="130" s="1"/>
  <c r="K59" i="130" s="1"/>
  <c r="K60" i="130" s="1"/>
  <c r="K61" i="130" s="1"/>
  <c r="K62" i="130" s="1"/>
  <c r="K63" i="130" s="1"/>
  <c r="K64" i="130" s="1"/>
  <c r="K65" i="130" s="1"/>
  <c r="K66" i="130" s="1"/>
  <c r="K67" i="130" s="1"/>
  <c r="K68" i="130" s="1"/>
  <c r="K69" i="130" s="1"/>
  <c r="K70" i="130" s="1"/>
  <c r="K71" i="130" s="1"/>
  <c r="K72" i="130" s="1"/>
  <c r="K73" i="130" s="1"/>
  <c r="K74" i="130" s="1"/>
  <c r="K75" i="130" s="1"/>
  <c r="K76" i="130" s="1"/>
  <c r="K77" i="130" s="1"/>
  <c r="K78" i="130" s="1"/>
  <c r="K79" i="130" s="1"/>
  <c r="K80" i="130" s="1"/>
  <c r="K81" i="130" s="1"/>
  <c r="K82" i="130" s="1"/>
  <c r="K83" i="130" s="1"/>
  <c r="K84" i="130" s="1"/>
  <c r="K85" i="130" s="1"/>
  <c r="K86" i="130" s="1"/>
  <c r="K87" i="130" s="1"/>
  <c r="K88" i="130" s="1"/>
  <c r="K89" i="130" s="1"/>
  <c r="K90" i="130" s="1"/>
  <c r="K91" i="130" s="1"/>
  <c r="K92" i="130" s="1"/>
  <c r="K93" i="130" s="1"/>
  <c r="K94" i="130" s="1"/>
  <c r="K95" i="130" s="1"/>
  <c r="K96" i="130" s="1"/>
  <c r="K97" i="130" s="1"/>
  <c r="K98" i="130" s="1"/>
  <c r="K99" i="130" s="1"/>
  <c r="K100" i="130" s="1"/>
  <c r="K101" i="130" s="1"/>
  <c r="K102" i="130" s="1"/>
  <c r="K103" i="130" s="1"/>
  <c r="K104" i="130" s="1"/>
  <c r="K105" i="130" s="1"/>
  <c r="K106" i="130" s="1"/>
  <c r="K107" i="130" s="1"/>
  <c r="K108" i="130" s="1"/>
  <c r="K109" i="130" s="1"/>
  <c r="K110" i="130" s="1"/>
  <c r="K111" i="130" s="1"/>
  <c r="K112" i="130" s="1"/>
  <c r="K113" i="130" s="1"/>
  <c r="K114" i="130" s="1"/>
  <c r="K115" i="130" s="1"/>
  <c r="K116" i="130" s="1"/>
  <c r="K117" i="130" s="1"/>
  <c r="K118" i="130" s="1"/>
  <c r="K119" i="130" s="1"/>
  <c r="K120" i="130" s="1"/>
  <c r="K121" i="130" s="1"/>
  <c r="K122" i="130" s="1"/>
  <c r="K123" i="130" s="1"/>
  <c r="K124" i="130" s="1"/>
  <c r="K125" i="130" s="1"/>
  <c r="K126" i="130" s="1"/>
  <c r="K127" i="130" s="1"/>
  <c r="K128" i="130" s="1"/>
  <c r="K129" i="130" s="1"/>
  <c r="K130" i="130" s="1"/>
  <c r="K131" i="130" s="1"/>
  <c r="K132" i="130" s="1"/>
  <c r="K133" i="130" s="1"/>
  <c r="K134" i="130" s="1"/>
  <c r="K135" i="130" s="1"/>
  <c r="K136" i="130" s="1"/>
  <c r="K137" i="130" s="1"/>
  <c r="K138" i="130" s="1"/>
  <c r="K139" i="130" s="1"/>
  <c r="K140" i="130" s="1"/>
  <c r="K141" i="130" s="1"/>
  <c r="K142" i="130" s="1"/>
  <c r="K143" i="130" s="1"/>
  <c r="K144" i="130" s="1"/>
  <c r="K145" i="130" s="1"/>
  <c r="K146" i="130" s="1"/>
  <c r="K147" i="130" s="1"/>
  <c r="K148" i="130" s="1"/>
  <c r="K149" i="130" s="1"/>
  <c r="K150" i="130" s="1"/>
  <c r="K151" i="130" s="1"/>
  <c r="K152" i="130" s="1"/>
  <c r="K153" i="130" s="1"/>
  <c r="K154" i="130" s="1"/>
  <c r="K155" i="130" s="1"/>
  <c r="K156" i="130" s="1"/>
  <c r="K157" i="130" s="1"/>
  <c r="K158" i="130" s="1"/>
  <c r="K159" i="130" s="1"/>
  <c r="K160" i="130" s="1"/>
  <c r="K161" i="130" s="1"/>
  <c r="K162" i="130" s="1"/>
  <c r="K163" i="130" s="1"/>
  <c r="K164" i="130" s="1"/>
  <c r="K165" i="130" s="1"/>
  <c r="K166" i="130" s="1"/>
  <c r="K167" i="130" s="1"/>
  <c r="K168" i="130" s="1"/>
  <c r="K169" i="130" s="1"/>
  <c r="K170" i="130" s="1"/>
  <c r="K171" i="130" s="1"/>
  <c r="K172" i="130" s="1"/>
  <c r="K173" i="130" s="1"/>
  <c r="K174" i="130" s="1"/>
  <c r="K175" i="130" s="1"/>
  <c r="K176" i="130" s="1"/>
  <c r="K177" i="130" s="1"/>
  <c r="K178" i="130" s="1"/>
  <c r="K179" i="130" s="1"/>
  <c r="K180" i="130" s="1"/>
  <c r="K181" i="130" s="1"/>
  <c r="K182" i="130" s="1"/>
  <c r="K183" i="130" s="1"/>
  <c r="K184" i="130" s="1"/>
  <c r="K185" i="130" s="1"/>
  <c r="K186" i="130" s="1"/>
  <c r="K187" i="130" s="1"/>
  <c r="K188" i="130" s="1"/>
  <c r="K189" i="130" s="1"/>
  <c r="C232" i="129"/>
  <c r="C223" i="129"/>
  <c r="D223" i="129" s="1"/>
  <c r="C216" i="129"/>
  <c r="D216" i="129"/>
  <c r="C206" i="129"/>
  <c r="C199" i="129"/>
  <c r="D199" i="129"/>
  <c r="C180" i="129"/>
  <c r="C176" i="129"/>
  <c r="C156" i="129"/>
  <c r="C138" i="129"/>
  <c r="D138" i="129"/>
  <c r="C108" i="129"/>
  <c r="D108" i="129" s="1"/>
  <c r="C97" i="129"/>
  <c r="C88" i="129"/>
  <c r="G87" i="129"/>
  <c r="C70" i="129"/>
  <c r="D70" i="129"/>
  <c r="D69" i="129"/>
  <c r="C60" i="129"/>
  <c r="C53" i="129"/>
  <c r="I37" i="129"/>
  <c r="H37" i="129"/>
  <c r="G37" i="129"/>
  <c r="D37" i="129"/>
  <c r="J35" i="129"/>
  <c r="J34" i="129"/>
  <c r="J33" i="129"/>
  <c r="J32" i="129"/>
  <c r="E30" i="129"/>
  <c r="D30" i="129"/>
  <c r="G20" i="129"/>
  <c r="J19" i="129"/>
  <c r="J18" i="129"/>
  <c r="J17" i="129"/>
  <c r="J16" i="129"/>
  <c r="J15" i="129"/>
  <c r="J14" i="129"/>
  <c r="J11" i="129"/>
  <c r="J10" i="129"/>
  <c r="J9" i="129"/>
  <c r="J8" i="129"/>
  <c r="J7" i="129"/>
  <c r="J6" i="129"/>
  <c r="J5" i="129"/>
  <c r="J4" i="129"/>
  <c r="C283" i="127"/>
  <c r="C273" i="127"/>
  <c r="D273" i="127" s="1"/>
  <c r="C268" i="127"/>
  <c r="D268" i="127" s="1"/>
  <c r="C252" i="127"/>
  <c r="C249" i="127"/>
  <c r="C243" i="127"/>
  <c r="C233" i="127"/>
  <c r="D233" i="127" s="1"/>
  <c r="C215" i="127"/>
  <c r="C210" i="127"/>
  <c r="C211" i="127" s="1"/>
  <c r="C181" i="127"/>
  <c r="C182" i="127" s="1"/>
  <c r="G163" i="127"/>
  <c r="C161" i="127"/>
  <c r="D161" i="127" s="1"/>
  <c r="C155" i="127"/>
  <c r="C142" i="127"/>
  <c r="D142" i="127" s="1"/>
  <c r="C132" i="127"/>
  <c r="D132" i="127"/>
  <c r="C114" i="127"/>
  <c r="C98" i="127"/>
  <c r="G97" i="127"/>
  <c r="C81" i="127"/>
  <c r="D81" i="127"/>
  <c r="C69" i="127"/>
  <c r="C61" i="127"/>
  <c r="D41" i="127"/>
  <c r="I40" i="127"/>
  <c r="H40" i="127"/>
  <c r="G40" i="127"/>
  <c r="J39" i="127"/>
  <c r="J38" i="127"/>
  <c r="J37" i="127"/>
  <c r="J36" i="127"/>
  <c r="J35" i="127"/>
  <c r="J34" i="127"/>
  <c r="D32" i="127"/>
  <c r="E31" i="127"/>
  <c r="G19" i="127"/>
  <c r="J18" i="127"/>
  <c r="J17" i="127"/>
  <c r="J16" i="127"/>
  <c r="J15" i="127"/>
  <c r="J14" i="127"/>
  <c r="J13" i="127"/>
  <c r="J12" i="127"/>
  <c r="J10" i="127"/>
  <c r="J9" i="127"/>
  <c r="J8" i="127"/>
  <c r="J7" i="127"/>
  <c r="J6" i="127"/>
  <c r="J5" i="127"/>
  <c r="J4" i="127"/>
  <c r="J3" i="127"/>
  <c r="L265" i="126"/>
  <c r="L266" i="126" s="1"/>
  <c r="L267" i="126" s="1"/>
  <c r="L268" i="126"/>
  <c r="L269" i="126" s="1"/>
  <c r="L270" i="126" s="1"/>
  <c r="L271" i="126" s="1"/>
  <c r="L272" i="126" s="1"/>
  <c r="L273" i="126" s="1"/>
  <c r="L274" i="126" s="1"/>
  <c r="L275" i="126" s="1"/>
  <c r="L276" i="126" s="1"/>
  <c r="L277" i="126" s="1"/>
  <c r="L278" i="126" s="1"/>
  <c r="L279" i="126" s="1"/>
  <c r="L280" i="126" s="1"/>
  <c r="L281" i="126" s="1"/>
  <c r="L282" i="126" s="1"/>
  <c r="L283" i="126" s="1"/>
  <c r="L284" i="126" s="1"/>
  <c r="L285" i="126" s="1"/>
  <c r="L286" i="126" s="1"/>
  <c r="L287" i="126" s="1"/>
  <c r="L288" i="126" s="1"/>
  <c r="L289" i="126" s="1"/>
  <c r="L290" i="126" s="1"/>
  <c r="L291" i="126" s="1"/>
  <c r="L292" i="126" s="1"/>
  <c r="L293" i="126" s="1"/>
  <c r="L294" i="126" s="1"/>
  <c r="L295" i="126" s="1"/>
  <c r="L296" i="126" s="1"/>
  <c r="L297" i="126" s="1"/>
  <c r="L298" i="126" s="1"/>
  <c r="L299" i="126" s="1"/>
  <c r="L300" i="126" s="1"/>
  <c r="L301" i="126" s="1"/>
  <c r="L302" i="126" s="1"/>
  <c r="L303" i="126" s="1"/>
  <c r="L304" i="126" s="1"/>
  <c r="L305" i="126" s="1"/>
  <c r="L306" i="126" s="1"/>
  <c r="L307" i="126" s="1"/>
  <c r="L308" i="126" s="1"/>
  <c r="K202" i="126"/>
  <c r="K203" i="126" s="1"/>
  <c r="K204" i="126" s="1"/>
  <c r="K205" i="126" s="1"/>
  <c r="K206" i="126" s="1"/>
  <c r="K207" i="126" s="1"/>
  <c r="K208" i="126" s="1"/>
  <c r="K209" i="126" s="1"/>
  <c r="K210" i="126" s="1"/>
  <c r="K211" i="126" s="1"/>
  <c r="K212" i="126" s="1"/>
  <c r="K213" i="126" s="1"/>
  <c r="K214" i="126" s="1"/>
  <c r="K215" i="126" s="1"/>
  <c r="K216" i="126" s="1"/>
  <c r="K217" i="126" s="1"/>
  <c r="K218" i="126" s="1"/>
  <c r="K219" i="126" s="1"/>
  <c r="K220" i="126" s="1"/>
  <c r="K221" i="126" s="1"/>
  <c r="K222" i="126" s="1"/>
  <c r="K223" i="126" s="1"/>
  <c r="K224" i="126" s="1"/>
  <c r="K225" i="126" s="1"/>
  <c r="K226" i="126" s="1"/>
  <c r="K227" i="126" s="1"/>
  <c r="K228" i="126" s="1"/>
  <c r="K229" i="126" s="1"/>
  <c r="K230" i="126" s="1"/>
  <c r="K231" i="126" s="1"/>
  <c r="K232" i="126" s="1"/>
  <c r="K233" i="126" s="1"/>
  <c r="K234" i="126" s="1"/>
  <c r="K235" i="126" s="1"/>
  <c r="K236" i="126" s="1"/>
  <c r="K237" i="126" s="1"/>
  <c r="K238" i="126" s="1"/>
  <c r="K239" i="126" s="1"/>
  <c r="K240" i="126" s="1"/>
  <c r="K241" i="126" s="1"/>
  <c r="K242" i="126" s="1"/>
  <c r="K243" i="126" s="1"/>
  <c r="K244" i="126" s="1"/>
  <c r="K245" i="126" s="1"/>
  <c r="K246" i="126" s="1"/>
  <c r="K247" i="126" s="1"/>
  <c r="K248" i="126" s="1"/>
  <c r="K249" i="126" s="1"/>
  <c r="K250" i="126" s="1"/>
  <c r="K251" i="126" s="1"/>
  <c r="K252" i="126" s="1"/>
  <c r="K253" i="126" s="1"/>
  <c r="K3" i="126"/>
  <c r="K4" i="126" s="1"/>
  <c r="K5" i="126" s="1"/>
  <c r="K6" i="126"/>
  <c r="K7" i="126" s="1"/>
  <c r="K8" i="126" s="1"/>
  <c r="K9" i="126" s="1"/>
  <c r="K10" i="126" s="1"/>
  <c r="K11" i="126" s="1"/>
  <c r="K12" i="126" s="1"/>
  <c r="K13" i="126" s="1"/>
  <c r="K14" i="126" s="1"/>
  <c r="K15" i="126" s="1"/>
  <c r="K16" i="126" s="1"/>
  <c r="K17" i="126" s="1"/>
  <c r="K18" i="126" s="1"/>
  <c r="K19" i="126" s="1"/>
  <c r="K20" i="126" s="1"/>
  <c r="K21" i="126" s="1"/>
  <c r="K22" i="126" s="1"/>
  <c r="K23" i="126" s="1"/>
  <c r="K24" i="126" s="1"/>
  <c r="K25" i="126" s="1"/>
  <c r="K26" i="126" s="1"/>
  <c r="K27" i="126" s="1"/>
  <c r="K28" i="126" s="1"/>
  <c r="K29" i="126" s="1"/>
  <c r="K30" i="126" s="1"/>
  <c r="K31" i="126" s="1"/>
  <c r="K32" i="126" s="1"/>
  <c r="K33" i="126" s="1"/>
  <c r="K34" i="126" s="1"/>
  <c r="K35" i="126" s="1"/>
  <c r="K36" i="126" s="1"/>
  <c r="K37" i="126" s="1"/>
  <c r="K38" i="126" s="1"/>
  <c r="K39" i="126" s="1"/>
  <c r="K40" i="126" s="1"/>
  <c r="K41" i="126" s="1"/>
  <c r="K42" i="126" s="1"/>
  <c r="K43" i="126" s="1"/>
  <c r="K44" i="126" s="1"/>
  <c r="K45" i="126" s="1"/>
  <c r="K46" i="126" s="1"/>
  <c r="K47" i="126" s="1"/>
  <c r="K48" i="126" s="1"/>
  <c r="K49" i="126" s="1"/>
  <c r="K50" i="126" s="1"/>
  <c r="K51" i="126" s="1"/>
  <c r="K52" i="126" s="1"/>
  <c r="K53" i="126" s="1"/>
  <c r="K54" i="126" s="1"/>
  <c r="K55" i="126" s="1"/>
  <c r="K56" i="126" s="1"/>
  <c r="K57" i="126" s="1"/>
  <c r="K58" i="126" s="1"/>
  <c r="K59" i="126" s="1"/>
  <c r="K60" i="126" s="1"/>
  <c r="K61" i="126" s="1"/>
  <c r="K62" i="126" s="1"/>
  <c r="K63" i="126" s="1"/>
  <c r="K64" i="126" s="1"/>
  <c r="K65" i="126" s="1"/>
  <c r="K66" i="126" s="1"/>
  <c r="K67" i="126" s="1"/>
  <c r="K68" i="126" s="1"/>
  <c r="K69" i="126" s="1"/>
  <c r="K70" i="126" s="1"/>
  <c r="K71" i="126" s="1"/>
  <c r="K72" i="126" s="1"/>
  <c r="K73" i="126" s="1"/>
  <c r="K74" i="126" s="1"/>
  <c r="K75" i="126" s="1"/>
  <c r="K76" i="126" s="1"/>
  <c r="K77" i="126" s="1"/>
  <c r="K78" i="126" s="1"/>
  <c r="K79" i="126"/>
  <c r="K80" i="126" s="1"/>
  <c r="K81" i="126" s="1"/>
  <c r="K82" i="126" s="1"/>
  <c r="K83" i="126"/>
  <c r="K84" i="126" s="1"/>
  <c r="K85" i="126" s="1"/>
  <c r="K86" i="126" s="1"/>
  <c r="K87" i="126"/>
  <c r="K88" i="126" s="1"/>
  <c r="K89" i="126" s="1"/>
  <c r="K90" i="126" s="1"/>
  <c r="K91" i="126" s="1"/>
  <c r="K92" i="126" s="1"/>
  <c r="K93" i="126" s="1"/>
  <c r="K94" i="126" s="1"/>
  <c r="K95" i="126" s="1"/>
  <c r="K96" i="126" s="1"/>
  <c r="K97" i="126" s="1"/>
  <c r="K98" i="126" s="1"/>
  <c r="K99" i="126" s="1"/>
  <c r="K100" i="126" s="1"/>
  <c r="K101" i="126" s="1"/>
  <c r="K102" i="126" s="1"/>
  <c r="K103" i="126" s="1"/>
  <c r="K104" i="126" s="1"/>
  <c r="K105" i="126" s="1"/>
  <c r="K106" i="126" s="1"/>
  <c r="K107" i="126" s="1"/>
  <c r="K108" i="126" s="1"/>
  <c r="K109" i="126" s="1"/>
  <c r="K110" i="126" s="1"/>
  <c r="K111" i="126" s="1"/>
  <c r="K112" i="126" s="1"/>
  <c r="K113" i="126" s="1"/>
  <c r="K114" i="126" s="1"/>
  <c r="K115" i="126" s="1"/>
  <c r="K116" i="126" s="1"/>
  <c r="K117" i="126" s="1"/>
  <c r="K118" i="126" s="1"/>
  <c r="K119" i="126" s="1"/>
  <c r="K120" i="126" s="1"/>
  <c r="K121" i="126" s="1"/>
  <c r="K122" i="126" s="1"/>
  <c r="K123" i="126" s="1"/>
  <c r="K124" i="126" s="1"/>
  <c r="K125" i="126" s="1"/>
  <c r="K126" i="126" s="1"/>
  <c r="K127" i="126" s="1"/>
  <c r="K128" i="126" s="1"/>
  <c r="K129" i="126" s="1"/>
  <c r="K130" i="126" s="1"/>
  <c r="K131" i="126" s="1"/>
  <c r="K132" i="126" s="1"/>
  <c r="K133" i="126" s="1"/>
  <c r="K134" i="126" s="1"/>
  <c r="K135" i="126" s="1"/>
  <c r="K136" i="126" s="1"/>
  <c r="K137" i="126" s="1"/>
  <c r="K138" i="126" s="1"/>
  <c r="K139" i="126" s="1"/>
  <c r="K140" i="126" s="1"/>
  <c r="K141" i="126" s="1"/>
  <c r="K142" i="126" s="1"/>
  <c r="K143" i="126" s="1"/>
  <c r="K144" i="126" s="1"/>
  <c r="K145" i="126" s="1"/>
  <c r="K146" i="126" s="1"/>
  <c r="K147" i="126" s="1"/>
  <c r="K148" i="126" s="1"/>
  <c r="K149" i="126" s="1"/>
  <c r="K150" i="126" s="1"/>
  <c r="K151" i="126" s="1"/>
  <c r="K152" i="126" s="1"/>
  <c r="K153" i="126" s="1"/>
  <c r="K154" i="126" s="1"/>
  <c r="K155" i="126" s="1"/>
  <c r="K156" i="126" s="1"/>
  <c r="K157" i="126" s="1"/>
  <c r="K158" i="126" s="1"/>
  <c r="K159" i="126" s="1"/>
  <c r="K160" i="126" s="1"/>
  <c r="K161" i="126" s="1"/>
  <c r="K162" i="126" s="1"/>
  <c r="K163" i="126" s="1"/>
  <c r="K164" i="126" s="1"/>
  <c r="K165" i="126" s="1"/>
  <c r="K166" i="126" s="1"/>
  <c r="K167" i="126" s="1"/>
  <c r="K168" i="126" s="1"/>
  <c r="K169" i="126" s="1"/>
  <c r="K170" i="126" s="1"/>
  <c r="K171" i="126" s="1"/>
  <c r="K172" i="126" s="1"/>
  <c r="K173" i="126" s="1"/>
  <c r="K174" i="126" s="1"/>
  <c r="K175" i="126" s="1"/>
  <c r="K176" i="126" s="1"/>
  <c r="K177" i="126" s="1"/>
  <c r="K178" i="126" s="1"/>
  <c r="K179" i="126" s="1"/>
  <c r="K180" i="126" s="1"/>
  <c r="K181" i="126" s="1"/>
  <c r="K182" i="126" s="1"/>
  <c r="K183" i="126" s="1"/>
  <c r="K184" i="126" s="1"/>
  <c r="K185" i="126" s="1"/>
  <c r="K186" i="126" s="1"/>
  <c r="K187" i="126" s="1"/>
  <c r="K188" i="126" s="1"/>
  <c r="K189" i="126" s="1"/>
  <c r="K190" i="126" s="1"/>
  <c r="K191" i="126" s="1"/>
  <c r="K192" i="126" s="1"/>
  <c r="K193" i="126" s="1"/>
  <c r="K194" i="126" s="1"/>
  <c r="K195" i="126" s="1"/>
  <c r="K196" i="126" s="1"/>
  <c r="K197" i="126" s="1"/>
  <c r="K198" i="126" s="1"/>
  <c r="C223" i="123"/>
  <c r="D217" i="123"/>
  <c r="C215" i="123"/>
  <c r="D215" i="123" s="1"/>
  <c r="C198" i="123"/>
  <c r="D198" i="123" s="1"/>
  <c r="D193" i="123"/>
  <c r="C191" i="123"/>
  <c r="D191" i="123"/>
  <c r="D181" i="123"/>
  <c r="C179" i="123"/>
  <c r="C175" i="123"/>
  <c r="C164" i="123"/>
  <c r="C134" i="123"/>
  <c r="C123" i="123"/>
  <c r="D123" i="123" s="1"/>
  <c r="C97" i="123"/>
  <c r="C86" i="123"/>
  <c r="C75" i="123"/>
  <c r="D75" i="123" s="1"/>
  <c r="D74" i="123"/>
  <c r="C65" i="123"/>
  <c r="C57" i="123"/>
  <c r="I39" i="123"/>
  <c r="H39" i="123"/>
  <c r="G39" i="123"/>
  <c r="D38" i="123"/>
  <c r="J36" i="123"/>
  <c r="J35" i="123"/>
  <c r="J34" i="123"/>
  <c r="J33" i="123"/>
  <c r="J32" i="123"/>
  <c r="J31" i="123"/>
  <c r="D29" i="123"/>
  <c r="E28" i="123"/>
  <c r="G19" i="123"/>
  <c r="J17" i="123"/>
  <c r="J16" i="123"/>
  <c r="J15" i="123"/>
  <c r="J14" i="123"/>
  <c r="J13" i="123"/>
  <c r="J10" i="123"/>
  <c r="J9" i="123"/>
  <c r="J8" i="123"/>
  <c r="J7" i="123"/>
  <c r="J6" i="123"/>
  <c r="J5" i="123"/>
  <c r="J4" i="123"/>
  <c r="J3" i="123"/>
  <c r="C224" i="121"/>
  <c r="C220" i="121"/>
  <c r="D220" i="121" s="1"/>
  <c r="C213" i="121"/>
  <c r="D213" i="121" s="1"/>
  <c r="C198" i="121"/>
  <c r="D198" i="121" s="1"/>
  <c r="C194" i="121"/>
  <c r="D194" i="121" s="1"/>
  <c r="C185" i="121"/>
  <c r="C181" i="121"/>
  <c r="C172" i="121"/>
  <c r="C173" i="121" s="1"/>
  <c r="C136" i="121"/>
  <c r="C137" i="121" s="1"/>
  <c r="C130" i="121"/>
  <c r="C131" i="121" s="1"/>
  <c r="C105" i="121"/>
  <c r="D105" i="121" s="1"/>
  <c r="C83" i="121"/>
  <c r="C77" i="121"/>
  <c r="C65" i="121"/>
  <c r="D65" i="121" s="1"/>
  <c r="D64" i="121"/>
  <c r="C57" i="121"/>
  <c r="C50" i="121"/>
  <c r="I35" i="121"/>
  <c r="H35" i="121"/>
  <c r="G35" i="121"/>
  <c r="D35" i="121"/>
  <c r="J33" i="121"/>
  <c r="J32" i="121"/>
  <c r="J31" i="121"/>
  <c r="J30" i="121"/>
  <c r="D28" i="121"/>
  <c r="E26" i="121"/>
  <c r="G18" i="121"/>
  <c r="J17" i="121"/>
  <c r="J16" i="121"/>
  <c r="J15" i="121"/>
  <c r="J14" i="121"/>
  <c r="J13" i="121"/>
  <c r="J12" i="121"/>
  <c r="J9" i="121"/>
  <c r="J8" i="121"/>
  <c r="J7" i="121"/>
  <c r="J6" i="121"/>
  <c r="J5" i="121"/>
  <c r="J4" i="121"/>
  <c r="J3" i="121"/>
  <c r="C285" i="119"/>
  <c r="D280" i="119"/>
  <c r="C278" i="119"/>
  <c r="D278" i="119" s="1"/>
  <c r="C262" i="119"/>
  <c r="C263" i="119"/>
  <c r="C258" i="119"/>
  <c r="C259" i="119" s="1"/>
  <c r="D254" i="119"/>
  <c r="C252" i="119"/>
  <c r="D252" i="119" s="1"/>
  <c r="C242" i="119"/>
  <c r="C237" i="119"/>
  <c r="C238" i="119"/>
  <c r="C231" i="119"/>
  <c r="C232" i="119" s="1"/>
  <c r="G230" i="119"/>
  <c r="C184" i="119"/>
  <c r="C143" i="119"/>
  <c r="D143" i="119" s="1"/>
  <c r="C116" i="119"/>
  <c r="C117" i="119"/>
  <c r="C89" i="119"/>
  <c r="C108" i="119" s="1"/>
  <c r="C107" i="119"/>
  <c r="C87" i="119"/>
  <c r="C80" i="119"/>
  <c r="D80" i="119" s="1"/>
  <c r="C72" i="119"/>
  <c r="C60" i="119"/>
  <c r="I38" i="119"/>
  <c r="H38" i="119"/>
  <c r="G21" i="119"/>
  <c r="G38" i="119" s="1"/>
  <c r="D38" i="119"/>
  <c r="J37" i="119"/>
  <c r="J36" i="119"/>
  <c r="J35" i="119"/>
  <c r="J34" i="119"/>
  <c r="D32" i="119"/>
  <c r="F31" i="119"/>
  <c r="I21" i="119"/>
  <c r="H21" i="119"/>
  <c r="J20" i="119"/>
  <c r="J19" i="119"/>
  <c r="J18" i="119"/>
  <c r="J17" i="119"/>
  <c r="J15" i="119"/>
  <c r="J14" i="119"/>
  <c r="J11" i="119"/>
  <c r="J10" i="119"/>
  <c r="J9" i="119"/>
  <c r="J8" i="119"/>
  <c r="J7" i="119"/>
  <c r="J6" i="119"/>
  <c r="J5" i="119"/>
  <c r="J4" i="119"/>
  <c r="J3" i="119"/>
  <c r="G295" i="118"/>
  <c r="L3" i="118"/>
  <c r="C242" i="117"/>
  <c r="C233" i="117"/>
  <c r="D233" i="117" s="1"/>
  <c r="C227" i="117"/>
  <c r="D227" i="117"/>
  <c r="C216" i="117"/>
  <c r="D216" i="117" s="1"/>
  <c r="C211" i="117"/>
  <c r="D211" i="117"/>
  <c r="D192" i="117"/>
  <c r="C190" i="117"/>
  <c r="C186" i="117"/>
  <c r="C160" i="117"/>
  <c r="C75" i="117"/>
  <c r="D75" i="117" s="1"/>
  <c r="C102" i="117"/>
  <c r="C97" i="117"/>
  <c r="F93" i="117"/>
  <c r="C57" i="117"/>
  <c r="I39" i="117"/>
  <c r="H39" i="117"/>
  <c r="G39" i="117"/>
  <c r="J38" i="117"/>
  <c r="D37" i="117"/>
  <c r="D38" i="117" s="1"/>
  <c r="J36" i="117"/>
  <c r="J35" i="117"/>
  <c r="J34" i="117"/>
  <c r="J33" i="117"/>
  <c r="J32" i="117"/>
  <c r="D30" i="117"/>
  <c r="E28" i="117"/>
  <c r="I12" i="117"/>
  <c r="I18" i="117"/>
  <c r="I19" i="117"/>
  <c r="G12" i="117"/>
  <c r="G19" i="117" s="1"/>
  <c r="J17" i="117"/>
  <c r="J16" i="117"/>
  <c r="J15" i="117"/>
  <c r="J14" i="117"/>
  <c r="J13" i="117"/>
  <c r="H12" i="117"/>
  <c r="J11" i="117"/>
  <c r="J10" i="117"/>
  <c r="J8" i="117"/>
  <c r="J7" i="117"/>
  <c r="J6" i="117"/>
  <c r="J5" i="117"/>
  <c r="J4" i="117"/>
  <c r="J3" i="117"/>
  <c r="D268" i="115"/>
  <c r="C266" i="115"/>
  <c r="D266" i="115" s="1"/>
  <c r="C249" i="115"/>
  <c r="D250" i="115" s="1"/>
  <c r="C244" i="115"/>
  <c r="E243" i="115"/>
  <c r="D244" i="115"/>
  <c r="C240" i="115"/>
  <c r="D240" i="115" s="1"/>
  <c r="D225" i="115"/>
  <c r="C223" i="115"/>
  <c r="C219" i="115"/>
  <c r="C214" i="115"/>
  <c r="C183" i="115"/>
  <c r="C148" i="115"/>
  <c r="D148" i="115" s="1"/>
  <c r="C140" i="115"/>
  <c r="C135" i="115"/>
  <c r="D135" i="115"/>
  <c r="C110" i="115"/>
  <c r="C111" i="115" s="1"/>
  <c r="C99" i="115"/>
  <c r="C100" i="115"/>
  <c r="C82" i="115"/>
  <c r="D82" i="115" s="1"/>
  <c r="C72" i="115"/>
  <c r="C65" i="115"/>
  <c r="I42" i="115"/>
  <c r="D42" i="115"/>
  <c r="D33" i="115"/>
  <c r="E30" i="115"/>
  <c r="I20" i="115"/>
  <c r="I13" i="115"/>
  <c r="I22" i="115"/>
  <c r="J19" i="115"/>
  <c r="J18" i="115"/>
  <c r="J17" i="115"/>
  <c r="J16" i="115"/>
  <c r="G13" i="115"/>
  <c r="J12" i="115"/>
  <c r="J11" i="115"/>
  <c r="J10" i="115"/>
  <c r="J9" i="115"/>
  <c r="J8" i="115"/>
  <c r="J7" i="115"/>
  <c r="J6" i="115"/>
  <c r="J5" i="115"/>
  <c r="J4" i="115"/>
  <c r="J3" i="115"/>
  <c r="J248" i="114"/>
  <c r="J249" i="114" s="1"/>
  <c r="J250" i="114" s="1"/>
  <c r="J251" i="114" s="1"/>
  <c r="J252" i="114"/>
  <c r="J253" i="114" s="1"/>
  <c r="J254" i="114" s="1"/>
  <c r="J255" i="114" s="1"/>
  <c r="J256" i="114"/>
  <c r="J257" i="114" s="1"/>
  <c r="J258" i="114" s="1"/>
  <c r="J259" i="114" s="1"/>
  <c r="J260" i="114"/>
  <c r="J261" i="114" s="1"/>
  <c r="J262" i="114" s="1"/>
  <c r="J263" i="114" s="1"/>
  <c r="J264" i="114" s="1"/>
  <c r="J265" i="114" s="1"/>
  <c r="J266" i="114" s="1"/>
  <c r="K3" i="114"/>
  <c r="K4" i="114"/>
  <c r="K5" i="114" s="1"/>
  <c r="K6" i="114" s="1"/>
  <c r="K7" i="114" s="1"/>
  <c r="K8" i="114"/>
  <c r="K9" i="114" s="1"/>
  <c r="K10" i="114" s="1"/>
  <c r="K11" i="114" s="1"/>
  <c r="K12" i="114" s="1"/>
  <c r="K13" i="114" s="1"/>
  <c r="K14" i="114" s="1"/>
  <c r="K15" i="114" s="1"/>
  <c r="K16" i="114" s="1"/>
  <c r="K17" i="114" s="1"/>
  <c r="K18" i="114" s="1"/>
  <c r="K19" i="114" s="1"/>
  <c r="K20" i="114" s="1"/>
  <c r="K21" i="114" s="1"/>
  <c r="K22" i="114" s="1"/>
  <c r="K23" i="114" s="1"/>
  <c r="K24" i="114" s="1"/>
  <c r="K25" i="114" s="1"/>
  <c r="K26" i="114" s="1"/>
  <c r="K27" i="114" s="1"/>
  <c r="K28" i="114" s="1"/>
  <c r="K29" i="114" s="1"/>
  <c r="K30" i="114" s="1"/>
  <c r="K31" i="114" s="1"/>
  <c r="K32" i="114" s="1"/>
  <c r="K33" i="114" s="1"/>
  <c r="K34" i="114" s="1"/>
  <c r="K35" i="114" s="1"/>
  <c r="K36" i="114" s="1"/>
  <c r="K37" i="114" s="1"/>
  <c r="K38" i="114" s="1"/>
  <c r="K39" i="114" s="1"/>
  <c r="K40" i="114" s="1"/>
  <c r="K41" i="114" s="1"/>
  <c r="K42" i="114" s="1"/>
  <c r="K43" i="114" s="1"/>
  <c r="K44" i="114" s="1"/>
  <c r="K45" i="114" s="1"/>
  <c r="K46" i="114" s="1"/>
  <c r="K47" i="114" s="1"/>
  <c r="K48" i="114" s="1"/>
  <c r="K49" i="114" s="1"/>
  <c r="K50" i="114" s="1"/>
  <c r="K51" i="114" s="1"/>
  <c r="K52" i="114" s="1"/>
  <c r="K53" i="114" s="1"/>
  <c r="K54" i="114" s="1"/>
  <c r="K55" i="114" s="1"/>
  <c r="K56" i="114" s="1"/>
  <c r="K57" i="114" s="1"/>
  <c r="K58" i="114" s="1"/>
  <c r="K59" i="114" s="1"/>
  <c r="K60" i="114" s="1"/>
  <c r="K61" i="114" s="1"/>
  <c r="K62" i="114" s="1"/>
  <c r="K63" i="114" s="1"/>
  <c r="K64" i="114" s="1"/>
  <c r="K65" i="114" s="1"/>
  <c r="K66" i="114" s="1"/>
  <c r="K67" i="114" s="1"/>
  <c r="K68" i="114" s="1"/>
  <c r="K69" i="114" s="1"/>
  <c r="K70" i="114" s="1"/>
  <c r="K71" i="114" s="1"/>
  <c r="K72" i="114" s="1"/>
  <c r="K73" i="114" s="1"/>
  <c r="K74" i="114" s="1"/>
  <c r="K75" i="114" s="1"/>
  <c r="K76" i="114" s="1"/>
  <c r="K77" i="114" s="1"/>
  <c r="K78" i="114" s="1"/>
  <c r="K79" i="114" s="1"/>
  <c r="K80" i="114" s="1"/>
  <c r="K81" i="114" s="1"/>
  <c r="K82" i="114" s="1"/>
  <c r="K83" i="114" s="1"/>
  <c r="K84" i="114" s="1"/>
  <c r="K85" i="114" s="1"/>
  <c r="K86" i="114" s="1"/>
  <c r="K87" i="114" s="1"/>
  <c r="K88" i="114" s="1"/>
  <c r="K89" i="114" s="1"/>
  <c r="K90" i="114" s="1"/>
  <c r="K91" i="114" s="1"/>
  <c r="K92" i="114" s="1"/>
  <c r="K93" i="114" s="1"/>
  <c r="K94" i="114" s="1"/>
  <c r="K95" i="114" s="1"/>
  <c r="K96" i="114" s="1"/>
  <c r="K97" i="114" s="1"/>
  <c r="K98" i="114" s="1"/>
  <c r="K99" i="114" s="1"/>
  <c r="K100" i="114" s="1"/>
  <c r="K101" i="114" s="1"/>
  <c r="K102" i="114" s="1"/>
  <c r="K103" i="114" s="1"/>
  <c r="K104" i="114" s="1"/>
  <c r="K105" i="114" s="1"/>
  <c r="K106" i="114" s="1"/>
  <c r="K107" i="114" s="1"/>
  <c r="K108" i="114" s="1"/>
  <c r="K109" i="114" s="1"/>
  <c r="K110" i="114" s="1"/>
  <c r="K111" i="114" s="1"/>
  <c r="K112" i="114" s="1"/>
  <c r="K113" i="114" s="1"/>
  <c r="K114" i="114" s="1"/>
  <c r="K115" i="114" s="1"/>
  <c r="K116" i="114" s="1"/>
  <c r="K117" i="114" s="1"/>
  <c r="K118" i="114" s="1"/>
  <c r="K119" i="114" s="1"/>
  <c r="K120" i="114" s="1"/>
  <c r="K121" i="114" s="1"/>
  <c r="K122" i="114" s="1"/>
  <c r="K123" i="114" s="1"/>
  <c r="K124" i="114" s="1"/>
  <c r="K125" i="114" s="1"/>
  <c r="K126" i="114" s="1"/>
  <c r="K127" i="114" s="1"/>
  <c r="K128" i="114" s="1"/>
  <c r="K129" i="114" s="1"/>
  <c r="K130" i="114" s="1"/>
  <c r="K131" i="114" s="1"/>
  <c r="K132" i="114" s="1"/>
  <c r="K133" i="114" s="1"/>
  <c r="K134" i="114" s="1"/>
  <c r="K135" i="114" s="1"/>
  <c r="K136" i="114" s="1"/>
  <c r="K137" i="114" s="1"/>
  <c r="K138" i="114" s="1"/>
  <c r="K139" i="114" s="1"/>
  <c r="K140" i="114" s="1"/>
  <c r="K141" i="114" s="1"/>
  <c r="K142" i="114" s="1"/>
  <c r="K143" i="114" s="1"/>
  <c r="K144" i="114" s="1"/>
  <c r="K145" i="114" s="1"/>
  <c r="K146" i="114" s="1"/>
  <c r="K147" i="114" s="1"/>
  <c r="K148" i="114" s="1"/>
  <c r="K149" i="114" s="1"/>
  <c r="K150" i="114" s="1"/>
  <c r="K151" i="114" s="1"/>
  <c r="K152" i="114" s="1"/>
  <c r="K153" i="114" s="1"/>
  <c r="K154" i="114" s="1"/>
  <c r="K155" i="114" s="1"/>
  <c r="K156" i="114" s="1"/>
  <c r="K157" i="114" s="1"/>
  <c r="K158" i="114" s="1"/>
  <c r="K159" i="114" s="1"/>
  <c r="K160" i="114" s="1"/>
  <c r="K161" i="114" s="1"/>
  <c r="K162" i="114" s="1"/>
  <c r="G141" i="140" l="1"/>
  <c r="G142" i="140" s="1"/>
  <c r="G143" i="140" s="1"/>
  <c r="G144" i="140" s="1"/>
  <c r="G145" i="140" s="1"/>
  <c r="H140" i="140"/>
  <c r="I140" i="140" s="1"/>
  <c r="D74" i="117"/>
  <c r="C62" i="117" s="1"/>
  <c r="C63" i="117" s="1"/>
  <c r="C118" i="117"/>
  <c r="C119" i="117" s="1"/>
  <c r="D119" i="117" s="1"/>
  <c r="J20" i="64"/>
  <c r="C89" i="67"/>
  <c r="C116" i="67" s="1"/>
  <c r="D116" i="67" s="1"/>
  <c r="D60" i="67"/>
  <c r="C57" i="67" s="1"/>
  <c r="C58" i="67" s="1"/>
  <c r="C152" i="73"/>
  <c r="C153" i="73" s="1"/>
  <c r="D135" i="73"/>
  <c r="D81" i="115"/>
  <c r="D79" i="119"/>
  <c r="D80" i="127"/>
  <c r="L260" i="28"/>
  <c r="G262" i="28"/>
  <c r="G264" i="28" s="1"/>
  <c r="C159" i="55"/>
  <c r="C160" i="55" s="1"/>
  <c r="D142" i="55" s="1"/>
  <c r="C199" i="71"/>
  <c r="C200" i="71" s="1"/>
  <c r="C167" i="71"/>
  <c r="D161" i="71" s="1"/>
  <c r="C138" i="74"/>
  <c r="C139" i="74" s="1"/>
  <c r="D123" i="74" s="1"/>
  <c r="C98" i="77"/>
  <c r="C99" i="77" s="1"/>
  <c r="C92" i="77"/>
  <c r="F206" i="77" s="1"/>
  <c r="D155" i="127"/>
  <c r="D69" i="133"/>
  <c r="D68" i="133" s="1"/>
  <c r="C120" i="36"/>
  <c r="C124" i="36" s="1"/>
  <c r="C125" i="36" s="1"/>
  <c r="C113" i="36"/>
  <c r="C117" i="36" s="1"/>
  <c r="C118" i="36" s="1"/>
  <c r="C84" i="21"/>
  <c r="C98" i="21"/>
  <c r="C100" i="21" s="1"/>
  <c r="C176" i="64"/>
  <c r="F245" i="64" s="1"/>
  <c r="C197" i="64"/>
  <c r="C198" i="64" s="1"/>
  <c r="G293" i="17"/>
  <c r="D49" i="59"/>
  <c r="C46" i="59" s="1"/>
  <c r="C47" i="59" s="1"/>
  <c r="C97" i="59"/>
  <c r="L262" i="28"/>
  <c r="L266" i="28" s="1"/>
  <c r="D281" i="16"/>
  <c r="C171" i="27"/>
  <c r="C172" i="27" s="1"/>
  <c r="C132" i="27"/>
  <c r="C133" i="27" s="1"/>
  <c r="M314" i="11"/>
  <c r="E270" i="21"/>
  <c r="D101" i="59"/>
  <c r="D102" i="59"/>
  <c r="C77" i="35"/>
  <c r="F236" i="35" s="1"/>
  <c r="C83" i="35"/>
  <c r="C84" i="35" s="1"/>
  <c r="C82" i="46"/>
  <c r="C83" i="46" s="1"/>
  <c r="C75" i="46"/>
  <c r="D29" i="64"/>
  <c r="C104" i="64"/>
  <c r="C133" i="64" s="1"/>
  <c r="D133" i="64" s="1"/>
  <c r="D66" i="64"/>
  <c r="C63" i="64" s="1"/>
  <c r="C64" i="64" s="1"/>
  <c r="D144" i="64"/>
  <c r="I227" i="28"/>
  <c r="L13" i="19"/>
  <c r="D119" i="46"/>
  <c r="D118" i="67"/>
  <c r="D119" i="67" s="1"/>
  <c r="D115" i="35"/>
  <c r="C86" i="46"/>
  <c r="C108" i="46" s="1"/>
  <c r="D108" i="46" s="1"/>
  <c r="E55" i="46"/>
  <c r="C52" i="46" s="1"/>
  <c r="C53" i="46" s="1"/>
  <c r="F234" i="46" s="1"/>
  <c r="C87" i="16"/>
  <c r="C88" i="16" s="1"/>
  <c r="F282" i="16" s="1"/>
  <c r="C156" i="21"/>
  <c r="C157" i="21" s="1"/>
  <c r="C164" i="56"/>
  <c r="C165" i="56" s="1"/>
  <c r="D141" i="56" s="1"/>
  <c r="C211" i="71"/>
  <c r="C258" i="71"/>
  <c r="C259" i="71" s="1"/>
  <c r="C157" i="73"/>
  <c r="C181" i="73"/>
  <c r="C182" i="73" s="1"/>
  <c r="C78" i="74"/>
  <c r="C91" i="74"/>
  <c r="C92" i="74" s="1"/>
  <c r="C129" i="54"/>
  <c r="C130" i="54" s="1"/>
  <c r="D122" i="54" s="1"/>
  <c r="C88" i="81"/>
  <c r="C102" i="81"/>
  <c r="C103" i="81" s="1"/>
  <c r="C171" i="81"/>
  <c r="C172" i="81" s="1"/>
  <c r="C166" i="81"/>
  <c r="L239" i="42"/>
  <c r="L243" i="42" s="1"/>
  <c r="C105" i="55"/>
  <c r="C106" i="55" s="1"/>
  <c r="C96" i="55"/>
  <c r="C172" i="56"/>
  <c r="C199" i="56"/>
  <c r="C200" i="56" s="1"/>
  <c r="C229" i="56"/>
  <c r="C232" i="56"/>
  <c r="C233" i="56" s="1"/>
  <c r="D64" i="74"/>
  <c r="C61" i="74" s="1"/>
  <c r="C62" i="74" s="1"/>
  <c r="C95" i="74"/>
  <c r="C111" i="74" s="1"/>
  <c r="D111" i="74" s="1"/>
  <c r="C84" i="54"/>
  <c r="C93" i="54"/>
  <c r="C94" i="54" s="1"/>
  <c r="D69" i="81"/>
  <c r="C66" i="81" s="1"/>
  <c r="C67" i="81" s="1"/>
  <c r="C106" i="81"/>
  <c r="C123" i="81" s="1"/>
  <c r="D123" i="81" s="1"/>
  <c r="L266" i="43"/>
  <c r="L268" i="44"/>
  <c r="L272" i="44" s="1"/>
  <c r="C160" i="67"/>
  <c r="F250" i="67" s="1"/>
  <c r="G247" i="67" s="1"/>
  <c r="C182" i="67"/>
  <c r="C183" i="67" s="1"/>
  <c r="C100" i="56"/>
  <c r="C101" i="56" s="1"/>
  <c r="C86" i="56"/>
  <c r="C216" i="67"/>
  <c r="C80" i="79"/>
  <c r="I289" i="49"/>
  <c r="C203" i="55"/>
  <c r="C204" i="55" s="1"/>
  <c r="F263" i="55" s="1"/>
  <c r="C196" i="74"/>
  <c r="F212" i="74" s="1"/>
  <c r="C143" i="54"/>
  <c r="I216" i="80"/>
  <c r="I321" i="51"/>
  <c r="I325" i="51" s="1"/>
  <c r="I295" i="50"/>
  <c r="I219" i="80"/>
  <c r="I203" i="78"/>
  <c r="I221" i="53"/>
  <c r="I230" i="52"/>
  <c r="I233" i="52" s="1"/>
  <c r="I293" i="49"/>
  <c r="L270" i="43"/>
  <c r="L255" i="34"/>
  <c r="L259" i="34" s="1"/>
  <c r="M312" i="60"/>
  <c r="M316" i="60" s="1"/>
  <c r="G146" i="140" l="1"/>
  <c r="G147" i="140" s="1"/>
  <c r="H145" i="140"/>
  <c r="I145" i="140" s="1"/>
  <c r="D117" i="74"/>
  <c r="D118" i="74" s="1"/>
  <c r="D113" i="74"/>
  <c r="D114" i="74" s="1"/>
  <c r="D133" i="56"/>
  <c r="D134" i="56" s="1"/>
  <c r="D136" i="56"/>
  <c r="D137" i="56" s="1"/>
  <c r="D112" i="54"/>
  <c r="D113" i="54" s="1"/>
  <c r="D115" i="54"/>
  <c r="D116" i="54" s="1"/>
  <c r="D139" i="55"/>
  <c r="D140" i="55" s="1"/>
  <c r="D134" i="55"/>
  <c r="D135" i="55" s="1"/>
  <c r="D139" i="64"/>
  <c r="D140" i="64" s="1"/>
  <c r="D135" i="64"/>
  <c r="D136" i="64" s="1"/>
  <c r="D158" i="71"/>
  <c r="D159" i="71" s="1"/>
  <c r="D155" i="71"/>
  <c r="D156" i="71" s="1"/>
  <c r="F326" i="71"/>
  <c r="D114" i="46"/>
  <c r="D115" i="46" s="1"/>
  <c r="D111" i="46"/>
  <c r="D112" i="46" s="1"/>
  <c r="D130" i="73"/>
  <c r="D131" i="73" s="1"/>
  <c r="D127" i="73"/>
  <c r="D128" i="73" s="1"/>
  <c r="F206" i="54"/>
  <c r="F259" i="56"/>
  <c r="G257" i="56" s="1"/>
  <c r="F226" i="81"/>
  <c r="F236" i="73"/>
  <c r="D106" i="35"/>
  <c r="D107" i="35" s="1"/>
  <c r="D103" i="35"/>
  <c r="D104" i="35" s="1"/>
  <c r="G216" i="27"/>
  <c r="G228" i="27"/>
  <c r="D98" i="59" a="1"/>
  <c r="D98" i="59" s="1"/>
  <c r="C98" i="59"/>
  <c r="F267" i="59" s="1"/>
  <c r="C137" i="127"/>
  <c r="C138" i="127" s="1"/>
  <c r="C134" i="127"/>
  <c r="C135" i="127" s="1"/>
  <c r="G148" i="140" l="1"/>
  <c r="H147" i="140"/>
  <c r="I147" i="140" s="1"/>
  <c r="H148" i="140" l="1"/>
  <c r="I148" i="140" s="1"/>
  <c r="G149" i="140"/>
  <c r="H149" i="140" l="1"/>
  <c r="I149" i="140" s="1"/>
  <c r="G150" i="140"/>
  <c r="G151" i="140" s="1"/>
  <c r="H151" i="140" l="1"/>
  <c r="I151" i="140" s="1"/>
  <c r="G152" i="140"/>
  <c r="G153" i="140" l="1"/>
  <c r="G154" i="140" s="1"/>
  <c r="G155" i="140" s="1"/>
  <c r="H152" i="140"/>
  <c r="I152" i="140" s="1"/>
  <c r="H155" i="140" l="1"/>
  <c r="I155" i="140" s="1"/>
  <c r="G156" i="140"/>
  <c r="G157" i="140" l="1"/>
  <c r="G158" i="140" s="1"/>
  <c r="G159" i="140" s="1"/>
  <c r="H156" i="140"/>
  <c r="I156" i="140" s="1"/>
  <c r="H159" i="140" l="1"/>
  <c r="I159" i="140" s="1"/>
  <c r="G160" i="140"/>
  <c r="G161" i="140" s="1"/>
  <c r="G162" i="140" s="1"/>
  <c r="H162" i="140" l="1"/>
  <c r="I162" i="140" s="1"/>
  <c r="G163" i="140"/>
  <c r="H163" i="140" l="1"/>
  <c r="I163" i="140" s="1"/>
  <c r="G164" i="140"/>
  <c r="G165" i="140" s="1"/>
  <c r="G166" i="140" s="1"/>
  <c r="G167" i="140" l="1"/>
  <c r="H166" i="140"/>
  <c r="I166" i="140" s="1"/>
  <c r="H167" i="140" l="1"/>
  <c r="I167" i="140" s="1"/>
  <c r="G168" i="140"/>
  <c r="G169" i="140" s="1"/>
  <c r="G170" i="140" s="1"/>
  <c r="G171" i="140" s="1"/>
</calcChain>
</file>

<file path=xl/sharedStrings.xml><?xml version="1.0" encoding="utf-8"?>
<sst xmlns="http://schemas.openxmlformats.org/spreadsheetml/2006/main" count="34044" uniqueCount="8393">
  <si>
    <t>Banco</t>
  </si>
  <si>
    <t>Dinheiro</t>
  </si>
  <si>
    <t>Data</t>
  </si>
  <si>
    <t>GV - Histórico</t>
  </si>
  <si>
    <t>Documento</t>
  </si>
  <si>
    <t>Débito</t>
  </si>
  <si>
    <t>Crédito</t>
  </si>
  <si>
    <t>Saldo</t>
  </si>
  <si>
    <t>SALDO ANTERIOR</t>
  </si>
  <si>
    <t>GV - Aluguel apt 205</t>
  </si>
  <si>
    <t>GV - Condomínio</t>
  </si>
  <si>
    <t>JLP - Despesas com supermercado(obra) garrafa termica EPA DMa DISTRIBUIDORA</t>
  </si>
  <si>
    <t>GV - Aluguel V 9 DJA - Outubro 18 - Rachid Sergio (A220)</t>
  </si>
  <si>
    <t>GV e JLP - Compra tinta coral p/ carretinha - Luso Brasil (NF Contabilidade)</t>
  </si>
  <si>
    <t>GV e JLP - Compra batente suspensão - JOLUPE</t>
  </si>
  <si>
    <t>GV e JLP - Compra lampâdas, desengripantes - JOLUPE</t>
  </si>
  <si>
    <t>GV e JLP - Compra funil automotivo - CCM</t>
  </si>
  <si>
    <t>GV - Aluguel Loja JP 607 - Setembro 18 - Antonio Celso (A1360)</t>
  </si>
  <si>
    <t>GV - Ret Irv - Vivo Família</t>
  </si>
  <si>
    <t xml:space="preserve">000000 </t>
  </si>
  <si>
    <t>GV - Juros</t>
  </si>
  <si>
    <t>JLP - Compra de pão para obra 10/09 a 28/09</t>
  </si>
  <si>
    <t>GV e JLP - Compra de pão para escritorio 10/09 a 28/09</t>
  </si>
  <si>
    <t>GV e JLP - Compra bateria controle portão nazinha - TV Som</t>
  </si>
  <si>
    <t>JLP - Compra fita isolante - Continental</t>
  </si>
  <si>
    <t>JLP - Emprestimo Zé Antônio</t>
  </si>
  <si>
    <t>GV - Aluguel GP JP 603 - Setembro 18 - Pollyana Bisco (A1900-D400+Cemig 265,74)</t>
  </si>
  <si>
    <t>JLP - Gratificação Zé Antonio (Ref. Setembro)</t>
  </si>
  <si>
    <t>JLP - Acerto empréstimo Zé Antonio (D215)</t>
  </si>
  <si>
    <t>GV - Aluguel Apt 104 - Setembro 18 - Andressa (A990+C80) </t>
  </si>
  <si>
    <t>JLP - Pagamento serviços eletricista - José Antonio de Oliveira</t>
  </si>
  <si>
    <t>JLP - Pagamento Mylla Murta</t>
  </si>
  <si>
    <t>JLP - Compra argamassa, porca - Continental</t>
  </si>
  <si>
    <t>JLP - Compra bucha, parafuso, porca, arruela - CCM</t>
  </si>
  <si>
    <t>GV - Cemig cx studio venc abr18</t>
  </si>
  <si>
    <t>GV - Cemig JP 609 cafofo set</t>
  </si>
  <si>
    <t>JLP - Pagamento Alexandre (D70)</t>
  </si>
  <si>
    <t>JLP - Compra lapis carpinteiro - Continental</t>
  </si>
  <si>
    <t>GV - Repasse Honorina em espécie</t>
  </si>
  <si>
    <t>JLP - Compra pregos e lixa - Comercial Loesch</t>
  </si>
  <si>
    <t>JLP - Compra dipirona, iodo, baby drax, curativo - Indiana</t>
  </si>
  <si>
    <t>JLP - Compra suporte, modulo, placa 4 - Delevy</t>
  </si>
  <si>
    <t>GV - Aluguel Loja GV 1060 e JP 615 - Setembro 18 - Tales Colombi (A5000)</t>
  </si>
  <si>
    <t>JLP - Pagamento serviços - Edimar Campos</t>
  </si>
  <si>
    <t>GV e JLP - Pagamento estagiário - Setembro 18 - Leonardo (Contabilidade)</t>
  </si>
  <si>
    <t>GV e JLP - Pagamento estagiário - Setembro 18 - Leonardo</t>
  </si>
  <si>
    <t>GV e JLP - Gasolina estagiário - Setembro 18 - Leonardo</t>
  </si>
  <si>
    <t>JLP - Despesas com supermercado(obra) café açucar sabão em barra EPA DMa DISTRIBUIDORA</t>
  </si>
  <si>
    <t>JLP - Compra colirio - Irmãos Mattar &amp; Cia ltda.</t>
  </si>
  <si>
    <t>JLP - Compra serra, lapis carpinteiro - Continental</t>
  </si>
  <si>
    <t>JLP - Compra eletroduto, luva - Delevy</t>
  </si>
  <si>
    <t>GV - Aluguel Apt 101 - Mês 18 - Lohanny (A940+C80)</t>
  </si>
  <si>
    <t>JLP - Pagamento serviços - Roberto</t>
  </si>
  <si>
    <t>GV - Ret Irv - CEU</t>
  </si>
  <si>
    <t>GV Ret Irv - SEF CNH Paula</t>
  </si>
  <si>
    <t>GV - Ret Irv - Condomínio BH</t>
  </si>
  <si>
    <t>GV - Compra mat. Limpeza Vânia - EPA DMA DISTRIBUIDORA</t>
  </si>
  <si>
    <t>JLP - Compra tampa condulete - Delevy</t>
  </si>
  <si>
    <t>JLP - Compra curva 90 - Continental</t>
  </si>
  <si>
    <t>GV - Reconhecimento firma Irving - 2º Oficio de Notas de Teófilo Ootni</t>
  </si>
  <si>
    <t>GV - Reconhecimento firma Michelle - 3º Oficio de Notas de Teófilo Ootni</t>
  </si>
  <si>
    <t>GV - Aluguel ESP DJA - Outubro 18 - Mario Monteiro (A80)</t>
  </si>
  <si>
    <t xml:space="preserve">GV - Copasa NE </t>
  </si>
  <si>
    <t>GV - Aluguel apt 102 - Set 18 - Jorge (A860+C80)</t>
  </si>
  <si>
    <t>GV - Aluguel GP JP 605 - Setembro 18 - Fatima Cristina (A1975,42)</t>
  </si>
  <si>
    <t>JLP - Compra verniz automotivo - Rei das Tintas</t>
  </si>
  <si>
    <t>JLP - Compra dorflex - Drogaria Lages</t>
  </si>
  <si>
    <t>JLP - Compra argamassa - Luso Brasil</t>
  </si>
  <si>
    <t>GV - Inet NE</t>
  </si>
  <si>
    <t>GV - Aluguel V 3 DJA - Outubro 18 - Fernando Henrique (A190)</t>
  </si>
  <si>
    <t>GV - Aluguel Loja GV 1052 - Setembro 18 - Irmas Figueiredo (A2050)</t>
  </si>
  <si>
    <t>GV - Aluguel V M DJA - Outubro 18 - Bruno Ricardo (A60)</t>
  </si>
  <si>
    <t>GV - Aluguel V 2 DJA - Outubro 18 - Lucas Barreiros (A185)</t>
  </si>
  <si>
    <t>JLP - Compra luva e anéis de borracha - Continental</t>
  </si>
  <si>
    <t>GV - Pagamento - Faxina Apt 205 Irving - Vania (75) Dias 01/10 e 04/10</t>
  </si>
  <si>
    <t>GV - Pagamento - Faxina Edifício Nova Era - Vania (75) Dias 08/10 e 11/10</t>
  </si>
  <si>
    <t>JLP - Pagamento horas extras - Juaniz Pereira</t>
  </si>
  <si>
    <t>GV e JLP - Transferência para caixa IRV</t>
  </si>
  <si>
    <t>JLP - Empréstimo Zé Antonio (08/10/2018)</t>
  </si>
  <si>
    <t>JLP - Empréstimo Zé Antonio (10/10/2018)</t>
  </si>
  <si>
    <t>GV - Cemig AP 201</t>
  </si>
  <si>
    <t>GV e JLP - TIM Fixo Escritório</t>
  </si>
  <si>
    <t>GV - Ret Irv - Unimed BH</t>
  </si>
  <si>
    <t>JLP - Gratificação Zé Antonio (Ref. Outubro) - Quitação débito</t>
  </si>
  <si>
    <t>JLP - Despesas com supermercado(obra) café açucar sabão pó EPA DMa DISTRIBUIDORA</t>
  </si>
  <si>
    <t>JLP - Despesas com supermercado(obra) sal EPA DMa DISTRIBUIDORA</t>
  </si>
  <si>
    <t>GV - Tarifa</t>
  </si>
  <si>
    <t>GV - Copasa Loft JP 601 + Garagem</t>
  </si>
  <si>
    <t>GV e JLP - TIM móvel escritório</t>
  </si>
  <si>
    <t>JLP - Compra rejunte - Continental</t>
  </si>
  <si>
    <t>JLP - Compra TE 90, TE esgoto - Continental</t>
  </si>
  <si>
    <t>JLP - Compra estopa - Continental</t>
  </si>
  <si>
    <t>JLP - Compra espacador - Continental</t>
  </si>
  <si>
    <t>JLP - Compra remov. Ferrugem - LusoBrasil</t>
  </si>
  <si>
    <t>JLP - Compra lixa ferro, rejunte - Continental</t>
  </si>
  <si>
    <t>JLP - Comrpa lamina larga - Teixeira e Chaves LTDA</t>
  </si>
  <si>
    <t>JLP - Compra parafusos - Ponto das Chaves</t>
  </si>
  <si>
    <t>JLP - Compra cola madeira - Comercial Loesch</t>
  </si>
  <si>
    <t>JLP - Compra disco desbaste - LocMinas (NF Contabilidade)</t>
  </si>
  <si>
    <t>JLP - Compra eletrodo - LocMinas (NF Contabilidade)</t>
  </si>
  <si>
    <t>JLP - Compra silicone acetico - Continental</t>
  </si>
  <si>
    <t>GV - Aluguel Loja GV 1050 - Setembro 18 - By Fiapo (A3500)</t>
  </si>
  <si>
    <t>JLP - Aluguel Loja FSA 152 - Setembro 18 - Alexandre Couy (A7500)</t>
  </si>
  <si>
    <t>JLP - Aluguel V 1 a V 5 - Outubro 18 - Alexandre Couy (A500)</t>
  </si>
  <si>
    <t>JLP - Compra acheflan, scalid - Farmácia Indiana</t>
  </si>
  <si>
    <t>GV e JLP - Honorários Ivana Set 2018 - Depósito conta Bradesco</t>
  </si>
  <si>
    <t>JLP - Exame de retorno ao trabalho - Seso</t>
  </si>
  <si>
    <t>GV e JLP - Pagamento Jorgiano extra</t>
  </si>
  <si>
    <t xml:space="preserve">801000 </t>
  </si>
  <si>
    <t>GV - Cemig JP 609</t>
  </si>
  <si>
    <t>GV e JLP - Despesa c/ supermercado escritório  café EPA DMa DISTRIBUIDORA</t>
  </si>
  <si>
    <t>JLP - Recarga toner impressora - Recypress (60)</t>
  </si>
  <si>
    <t>GV - Remanescente conta energia - Antônio Florêncio Apt. 202</t>
  </si>
  <si>
    <t>GV e JLP - Uptime Mylla - Mensalidade</t>
  </si>
  <si>
    <t>GV - Ret Irv - Vivo GVT</t>
  </si>
  <si>
    <t>JLP - Compra espuma - Continental</t>
  </si>
  <si>
    <t>JLP - Compra curva 90 esgoto - Continental</t>
  </si>
  <si>
    <t>JLP - Compra rej. Adere flex - Luso Brasil</t>
  </si>
  <si>
    <t>JLP - Compra lixas - Comercial Loeash</t>
  </si>
  <si>
    <t>JLP - Compra pino 3/8 - Ponto das Chaves</t>
  </si>
  <si>
    <t>JLP - Compra rejunte porcel - Continental</t>
  </si>
  <si>
    <t>JLP - Compra disco corte inox - LocMinas (NF Contabilidade)</t>
  </si>
  <si>
    <t>GV - Aluguel Apt Studio - Outubro 18 - Fran de Oliveira Alavina (A1500)</t>
  </si>
  <si>
    <t>GV - Aluguel V 5 DJA - Outubro 18 - Gustavo (A185)</t>
  </si>
  <si>
    <t>JLP - Compra porc. Extra hd - Continental</t>
  </si>
  <si>
    <t>JLP - Despesas com supermercado(obra) café mat. limpeza EPA DMa DISTRIBUIDORA</t>
  </si>
  <si>
    <t>JLP - Locação espaço GO2 guarda carros - Jorg Paul Lauchnmayer</t>
  </si>
  <si>
    <t>GV - Cemig AP 203</t>
  </si>
  <si>
    <t>GV - Cemig COND GV1056</t>
  </si>
  <si>
    <t>GV - Cemig Loft JP 601 + Garagem</t>
  </si>
  <si>
    <t>GV - Ret Irv - Cemig AP 205</t>
  </si>
  <si>
    <t>GV - Cemig Loja JP 603</t>
  </si>
  <si>
    <t>GV - Ret Irv - Cartão Porto</t>
  </si>
  <si>
    <t>GV - Ret Irv - Unimed 3V</t>
  </si>
  <si>
    <t>GV e JLP - Inet Esc Fsa</t>
  </si>
  <si>
    <t>JLP - Compra vela carvao ativado - Ferragens Mineira ???</t>
  </si>
  <si>
    <t>GV - Ret Irv - Netflix</t>
  </si>
  <si>
    <t>GV - Ret Irv - Netflix Fabs</t>
  </si>
  <si>
    <t>JLP - Compra cer. Extra cimento cinza - Continental</t>
  </si>
  <si>
    <t>JLP - Compra fechadura 803/03 inox - Comercial Loesch ???</t>
  </si>
  <si>
    <t>JLP - Compra troféu 40 - Super Safra (NF Contabilidade)</t>
  </si>
  <si>
    <t>GV - Pagamento - Faxina Apt 205 Irving - Vania (75) Dias 15/10 e 18/10</t>
  </si>
  <si>
    <t>GV - Pagamento - Faxina Edifício Nova Era - Vania (75) Dias 22/10 e 25/10</t>
  </si>
  <si>
    <t>JLP - Compra oculos segur. - Luso Brasil</t>
  </si>
  <si>
    <t>JLP - Compra Aguarras 900ml - Continental</t>
  </si>
  <si>
    <t>JLP - Compra rebolo reto - Ferragens Mineira</t>
  </si>
  <si>
    <t>JLP - Compra marcador cd ponta dupla - Imprima</t>
  </si>
  <si>
    <t>GV - Aluguel Loja JP 607 - Outubro 18 - Antonio Celso (A1360)</t>
  </si>
  <si>
    <t>JLP - Horas trabalhas portão FSA152C - Roberto</t>
  </si>
  <si>
    <t>JLP - Horas trabalhas portão FSA152C - Juaniz</t>
  </si>
  <si>
    <t>JLP - Compra fita veda rosca - Continental</t>
  </si>
  <si>
    <t>JLP - Compra abraçadeiras, cabo de aço, grapo p/ cabo - Ferragens Mineira</t>
  </si>
  <si>
    <t>JLP - Compra plug macho - Delevy</t>
  </si>
  <si>
    <t>JLP - Compra bermudas e blusas - Mucuri Comercio de Roupas Eireli</t>
  </si>
  <si>
    <t>JLP - Compra parafuso - Ponto das Chaves</t>
  </si>
  <si>
    <t>GV - Cópia de chave 201 - Casa das Chaves</t>
  </si>
  <si>
    <t>JLP - Compra de pão para obra 08/10 a 26/10</t>
  </si>
  <si>
    <t>GV e JLP - Compra de pão para escritorio 08/10 a 26/10</t>
  </si>
  <si>
    <t>JLP - Aluguel Galpão 03 - Novembro 18 - Jorg Paul</t>
  </si>
  <si>
    <t>GV e JLP - Pagamento estagiário - Outubro 18 - Leonardo</t>
  </si>
  <si>
    <t>GV e JLP - Gasolina estagiário - Outubro 18 - Leonardo</t>
  </si>
  <si>
    <t>GV - Pagamento desenhos Iara</t>
  </si>
  <si>
    <t>GV e JLP - Uptime Mylla - 2.3 - Matrícula e materiais</t>
  </si>
  <si>
    <t>JLP - Compra Lona Plástica - Ferragens Mineira</t>
  </si>
  <si>
    <t>JLP - Compra grampo p/ cabo aço, disco de corte - Ferragens Mineira</t>
  </si>
  <si>
    <t>JLP - Compra fita crepe - Imprima</t>
  </si>
  <si>
    <t>JLP - Compra cola araldite - Continental</t>
  </si>
  <si>
    <t>JLP - Compra disco de corte - Locminas (NF Contabilidade)</t>
  </si>
  <si>
    <t>JLP - Compra bateria 12v - TV Som</t>
  </si>
  <si>
    <t>JLP - Despesas com supermercado(obra) café açucar groselha EPA DMa DISTRIBUIDORA</t>
  </si>
  <si>
    <t>JLP - Supermercado Universal - Cestas básicas</t>
  </si>
  <si>
    <t>GV e JLP - Salário José Antônio</t>
  </si>
  <si>
    <t>GV e JLP - Salário Juaniz</t>
  </si>
  <si>
    <t>GV e JLP - Salário Jorgiano</t>
  </si>
  <si>
    <t>GV - Resgate Max</t>
  </si>
  <si>
    <t>JLP - Delevy</t>
  </si>
  <si>
    <t>GV - Roberto Interfones - NF</t>
  </si>
  <si>
    <t>JLP - FGTS</t>
  </si>
  <si>
    <t>JLP - Delevy - iluminações e dutos frente</t>
  </si>
  <si>
    <t>JLP - Locminas</t>
  </si>
  <si>
    <t xml:space="preserve">JLP - Copasa CD JLP             </t>
  </si>
  <si>
    <t>JLP - Leroy Merlin - Sifão pia G1 - NF</t>
  </si>
  <si>
    <t>JLP - Telhanorte - Torneira e válvula pia G1</t>
  </si>
  <si>
    <t>JLP - Paraná Ferragens - Material para bancada pia G1, trilhos portão externo, telhado G1</t>
  </si>
  <si>
    <t>GV e JLP - Othon de Carvalho - Material Mudança padrão GV p 220 e iluminação Fsa</t>
  </si>
  <si>
    <t>JLP - Seguro Estagiário</t>
  </si>
  <si>
    <t>JLP - Dablius Contabilidade Out 18</t>
  </si>
  <si>
    <t>JLP - Loja Elétrica - Lustres entrada Fsa e luminárias Olivo</t>
  </si>
  <si>
    <t>JLP - HSR - Aluguel Set 18 (A 4980,50 - 5% Desc = 4731,47)</t>
  </si>
  <si>
    <t>GV - Aplicação Max</t>
  </si>
  <si>
    <t>JLP - Adiantamento - Set 18 - Jorgiano</t>
  </si>
  <si>
    <t>JLP - Adiantamento - Set 18 - Juaniz</t>
  </si>
  <si>
    <t>GV - Adiantamento - Set 18 - José Antonio</t>
  </si>
  <si>
    <t>JLP - Luso - Argamassa cerâmicas G1 e parede bebedouro</t>
  </si>
  <si>
    <t>JLP - PIS</t>
  </si>
  <si>
    <t>JLP - COFINS</t>
  </si>
  <si>
    <t>JLP - CSLP</t>
  </si>
  <si>
    <t>JLP - IRLP</t>
  </si>
  <si>
    <t>JLP - GPS</t>
  </si>
  <si>
    <t>JLP - Cemig CD</t>
  </si>
  <si>
    <t>JLP - Locminas - Diversos</t>
  </si>
  <si>
    <t>JLP - Luso Brasil - Diversos Fsa</t>
  </si>
  <si>
    <t>GV - Luso Brasil Tinta ap 105</t>
  </si>
  <si>
    <t>GV e JLP - Cestas básicas - Supermercado Universal</t>
  </si>
  <si>
    <t>GV e JLP - Água viagem Irv BH</t>
  </si>
  <si>
    <t>GV e JLP - Lanche viagem Irv BH</t>
  </si>
  <si>
    <t>GV e JLP - Gasolina  viagem Irv BH</t>
  </si>
  <si>
    <t>JLP - Pés borracha bancada pia</t>
  </si>
  <si>
    <t>GV - Ferragens aramados cozinha aps GV 204 e 201</t>
  </si>
  <si>
    <t>GV - Reparos torneiras</t>
  </si>
  <si>
    <t>GV - Ret Irv Mesada Paula + Cléria</t>
  </si>
  <si>
    <t>GV - Ret Irv - Diversas</t>
  </si>
  <si>
    <t>GV e JLP - Estacionamento casa Pat</t>
  </si>
  <si>
    <t>GV e JLP - Solda funil</t>
  </si>
  <si>
    <t>GV e JLP - Conserto macaco hidráulico</t>
  </si>
  <si>
    <t>GV - Taxa de emissão de Registro cartório imóvel GV</t>
  </si>
  <si>
    <t>GV e JLP - Amolar ponteiras e talhadeiras</t>
  </si>
  <si>
    <t>GV - Delevy - Sifão corrugado  ap 104</t>
  </si>
  <si>
    <t>Recebido</t>
  </si>
  <si>
    <t>condominio</t>
  </si>
  <si>
    <t>Outros</t>
  </si>
  <si>
    <t>IPTU</t>
  </si>
  <si>
    <t>Aluguel</t>
  </si>
  <si>
    <t>Baplicações</t>
  </si>
  <si>
    <t>cd</t>
  </si>
  <si>
    <t>co</t>
  </si>
  <si>
    <t>Diversas</t>
  </si>
  <si>
    <t>GV - Diversas dividido com JLP</t>
  </si>
  <si>
    <t>JLP - Diversas dividido com GV</t>
  </si>
  <si>
    <t>Esc</t>
  </si>
  <si>
    <t>fgts</t>
  </si>
  <si>
    <t>gps</t>
  </si>
  <si>
    <t>MO</t>
  </si>
  <si>
    <t>GV e JLP - Supermercado Universal - Cestas básicas</t>
  </si>
  <si>
    <t>Nmateriais</t>
  </si>
  <si>
    <t>Pisco</t>
  </si>
  <si>
    <t>Retiradas</t>
  </si>
  <si>
    <t>Serviços</t>
  </si>
  <si>
    <t>Tarifas</t>
  </si>
  <si>
    <t>Viagens</t>
  </si>
  <si>
    <t>aluguéis</t>
  </si>
  <si>
    <t>baplicações</t>
  </si>
  <si>
    <t>diversas</t>
  </si>
  <si>
    <t>esc</t>
  </si>
  <si>
    <t>kequip</t>
  </si>
  <si>
    <t>nmateriais</t>
  </si>
  <si>
    <t>pisco</t>
  </si>
  <si>
    <t>projetos</t>
  </si>
  <si>
    <t>retiradas</t>
  </si>
  <si>
    <t>serviços</t>
  </si>
  <si>
    <t>tarifas</t>
  </si>
  <si>
    <t>viagens</t>
  </si>
  <si>
    <t>Nov 2018</t>
  </si>
  <si>
    <t>GV - Aluguel V 9 DJA - Novembro 18 - Rachid Sergio (A220)</t>
  </si>
  <si>
    <t>GV - Pagamento soleiras e argamassas - Gv Copiadora</t>
  </si>
  <si>
    <t>GV - Compra repetidor sinal - Digital Carimbos</t>
  </si>
  <si>
    <t>JLP - Compra campainha - Center Shop</t>
  </si>
  <si>
    <t>GV - Aluguel Apt 201 - Outubro 18 - João Capela</t>
  </si>
  <si>
    <t>JLP - Compra garrafa terminca - QUASE 2</t>
  </si>
  <si>
    <t>JLP - Compra trincha, estopa - Continental</t>
  </si>
  <si>
    <t>JLP - Compra abraçadeira - Ferragens Mineira</t>
  </si>
  <si>
    <t>JLP - Compra sandalia havaianas - Indiana</t>
  </si>
  <si>
    <t xml:space="preserve">05/11/2018 </t>
  </si>
  <si>
    <t xml:space="preserve">431000 </t>
  </si>
  <si>
    <t>GV - Ret Irv - Talita Pequeno Príncipe</t>
  </si>
  <si>
    <t>GV - Aluguel Apt 104 - Mês 18 - Andressa (A990+C80) </t>
  </si>
  <si>
    <t>GV - Aluguel Loja GV 1060 e JP 615 - Mês 18 - Tales Colombi (A5000)</t>
  </si>
  <si>
    <t>GV - Aluguel Apt Studio - Novembro 18 - Fran de Oliveira Alavina (A1500)</t>
  </si>
  <si>
    <t>JLP - Compra converdor de ferrugem - Ferragens Mineira</t>
  </si>
  <si>
    <t>JLP - Cópia de projetos - Imprima</t>
  </si>
  <si>
    <t xml:space="preserve">06/11/2018 </t>
  </si>
  <si>
    <t xml:space="preserve">631000 </t>
  </si>
  <si>
    <t>JLP - Compra fita crepe e fita adesiva - Central Embalagens</t>
  </si>
  <si>
    <t>JLP - Compra fita crepe - Ferragens Mineira</t>
  </si>
  <si>
    <t>GV - Faixa lona p/ gv 1040 - Silk 4 ( NF Contabilidade)</t>
  </si>
  <si>
    <t xml:space="preserve">07/11/2018 </t>
  </si>
  <si>
    <t>GV - Aluguel Apt 204 - Setembro 18 - Michelle (A1494,02+C80+Divida165,68)</t>
  </si>
  <si>
    <t>GV - Aluguel GP JP 605 - Outubro 18 - Fatima Cristina (A1975,42)</t>
  </si>
  <si>
    <t>JLP - Compra caderno - Teixeira e chaves ltda</t>
  </si>
  <si>
    <t>JLP - Compra garrafa termica - Otoni Utilidades</t>
  </si>
  <si>
    <t>JLP - Compra sandalias havaianas - Calçados mattar ltda</t>
  </si>
  <si>
    <t>JLP - Compra bermudas - Mucuri Comercio de Roupas Eireli EPP</t>
  </si>
  <si>
    <t>JLP - Compra cesto organizador - Otoni Utilidades</t>
  </si>
  <si>
    <t>JLP - Compra parafusos c/ bucha nº8 c/ arruelas - Ponto das Chaves</t>
  </si>
  <si>
    <t>GV - Pagamento - Faxina Apt 205 Irving - Vania (75) Dias 29/10 e 01/11</t>
  </si>
  <si>
    <t>GV - Pagamento - Faxina Edifício Nova Era - Vania (75) Dias 05/11 e 08/11</t>
  </si>
  <si>
    <t>GV - Aluguel apt 102 - Out 18 - Jorge (A860+C80)</t>
  </si>
  <si>
    <t xml:space="preserve">011514 </t>
  </si>
  <si>
    <t>GV - Cemig JP 603</t>
  </si>
  <si>
    <t>GV - Aluguel V M DJA - Novembro 18 - Bruno Ricardo (A60)</t>
  </si>
  <si>
    <t>GV - Aluguel Apt 101 - Outubro 18 - Lohanny (A940+C80)</t>
  </si>
  <si>
    <t>GV - Aluguel V M DJA - Novembro 18 - Sergio (A60)</t>
  </si>
  <si>
    <t>GV - Aluguel GP JP 603 - Mês 18 - Pollyana Bisco (A1900-D500+LUZ154,10)</t>
  </si>
  <si>
    <t>GV - Pagamento internet c/ desconto - iNet</t>
  </si>
  <si>
    <t>JLP - Compra resma papel A4 - Papel &amp; Arte Papelaria ltda</t>
  </si>
  <si>
    <t>JLP - Compra tabuas - Comercial Loeash</t>
  </si>
  <si>
    <t>JLP - Compra parabolt - Ponto das Chaves</t>
  </si>
  <si>
    <t>JLP - Compra balde chapa 12L - Luso Brasil (NF Contabilidade)</t>
  </si>
  <si>
    <t>JLP - Compra luva - Delevy</t>
  </si>
  <si>
    <t>JLP - Compra Fita crepe - Teixeira e Chaves LTDA</t>
  </si>
  <si>
    <t xml:space="preserve">12/11/2018 </t>
  </si>
  <si>
    <t>JLP - Compra de pão para obra 29/10 a 09/11</t>
  </si>
  <si>
    <t>GV e JLP - Compra de pão para escritorio 29/10 a 09/11</t>
  </si>
  <si>
    <t>GV - Rescição Ap 102 Jorge Braga - Pintura + vistoria e aluguel pro rata = 1.100,00 + 1000,00 (05/12)</t>
  </si>
  <si>
    <t>GV - Aluguel V 3 DJA - Novembro 18 - Fernando Henrique (A190)</t>
  </si>
  <si>
    <t>GV - Aluguel ESP DJA - Novembro 18 - Mario Monteiro (A80)</t>
  </si>
  <si>
    <t>GV - Compra acco 47GC50 TRQ SSPV (telha ap 201) - Thaiane Manoelle Bonfim de Souza (NF Cont.)</t>
  </si>
  <si>
    <t>GV - Compra tela viveiro - Comércio &amp; Indústria de Telas</t>
  </si>
  <si>
    <t>GV - Compra sac. Gesso, gesso cola, arame - Só Gesso</t>
  </si>
  <si>
    <t>GV - Compra bobina de papel - Embalatudo</t>
  </si>
  <si>
    <t xml:space="preserve">184000 </t>
  </si>
  <si>
    <t>JLP - Compra tabuas e pinos - Comercial Loesch</t>
  </si>
  <si>
    <t>JLP - Devolução de produto - Continental (Compra de cimento cinza)</t>
  </si>
  <si>
    <t>JLP - Compra serra bimetalica, peneira aro plast - Continental</t>
  </si>
  <si>
    <t>JLP - Despesas com supermercado(obra) açúcar EPA DMa DISTRIBUIDORA</t>
  </si>
  <si>
    <t>GV e JLP - Despesa c/ supermercado escritório lanches irving EPA DMa DISTRIBUIDORA</t>
  </si>
  <si>
    <t>GV - Aluguel Loja GV 1052 - Outubro 18 - Irmas Figueiredo (A2050)</t>
  </si>
  <si>
    <t>GV - Aluguel Loja GV 1050 - Outubro 18 - By Fiapo (A3500)</t>
  </si>
  <si>
    <t>JLP - Pagamento serviços - Deusdete</t>
  </si>
  <si>
    <t>JLP - Pagamento serviços - Sebastião</t>
  </si>
  <si>
    <t>GV - Aluguel V 5 DJA - Novembro 18 - Gustavo (A185)</t>
  </si>
  <si>
    <t xml:space="preserve">824000 </t>
  </si>
  <si>
    <t xml:space="preserve">531000 </t>
  </si>
  <si>
    <t>JLP - Pagamento Mylla Murta - Adiantamento</t>
  </si>
  <si>
    <t>GV - Aluguel Apt 203 - Setembro 18 - Marina (A1200+C80+L77,79) - Pago o remanescente de 48,87</t>
  </si>
  <si>
    <t xml:space="preserve">GV - Aluguel Apt 203 - Outubro 18 - Marina (A1200+C80+L28,29) </t>
  </si>
  <si>
    <t>GV - Aluguel V 2 DJA - Novembro 18 - Lucas Barreiros (A185)</t>
  </si>
  <si>
    <t>JLP - Aluguel Loja FSA 152 - Outubro 18 - Alexandre Couy (A7500)</t>
  </si>
  <si>
    <t>JLP - Aluguel V 1 a V 5 - Novembro 18 - Alexandre Couy (A500)</t>
  </si>
  <si>
    <t xml:space="preserve">651000 </t>
  </si>
  <si>
    <t>GV - Cemig Studio GV</t>
  </si>
  <si>
    <t xml:space="preserve">20/11/2018 </t>
  </si>
  <si>
    <t>GV - Ret Naz - Extra para cobrir conta corrente</t>
  </si>
  <si>
    <t xml:space="preserve">541000 </t>
  </si>
  <si>
    <t>GV - Ret Irv - Sinal pousada Matutu</t>
  </si>
  <si>
    <t xml:space="preserve">121000 </t>
  </si>
  <si>
    <t xml:space="preserve">501000 </t>
  </si>
  <si>
    <t xml:space="preserve">561000 </t>
  </si>
  <si>
    <t>GV - INSS Mylla</t>
  </si>
  <si>
    <t>JLP - Despesas com supermercado(obra) café EPA DMa DISTRIBUIDORA</t>
  </si>
  <si>
    <t>GV e JLP - Despesa c/ supermercado escritório café EPA DMa DISTRIBUIDORA</t>
  </si>
  <si>
    <t>GV - Pagamento - Faxina Apt 205 Irving - Vania (75) Dias 12/11 e 15/11</t>
  </si>
  <si>
    <t>GV - Pagamento - Faxina Edifício Nova Era - Vania (75) Dias 19/11 e 22/11</t>
  </si>
  <si>
    <t>GV - Ret Naz - reembolso Iuri - Dullya</t>
  </si>
  <si>
    <t xml:space="preserve">361000 </t>
  </si>
  <si>
    <t>JLP - Compra argamassa ac-1 20kg - Continental</t>
  </si>
  <si>
    <t>JLP - Pagamento exames - Jorgiano</t>
  </si>
  <si>
    <t>GV - Aluguel Apt 105 - Outubro 18 - Michelle (AProrrata702,58+C80+M70,25)</t>
  </si>
  <si>
    <t>JLP - Aluguel Galpão 03 - Dezembro 18 - Jorg Paul</t>
  </si>
  <si>
    <t>JLP - Compra camara 3,25 x 8 LEVORIN - LocMinas</t>
  </si>
  <si>
    <t>JLP - Compra vassoura p/ grama - Ferragens Mineira</t>
  </si>
  <si>
    <t>GV - Compra bucha aluminio - Delevy</t>
  </si>
  <si>
    <t>GV - Compra TE PVC, luva pvc, tubo pvc, silver tape - Luso-Brasil</t>
  </si>
  <si>
    <t>GV - Compra joelho 90 - Continental</t>
  </si>
  <si>
    <t>GV - Compra terminal 25mm - Delevy</t>
  </si>
  <si>
    <t>GV - Compra lixa agua n-400 - Continental</t>
  </si>
  <si>
    <t>GV - Compra Canton. Azul. "L" , desemp. pl - Luso Brasil</t>
  </si>
  <si>
    <t>GV - Compra de lanche p/ cemig - Lanchonete Dinamite (sem cupom)</t>
  </si>
  <si>
    <t>GV - Compra linha sombra, gesso, espatula - Só Gesso</t>
  </si>
  <si>
    <t>GV e JLP - Uptime Mylla - 3.3 - Matrícula e materiais</t>
  </si>
  <si>
    <t xml:space="preserve">000136 </t>
  </si>
  <si>
    <t>JLP - Compra fita larga - PapéToni</t>
  </si>
  <si>
    <t>JLP - Compra carplast adesivo - Rei das Tintas</t>
  </si>
  <si>
    <t>JLP - Compra bucha sold. E joelho 90 - Continental</t>
  </si>
  <si>
    <t>JLP - Compra bucha, arruela - CCM</t>
  </si>
  <si>
    <t>JLP - Compra marcador permanente - PapéToni</t>
  </si>
  <si>
    <t xml:space="preserve">711000 </t>
  </si>
  <si>
    <t>JLP - Compra de pães (niver roberto) - Lanches da Praça Padaria</t>
  </si>
  <si>
    <t>GV - Ret Irv - Cemig Talita</t>
  </si>
  <si>
    <t>JLP - Compra joelho 90 - Continental</t>
  </si>
  <si>
    <t>JLP - Compra Cola Cont. 75gr - Comercial Loesch</t>
  </si>
  <si>
    <t>GV - Aluguel Loja JP 607 - Novembro 18 - Antonio Celso (A1360)</t>
  </si>
  <si>
    <t>JLP - Compra carimbo automático JLP - Digital Carimbos</t>
  </si>
  <si>
    <t>JLP - Pagamento serviços - Domingos</t>
  </si>
  <si>
    <t>JLP - Acerto horas extras Juaniz (16H)</t>
  </si>
  <si>
    <t>JLP - Gratificação Zé Antonio (Ref. Novembro)</t>
  </si>
  <si>
    <t>JLP - Othon de Carvalho - Fsa (Devoluções de R$ 1.038,43 abatidas)</t>
  </si>
  <si>
    <t>JLP - Delevy Fsa</t>
  </si>
  <si>
    <t>GV e JLP - Ventiladores de pé (um para Studio GV outro para o G1)</t>
  </si>
  <si>
    <t>JLP - Sada - Tijolos e cimento</t>
  </si>
  <si>
    <t>GV e JLP - Material para novos andaimes</t>
  </si>
  <si>
    <t>JLP - Resina piso G1</t>
  </si>
  <si>
    <t>GV - FGTS</t>
  </si>
  <si>
    <t>JLP - Reembolso bancada Inox Extra paga em 29/06/18 e devolvida em seguida</t>
  </si>
  <si>
    <t>GV - Dutos de cobra ar condicionado aps mobiliados</t>
  </si>
  <si>
    <t>JLP - HSR - Aluguel Out 18 (A 4980,50 - 5% Desc = 4731,47)</t>
  </si>
  <si>
    <t>GV - Caixas para ar condiconado aps GV</t>
  </si>
  <si>
    <t>JLP - Dablius Contabilidade Nov 18</t>
  </si>
  <si>
    <t>JLP - Terra e Entulho</t>
  </si>
  <si>
    <t>GV - Vidros 601, 603 e 609</t>
  </si>
  <si>
    <t>GV - Friovix - Aparelhos ar condicionado GV - Sinal (restante do pagamento com a NF em jan 19)</t>
  </si>
  <si>
    <t>GV e JLP - 13º primeira parcela Jorgiano</t>
  </si>
  <si>
    <t>GV e JLP - 13º primeira parcela Juaniz</t>
  </si>
  <si>
    <t>GV e JLP - 13º primeira parcela Jose Antonio</t>
  </si>
  <si>
    <t>GV - GPS</t>
  </si>
  <si>
    <t>JLP - Adiantamento - Out 18 - Jorgiano</t>
  </si>
  <si>
    <t>JLP - Adiantamento - Out 18 - Juaniz</t>
  </si>
  <si>
    <t>JLP - Safra cimentos</t>
  </si>
  <si>
    <t>GV e JLP - Locminas</t>
  </si>
  <si>
    <t>GV - Micoondas e Liquidificador para aps 201 e 204</t>
  </si>
  <si>
    <t>GV - Luso Brasil Material aps</t>
  </si>
  <si>
    <t>GV e JLP - Cestas básicas - Supermercado Universal Dezembro</t>
  </si>
  <si>
    <t>GV e JLP - Cestas básicas - Supermercado Universal Novembro</t>
  </si>
  <si>
    <t>GV e JLP - Safra - JLP 242 e GV 98</t>
  </si>
  <si>
    <t>JLP - Boleto Domínio jlpimoveis.com.br</t>
  </si>
  <si>
    <t xml:space="preserve">GV e JLP - Honorários Ivana Nov 2018 </t>
  </si>
  <si>
    <t>GV e JLP - Almoço Consultoria</t>
  </si>
  <si>
    <t>JLP - Certificado Digital</t>
  </si>
  <si>
    <t>GV - Curvas para drenos aps ar condicionado</t>
  </si>
  <si>
    <t>GV e JLP - Lanche obra feriado</t>
  </si>
  <si>
    <t>GV - Lâmpadas Ed. Ne</t>
  </si>
  <si>
    <t>GV - Gesso ap 204</t>
  </si>
  <si>
    <t>GV e JLP - Remendos de pneus carrinho de mão</t>
  </si>
  <si>
    <t>JLP - Lixas para as caixas d'água</t>
  </si>
  <si>
    <t>GV - Aluguel temporário Loja GV 1040 - Dez e Jan</t>
  </si>
  <si>
    <t>GV e JLP - Câmara de ar carrinho de mão</t>
  </si>
  <si>
    <t>JLP - Horas pagas José Antônio</t>
  </si>
  <si>
    <t>mo</t>
  </si>
  <si>
    <t>Fgts</t>
  </si>
  <si>
    <t>Gps</t>
  </si>
  <si>
    <t xml:space="preserve">GV- Dividido com JLP </t>
  </si>
  <si>
    <t>zbliario</t>
  </si>
  <si>
    <t>GV - Dividido com JLP</t>
  </si>
  <si>
    <t>JLP - Dividido com GV</t>
  </si>
  <si>
    <t>aplicações</t>
  </si>
  <si>
    <t>brindes</t>
  </si>
  <si>
    <t>contabilidade</t>
  </si>
  <si>
    <t>cartório</t>
  </si>
  <si>
    <t>csir</t>
  </si>
  <si>
    <t>celular</t>
  </si>
  <si>
    <t>despesas diversas</t>
  </si>
  <si>
    <t>cemig</t>
  </si>
  <si>
    <t>despesas escrit</t>
  </si>
  <si>
    <t>comunicação</t>
  </si>
  <si>
    <t>empréstimo</t>
  </si>
  <si>
    <t>escritorio</t>
  </si>
  <si>
    <t>equipamentos</t>
  </si>
  <si>
    <t>copasa</t>
  </si>
  <si>
    <t>festas</t>
  </si>
  <si>
    <t>correios</t>
  </si>
  <si>
    <t>inss - gps</t>
  </si>
  <si>
    <t>iptu</t>
  </si>
  <si>
    <t>cxto</t>
  </si>
  <si>
    <t>juros</t>
  </si>
  <si>
    <t>darf</t>
  </si>
  <si>
    <t>jardim</t>
  </si>
  <si>
    <t>manutenção cond</t>
  </si>
  <si>
    <t>mão de obra</t>
  </si>
  <si>
    <t>materiais</t>
  </si>
  <si>
    <t>informatica</t>
  </si>
  <si>
    <t>internet</t>
  </si>
  <si>
    <t>papelaria</t>
  </si>
  <si>
    <t xml:space="preserve">resgates </t>
  </si>
  <si>
    <t>salários</t>
  </si>
  <si>
    <t>sindicato</t>
  </si>
  <si>
    <t>transferencias</t>
  </si>
  <si>
    <t>Out 2018</t>
  </si>
  <si>
    <t xml:space="preserve">401000 </t>
  </si>
  <si>
    <t>GV - Depósito conta Santander HON (Luciana LA Boutique)</t>
  </si>
  <si>
    <t xml:space="preserve">284255 </t>
  </si>
  <si>
    <t xml:space="preserve">104877 </t>
  </si>
  <si>
    <t xml:space="preserve">941000 </t>
  </si>
  <si>
    <t xml:space="preserve">DEPOSITO EM CHEQUE NO ATM </t>
  </si>
  <si>
    <t xml:space="preserve">284266 </t>
  </si>
  <si>
    <t>GV - Depósito conta Santander HON (Arlete Apt. 103)</t>
  </si>
  <si>
    <t>GV - Depósito conta Santander HON (Lucas Barreiros) - 11/10/18</t>
  </si>
  <si>
    <t xml:space="preserve">591000 </t>
  </si>
  <si>
    <t xml:space="preserve">284277 </t>
  </si>
  <si>
    <t xml:space="preserve">17/10/2018 </t>
  </si>
  <si>
    <t xml:space="preserve">19/10/2018 </t>
  </si>
  <si>
    <t>GV - Depósito conta Santander HON (By Fiapo)</t>
  </si>
  <si>
    <t>JLP - Depósito conta Santander JLP (Habitat)</t>
  </si>
  <si>
    <t xml:space="preserve">211000 </t>
  </si>
  <si>
    <t xml:space="preserve">841000 </t>
  </si>
  <si>
    <t xml:space="preserve">251000 </t>
  </si>
  <si>
    <t xml:space="preserve">284299 </t>
  </si>
  <si>
    <t xml:space="preserve">25/10/2018 </t>
  </si>
  <si>
    <t xml:space="preserve">373456 </t>
  </si>
  <si>
    <t xml:space="preserve">741000 </t>
  </si>
  <si>
    <t xml:space="preserve">284300 </t>
  </si>
  <si>
    <t xml:space="preserve">000135 </t>
  </si>
  <si>
    <t>JLP - Histórico</t>
  </si>
  <si>
    <t>FUNDO AUTOMÁTICO</t>
  </si>
  <si>
    <t/>
  </si>
  <si>
    <t>491000</t>
  </si>
  <si>
    <t>000414</t>
  </si>
  <si>
    <t>000415</t>
  </si>
  <si>
    <t>000416</t>
  </si>
  <si>
    <t>000000</t>
  </si>
  <si>
    <t>04/10/2018</t>
  </si>
  <si>
    <t>541000</t>
  </si>
  <si>
    <t>000418</t>
  </si>
  <si>
    <t>05/10/2018</t>
  </si>
  <si>
    <t>871000</t>
  </si>
  <si>
    <t>441000</t>
  </si>
  <si>
    <t>221000</t>
  </si>
  <si>
    <t>000417</t>
  </si>
  <si>
    <t>08/10/2018</t>
  </si>
  <si>
    <t>490570</t>
  </si>
  <si>
    <t>255770</t>
  </si>
  <si>
    <t>11/10/2018</t>
  </si>
  <si>
    <t>15/10/2018</t>
  </si>
  <si>
    <t>581000</t>
  </si>
  <si>
    <t>021000</t>
  </si>
  <si>
    <t>17/10/2018</t>
  </si>
  <si>
    <t>000419</t>
  </si>
  <si>
    <t>000420</t>
  </si>
  <si>
    <t>000421</t>
  </si>
  <si>
    <t>18/10/2018</t>
  </si>
  <si>
    <t>19/10/2018</t>
  </si>
  <si>
    <t>841000</t>
  </si>
  <si>
    <t>22/10/2018</t>
  </si>
  <si>
    <t>284288</t>
  </si>
  <si>
    <t>000423</t>
  </si>
  <si>
    <t>23/10/2018</t>
  </si>
  <si>
    <t>25/10/2018</t>
  </si>
  <si>
    <t>000424</t>
  </si>
  <si>
    <t>000425</t>
  </si>
  <si>
    <t>28/10/2018</t>
  </si>
  <si>
    <t>951000</t>
  </si>
  <si>
    <t>000432</t>
  </si>
  <si>
    <t>29/10/2018</t>
  </si>
  <si>
    <t>000426</t>
  </si>
  <si>
    <t>000428</t>
  </si>
  <si>
    <t>000429</t>
  </si>
  <si>
    <t xml:space="preserve">JLP - Contábil </t>
  </si>
  <si>
    <t>Salário Jorgiano - complemento</t>
  </si>
  <si>
    <t>Pagamento estagiário - Setembro 18 - Leonardo</t>
  </si>
  <si>
    <t>Luso Brasil - ferramenta</t>
  </si>
  <si>
    <t>Empréstimo Sócios</t>
  </si>
  <si>
    <t>Salário Irving</t>
  </si>
  <si>
    <t>Locminas - Disco</t>
  </si>
  <si>
    <t>Locminas - Eletrodos</t>
  </si>
  <si>
    <t>Super Safra - Inseticida</t>
  </si>
  <si>
    <t>JLP - Controle de Pagamento de Dívidas  aos Sócios</t>
  </si>
  <si>
    <t>JLP - Empréstimo sócios</t>
  </si>
  <si>
    <t>COFRE - Histórico</t>
  </si>
  <si>
    <t>Saldo Anterior</t>
  </si>
  <si>
    <t>GV - Caixa Léo</t>
  </si>
  <si>
    <t>Investimentos</t>
  </si>
  <si>
    <t>JLP</t>
  </si>
  <si>
    <t>FUNDOS</t>
  </si>
  <si>
    <t>CDB DI</t>
  </si>
  <si>
    <t>Aplicações financeiras</t>
  </si>
  <si>
    <t>Caixas</t>
  </si>
  <si>
    <t>Saldo Total</t>
  </si>
  <si>
    <t>JLP - Empréstimo Jorgiano</t>
  </si>
  <si>
    <t xml:space="preserve">PGTO TITULO OUTRO BCO - INTERNET </t>
  </si>
  <si>
    <t xml:space="preserve">-163,00 </t>
  </si>
  <si>
    <t xml:space="preserve"> </t>
  </si>
  <si>
    <t xml:space="preserve">8.325,57 </t>
  </si>
  <si>
    <t xml:space="preserve">PAGAMENTO DARF EM CANAIS           INTERNET SIMPLES NACIONAL </t>
  </si>
  <si>
    <t xml:space="preserve">-53,70 </t>
  </si>
  <si>
    <t xml:space="preserve">8.271,87 </t>
  </si>
  <si>
    <t>JLP - Empréstimo Juaniz</t>
  </si>
  <si>
    <t>GV - Cemig Ap 202</t>
  </si>
  <si>
    <t xml:space="preserve">-44,61 </t>
  </si>
  <si>
    <t xml:space="preserve">-56,73 </t>
  </si>
  <si>
    <t xml:space="preserve">GV - Copasa JP 603 </t>
  </si>
  <si>
    <t>JLP - Emprestimo Jorgiano</t>
  </si>
  <si>
    <t>GV - Depósito conta Santander HON (João Capela)</t>
  </si>
  <si>
    <t xml:space="preserve">284310 </t>
  </si>
  <si>
    <t>GV - Reembolso Americanas roçadeira</t>
  </si>
  <si>
    <t xml:space="preserve">331016 </t>
  </si>
  <si>
    <t>GV - Depósito conta Santander HON (Jorge Braga)</t>
  </si>
  <si>
    <t xml:space="preserve">284321 </t>
  </si>
  <si>
    <t xml:space="preserve">284332 </t>
  </si>
  <si>
    <t>GV - Depósito conta Santander HON (Lucas Barreiros)</t>
  </si>
  <si>
    <t xml:space="preserve">284354 </t>
  </si>
  <si>
    <t xml:space="preserve">284365 </t>
  </si>
  <si>
    <t>JLP - Roçadeira Sthil FS 85 - Americanas.com</t>
  </si>
  <si>
    <t>000422</t>
  </si>
  <si>
    <t>05/11/2018</t>
  </si>
  <si>
    <t>06/11/2018</t>
  </si>
  <si>
    <t>07/11/2018</t>
  </si>
  <si>
    <t>251000</t>
  </si>
  <si>
    <t>08/11/2018</t>
  </si>
  <si>
    <t>09/11/2018</t>
  </si>
  <si>
    <t>12/11/2018</t>
  </si>
  <si>
    <t>331016</t>
  </si>
  <si>
    <t>14/11/2018</t>
  </si>
  <si>
    <t>16/11/2018</t>
  </si>
  <si>
    <t>161000</t>
  </si>
  <si>
    <t>000433</t>
  </si>
  <si>
    <t>000434</t>
  </si>
  <si>
    <t>19/11/2018</t>
  </si>
  <si>
    <t>000435</t>
  </si>
  <si>
    <t>000436</t>
  </si>
  <si>
    <t>000437</t>
  </si>
  <si>
    <t>20/11/2018</t>
  </si>
  <si>
    <t>181000</t>
  </si>
  <si>
    <t>b</t>
  </si>
  <si>
    <t>JLP - Cheque Alexandre devolvido</t>
  </si>
  <si>
    <t>284343</t>
  </si>
  <si>
    <t>000438</t>
  </si>
  <si>
    <t>000439</t>
  </si>
  <si>
    <t>GV - Adiantamento - Out 18 - José Antonio</t>
  </si>
  <si>
    <t>000440</t>
  </si>
  <si>
    <t>21/11/2018</t>
  </si>
  <si>
    <t>000139</t>
  </si>
  <si>
    <t>000442</t>
  </si>
  <si>
    <t>23/11/2018</t>
  </si>
  <si>
    <t>153134</t>
  </si>
  <si>
    <t>000441</t>
  </si>
  <si>
    <t>26/11/2018</t>
  </si>
  <si>
    <t>27/11/2018</t>
  </si>
  <si>
    <t>551000</t>
  </si>
  <si>
    <t>28/11/2018</t>
  </si>
  <si>
    <t>29/11/2018</t>
  </si>
  <si>
    <t>921000</t>
  </si>
  <si>
    <t>000444</t>
  </si>
  <si>
    <t>Empréstimo sócios</t>
  </si>
  <si>
    <t>Silk 4 - Faixa</t>
  </si>
  <si>
    <t>Locminas</t>
  </si>
  <si>
    <t>Online Certificadora  E-CNPJ A1</t>
  </si>
  <si>
    <t>Terra e Entulho</t>
  </si>
  <si>
    <t>Thaiane M B de Souza - Ferragens</t>
  </si>
  <si>
    <t>Locminas - camara</t>
  </si>
  <si>
    <t>Delevy</t>
  </si>
  <si>
    <t xml:space="preserve">GV - Condomínio </t>
  </si>
  <si>
    <t xml:space="preserve">GV - Aluguel apt 203 (Luz) Outubro 18 </t>
  </si>
  <si>
    <t xml:space="preserve">GV - Aluguel apt 203 (Luz) Setembro 18 </t>
  </si>
  <si>
    <t>GV - Aluguel GP JP 603 (Luz)</t>
  </si>
  <si>
    <t xml:space="preserve">GV - Pagamento Faxina NE Vania </t>
  </si>
  <si>
    <t xml:space="preserve">GV - Dividido com JLP </t>
  </si>
  <si>
    <t xml:space="preserve">JLP - Dividido com GV </t>
  </si>
  <si>
    <t xml:space="preserve">nmateriais </t>
  </si>
  <si>
    <t xml:space="preserve">viagens </t>
  </si>
  <si>
    <t xml:space="preserve">GV - Aluguel 205 </t>
  </si>
  <si>
    <t xml:space="preserve">GV - Pagamento Fxina Vania </t>
  </si>
  <si>
    <t xml:space="preserve">GV - Pagamento Faxina Vania </t>
  </si>
  <si>
    <t xml:space="preserve">serviços </t>
  </si>
  <si>
    <t xml:space="preserve">projetos </t>
  </si>
  <si>
    <t>GV - Cemig LJ 603</t>
  </si>
  <si>
    <t>Dez 2018</t>
  </si>
  <si>
    <t>GV - Aluguel Apt 101 - Novembro 18 - Lohanny (A940+C80)</t>
  </si>
  <si>
    <t>GV - Aluguel V 9 DJA - Dezembro 18 - Rachid Sergio (A220)</t>
  </si>
  <si>
    <t>GV e JLP - Pagamento estagiário - Novembro 18 - Leonardo</t>
  </si>
  <si>
    <t>GV e JLP - Gasolina estagiário - Novembro 18 - Leonardo</t>
  </si>
  <si>
    <t>GV - Aluguel V 7 DJA - Novembro 18 - Luciana LA Boutique (A190)</t>
  </si>
  <si>
    <t>GV - Aluguel V 7 DJA - Dezembro 18 - Luciana LA Boutique (A190)</t>
  </si>
  <si>
    <t>GV - Aluguel V 7 DJA - Janeiro 19 - Luciana LA Boutique (A190)</t>
  </si>
  <si>
    <t>GV - Compra união p/ mangueira - Ferragens Mineira</t>
  </si>
  <si>
    <t>GV - Aluguel Apt 104 - Novembro 18 - Andressa (A990+C80) </t>
  </si>
  <si>
    <t>JLP - Compra de pão para obra 12/11 a 30/11</t>
  </si>
  <si>
    <t>GV e JLP - Compra de pão para escritorio 12/11 a 30/11</t>
  </si>
  <si>
    <t>JLP - Compra Redução p/ esgoto - Ferragens Mineira</t>
  </si>
  <si>
    <t>JLP - Compra joelho 90, luva soldavel, fita veda rosca, registro esfera - Continental</t>
  </si>
  <si>
    <t>GV - Aluguel ESP DJA - Dezembro 18 - Mario Monteiro (A80)</t>
  </si>
  <si>
    <t>JLP - Despesas com supermercado(obra) café detergente EPA DMa DISTRIBUIDORA</t>
  </si>
  <si>
    <t xml:space="preserve">661000 </t>
  </si>
  <si>
    <t>GV - Pagamento - Faxina Apt 205 Irving - Vania (75) Dias 26/11 e 29/11</t>
  </si>
  <si>
    <t>GV - Pagamento - Faxina Edifício Nova Era - Vania (75) Dias 03/12 e 06/12</t>
  </si>
  <si>
    <t xml:space="preserve">601000 </t>
  </si>
  <si>
    <t xml:space="preserve">284387 </t>
  </si>
  <si>
    <t>GV - Aluguel GP JP 605 - Novembro 18 - Fatima Cristina (A1975,42)</t>
  </si>
  <si>
    <t>GV - Reconhecimento de firma Irving - Cartório 2º Ofício de Notas de Teófilo Otoni</t>
  </si>
  <si>
    <t>GV - Reconhecimento de firma Fran de Oliveira - Cartório do 1º Ofício de Notas de T.O</t>
  </si>
  <si>
    <t>JLP - Compra filtro new superflow - Digiflex</t>
  </si>
  <si>
    <t>JLP - Compra vassoura nylon - Beira Rio Mat. Construção</t>
  </si>
  <si>
    <t xml:space="preserve">284398 </t>
  </si>
  <si>
    <t xml:space="preserve">10/12/2018 </t>
  </si>
  <si>
    <t xml:space="preserve">871000 </t>
  </si>
  <si>
    <t xml:space="preserve">874000 </t>
  </si>
  <si>
    <t>JLP - Despesas com supermercado(obra) açucar EPA DMa DISTRIBUIDORA</t>
  </si>
  <si>
    <t>JLP - Compra de pão para obra 03/12 a 07/12</t>
  </si>
  <si>
    <t>GV e JLP - Compra de pão para escritorio 03/12 a 07/12</t>
  </si>
  <si>
    <t>GV - Cemig taxa de desligamento ap. 101</t>
  </si>
  <si>
    <t>JLP - Compra ratoeira - Ferragens Mineira</t>
  </si>
  <si>
    <t>JLP - Compra de areia fina - Areal do Noé</t>
  </si>
  <si>
    <t>JLP - Compra cerveja, pao de alho e coca cola - EPA DMA DISTRIBUIDORA</t>
  </si>
  <si>
    <t>GV - Aluguel V 7 DJA - Fevereiro 19 - Luciana LA Boutique (A190)</t>
  </si>
  <si>
    <t>GV - Ret Irv - Presente Igor e Lu</t>
  </si>
  <si>
    <t>GV e JLP - TIM móvel Escritório</t>
  </si>
  <si>
    <t>JLP - Compra 50 espetinhos - Baycon Espeteria</t>
  </si>
  <si>
    <t>GV - Aluguel GP JP 603 - Novembro 18 - Pollyana Bisco (A1900-D500+1/4IPTU19,07)</t>
  </si>
  <si>
    <t>GV - Aluguel V 2 DJA - Dezembro 18 - Lucas Barreiros (A185)</t>
  </si>
  <si>
    <t>JLP - Doação caixa de natal Dablius Contabilidade</t>
  </si>
  <si>
    <t>GV - Aluguel V 5 DJA - Dezembro 18 - Gustavo (A185)</t>
  </si>
  <si>
    <t>GV - Aluguel Loja GV 1050 - Novembro 18 - By Fiapo (A3500)</t>
  </si>
  <si>
    <t xml:space="preserve">444000 </t>
  </si>
  <si>
    <t xml:space="preserve">284409 </t>
  </si>
  <si>
    <t>GV - Aluguel V M DJA - Dezembro 18 - Bruno Ricardo (A60)</t>
  </si>
  <si>
    <t>JLP - Compra det. Liquido - EPA DMA DISTRIBUIDORA</t>
  </si>
  <si>
    <t>JLP - Compra de cadeado porta de aço - Casa das Chaves</t>
  </si>
  <si>
    <t>JLP - Troca de moeda por dinheiro R$35,00 - Alexandre</t>
  </si>
  <si>
    <t>GV- Compra percevejo - Ferragens Mineira</t>
  </si>
  <si>
    <t>GV- Compra lixa agua m-320 - Continental</t>
  </si>
  <si>
    <t>GV - Compra fita isolante - Delevy</t>
  </si>
  <si>
    <t>GV - Compra detergentes - Comercial Damasceno Costa Eireli</t>
  </si>
  <si>
    <t>GV - Compra fita isolante - Continental</t>
  </si>
  <si>
    <t>GV - Compra serra e joelho 90 - Continental</t>
  </si>
  <si>
    <t>GV - Compra prego de aço - Ferragens Mineira</t>
  </si>
  <si>
    <t>GV - Compra acido muriatico - EPA DMA Distribuidora</t>
  </si>
  <si>
    <t>GV - Compra rejunte flexivel e estopa - Continental</t>
  </si>
  <si>
    <t>GV - Compra massa plastica - Continental</t>
  </si>
  <si>
    <t>GV - Compra durepoxi - Ferragens Mineira</t>
  </si>
  <si>
    <t>GV - Compra det. Liquido - EPA DMA DISTRIBUIDORA</t>
  </si>
  <si>
    <t>GV - Compra detergente - Supermercado Coelho Diniz</t>
  </si>
  <si>
    <t>GV - compra rolo la antigota, cap soldavel - Continental</t>
  </si>
  <si>
    <t>JLP - Compra caneta comp, fita crepe - Teixeira e Chaves LTDA</t>
  </si>
  <si>
    <t>GV - Compra fita crepe - Teixeira e Chaves LTDA</t>
  </si>
  <si>
    <t>GV - Compra 3mts linha sombra, gesso cola - Só Gesso</t>
  </si>
  <si>
    <t>GV - Compra terminal tubular 16mm - Delevy (NF Contabilidade)</t>
  </si>
  <si>
    <t>GV - Compra plotagem impressao - Imprima</t>
  </si>
  <si>
    <t>JLP - Compra plotagem impressao - Imprima</t>
  </si>
  <si>
    <t>JLP - Compra carvao - EPA DMA DISTRIBUIDORA</t>
  </si>
  <si>
    <t>JLP - Compra café - EPA DMA DISTRIBUIDORA</t>
  </si>
  <si>
    <t>JLP - Compra abracadeira tipo U 3" - CCM</t>
  </si>
  <si>
    <t>JLP - Compra rolo la rendeplus microfibra - Continental</t>
  </si>
  <si>
    <t>GV - Aluguel Loja GV 1052 - Novembro 18 - Irmas Figueiredo (A2050)</t>
  </si>
  <si>
    <t>JLP - Compra cerveja - EPA DMA Distribuidora</t>
  </si>
  <si>
    <t xml:space="preserve">004000 </t>
  </si>
  <si>
    <t xml:space="preserve">284431 </t>
  </si>
  <si>
    <t xml:space="preserve">284420 </t>
  </si>
  <si>
    <t>JLP - Troca do segredo do portão laranja + 8 cópias de chaves - Casa das Chaves</t>
  </si>
  <si>
    <t>JLP - Compra blocos de recibos - Graffite (Papelaria Americana LTDA)</t>
  </si>
  <si>
    <t>JLP - Compra de pão para obra 10/12 a 14/12</t>
  </si>
  <si>
    <t>GV e JLP - Compra de pão para escritorio 10/12 a 14/12</t>
  </si>
  <si>
    <t>GV - Transferência CC JLP</t>
  </si>
  <si>
    <t xml:space="preserve">310283 </t>
  </si>
  <si>
    <t xml:space="preserve">201000 </t>
  </si>
  <si>
    <t xml:space="preserve">981000 </t>
  </si>
  <si>
    <t>GV - Compra Estopa - Continental</t>
  </si>
  <si>
    <t>GV - Compra rejunte flexivel 1kg - Continental</t>
  </si>
  <si>
    <t>JLP - Compra ralo de ferro - Ferragens Mineira</t>
  </si>
  <si>
    <t>GV - Compra lamp. Led bolinha - Delevy</t>
  </si>
  <si>
    <t>JLP - Compra ralo - Luso Brasil</t>
  </si>
  <si>
    <t>JLP - Compra linha pedreiro - Continental</t>
  </si>
  <si>
    <t>JLP - documentação de arrecadação do simples nacional - Mylla</t>
  </si>
  <si>
    <t>JLP - Compra tubo 1" ch , 6 disco de inox - Comercial Ferro e Aço</t>
  </si>
  <si>
    <t>GV - Compra de bucal - Continental</t>
  </si>
  <si>
    <t>GV - Aluguel Loja JP 607 - Dezembro 18 - Antonio Celso (A1360)</t>
  </si>
  <si>
    <t xml:space="preserve">621000 </t>
  </si>
  <si>
    <t xml:space="preserve">284442 </t>
  </si>
  <si>
    <t xml:space="preserve">24/12/2018 </t>
  </si>
  <si>
    <t>GV - Cemig CD GV1056</t>
  </si>
  <si>
    <t>GV - Cemig Studio GV - inclusa no aluguel</t>
  </si>
  <si>
    <t>JLP - Compra de pão para obra 17/12 a 21/12</t>
  </si>
  <si>
    <t>GV e JLP - Compra de pão para escritorio 17/12 a 21/12</t>
  </si>
  <si>
    <t>GV - Cópia de chaves Gas 102 - Casa das Chaves</t>
  </si>
  <si>
    <t>GV- Cópia de chaves ap205 e portaria - Casa das Chaves</t>
  </si>
  <si>
    <t xml:space="preserve">284453 </t>
  </si>
  <si>
    <t>GV - Compra resistencia - Continental</t>
  </si>
  <si>
    <t>Gv - Compra pano de chão - Central Embalagens</t>
  </si>
  <si>
    <t>GV - Aluguel V M DJA - Dezembro 18 - Sergio (A60)</t>
  </si>
  <si>
    <t>GV e JLP - Pagamento estagiário - Mês 18 - Leonardo</t>
  </si>
  <si>
    <t>03/12/2018</t>
  </si>
  <si>
    <t>GV - Material elétrico ar condicionado GV - Tambasa</t>
  </si>
  <si>
    <t>GV - Salário Jorgiano</t>
  </si>
  <si>
    <t>000445</t>
  </si>
  <si>
    <t>GV - Salário Juaniz</t>
  </si>
  <si>
    <t>000446</t>
  </si>
  <si>
    <t>GV - Salário José Antônio</t>
  </si>
  <si>
    <t>000447</t>
  </si>
  <si>
    <t>000448</t>
  </si>
  <si>
    <t>05/12/2018</t>
  </si>
  <si>
    <t>JLP - Luso JLP</t>
  </si>
  <si>
    <t>07/12/2018</t>
  </si>
  <si>
    <t>201000</t>
  </si>
  <si>
    <t>JLP - Badu Armações (NF em R$ 154,04)</t>
  </si>
  <si>
    <t>000443</t>
  </si>
  <si>
    <t>JLP - Paraná Ferragens - material telhadinho G1 e estrutura calhas G2 e G3</t>
  </si>
  <si>
    <t>000450</t>
  </si>
  <si>
    <t>10/12/2018</t>
  </si>
  <si>
    <t>GV - Luso GV - massa corrida aps</t>
  </si>
  <si>
    <t>611000</t>
  </si>
  <si>
    <t>GV - Luso GV - tintas para aps 201, 202, 204, 101 e 102</t>
  </si>
  <si>
    <t>361000</t>
  </si>
  <si>
    <t>GV - Resgate CDB</t>
  </si>
  <si>
    <t>000449</t>
  </si>
  <si>
    <t>12/12/2018</t>
  </si>
  <si>
    <t>GV e JLP - Rescisão Jose Antonio</t>
  </si>
  <si>
    <t>000453</t>
  </si>
  <si>
    <t>13/12/2018</t>
  </si>
  <si>
    <t>14/12/2018</t>
  </si>
  <si>
    <t>GV e JLP - CCM</t>
  </si>
  <si>
    <t>041000</t>
  </si>
  <si>
    <t>17/12/2018</t>
  </si>
  <si>
    <t>JLP - Dablius Contabilidade Dez 18</t>
  </si>
  <si>
    <t>151000</t>
  </si>
  <si>
    <t>JLP - Dablius Contabilidade 13º</t>
  </si>
  <si>
    <t>401000</t>
  </si>
  <si>
    <t>GV e JLP - FGTS Rescisório José Antônio</t>
  </si>
  <si>
    <t>19/12/2018</t>
  </si>
  <si>
    <t>JLP - HSR - Aluguel Nov 18 (A 4980,50)</t>
  </si>
  <si>
    <t>310283</t>
  </si>
  <si>
    <t>729016</t>
  </si>
  <si>
    <t>729027</t>
  </si>
  <si>
    <t>GV e JLP - Pagamento estagiário - Dezembro 18 - Leonardo</t>
  </si>
  <si>
    <t>000456</t>
  </si>
  <si>
    <t>20/12/2018</t>
  </si>
  <si>
    <t>GV e JLP - GPS</t>
  </si>
  <si>
    <t>231000</t>
  </si>
  <si>
    <t>GV e JLP - GPS 13º</t>
  </si>
  <si>
    <t>121000</t>
  </si>
  <si>
    <t>GV - Marmoraria Galama - Pedras 201 e 204</t>
  </si>
  <si>
    <t>000451</t>
  </si>
  <si>
    <t>GV e JLP - Salário + férias + 13º - Jorgiano</t>
  </si>
  <si>
    <t>000454</t>
  </si>
  <si>
    <t>GV e JLP - Salário + férias + 13º - Juaniz</t>
  </si>
  <si>
    <t>000455</t>
  </si>
  <si>
    <t>21/12/2018</t>
  </si>
  <si>
    <t>GV e JLP - Luso</t>
  </si>
  <si>
    <t>GV - Delevy - Cabos ar condicionado</t>
  </si>
  <si>
    <t>GV - Santos refrigeração - conserto máqina de lavar</t>
  </si>
  <si>
    <t>000457</t>
  </si>
  <si>
    <t>24/12/2018</t>
  </si>
  <si>
    <t>26/12/2018</t>
  </si>
  <si>
    <t>GV - Delevy - Material ar condicionado</t>
  </si>
  <si>
    <t>331000</t>
  </si>
  <si>
    <t>27/12/2018</t>
  </si>
  <si>
    <t>28/12/2018</t>
  </si>
  <si>
    <t>GV e JLP - Pasi</t>
  </si>
  <si>
    <t>381000</t>
  </si>
  <si>
    <t>JLP - Salário Irving</t>
  </si>
  <si>
    <t>JLP - Aluguel Loja FSA 152 - Novembro 18 - Alexandre Couy (A7500)</t>
  </si>
  <si>
    <t>JLP - Aluguel V 1 a V 5 - Dezembro 18 - Alexandre Couy (A500)</t>
  </si>
  <si>
    <t>GV - Ret Irv - Acerto Fabíola</t>
  </si>
  <si>
    <t>GV - Ret Irv - Mesada Paula 1000 + Cleria 150 + Curso Cristais 150 + Gás 78 + telas 123,50</t>
  </si>
  <si>
    <t>GV e JLP - Repelente escritório</t>
  </si>
  <si>
    <t>GV e JLP - Peneiras ap 205 e caixas dágua JLP</t>
  </si>
  <si>
    <t>GV - Acerto 1.3 Rescição ap 101. R$ 350 + R$ 400 em 07/01 + R$ 400 em 07/02</t>
  </si>
  <si>
    <t>GV - Aluguel Loja GV 1060  - Nov 18 - Tales Colombi (A5000)</t>
  </si>
  <si>
    <t xml:space="preserve">JLP - Tecido poltronas e puff G1 - Habitat </t>
  </si>
  <si>
    <t>GV - Ret Naz mensal recibo Leo</t>
  </si>
  <si>
    <t>GV e JLP - Cervejas artesanais Cristiano Carioca - Confraternização</t>
  </si>
  <si>
    <t>GV e JLP - Cestas de Natal</t>
  </si>
  <si>
    <t>GV - Ret Naz presentes netos</t>
  </si>
  <si>
    <t>GV e JLP - Consultoria MHE</t>
  </si>
  <si>
    <t>GV e JLP - Mylla - Acertos refrentes a encargos e honorários dezembro</t>
  </si>
  <si>
    <t>GV e JLP - Reembolso gasolina Irv - obras</t>
  </si>
  <si>
    <t>GV e JLP Gasolina viagem TO / BH</t>
  </si>
  <si>
    <t>GV e JLP - Almoço e lanche</t>
  </si>
  <si>
    <t>GV - Quadros Paula</t>
  </si>
  <si>
    <t>GV e JLP - Colchas e capas de almofadas Indianas</t>
  </si>
  <si>
    <t>JLP - Dias trabalhados a mais Zé Antonio</t>
  </si>
  <si>
    <t>GV - MO dividido com JLP</t>
  </si>
  <si>
    <t>JLP - MO dividido com GV</t>
  </si>
  <si>
    <t>JLP - dividido com GV</t>
  </si>
  <si>
    <t>GV - Condominío</t>
  </si>
  <si>
    <t xml:space="preserve">GV - Pagamento - Faxina NE - Vania </t>
  </si>
  <si>
    <t>GV - Pagamento Faxina NE - Vania</t>
  </si>
  <si>
    <t xml:space="preserve">IPTU </t>
  </si>
  <si>
    <t xml:space="preserve">GV - IPTU </t>
  </si>
  <si>
    <t>Set 2018</t>
  </si>
  <si>
    <t>JLP - Despesas com supermercado(obra) café, mat. limpeza EPA DMa DISTRIBUIDORA</t>
  </si>
  <si>
    <t>GV - Aluguel V 9 DJA - Setembro 18 - Rachid Sergio (A220)</t>
  </si>
  <si>
    <t>JLP - Pagamento nota fiscal 000.030.115 - Luso Brasil (NF Contabilidade)</t>
  </si>
  <si>
    <t>JLP - Pagamento nota fiscal 000.030.436 - Luso Brasil (NF Contabilidade)</t>
  </si>
  <si>
    <t>JLP - Compra coca-cola - EPA DMA DISTRIBUIDORA</t>
  </si>
  <si>
    <t>GV - Compra chave - Ponto das Chaves</t>
  </si>
  <si>
    <t>JLP - Compra lixa agua, massa corrida - Continental</t>
  </si>
  <si>
    <t>JLP - Compra fita zebrada - Continental</t>
  </si>
  <si>
    <t>GV - Aluguel Apt 101 - Agosto 18 - Lohanny (A940+C80)</t>
  </si>
  <si>
    <t>GV e JLP - Pagamento Alexandre (D70)</t>
  </si>
  <si>
    <t>GV - Aluguel Comite Doorgal</t>
  </si>
  <si>
    <t xml:space="preserve">133608 </t>
  </si>
  <si>
    <t>GV - Serralheiro GV 1040</t>
  </si>
  <si>
    <t xml:space="preserve">000133 </t>
  </si>
  <si>
    <t>GV - Aluguel GP JP 603 - Agosto 18 - Pollyana Bisco (A1900-D400)</t>
  </si>
  <si>
    <t>JLP - Compra Fita crepe - Continental</t>
  </si>
  <si>
    <t>JLP - Pagamento gratificação Zé Antonio</t>
  </si>
  <si>
    <t xml:space="preserve">061000 </t>
  </si>
  <si>
    <t>GV - Oine</t>
  </si>
  <si>
    <t xml:space="preserve">11.906,05 </t>
  </si>
  <si>
    <t>GV - Ret Naz - Repasse Honorina em espécie</t>
  </si>
  <si>
    <t>GV - Ret Irv - Talita</t>
  </si>
  <si>
    <t xml:space="preserve">681000 </t>
  </si>
  <si>
    <t>JLP - Flora e Vida</t>
  </si>
  <si>
    <t xml:space="preserve">000132 </t>
  </si>
  <si>
    <t xml:space="preserve">9.906,41 </t>
  </si>
  <si>
    <t>GV - Compra Kaol - Ferragens Mineira</t>
  </si>
  <si>
    <t>JLP - Compra escola e espatula - Elizangela Maria da Silva</t>
  </si>
  <si>
    <t>JLP - Compra balde - Quase2</t>
  </si>
  <si>
    <t>JLP - Compra escola, pa, rolo, flanelas, saco, vassouras, rodo - Comercial Damasceno Costa</t>
  </si>
  <si>
    <t>GV - Aluguel GP JP 605 - Agosto 18 - Fatima Cristina (A1975,42)</t>
  </si>
  <si>
    <t>GV - Aluguel Apt 204 - Agosto 18 - Michelle (A1150+C80+M123) + (Restante 165,68 mês passado)</t>
  </si>
  <si>
    <t>GV - Depósito conta Santander HON (Ana Cristina Apt. 105)</t>
  </si>
  <si>
    <t>GV - Aluguel V 2 DJA - Setembro 18 - Lucas Barreiros (A185)</t>
  </si>
  <si>
    <t>GV e JLP - Pagamento estagiário - Agosto 18 - Leonardo (Contabilidade)</t>
  </si>
  <si>
    <t>GV e JLP - Pagamento estagiário - Agosto 18 - Leonardo</t>
  </si>
  <si>
    <t>GV e JLP - Gasolina estagiário - Agosto 18 - Leonardo</t>
  </si>
  <si>
    <t xml:space="preserve">341000 </t>
  </si>
  <si>
    <t xml:space="preserve">301000 </t>
  </si>
  <si>
    <t xml:space="preserve">284190 </t>
  </si>
  <si>
    <t xml:space="preserve">284189 </t>
  </si>
  <si>
    <t xml:space="preserve">10.129,48 </t>
  </si>
  <si>
    <t>JLP - Compra de pão para obra 20/08 a 07/09</t>
  </si>
  <si>
    <t>GV e JLP - Compra de pão para escritorio 20/08 a 07/09</t>
  </si>
  <si>
    <t>GV - Aluguel V M DJA - Setembro 18 - Bruno Ricardo (A60)</t>
  </si>
  <si>
    <t>JLP - Empresitmo Zé Antônio</t>
  </si>
  <si>
    <t>GV - Aluguel V 3 DJA - Setembro 18 - Fernando Henrique (A190)</t>
  </si>
  <si>
    <t>JLP - Compra roteador - Inet</t>
  </si>
  <si>
    <t xml:space="preserve">10.028,16 </t>
  </si>
  <si>
    <t>JLP - Pagamento empréstimo Zé Antonio</t>
  </si>
  <si>
    <t>GV - Aluguel ESP DJA - Setembro 18 - Mario Monteiro (A80)</t>
  </si>
  <si>
    <t>JLP - Pagamento serviço - Robson</t>
  </si>
  <si>
    <t>GV - Copasa DJA 16</t>
  </si>
  <si>
    <t xml:space="preserve">9.972,73 </t>
  </si>
  <si>
    <t>GV - Adiantamento serviço serralheiro - Luiza Cassio (30 de Agosto de 2018)</t>
  </si>
  <si>
    <t>JLP - Pagamento empréstimo Juaniz Pereira</t>
  </si>
  <si>
    <t>GV - Pagamento - Faxina Edifício Nova Era - Vania (75) Dias 10/09 e 13/09</t>
  </si>
  <si>
    <t>GV - Pagamento - Faxina Apt 205 Irving - Vania (75) Dias 03/09 e 06/09</t>
  </si>
  <si>
    <t>GV - Aluguel Loja GV 1050 - Agosto 18 - By Fiapo (A3500)</t>
  </si>
  <si>
    <t>JLP - Distribuidora Triangulo - Material banheiros</t>
  </si>
  <si>
    <t xml:space="preserve">554065 </t>
  </si>
  <si>
    <t xml:space="preserve">284200 </t>
  </si>
  <si>
    <t xml:space="preserve">9.990,21 </t>
  </si>
  <si>
    <t>GV e JLP - Despesa c/ supermercado escritório açucar café EPA DMa DISTRIBUIDORA</t>
  </si>
  <si>
    <t>JLP - Despesas com supermercado(obra) café, leite EPA DMa DISTRIBUIDORA</t>
  </si>
  <si>
    <t>JLP - Compra cadeado - Ponto das Chaves</t>
  </si>
  <si>
    <t xml:space="preserve">901000 </t>
  </si>
  <si>
    <t xml:space="preserve">284211 </t>
  </si>
  <si>
    <t xml:space="preserve">10.695,32 </t>
  </si>
  <si>
    <t>JLP - Aluguel Loja FSA 152 - Agosto 18 - Alexandre Couy (A7500)</t>
  </si>
  <si>
    <t>JLP - Aluguel V 1 a V 5 - Setembro 18 - Alexandre Couy (A500)</t>
  </si>
  <si>
    <t>JLP - Compra fio p/ interfone - TV Som</t>
  </si>
  <si>
    <t>JLP - Compra arame galvanizado - Ferragens Mineira</t>
  </si>
  <si>
    <t>GV - Aluguel V 5 DJA - Setembro 18 - Gustavo (A185)</t>
  </si>
  <si>
    <t>GV - Aluguel apt 102 - Ago 18 - Jorge (A860+C80)</t>
  </si>
  <si>
    <t xml:space="preserve">990845 </t>
  </si>
  <si>
    <t>GV - Aluguel Apt 201 - Set 18 - João Capela</t>
  </si>
  <si>
    <t xml:space="preserve">284222 </t>
  </si>
  <si>
    <t>GV - Ret Irv - Talita Hatas</t>
  </si>
  <si>
    <t xml:space="preserve">12.818,50 </t>
  </si>
  <si>
    <t>JLP - Compra cimento - Luso Brasil</t>
  </si>
  <si>
    <t>GV - Aluguel Loja GV 1052 - Agosto 18 - Irmas Figueiredo (A2050)</t>
  </si>
  <si>
    <t>JLP - Compra granito preto - Galama Mármores e Granitos</t>
  </si>
  <si>
    <t>JLP - Compra vedantes - Casa dos Reparos</t>
  </si>
  <si>
    <t xml:space="preserve">634000 </t>
  </si>
  <si>
    <t>JLP - Compra dipirona em gota - Drogaria Lages</t>
  </si>
  <si>
    <t>JLP - Cópia de chave - Casa das Chaves</t>
  </si>
  <si>
    <t>JLP - Compra bucha redução galv importada - Ferragens Mineira</t>
  </si>
  <si>
    <t>JLP - Compra luvas galvanizadas - Ferragens Mineira</t>
  </si>
  <si>
    <t>JLP - Comrpa box curvo - Delevy</t>
  </si>
  <si>
    <t>GV - Aluguel Loja GV 1060 e JP 615 - Agosto 18 - Tales Colombi (A5000) (Dia 06/09/2018)</t>
  </si>
  <si>
    <t>JLP - Compra pia inox - Continental ( NF Contabilidade )</t>
  </si>
  <si>
    <t>GV - Aluguel V M DJA - Setembro 18 - Sergio (A60)</t>
  </si>
  <si>
    <t>GV - Aluguel V M DJA - Outubro 18 - Sergio (A60)</t>
  </si>
  <si>
    <t>JLP - Compra pães e suco - Padaria Nova Delícia</t>
  </si>
  <si>
    <t>JLP - Adiantamento Mila Murta</t>
  </si>
  <si>
    <t>JLP - Compra rejunte flexivel - Continental</t>
  </si>
  <si>
    <t>JLP - Compra lixa d'agua - Ferragens Mineira</t>
  </si>
  <si>
    <t>JLP - Compra acido muriatico - Comercial Damasceno Costa Eireli</t>
  </si>
  <si>
    <t>JLP - Compra luva sold, TE 90 - Continental</t>
  </si>
  <si>
    <t>JLP - Compra rolo espuma - Continental</t>
  </si>
  <si>
    <t>JLP - Compra arame recozido - Ferragens Mineira</t>
  </si>
  <si>
    <t>JLP - Compra calça jeans - Mucuri Comercio de Roupas Eireli EPP</t>
  </si>
  <si>
    <t>JLP - Comrpa corte e massa - Vidraçaria Guanabara</t>
  </si>
  <si>
    <t>GV - Aluguel Apt 203 - Agosto 18 - Marina (A1200+C80+Restante 48,87) - Falta energia</t>
  </si>
  <si>
    <t>JLP - Compra porc. Extra hd - Continental ( NF Contabilidade )</t>
  </si>
  <si>
    <t>GV - Aluguel Apt 105 - Setembro 18 - Jéssicka (Acerto Final 750)</t>
  </si>
  <si>
    <t>JLP - Aluguel Galpão 03 - Outubro 18 - Jorg Paul</t>
  </si>
  <si>
    <t>GV - Compras lanche irving - EPA DMA DISTRIBUIDORA</t>
  </si>
  <si>
    <t>GV - Depósito conta Santander HON (Jéssicka Apt. 105)</t>
  </si>
  <si>
    <t xml:space="preserve">284244 </t>
  </si>
  <si>
    <t>JLP - Serviços prestados - Tálisson Matos</t>
  </si>
  <si>
    <t>JLP - Compra parafuso, porca, aruela - CCM</t>
  </si>
  <si>
    <t>JLP - Compra Aquecedor - Ferragens Mineira</t>
  </si>
  <si>
    <t>JLP - Compra canetas - PapéToni</t>
  </si>
  <si>
    <t>JLP - Compra caixa retangular, organizador - BVR Comercio de Utilidades e Brinquedos LTDA</t>
  </si>
  <si>
    <t>JLP - Compra lima triangular, cabo p/ lima - Ferragens Mineira</t>
  </si>
  <si>
    <t>JLP - Venda tesoura - Marcio Henrique</t>
  </si>
  <si>
    <t>GV - Ret Naz - Cemitério 2º Semestre 2018</t>
  </si>
  <si>
    <t xml:space="preserve">081000 </t>
  </si>
  <si>
    <t>GV e JLP - Uptime Mylla - 1.3 - Matrícula e materiais</t>
  </si>
  <si>
    <t xml:space="preserve">000134 </t>
  </si>
  <si>
    <t>GV - Pagamento - Faxina Apt 205 Irving - Vania (75) Dias 17/09 e 20/09</t>
  </si>
  <si>
    <t>GV - Pagamento - Faxina Edifício Nova Era - Vania (75) Dias 24/09 e 27/09</t>
  </si>
  <si>
    <t>JLP - Compra espetos - Spetto's do Baycon</t>
  </si>
  <si>
    <t>05/09/2018</t>
  </si>
  <si>
    <t>06/09/2018</t>
  </si>
  <si>
    <t xml:space="preserve">JLP - Flora e Vida </t>
  </si>
  <si>
    <t>000410</t>
  </si>
  <si>
    <t>10/09/2018</t>
  </si>
  <si>
    <t>631000</t>
  </si>
  <si>
    <t>000407</t>
  </si>
  <si>
    <t>000408</t>
  </si>
  <si>
    <t>14/09/2018</t>
  </si>
  <si>
    <t>JLP - HSR - Aluguel Ago 18 (A 4980,50 - 5% Desc = 4731,47)</t>
  </si>
  <si>
    <t>17/09/2018</t>
  </si>
  <si>
    <t>JLP - Dablius Contabilidade Set 18</t>
  </si>
  <si>
    <t>061000</t>
  </si>
  <si>
    <t>JLP - Adiantamento - Ago 18 - Juaniz</t>
  </si>
  <si>
    <t>000411</t>
  </si>
  <si>
    <t>GV - Adiantamento - Ago 18 - José Antonio</t>
  </si>
  <si>
    <t>000412</t>
  </si>
  <si>
    <t>20/09/2018</t>
  </si>
  <si>
    <t>21/09/2018</t>
  </si>
  <si>
    <t>24/09/2018</t>
  </si>
  <si>
    <t>284233</t>
  </si>
  <si>
    <t>GV e JLP - Locminas - GV 28,4 e JLP 101,3</t>
  </si>
  <si>
    <t>000413</t>
  </si>
  <si>
    <t>25/09/2018</t>
  </si>
  <si>
    <t>26/09/2018</t>
  </si>
  <si>
    <t>Auxílio doença Jorgiano</t>
  </si>
  <si>
    <t>Luso Brasil - Material hidráulico</t>
  </si>
  <si>
    <t>Othon de Carvalho - Lâmpadas</t>
  </si>
  <si>
    <t>Continental - Pia Inox</t>
  </si>
  <si>
    <t>Continental - Porcelanato</t>
  </si>
  <si>
    <t>GV e JLP - Conserto Bomba Pressão</t>
  </si>
  <si>
    <t>GV - Ret Irv</t>
  </si>
  <si>
    <t>GV - Fita Crepe ap 105</t>
  </si>
  <si>
    <t>GV e JLP - Almoço viagem Irv BH</t>
  </si>
  <si>
    <t>GV e JLP - Gasolina Ipatinga  viagem Irv BH</t>
  </si>
  <si>
    <t>GV e JLP - Casa Cor</t>
  </si>
  <si>
    <t>JLP - Loja Elétrica - Lâmpadas lustre 24 G1</t>
  </si>
  <si>
    <t>GV - Banquinho ap 205</t>
  </si>
  <si>
    <t>GV e JLP - Sacho - ferramente jardim - FM</t>
  </si>
  <si>
    <t>GV - Ret Naz - Indiana medicamentos queda</t>
  </si>
  <si>
    <t>GV e JLP - Teópfilos - Almoço Pat e Ivana</t>
  </si>
  <si>
    <t>GV e JLP - Batentes carretinha</t>
  </si>
  <si>
    <t>GV e JLP - MHE</t>
  </si>
  <si>
    <t>JLP - Chaves G1 papagaio</t>
  </si>
  <si>
    <t>JLP - Uniformes</t>
  </si>
  <si>
    <t>JLP - Uniformes - Hering</t>
  </si>
  <si>
    <t>l</t>
  </si>
  <si>
    <t>GV - Aluguel Comite Doorgal - 1040?</t>
  </si>
  <si>
    <t>GV e JLP - Aluguel - Apartamento 205</t>
  </si>
  <si>
    <t>GV e JLP - Compra de pão para obra 20/08 a 07/09</t>
  </si>
  <si>
    <t>GV e JLP - Despesas com supermercado(obra) café, leite EPA DMa DISTRIBUIDORA</t>
  </si>
  <si>
    <t>GV e JLP - Despesas com supermercado(obra) café, mat. limpeza EPA DMa DISTRIBUIDORA</t>
  </si>
  <si>
    <t>GV - Materiais divididos com JLP</t>
  </si>
  <si>
    <t>JLP - Materiais dividos com GV</t>
  </si>
  <si>
    <t>GV - Conserto Bomba Pressão</t>
  </si>
  <si>
    <t>Ago 2018</t>
  </si>
  <si>
    <t>GV - Aluguel V 9 DJA - Agosto 18 - Rachid Sergio (A220)</t>
  </si>
  <si>
    <t>GV - Aluguel GP JP 603 - Julho 18 - Pollyana Bisco (A1900-D400)</t>
  </si>
  <si>
    <t xml:space="preserve">GV e JLP - OICT Escritorio RJ-TNL PCS S. </t>
  </si>
  <si>
    <t>GV - Pagamento - Faxina Edifício Nova Era - Vania (75) Dias 26/07 e 02/08</t>
  </si>
  <si>
    <t>GV - Pagamento - Faxina Apt 202 e 205 Irving - Vania (75) Dias 23/07 e 30/07</t>
  </si>
  <si>
    <t>JLP - Acerto do fogão</t>
  </si>
  <si>
    <t>GV - Aluguel Apt 104 - Julho 18 - Andressa (A990+C80) </t>
  </si>
  <si>
    <t>JLP - Pagamento de serviço - Edimar Campos</t>
  </si>
  <si>
    <t>JLP - Pagamento de serviço - Wender Jardim</t>
  </si>
  <si>
    <t>GV e JLP - Gasolina estagiário - Julho 18 - Leonardo</t>
  </si>
  <si>
    <t>GV e JLP - Pagamento estagiário - Julho 18 - Leonardo</t>
  </si>
  <si>
    <t>GV - Aluguel Apt 105 - Março e Abril 18 - Jéssicka (M90+M90)</t>
  </si>
  <si>
    <t>GV - Aluguel Apt 105 - Maio 18 - Jéssicka (A862+C80+M90)</t>
  </si>
  <si>
    <t>GV - Aluguel Apt 105 - Junho 18 - Jéssicka (A862+C80+M90)</t>
  </si>
  <si>
    <t>GV - Aluguel Apt 105 - Julho 18 - Jéssicka (A862+C80)</t>
  </si>
  <si>
    <t>GV - Aluguel Apt 105 - Agosto 18 - Jéssicka (A862+C80)</t>
  </si>
  <si>
    <t>GV - Aluguel Loja GV 1060 e JP 615 - Julho 18 - Tales Colombi (A5000)</t>
  </si>
  <si>
    <t>GV - Aluguel GP JP 605 - Julho 18 - Fatima Cristina (A1975,42)</t>
  </si>
  <si>
    <t>GV - Aluguel V 7 DJA - Agosto 18 - Luciana LA Boutique (A190)</t>
  </si>
  <si>
    <t>GV - Aluguel V 7 DJA - Setembro 18 - Luciana LA Boutique (A190)</t>
  </si>
  <si>
    <t>GV - Aluguel V 7 DJA - Outubro 18 - Luciana LA Boutique (A190)</t>
  </si>
  <si>
    <t>JLP - Manutenção do QDC dos galpoes FSÁ - José Felipe (Eletricistas)</t>
  </si>
  <si>
    <t>GV -  Naz - Repasse Honorina em espécie</t>
  </si>
  <si>
    <t>GV - Armário cozinha do cafôfo</t>
  </si>
  <si>
    <t xml:space="preserve">GV - Aluguel Apt 203 - Junho 18 - Marina (A1200+C80+L23,28+IPTU35,18) </t>
  </si>
  <si>
    <t>GV - Aluguel Apt 203 - Julho 18 - Marina (A1200+C80+L30,41) Restam: 48,87</t>
  </si>
  <si>
    <t>GV - Aluguel V 3 DJA - Agosto 18 - Fernando Henrique (A190)</t>
  </si>
  <si>
    <t>GV - Aluguel V M DJA - Agosto 18 - Sergio (A60)</t>
  </si>
  <si>
    <t>JLP - Despesas com superm(obra) café açucar sabao barra EPA DMa DISTRIBUIDORA</t>
  </si>
  <si>
    <t>GV e JLP - Despesa c/ supermercado escritório café leite EPA DMa DISTRIBUIDORA</t>
  </si>
  <si>
    <t>JLP - Compra de pão para obra 30/07 a 03/08</t>
  </si>
  <si>
    <t>GV e JLP - Compra de pão para escritorio 30/07 a 03/08</t>
  </si>
  <si>
    <t>GV - Estacionamento SPE PARK 1040</t>
  </si>
  <si>
    <t>JLP - Compra apatador p/ condulete - Delevy</t>
  </si>
  <si>
    <t>JLP - Compra serra aço - Ferragens Mineira</t>
  </si>
  <si>
    <t>JLP - Compra Vassoura - Comercial Teixeira e Damasceno</t>
  </si>
  <si>
    <t>JLP - Compra ralo seco - Beira Rio Materiais de Construção</t>
  </si>
  <si>
    <t>JLP - Compra suporte p/ tubo redondo - Comercial Loesch</t>
  </si>
  <si>
    <t>GV - Estacionamento SPE PARK</t>
  </si>
  <si>
    <t>JLP - Compra Massa Calaf. Madeira - Comercial Loesh</t>
  </si>
  <si>
    <t>JLP - Compra espatula plastica - Quase2</t>
  </si>
  <si>
    <t>JLP - Compra Luva sold - Continental</t>
  </si>
  <si>
    <t>JLP - Compra luva soldavel, TE 90 soldavel - Continental</t>
  </si>
  <si>
    <t>JLP - Comrpa registro esfera, engate flex plast - Continental</t>
  </si>
  <si>
    <t>JLP - Compra TE 90 soldavel - Continental</t>
  </si>
  <si>
    <t>JLP - Compra barra de ferro - Grão Para tele entulho</t>
  </si>
  <si>
    <t>GV - Aluguel Apt 101 - Julho 18 - Lohanny (A940+C80)</t>
  </si>
  <si>
    <t xml:space="preserve">9.181,48 </t>
  </si>
  <si>
    <t xml:space="preserve">951000 </t>
  </si>
  <si>
    <t xml:space="preserve">8.744,87 </t>
  </si>
  <si>
    <t>GV - Aluguel ESP DJA - Agosto 18 - Mario Monteiro (A80)</t>
  </si>
  <si>
    <t>GV - Aluguel V M DJA - Agosto 18 - Bruno Ricardo (A60)</t>
  </si>
  <si>
    <t xml:space="preserve">GV - Envio sedex documentos Irving </t>
  </si>
  <si>
    <t>GV - Aluguel V 2 DJA - Agosto 18 - Lucas Barreiros (A185)</t>
  </si>
  <si>
    <t xml:space="preserve">8.648,70 </t>
  </si>
  <si>
    <t>GV - Aluguel Loja GV 1050 - Julho 18 - By Fiapo (A3500)</t>
  </si>
  <si>
    <t>GV - Aluguel V 5 DJA - Agosto 18 - Gustavo (A185)</t>
  </si>
  <si>
    <t>GV - Envio carta não comercial Leandro ex apt. 202 - Correios</t>
  </si>
  <si>
    <t xml:space="preserve">471000 </t>
  </si>
  <si>
    <t xml:space="preserve">284123 </t>
  </si>
  <si>
    <t xml:space="preserve">284112 </t>
  </si>
  <si>
    <t xml:space="preserve">8.630,80 </t>
  </si>
  <si>
    <t>GV - Pagamento serviços serralheiro - Eduardo Pereira Serralheria Oliveira</t>
  </si>
  <si>
    <t xml:space="preserve">8.631,03 </t>
  </si>
  <si>
    <t>GV - Recebido valor prateleira e reconhecimento firma - João Capela</t>
  </si>
  <si>
    <t>GV - Rescisão contrtato Loft JP 609 - Lucas Francisco</t>
  </si>
  <si>
    <t>GV - Pagamento - Faxina Edifício Nova Era - Vania (75) Dias 06/08 e 09/08</t>
  </si>
  <si>
    <t>GV - Pagamento - Faxina Apt 205 Irving - Vania (75) Dias 13/08 e 16/08</t>
  </si>
  <si>
    <t>GV - Pagamento - Faxina JP 609 Irving - Vania (75) Dia 17/08</t>
  </si>
  <si>
    <t>GV - Aluguel Apt 204 - Mês 18 - Michelle (A1150+C80+IPTU41,34+Remanescente dívida) - Restam 165,68</t>
  </si>
  <si>
    <t xml:space="preserve">511000 </t>
  </si>
  <si>
    <t xml:space="preserve">7.889,03 </t>
  </si>
  <si>
    <t xml:space="preserve">7.889,13 </t>
  </si>
  <si>
    <t xml:space="preserve">20/08/2018 </t>
  </si>
  <si>
    <t xml:space="preserve">851000 </t>
  </si>
  <si>
    <t xml:space="preserve">7.548,57 </t>
  </si>
  <si>
    <t>GV - Aluguel apt 102 - Jul18 - Jorge (A860+C80)</t>
  </si>
  <si>
    <t xml:space="preserve">236118 </t>
  </si>
  <si>
    <t xml:space="preserve">8.488,57 </t>
  </si>
  <si>
    <t>JLP - Compra Luva - Continental</t>
  </si>
  <si>
    <t>JLP - Compra registro esfera - Continental</t>
  </si>
  <si>
    <t>JLP - Compra preço c/ cabeça - Ferragens Mineira</t>
  </si>
  <si>
    <t>JLP - Compra ancinho c/ cabo tramontina - Ferragens Mineira</t>
  </si>
  <si>
    <t>JLP - Compra graxa, lapis - Ferragens Mineira</t>
  </si>
  <si>
    <t>JLP - Compra Protetor articular - Ferragens Mineira</t>
  </si>
  <si>
    <t>JLP - Compra Bico adaptador - Ferragens Mineira</t>
  </si>
  <si>
    <t>JLP - Compra de pão para obra 06/08 a 17/08</t>
  </si>
  <si>
    <t>GV e JLP - Compra de pão para escritorio 06/08 a 17/08</t>
  </si>
  <si>
    <t>GV e JLP - Despesa c/ supermercado escritório café manteiga EPA DMa DISTRIBUIDORA</t>
  </si>
  <si>
    <t>JLP - Pagamento de serviço - Thiago Ferreira - GV 1040</t>
  </si>
  <si>
    <t xml:space="preserve">7.276,95 </t>
  </si>
  <si>
    <t xml:space="preserve">7.277,04 </t>
  </si>
  <si>
    <t>GV - Aluguel Apt 104 - Agosto 18 - Andressa (A990+C80) </t>
  </si>
  <si>
    <t>JLP - Aluguel Loja FSA 152 - Julho 18 - Alexandre Couy (A7500)</t>
  </si>
  <si>
    <t>JLP - Aluguel V 1 a V 5 - Agosto 18 - Alexandre Couy (A500)</t>
  </si>
  <si>
    <t>GV - Aluguel Loja GV 1052 - Julho 18 - Irmas Figueiredo (A2050)</t>
  </si>
  <si>
    <t xml:space="preserve">6.903,41 </t>
  </si>
  <si>
    <t>GV - Compra mat. Limpeza Ed. NE + Apt 205 - EPA DMA DISTRIBUIDORA</t>
  </si>
  <si>
    <t>JLP - Pagamento de serviço - Leonardo Viana</t>
  </si>
  <si>
    <t>GV - Compra trincha condor - Ferragens Mineira</t>
  </si>
  <si>
    <t>GV - Compra vassoura guarape - Comercial Damasceno Costa Eireli</t>
  </si>
  <si>
    <t>GV - Compra sabão pó - EPA DMA DISTRIBUIDORA GV 1040</t>
  </si>
  <si>
    <t>JLP - Pagamento de serviço - Wender Jardim GV 1040</t>
  </si>
  <si>
    <t>JLP - Pagamento de serviço - Leonardo Viana GV 1040</t>
  </si>
  <si>
    <t>GV e JLP - Acerto conta xerox - Gráfica &amp; Bordados</t>
  </si>
  <si>
    <t xml:space="preserve">6.865,51 </t>
  </si>
  <si>
    <t xml:space="preserve">284156 </t>
  </si>
  <si>
    <t xml:space="preserve">8.365,51 </t>
  </si>
  <si>
    <t>GV - Pagamento serviços Serralheria - Eduardo Pereira GV 1040</t>
  </si>
  <si>
    <t>JLP - Pagamento Alexandre (D70) GV 1040</t>
  </si>
  <si>
    <t>JLP - Compra camisas e calças - Mucuri Comercio de Roupas Eireli - Uniformes</t>
  </si>
  <si>
    <t>GV - Pagamento de serviço - Leonardo Viana GV 1040</t>
  </si>
  <si>
    <t>JLP - Compra bucha e parafusos - CCM gv 1040</t>
  </si>
  <si>
    <t>JLP - Compra tinta p/ tecido - Mundo das Artes</t>
  </si>
  <si>
    <t>GV - Compra borracha de vedação - Ferragens Mineira</t>
  </si>
  <si>
    <t>GV - Compra tampa p/ condulete - Delevy GV 1040</t>
  </si>
  <si>
    <t>GV  - Compra 2 chaves + mola - Ponto das Chaves GV 1040</t>
  </si>
  <si>
    <t>GV - Compra caçamba areia - Areal do Noé</t>
  </si>
  <si>
    <t>GV - Serviços eletricista - José Felipe N. Bonfim - GV 1040</t>
  </si>
  <si>
    <t>JLP - Compra papel roller - Mundo da Arte</t>
  </si>
  <si>
    <t>GV - Compra rebite repuxo aluminio - Ferragens Mineira</t>
  </si>
  <si>
    <t xml:space="preserve">29/08/2018 </t>
  </si>
  <si>
    <t>GV - Acerto com a Copasa - esgotos na JP 603, GV 1060, 1052, 1050</t>
  </si>
  <si>
    <t xml:space="preserve">8.850,51 </t>
  </si>
  <si>
    <t>GV e JLP - Despesa c/ supermercado escritório açucar mat. limpeza EPA DMa DISTRIBUIDORA</t>
  </si>
  <si>
    <t>GV e JLP - Despesa c/ supermercado escritório papel higienico EPA DMa DISTRIBUIDORA</t>
  </si>
  <si>
    <t>JLP - Compra camisas e calças - Mucuri Comercio de Roupas Eireli</t>
  </si>
  <si>
    <t>GV - Pagamento calhas e instalação - Fábrica das Calhas</t>
  </si>
  <si>
    <t>GV - Pagamento - Faxina Edifício Nova Era - Vania (75) Dias 27/08 e 30/08</t>
  </si>
  <si>
    <t>GV - Pagamento - Faxina Apt 205 Irving - Vania (75) Dias 20/08 e 23/08</t>
  </si>
  <si>
    <t>JLP - Pagamento taxa de instalação inet</t>
  </si>
  <si>
    <t>JLP - Compra calças - Mucuri Comercio de Roupas eireli</t>
  </si>
  <si>
    <t xml:space="preserve">30/08/2018 </t>
  </si>
  <si>
    <t xml:space="preserve">8.850,62 </t>
  </si>
  <si>
    <t>GV - Aluguel Loja JP 607 - Agosto 18 - Antonio Celso (A1360)</t>
  </si>
  <si>
    <t>GV e JLP - xerox - GV Copiadora</t>
  </si>
  <si>
    <t>JLP - Pagamento nota fiscal 000.024.004 - LocMinas</t>
  </si>
  <si>
    <t>JLP - Pagamento nota fiscal 000.023.994 - LocMinas</t>
  </si>
  <si>
    <t xml:space="preserve">31/08/2018 </t>
  </si>
  <si>
    <t>02/08/2018</t>
  </si>
  <si>
    <t>051000</t>
  </si>
  <si>
    <t>000399</t>
  </si>
  <si>
    <t>000400</t>
  </si>
  <si>
    <t>03/08/2018</t>
  </si>
  <si>
    <t>JLP - MD Tintas</t>
  </si>
  <si>
    <t>000401</t>
  </si>
  <si>
    <t>06/08/2018</t>
  </si>
  <si>
    <t>07/08/2018</t>
  </si>
  <si>
    <t>711000</t>
  </si>
  <si>
    <t>JLP - Luso Brasil</t>
  </si>
  <si>
    <t>13/08/2018</t>
  </si>
  <si>
    <t>JLP - Cevejeira G1</t>
  </si>
  <si>
    <t>JLP - Frete Cervejeira G1</t>
  </si>
  <si>
    <t>14/08/2018</t>
  </si>
  <si>
    <t>GV - Caçambas entulho GV 1040</t>
  </si>
  <si>
    <t>000402</t>
  </si>
  <si>
    <t>15/08/2018</t>
  </si>
  <si>
    <t>JLP - Dablius Contabilidade Ago 18</t>
  </si>
  <si>
    <t>601000</t>
  </si>
  <si>
    <t>JLP - HSR - Aluguel Jul 18 (A 4980,50 - 5% Desc = 4731,47)</t>
  </si>
  <si>
    <t>GV - Adiantamento - Julho 18 - José Antonio</t>
  </si>
  <si>
    <t>000403</t>
  </si>
  <si>
    <t>JLP - Adiantamento - Julho 18 - Juaniz</t>
  </si>
  <si>
    <t>000404</t>
  </si>
  <si>
    <t>JLP - Pagamento Final JS Irrigação (Primeira 750,00 paga em 05/07/18)</t>
  </si>
  <si>
    <t>000406</t>
  </si>
  <si>
    <t>17/08/2018</t>
  </si>
  <si>
    <t>000405</t>
  </si>
  <si>
    <t>20/08/2018</t>
  </si>
  <si>
    <t>21/08/2018</t>
  </si>
  <si>
    <t>22/08/2018</t>
  </si>
  <si>
    <t>GV - Othon de Carvalho - GV 1040</t>
  </si>
  <si>
    <t>27/08/2018</t>
  </si>
  <si>
    <t>284167</t>
  </si>
  <si>
    <t>28/08/2018</t>
  </si>
  <si>
    <t>31/08/2018</t>
  </si>
  <si>
    <t>JLP - CAU - PPCI</t>
  </si>
  <si>
    <t>JLP - DAE PPCI</t>
  </si>
  <si>
    <t>Diego Dias de Souza - Instalação Porteiro Eletrônico</t>
  </si>
  <si>
    <t>JLP - Empréstimo sócio Irving</t>
  </si>
  <si>
    <t>GV e JLP - Conserto mangueira bomba de pressão</t>
  </si>
  <si>
    <t>GV - Aluguel St 01 - Ago e Set 18 - Fran (A1500) </t>
  </si>
  <si>
    <t>GV e JLP - Remédio analgésico Zé Antônio</t>
  </si>
  <si>
    <t>GV - Malha helanca terraço</t>
  </si>
  <si>
    <t>JLP - Aluguel GP 03 parcial mudança Jorg e Alice</t>
  </si>
  <si>
    <t>GV - Ponto das Chaves - GV 1040</t>
  </si>
  <si>
    <t>GV - SPE Park GV 1040</t>
  </si>
  <si>
    <t>GV - Reparos pia ap 205 (sem NF)</t>
  </si>
  <si>
    <t>GV - Gasolina Irv obra GV 1040</t>
  </si>
  <si>
    <t>GV - Veda rosca 1040</t>
  </si>
  <si>
    <t>JLP - Compra duas cadeiras jantar madeira (Casa Design - ap 304 BH)</t>
  </si>
  <si>
    <t xml:space="preserve">  </t>
  </si>
  <si>
    <t>GV - Condominio</t>
  </si>
  <si>
    <t xml:space="preserve">GV - Pagamento faxina ED NE </t>
  </si>
  <si>
    <t>GV - JLP Pagamneto faxina Vania ED NE</t>
  </si>
  <si>
    <t>GV -  Aluguel apt 205</t>
  </si>
  <si>
    <t xml:space="preserve">JLP - PAGAMENTO DARF EM CANAIS           INTERNET SIMPLES NACIONAL </t>
  </si>
  <si>
    <t xml:space="preserve">JLP - PGTO TITULO OUTRO BCO - INTERNET </t>
  </si>
  <si>
    <t xml:space="preserve">GV - - Dividido com JLP </t>
  </si>
  <si>
    <t xml:space="preserve">JLP - Dividido com JLP </t>
  </si>
  <si>
    <t>GV -  Auguel apt 203 julho 18</t>
  </si>
  <si>
    <t>Jan 2019</t>
  </si>
  <si>
    <t>GV - Aluguel V 9 DJA - Janeiro 19 - Rachid Sergio (A220)</t>
  </si>
  <si>
    <t>GV - Aluguel Apt Studio - Dezembro 18 - Fran de Oliveira Alavina (A1500)</t>
  </si>
  <si>
    <t>GV - Pagamento - Faxina Apt 205 Irving - Vania (75) Dias 26/12 e 28/12</t>
  </si>
  <si>
    <t>GV - Pagamento - Faxina Edifício Nova Era - Vania (75) Dias 31/12 e 03/01</t>
  </si>
  <si>
    <t>GV - Aluguel Apt 103 - Dezembro 18 - Arlete (A940+C80)</t>
  </si>
  <si>
    <t>JLP - Compra de pão para obra 26/12 a 04/01</t>
  </si>
  <si>
    <t>GV e JLP - Compra de pão para escritorio 26/12 a 04/01</t>
  </si>
  <si>
    <t>JLP - Compra aguarras, pincel e eletrodo - LocMinas (NF Contabilidade)</t>
  </si>
  <si>
    <t>JLP - Pagamento serviços - Roberto ???</t>
  </si>
  <si>
    <t>JLP - Despesas com supermercado(obra) açucar mat. Limpeza EPA DMa DISTRIBUIDORA</t>
  </si>
  <si>
    <t>GV - Compra mat. Limpeza - EPA DMA DISTRIBUIDORA</t>
  </si>
  <si>
    <t>GV - Aluguel Apt 104 - Dezembro 18 - Andressa (A990+C80-D40) </t>
  </si>
  <si>
    <t>GV - Aluguel Loja GV 1060 e JP 615 - Dez 18 - Tales Colombi (A5000)</t>
  </si>
  <si>
    <t xml:space="preserve">284464 </t>
  </si>
  <si>
    <t>GV - Reconhecimento firma - Cartório do 1º Ofício de Notas de Teófilo Otoni</t>
  </si>
  <si>
    <t>GV - Reconhecimento firma - Cartório do 2º Ofício de Notas de Teófilo Otoni</t>
  </si>
  <si>
    <t>JLP - Compra macanac. Verm - EPA DMA DISTRIBUIDORA</t>
  </si>
  <si>
    <t>JLP - Compra embalagens - Agricol</t>
  </si>
  <si>
    <t>JLP - Compra de bananas - (sem notinha ou comprovante)</t>
  </si>
  <si>
    <t>GV - Reconhecimento de firma - Cartório do 1º Ofício (sem notinha ou comprovante)</t>
  </si>
  <si>
    <t>GV e JLP - Adiantamento pagamento Mylla Murta</t>
  </si>
  <si>
    <t>GV - Aluguel GP JP 605 - Dezembro 18 - Fatima Cristina (A1975,42)</t>
  </si>
  <si>
    <t>GV - Aluguel Apt 202 - Dezembro 18 -  Juliana de Souza Bonfim (A1500) Pro rata</t>
  </si>
  <si>
    <t>GV - Construção de mobilias p/ apartamentos 204 e 102 - Jeferson Gomes Pereira</t>
  </si>
  <si>
    <t>GV - Cemig AP 201 - Encerramento</t>
  </si>
  <si>
    <t>GV - Cemig AP 202 - Encerramento</t>
  </si>
  <si>
    <t>GV - Aluguel V M DJA - Janeiro 18 - Sergio (A60)</t>
  </si>
  <si>
    <t>JLP - Aluguel Galpão 03 - Janeiro 19 - Jorg Paul</t>
  </si>
  <si>
    <t>JLP - Aluguel Galpão 03 - Fevereiro 19 - Jorg Paul</t>
  </si>
  <si>
    <t>GV - Aluguel Apt 204 - Agosto 18 - Michelle (A1245,02+C80+M124,50)</t>
  </si>
  <si>
    <t>GV - Aluguel Apt 105 - Novembro 18 - Michelle (A990+C80+M99)</t>
  </si>
  <si>
    <t>GV - Aluguel Loja GV 1050 - Mês 18 - By Fiapo (A3500)</t>
  </si>
  <si>
    <t>GV - Aluguel GP JP 603 - Dezembro 18 - Pollyana Bispo (A1900-D500+IPTU2/4-19,07)</t>
  </si>
  <si>
    <t>GV - Compra cantoneira 2cm 2mt - Vidraçaria Guanabara</t>
  </si>
  <si>
    <t>GV - Compra gesso - Só Gesso</t>
  </si>
  <si>
    <t>GV - Compra joelhos 90 - Continental</t>
  </si>
  <si>
    <t>GV - Compra trinco - Ponto das Chaves</t>
  </si>
  <si>
    <t>GV e JLP - Compra broca aço - Ferragens Mineira</t>
  </si>
  <si>
    <t>GV - Compra porca sextavada e bucha - Delevy</t>
  </si>
  <si>
    <t>GV - Compra prolongador - Continental</t>
  </si>
  <si>
    <t>GV - Aluguel V 3 DJA - Dezembro 18 - Fernando Henrique (A190)</t>
  </si>
  <si>
    <t>GV - Aluguel V 3 DJA - Janeiro 19 - Fernando Henrique (A190)</t>
  </si>
  <si>
    <t>JLP - Compra rolo de pele, rolo espuma - Continental</t>
  </si>
  <si>
    <t>GV - Aluguel ESP DJA - Janeiro 19 - Mario Monteiro (A80)</t>
  </si>
  <si>
    <t>GV - Compra copia de chave - Casa das Chaves</t>
  </si>
  <si>
    <t>GV e JLP - Compra pilhas alcalinas Panasonic - Drogaria Lages</t>
  </si>
  <si>
    <t xml:space="preserve">821000 </t>
  </si>
  <si>
    <t xml:space="preserve">111000 </t>
  </si>
  <si>
    <t xml:space="preserve">534000 </t>
  </si>
  <si>
    <t>GV - Ret Irv - Casa Cumuru</t>
  </si>
  <si>
    <t xml:space="preserve">284475 </t>
  </si>
  <si>
    <t>GV - Transferência CC Honorina</t>
  </si>
  <si>
    <t xml:space="preserve">729038 </t>
  </si>
  <si>
    <t>JLP - Compra bateria - Tv Som</t>
  </si>
  <si>
    <t>GV - Aluguel Loja GV 1052 - Dezembro 18 - Irmas Figueiredo (A2050)</t>
  </si>
  <si>
    <t>GV - Aluguel V 2 DJA - Janeiro 18 - Lucas Barreiros (A185)</t>
  </si>
  <si>
    <t>JLP - Despesas com supermercado(obra) café mat. Limpeza EPA DMa DISTRIBUIDORA</t>
  </si>
  <si>
    <t>GV - Ret Irv - Unimed BH - Encerramento</t>
  </si>
  <si>
    <t>GV - Compra veda calha - Luso Brasil</t>
  </si>
  <si>
    <t>JLP - Compra cimento mizu - Safra</t>
  </si>
  <si>
    <t>GV e JLP - Compra café resplendor - EPA DMA DISTRIBUIDORA</t>
  </si>
  <si>
    <t>JLP - Conserto da bomba eletrica - KM Máquinas</t>
  </si>
  <si>
    <t>JLP - Compra massa de vidraceiro - Vidraçaria Guanabara</t>
  </si>
  <si>
    <t>JLP - Compra Argamassa - Continental</t>
  </si>
  <si>
    <t>JLP - Compra capa de chuva - LocMinas (NF Contabilidade)</t>
  </si>
  <si>
    <t>JLP - Compra silicone incolor - LocMinas (NF Contabilidade)</t>
  </si>
  <si>
    <t>GV e JLP - Compra desempenadeira aco lisa - LocMinas (NF Contabilidade)</t>
  </si>
  <si>
    <t>GV - Pagamento - Faxina Apt 205 Irving - Vania (75) Dias 07/01 e 10/01</t>
  </si>
  <si>
    <t>GV - Pagamento - Faxina Edifício Nova Era - Vania (75) Dias 14/01 e 17/01</t>
  </si>
  <si>
    <t>JLP - Compra lixas agua - Continental</t>
  </si>
  <si>
    <t>GV - Pagamento Toninho Eletricista - Quadros aps</t>
  </si>
  <si>
    <t xml:space="preserve">284486 </t>
  </si>
  <si>
    <t>JLP - Compra de pão para obra 07/01 a 18/01</t>
  </si>
  <si>
    <t>GV e JLP - Compra de pão para escritorio 07/01 a 18/01</t>
  </si>
  <si>
    <t>JLP - Pagamento serviços - Sidney</t>
  </si>
  <si>
    <t>JLP - Aluguel Loja FSA 152 - Dezembro 18 - Alexandre Couy (A7500)</t>
  </si>
  <si>
    <t>JLP - Aluguel V 1 a V 5 - Janeiro 19 - Alexandre Couy (A500)</t>
  </si>
  <si>
    <t xml:space="preserve">GV - Tinta de rejuntes para aps </t>
  </si>
  <si>
    <t>JLP - Compra rolo pintura - Continental</t>
  </si>
  <si>
    <t>GV - Depósito conta Santander HON (Habitat)</t>
  </si>
  <si>
    <t>GV - Ret Irv - IPTU ap 304</t>
  </si>
  <si>
    <t xml:space="preserve">931000 </t>
  </si>
  <si>
    <t>GV - Transferência CC JLP - como aluguel Habitat</t>
  </si>
  <si>
    <t xml:space="preserve">284497 </t>
  </si>
  <si>
    <t>JLP - Compra joelho 90, luva soldavel, adesivo plastico - Continental</t>
  </si>
  <si>
    <t>GV - Compra tom. emb. Dupla - Delevy</t>
  </si>
  <si>
    <t>JLP - Compra trinchas - Continental</t>
  </si>
  <si>
    <t>GV - Compra tom. emb. dupla, caixa p/ luz - Delevy</t>
  </si>
  <si>
    <t>GV - Compra broca aco rapido - Ferragens Mineira</t>
  </si>
  <si>
    <t>JLP - Compra café obra - EPA DMA DISTRIBUIDORA</t>
  </si>
  <si>
    <t>GV - Ret Irv - Buffet Carol</t>
  </si>
  <si>
    <t>GV - Ret Naz Extra</t>
  </si>
  <si>
    <t>GV - Encerramento Cemig ap 202</t>
  </si>
  <si>
    <t>GV - Encerramento Cemig ap 204</t>
  </si>
  <si>
    <t>GV e JLP - Oi Esc - Encerramento</t>
  </si>
  <si>
    <t>GV - Oi NE - Encerramento</t>
  </si>
  <si>
    <t>GV - Aluguel V 5 DJA - Janeiro 19 - Gustavo (A185)</t>
  </si>
  <si>
    <t xml:space="preserve">784000 </t>
  </si>
  <si>
    <t>GV - Compra filtro - SOS Fogões</t>
  </si>
  <si>
    <t>GV - Compra lamp. Halogena - Lumiere</t>
  </si>
  <si>
    <t>JLP - Compra disco inox e parafuso auto brocante - Comercial Ferro e Aço</t>
  </si>
  <si>
    <t>JLP - Pagamento documento de arrecadação do Simples Nacional ????</t>
  </si>
  <si>
    <t>GV - Repasse entrada cxd</t>
  </si>
  <si>
    <t>GV - Transferência para caixa IRV</t>
  </si>
  <si>
    <t xml:space="preserve">503332 </t>
  </si>
  <si>
    <t>GV - Aluguel Loja JP 607 - Janeiro 19 - Antonio Celso (A1360)</t>
  </si>
  <si>
    <t xml:space="preserve">28/01/2019 </t>
  </si>
  <si>
    <t xml:space="preserve">721000 </t>
  </si>
  <si>
    <t>GV e JLP - Compra tela plastica, perfil aluminio - Ferragens Mineira</t>
  </si>
  <si>
    <t>JLP - Compra pincel de quadro - PapéToni</t>
  </si>
  <si>
    <t>GV - Aluguel Apt 104 - Janeiro 19 - Andressa (A990+C90) </t>
  </si>
  <si>
    <t>GV - Pagamento - Faxina Apt 205 Irving - Vania (75) Dias 21/01 e 24/01</t>
  </si>
  <si>
    <t>GV - Pagamento - Faxina Edifício Nova Era - Vania (75) Dias 28/01 e 31/01</t>
  </si>
  <si>
    <t>GV - Compra massa calaf. Mao - Comercial Loesh</t>
  </si>
  <si>
    <t>JLP - Despesas com supermercado(obra) açucar café EPA DMa DISTRIBUIDORA</t>
  </si>
  <si>
    <t>GV e JLP - Despesa c/ supermercado escritório café lanches irv EPA DMa DISTRIBUIDORA</t>
  </si>
  <si>
    <t>GV - Compra buchas parafusos brocas arruelas - Delevy (NF Contabilidade)</t>
  </si>
  <si>
    <t>GV - Compra disjuntores 40 mono e porcas - Delevy (NF Contabilidade)</t>
  </si>
  <si>
    <t>GV e JLP - CRA Irving</t>
  </si>
  <si>
    <t xml:space="preserve">371000 </t>
  </si>
  <si>
    <t>02/01/2019</t>
  </si>
  <si>
    <t>JLP - Pedreira Mattar - Solo brita e areia</t>
  </si>
  <si>
    <t>000452</t>
  </si>
  <si>
    <t>07/01/2019</t>
  </si>
  <si>
    <t>521000</t>
  </si>
  <si>
    <t>08/01/2019</t>
  </si>
  <si>
    <t>GV - Luso Brasil - Tintas GV</t>
  </si>
  <si>
    <t>861000</t>
  </si>
  <si>
    <t>09/01/2019</t>
  </si>
  <si>
    <t>JLP - CCM Parafusos - telhado JLP</t>
  </si>
  <si>
    <t>JLP - HSR - Aluguel Dez 18 (A 4980,50 - 5% Desc = 4731,47)</t>
  </si>
  <si>
    <t>10/01/2019</t>
  </si>
  <si>
    <t>GV - Friovix - Aparelhos ar condicionado GV - 2ª parcela Dez + multa</t>
  </si>
  <si>
    <t>11/01/2019</t>
  </si>
  <si>
    <t>15/01/2019</t>
  </si>
  <si>
    <t>JLP - Dablius Contabilidade Jan 19</t>
  </si>
  <si>
    <t>901000</t>
  </si>
  <si>
    <t>GV - Friovix - Aparelhos ar condicionado GV - 3ª parcela Jan - final</t>
  </si>
  <si>
    <t>911000</t>
  </si>
  <si>
    <t>729049</t>
  </si>
  <si>
    <t>729050</t>
  </si>
  <si>
    <t>729060</t>
  </si>
  <si>
    <t>17/01/2019</t>
  </si>
  <si>
    <t>JLP - Eirele Ferro e Aço - Telhado Fsa</t>
  </si>
  <si>
    <t>JLP - Safra</t>
  </si>
  <si>
    <t>000459</t>
  </si>
  <si>
    <t>18/01/2019</t>
  </si>
  <si>
    <t>271000</t>
  </si>
  <si>
    <t>JLP - MD Tintas G1</t>
  </si>
  <si>
    <t>21/01/2019</t>
  </si>
  <si>
    <t>22/01/2019</t>
  </si>
  <si>
    <t>JLP - FGTS - Retificação atestado licença Jorgiano</t>
  </si>
  <si>
    <t>JLP - GPS - Retificação atestado licença Jorgiano</t>
  </si>
  <si>
    <t>23/01/2019</t>
  </si>
  <si>
    <t>091000</t>
  </si>
  <si>
    <t>24/01/2019</t>
  </si>
  <si>
    <t>000458</t>
  </si>
  <si>
    <t>25/01/2019</t>
  </si>
  <si>
    <t>31/01/2019</t>
  </si>
  <si>
    <t>341000</t>
  </si>
  <si>
    <t xml:space="preserve">Tinta de rejuntes para aps </t>
  </si>
  <si>
    <t>JLP - Empréstimo sócios - CX</t>
  </si>
  <si>
    <t>JLP - Empréstimo sócios - BC</t>
  </si>
  <si>
    <t>GV - Acerto 2.3 Rescição ap 101. R$ 350 + R$ 400 em 07/01 + R$ 400 em 07/02</t>
  </si>
  <si>
    <t>JLP - Pedra de amolar facas</t>
  </si>
  <si>
    <t>GV - Repasse entrada cxd (Cx Leo)</t>
  </si>
  <si>
    <t>GV e JLP - Conserto bomba pressão</t>
  </si>
  <si>
    <t>Fev 2019</t>
  </si>
  <si>
    <t>GV - Aluguel V 9 DJA - Fevereiro 19 - Rachid Sergio (A220)</t>
  </si>
  <si>
    <t xml:space="preserve">729071 </t>
  </si>
  <si>
    <t xml:space="preserve">05/02/2019 </t>
  </si>
  <si>
    <t>GV - Aluguéis antecipados Ap 101 (5 meses com desconto)</t>
  </si>
  <si>
    <t xml:space="preserve">121958 </t>
  </si>
  <si>
    <t>GV- Transferência CC JLP - Empréstimo sócios</t>
  </si>
  <si>
    <t xml:space="preserve">06/02/2019 </t>
  </si>
  <si>
    <t>GV - Rescisão e acerto final Ap 103 - Arlete</t>
  </si>
  <si>
    <t xml:space="preserve">284508 </t>
  </si>
  <si>
    <t>GV - Repasse moedas a Irving - CX D</t>
  </si>
  <si>
    <t>GV e JLP - Pés borracha cavaletes</t>
  </si>
  <si>
    <t>GV e JLP - Mectosolda - trava carretinha</t>
  </si>
  <si>
    <t>GV - Material limpeza condomínio</t>
  </si>
  <si>
    <t>JLP - Material de pintura</t>
  </si>
  <si>
    <t>GV - Detergente</t>
  </si>
  <si>
    <t>GV - Trinchas pintura</t>
  </si>
  <si>
    <t>GV e JLP - Grafite</t>
  </si>
  <si>
    <t>GV - Gancho para cartaz na varanda studio</t>
  </si>
  <si>
    <t>GV - Rejunte piso ap 103</t>
  </si>
  <si>
    <t>GV - Transferência CXD Irving para encerramento</t>
  </si>
  <si>
    <t>GV e JLP - Despesas Padaria</t>
  </si>
  <si>
    <t>GV - Aluguel Loja GV 1052 - Janeiro 19 - Irmas Figueiredo (A2050) DN</t>
  </si>
  <si>
    <t>GV - Aluguel Loja GV 1052 - Janeiro 19 - Irmas Figueiredo (A2050) CH</t>
  </si>
  <si>
    <t>GV - Aluguel GP JP 605 - Janeiro 19 - Fatima Cristina (A1975,42)</t>
  </si>
  <si>
    <t>JLP - Pagamento Alexandre (D350)</t>
  </si>
  <si>
    <t>GV - Aluguel ESP DJA - Fevereiro 19 - Mario Monteiro (A80)</t>
  </si>
  <si>
    <t>GV - Depósito cc Honorina - Irving (CH 600)</t>
  </si>
  <si>
    <t>GV - Cemig AP 201 - ùltima conta antes da Juliana</t>
  </si>
  <si>
    <t xml:space="preserve">589415 </t>
  </si>
  <si>
    <t>GV - Aluguel Loja GV 1050 - Janeiro 19 - By Fiapo (A3500) CH</t>
  </si>
  <si>
    <t>GV - Compra massa - Comercial Loesch</t>
  </si>
  <si>
    <t>GV e JLP -  Repasse do Caixa para Irving</t>
  </si>
  <si>
    <t>GV - Aluguel V 2 DJA - Fevereiro 19 - Lucas Barreiros (A185)</t>
  </si>
  <si>
    <t>GV - Compra solvente - Luso Brasil</t>
  </si>
  <si>
    <t>GV - Compra de rolo pint - Luso Brasil</t>
  </si>
  <si>
    <t>GV - Compra de Lamp. Espiral 20w - Delevy</t>
  </si>
  <si>
    <t>GV - Compra de 01 bloco - Só Gesso</t>
  </si>
  <si>
    <t>GV - Compra Argamassa 20kg - Continental</t>
  </si>
  <si>
    <t>JLP - Compra de café e açucar - Epa DNA Distribuidora</t>
  </si>
  <si>
    <t>JLP - Compra de pao, suco, queijo e material de limpeza - Epa DNA Distribuidora</t>
  </si>
  <si>
    <t>JLP - Compra de café - Epa DNA Distribuidora</t>
  </si>
  <si>
    <t>GV - Compra de bateria - TV SOM</t>
  </si>
  <si>
    <t>GV - Pagamento - Faxina Edifício Nova Era - Vania (300) Dias 04/02, 07/02, 11/02 e 14/02</t>
  </si>
  <si>
    <t>JLP - Compra de duas canetas para escritorio - Papetoni</t>
  </si>
  <si>
    <t>JLP - Compra de saco de lixo  - Central Embalagens</t>
  </si>
  <si>
    <t xml:space="preserve">GV - Complemento para caixa inicial feito por Irving </t>
  </si>
  <si>
    <t xml:space="preserve">544000 </t>
  </si>
  <si>
    <t>GV e JLP - Despesas Padaria para escritório e obra</t>
  </si>
  <si>
    <t>GV - Conserto de persiana</t>
  </si>
  <si>
    <t>GV - Compra de gesso e linha - Só Gesso</t>
  </si>
  <si>
    <t>GV - Compra de Lamp. Espiral 15w - Delevy</t>
  </si>
  <si>
    <t>GV - Compra de Lixa Agua N-220 e N-400 - Continental</t>
  </si>
  <si>
    <t>GV - Compra de Corda Polip. - Casa do Campo</t>
  </si>
  <si>
    <t>JLP - Compra de material de limpeza - Epa DNA Distribuidora</t>
  </si>
  <si>
    <t xml:space="preserve">701000 </t>
  </si>
  <si>
    <t>GV - Aluguel V 5 DJA - Fevereiro 18 - Gustavo (A185)</t>
  </si>
  <si>
    <t xml:space="preserve">20/02/2019 </t>
  </si>
  <si>
    <t>JLP - Compra de eletrodo - Locminas (NF)</t>
  </si>
  <si>
    <t>JLP - Compra de rebite 412 - Comercial Loesch</t>
  </si>
  <si>
    <t>GV - Compra de detergente pó OMO - Coelho Diniz</t>
  </si>
  <si>
    <t>GV - Compra de lim CE Azulej - DNA distribuidora S/A</t>
  </si>
  <si>
    <t>GV - Compra Sifão, rejunte e lixa - Continental</t>
  </si>
  <si>
    <t xml:space="preserve">JLP - Simples Nacional Mylla </t>
  </si>
  <si>
    <t>GV - Saque cx eletrÔnico p CXD</t>
  </si>
  <si>
    <t>GV - Complemento do Caixa feito por Irving</t>
  </si>
  <si>
    <t>JLP - Pagamento Alexandre (D210)</t>
  </si>
  <si>
    <t>GV - Compra de veda trinca - Luso Brasil</t>
  </si>
  <si>
    <t>GV - Compra de luva, flanela, pano de chão - Otoni Utilidades</t>
  </si>
  <si>
    <t xml:space="preserve">041000 </t>
  </si>
  <si>
    <t>GV - Ferragens Mineira - Material limpeza aps 102, 103, 105 e 204</t>
  </si>
  <si>
    <t xml:space="preserve">412865 </t>
  </si>
  <si>
    <t>GV - Comercial Loesch - Removedor limpeza aps</t>
  </si>
  <si>
    <t xml:space="preserve">531265 </t>
  </si>
  <si>
    <t xml:space="preserve">26/02/2019 </t>
  </si>
  <si>
    <t>GV - Recheio de 2 almofadas ap 204</t>
  </si>
  <si>
    <t xml:space="preserve">530465 </t>
  </si>
  <si>
    <t>GV - Utensílios ap 204</t>
  </si>
  <si>
    <t xml:space="preserve">351165 </t>
  </si>
  <si>
    <t>GV - Saque cx eletrônico p CXD</t>
  </si>
  <si>
    <t>GV - Uai Brasil - Utensílios ap 204</t>
  </si>
  <si>
    <t xml:space="preserve">482465 </t>
  </si>
  <si>
    <t>GV - Quase 2 - Utensílios ap 204</t>
  </si>
  <si>
    <t xml:space="preserve">103965 </t>
  </si>
  <si>
    <t>GV - Otoni Utilidades - Utensílios ap 204</t>
  </si>
  <si>
    <t xml:space="preserve">560765 </t>
  </si>
  <si>
    <t>JLP - Aluguel Galpão 03 - Março 19 - Jorg Paul</t>
  </si>
  <si>
    <t>GV - Americanas - Utensílios ap 204</t>
  </si>
  <si>
    <t xml:space="preserve">365265 </t>
  </si>
  <si>
    <t>GV - Terapi Kids - Utensílios ap 204</t>
  </si>
  <si>
    <t xml:space="preserve">233065 </t>
  </si>
  <si>
    <t xml:space="preserve">314965 </t>
  </si>
  <si>
    <t>JLP - Pagamento Alexandre (D280)</t>
  </si>
  <si>
    <t>GV - Compra de dobradiça 35m - Comercial Loesch</t>
  </si>
  <si>
    <t>JLP - Compra de arrebite 4/2 - Comercial Loesch</t>
  </si>
  <si>
    <t>GV - Compra de fita crepe - Papel e Arte Papelaria</t>
  </si>
  <si>
    <t>GV - Compra de 06 buchas número  6 - Ponto das Chaves</t>
  </si>
  <si>
    <t>GV - Compra de fecho rolete gecele, parafuso, cabide - Ferragens Mineira</t>
  </si>
  <si>
    <t>GV e JLP - Compra de Açucar e pão - DNA Distribuidora EPA</t>
  </si>
  <si>
    <t xml:space="preserve">GV - Compra de argamassa 20kg - Continental </t>
  </si>
  <si>
    <t>JLP - Compra de joelho 45 esgoto e luva correr esgoto 100mm - Continental</t>
  </si>
  <si>
    <t>JLP - Compra de plugue bip.macho - Continental</t>
  </si>
  <si>
    <t>GV - Compra de porta talher e vaso para apto 204</t>
  </si>
  <si>
    <t>GV - Aluguel GP JP 603 - Janeiro 19 - Pollyana Bisco (A1900-D300+IPTU19,07)</t>
  </si>
  <si>
    <t>GV - Pagamento - Faxina Edifício Nova Era - Vania (300) Dias 18/02, 21/02, 25/02 e 28/02</t>
  </si>
  <si>
    <t xml:space="preserve">441000 </t>
  </si>
  <si>
    <t>GV - Luso materiais aps</t>
  </si>
  <si>
    <t>04/02/2019</t>
  </si>
  <si>
    <t>JLP - Empréstimo sócio - CXD</t>
  </si>
  <si>
    <t>729093</t>
  </si>
  <si>
    <t>729104</t>
  </si>
  <si>
    <t>05/02/2019</t>
  </si>
  <si>
    <t>06/02/2019</t>
  </si>
  <si>
    <t>GV - FGTS Retro</t>
  </si>
  <si>
    <t>JLP - Calhas e rufos Fsa</t>
  </si>
  <si>
    <t>000460</t>
  </si>
  <si>
    <t>GV e JLP - Salário Juaniz + abono anual</t>
  </si>
  <si>
    <t>000461</t>
  </si>
  <si>
    <t>000462</t>
  </si>
  <si>
    <t>15/02/2019</t>
  </si>
  <si>
    <t>JLP - HSR - Aluguel Jan 19 (A 4980,50 - 5% Desc = 4731,47)</t>
  </si>
  <si>
    <t>000463</t>
  </si>
  <si>
    <t>18/02/2019</t>
  </si>
  <si>
    <t>GV - Delevy - Terminais padrões Cemig</t>
  </si>
  <si>
    <t>GV e JLP - Luso (GV 382,66 + Fsa 237,24)</t>
  </si>
  <si>
    <t>JLP - Aluguel Loja FSA 152 - Jan 19 - Alex Couy (AL7500+ AV500)</t>
  </si>
  <si>
    <t>561410</t>
  </si>
  <si>
    <t>JLP - Adiantamento - Fev 19 - Jorgiano</t>
  </si>
  <si>
    <t>000464</t>
  </si>
  <si>
    <t>JLP - Adiantamento - Fev 19 - Juaniz</t>
  </si>
  <si>
    <t>000465</t>
  </si>
  <si>
    <t>19/02/2019</t>
  </si>
  <si>
    <t>20/02/2019</t>
  </si>
  <si>
    <t>JLP - GPS Retro jan</t>
  </si>
  <si>
    <t>561000</t>
  </si>
  <si>
    <t>JLP - GPS Retro dez</t>
  </si>
  <si>
    <t>21/02/2019</t>
  </si>
  <si>
    <t>JLP - Dablius Contabilidade Fev 19</t>
  </si>
  <si>
    <t>22/02/2019</t>
  </si>
  <si>
    <t>25/02/2019</t>
  </si>
  <si>
    <t>GV e JLP - Cofre parede ap 205</t>
  </si>
  <si>
    <t>JLP - Ventiladores Heólicos G1 e G4 Oficina (Merc 569,70 + Frete 130 = 669,70) Frete pg 07/03/19</t>
  </si>
  <si>
    <t>GV - Colchoart - Colchão ap 204</t>
  </si>
  <si>
    <t>27/02/2019</t>
  </si>
  <si>
    <t>GV - Sonobom - Sinal cama baú ap 204</t>
  </si>
  <si>
    <t>000470</t>
  </si>
  <si>
    <t>28/02/2019</t>
  </si>
  <si>
    <t>Pagamento estagiário - Janeiro 19 - Leonardo</t>
  </si>
  <si>
    <t>JLP - Empréstimo sócios - Pagamento BC</t>
  </si>
  <si>
    <t>GV - Caução Ap 204</t>
  </si>
  <si>
    <t>GV - Reconhecimento de firma</t>
  </si>
  <si>
    <t>GV - Acerto 3.3 Rescição ap 101. R$ 350 + R$ 400 em 07/01 + R$ 400 em 07/02</t>
  </si>
  <si>
    <t>GV - Aluguel Apt Studio - Janeiro 19 - Fran de Oliveira Alavina (A1500)</t>
  </si>
  <si>
    <t>GV - Aluguel Apt 105 - Dez 18 - Michelle (A990+C80+M99)</t>
  </si>
  <si>
    <t>GV - Aluguel Apt 105 - Jan 19 - Michelle (A990+C80)</t>
  </si>
  <si>
    <t>GV - Rescisão e acerto final Ap 105 - Michelle</t>
  </si>
  <si>
    <t>GV - Aluguel Loja GV 1060 e JP 615 - Jan 19 - Tales Colombi (A5000)</t>
  </si>
  <si>
    <t>GV - Ret Naz</t>
  </si>
  <si>
    <t>GV e JLP - Honorários Mylla</t>
  </si>
  <si>
    <t>GV e JLP - Pagamento estagiário - Jan 19 - Leonardo</t>
  </si>
  <si>
    <t>GV - JLP - Gasolina Leo</t>
  </si>
  <si>
    <t>GV e JLP - Pagamento estagiário - Janeiro 19 - Leonardo</t>
  </si>
  <si>
    <t>GV e JLP - Conserto trava carretinha</t>
  </si>
  <si>
    <t>GV - Material limpeza NE</t>
  </si>
  <si>
    <t>GV e JLP - Pés de borracha cavaletes</t>
  </si>
  <si>
    <t>GV - Rejunte</t>
  </si>
  <si>
    <t>GV - Ganchos zincados placa varanda</t>
  </si>
  <si>
    <t>GV e JLP - Grafite escritorio</t>
  </si>
  <si>
    <t>GV - Trinchas Luso</t>
  </si>
  <si>
    <t>JLP - Trincha e fita crepe Continental</t>
  </si>
  <si>
    <t xml:space="preserve">GV - Aluguel Apt 201 - Jan 19 - Juliana (A1500 - D300 + A 90)  </t>
  </si>
  <si>
    <t>GV - Gesso armário 105</t>
  </si>
  <si>
    <t>GV - Silicone</t>
  </si>
  <si>
    <t>GV - Lavagem tapete ap 201 (50% para cada)</t>
  </si>
  <si>
    <t>GV - Cópias chaves</t>
  </si>
  <si>
    <t>GV - Honorários Rafaela</t>
  </si>
  <si>
    <t>GV - Retirada Irv - Mesada Paula</t>
  </si>
  <si>
    <t>GV e JLP - Diesel</t>
  </si>
  <si>
    <t>GV e JLP - Adiantamento Mylla</t>
  </si>
  <si>
    <t>GV e JLP - Pilhas teclado Irv</t>
  </si>
  <si>
    <t>GV e JLP - Inet Esc Fsa (Desconto Mylla 50%)</t>
  </si>
  <si>
    <t>GV e JLP - Açaí Mylla (sem Notinha - Cartão Débiro Irv)</t>
  </si>
  <si>
    <t>GV - Ar Condicionado Studio GV - Fran</t>
  </si>
  <si>
    <t>GV - Materiais limpeza aps 102, 103, 105 e 204</t>
  </si>
  <si>
    <t>GV - Comercial Loesch - Acabamentos Armários 103</t>
  </si>
  <si>
    <t>JLP - Comercial Loesch - Arrebites Calha G1, 2 e 3</t>
  </si>
  <si>
    <t>GV - Empréstimo Irv para compra Ford 1931</t>
  </si>
  <si>
    <t>JLP - Compra Ford 1931</t>
  </si>
  <si>
    <t>JLP - Guincho Ford 1931</t>
  </si>
  <si>
    <t>GV - Aluguel Loja JP 607 - Fevereiro 19 - Antonio Celso (A1360)</t>
  </si>
  <si>
    <t>GV - Venda ar condicionado Abdulah (comissão Alexandre R$ 50,00)</t>
  </si>
  <si>
    <t>GV - Empréstimo Irv a JLP - Sinal compra Ford 1931</t>
  </si>
  <si>
    <t>JLP - Sinal Ford 1931 (S 7000 + 10,18)</t>
  </si>
  <si>
    <t>GV - Ret Naz - Adiantamento Março</t>
  </si>
  <si>
    <t>GV e JLP - Gasolina viagem Irv a BH</t>
  </si>
  <si>
    <t>Mar 2019</t>
  </si>
  <si>
    <t>GV - Pagamento serviços - Deusdete</t>
  </si>
  <si>
    <t>GV - Pagamento serviços - Juaniz</t>
  </si>
  <si>
    <t>GV - Pagamento Edimar - faxina apartamentos</t>
  </si>
  <si>
    <t>GV - Aluguel Apt 204 - Fevereiro 19 - Adesil (A933,33+C60) CH</t>
  </si>
  <si>
    <t>GV - Compra 04 travesseiros apto 204</t>
  </si>
  <si>
    <t>GV - IOF</t>
  </si>
  <si>
    <t>GV - IOF ADICIONAL</t>
  </si>
  <si>
    <t xml:space="preserve">06/03/2019 </t>
  </si>
  <si>
    <t xml:space="preserve">001000 </t>
  </si>
  <si>
    <t>GV - Aluguel V 9 DJA - Março 19 - Rachid Sergio (A220)</t>
  </si>
  <si>
    <t>GV - Compra de passo fio pequeno - Mundo da Arte</t>
  </si>
  <si>
    <t>JLP - Despesas Padaria para obra</t>
  </si>
  <si>
    <t>JLP - Despesas Padaria para escritório</t>
  </si>
  <si>
    <t>GV - Compra de tom.emn.29 - Delevy</t>
  </si>
  <si>
    <t>JLP - Compra de pera e café - DNA Distribuidora - EPA</t>
  </si>
  <si>
    <t>GV - Compra de peso para porta, rodo, pa e vassoura para apto 204 - Quase 2</t>
  </si>
  <si>
    <t>GV - Compra de broca Widia curta -  Ferrangens Mineira</t>
  </si>
  <si>
    <t>GV - Compra de modulo tomada, placa, modulo cego, modulo tomada 2p+t - Delevy</t>
  </si>
  <si>
    <t xml:space="preserve">GV - Compra de vidro incolor 50x10 - Vidraçaria Guanabara </t>
  </si>
  <si>
    <t>GV - Compra de silicone cinza para janela apto 204 - LocMinas</t>
  </si>
  <si>
    <t>JLP - Compra de fecho rotelo - Comercial Loesch</t>
  </si>
  <si>
    <t>JLP - Compra de cola, fecho rotelo, passa fio - Comercial Loesch</t>
  </si>
  <si>
    <t>GV - Aluguel Apt Studio - Fevereiro 19 - Fran de Oliveira Alavina (A1500)</t>
  </si>
  <si>
    <t>GV - Aluguel GP JP 605 - Fevereiro 19 - Fatima Cristina (CH675+1301DN =1976 A1975,42)</t>
  </si>
  <si>
    <t>JLP - MD Tintas -  Pedidos M02,M03,M05 (Tinta branco neve, cinza, azul harmonia, azul, Lixas, etc)</t>
  </si>
  <si>
    <t>GV e JLP -  Compra de bolo aniversário Juaniz</t>
  </si>
  <si>
    <t>GV e JLP - Compra de refrigerante, pao e mort.sadilarpe para lanche aniver.Juaniz / DNA Dist. EPA</t>
  </si>
  <si>
    <t>GV e JLP - Despesas Padaria para escritório</t>
  </si>
  <si>
    <t>GV e JLP - Pagamento serviços prestados Mylla Murta</t>
  </si>
  <si>
    <t>GV - Aluguel Loja GV 1060 e JP 615 - Fevereiro 19 - Tales Colombi (A5000) DN</t>
  </si>
  <si>
    <t xml:space="preserve">131000 </t>
  </si>
  <si>
    <t>GV - Aluguel Loja GV 1052 - Fevereiro 19 - Irmas Figueiredo (A2050) DN</t>
  </si>
  <si>
    <t>GV - Deposito conta Honorina (2000DN + 1688,30CH)</t>
  </si>
  <si>
    <t>JLP - Transferência CC JLP - Empréstimo sócios</t>
  </si>
  <si>
    <t xml:space="preserve">513361 </t>
  </si>
  <si>
    <t xml:space="preserve">082302 </t>
  </si>
  <si>
    <t>JLP - Compra rebite - Comercial Loesch</t>
  </si>
  <si>
    <t>JLP - Pagamento Rafaela</t>
  </si>
  <si>
    <t>GV - Cnova - Extra - Escada alumínio condomínio</t>
  </si>
  <si>
    <t>GV e JLP - TIM móvel Escritório - Fev 19</t>
  </si>
  <si>
    <t>GV e JLP - TIM Fixo Escritório - Fev 19</t>
  </si>
  <si>
    <t>GV - Aluguel V 2 DJA - Março 19 - Lucas Barreiros (A185)CH</t>
  </si>
  <si>
    <t>GV - Pagamento - Faxina Edifício Nova Era - Vania (300) Dias 07/03, 08/03, 11/03 e 14/03</t>
  </si>
  <si>
    <t>GV - Aluguel V 3 DJA - Fev e Março 19 - Fernando Henrique (A380)</t>
  </si>
  <si>
    <t>GV - Saida para Irving fazer deposito conta GV (CH 185)</t>
  </si>
  <si>
    <t xml:space="preserve">GV - Aluguel Loja GV 1050 - Fevereiro 19 - By Fiapo (2000 DN + 1500CH) </t>
  </si>
  <si>
    <t>GV - Saida para Irving fazer deposito conta GV (CH 1500)</t>
  </si>
  <si>
    <t>GV - Reconhecimento de firma da Izabela no contrato do apto 204 - Cart. 1º Of. Notas</t>
  </si>
  <si>
    <t>GV - Reconhecimento de firma do Irving no contrato do apto 204 - Cart. 2º Of. Notas</t>
  </si>
  <si>
    <t xml:space="preserve">GV - Aluguel V 7 DJA - Abril 19 - Luciana LA Boutique (A190 CH) </t>
  </si>
  <si>
    <t>GV - Aluguel V 7 DJA - Maio 19 - Luciana LA Boutique (A190 CH)</t>
  </si>
  <si>
    <t xml:space="preserve">181000 </t>
  </si>
  <si>
    <t>GV e JLP - TIM Fixo Escritório - Mar 19</t>
  </si>
  <si>
    <t xml:space="preserve">684000 </t>
  </si>
  <si>
    <t xml:space="preserve">518454 </t>
  </si>
  <si>
    <t xml:space="preserve">518443 </t>
  </si>
  <si>
    <t>GV - Aluguel ESP DJA - Março 19 - Mario Monteiro (A80)</t>
  </si>
  <si>
    <t>GV - Aluguel Apt 104 - Fevereiro 19 - Andressa (A990+C90) </t>
  </si>
  <si>
    <t>GV - Aluguel Apt 201 - Fevereiro 19 - Juliana (A1500+C90 - 300Desc.ateAbril) </t>
  </si>
  <si>
    <t xml:space="preserve">GV - Compra lixa massa n-220 e n-180 - Continental </t>
  </si>
  <si>
    <t>JLP - Compra de joelho 90 esgoto - Continental</t>
  </si>
  <si>
    <t>GV - Compra de fita crepe 24mmx50m adere - Continetal</t>
  </si>
  <si>
    <t xml:space="preserve">543065 </t>
  </si>
  <si>
    <t xml:space="preserve">JLP - Pagamento serviços prestados por Mahalali </t>
  </si>
  <si>
    <t>JLP - Pagamento serviços prestados nos dias 18 e 19/03/2019 - Deusdete</t>
  </si>
  <si>
    <t>GV - Caução Ap 103 - Monise</t>
  </si>
  <si>
    <t xml:space="preserve">JLP - Pão Wick 100% integral - DNA Distribuidora </t>
  </si>
  <si>
    <t>JLP - Compra Lapis carpinteiro - LocMinas</t>
  </si>
  <si>
    <t>JLP - Compra Pagamento padaria para obra</t>
  </si>
  <si>
    <t>GV - Compra Cantoneira 1,5m - Vidraçaria Guanabara</t>
  </si>
  <si>
    <t>JLP - Compra de arrebite - Comercial Loesch</t>
  </si>
  <si>
    <t>GV - Compra de kits suporte fino branco (2p) - Abba Decorações</t>
  </si>
  <si>
    <t>JLP - Compra de rebite - Comercial Loesch</t>
  </si>
  <si>
    <t>JLP - Compra de massa - Comercial Loesch</t>
  </si>
  <si>
    <t>JLP - Pagamento Simples Nacional Myla Teles</t>
  </si>
  <si>
    <t>GV - Reconhecimento de firma contratos do apto 103 - 2º Ofício</t>
  </si>
  <si>
    <t>JLP - Compra de recibos - Imprima BR Produtos de informática</t>
  </si>
  <si>
    <t>JLP - Pagamento serviços - Mylla</t>
  </si>
  <si>
    <t>GV - Cópia chave da porta do quarto apto 103 - Casa das Chaves</t>
  </si>
  <si>
    <t xml:space="preserve">JLP e GV - Repasse para Caixa Irving </t>
  </si>
  <si>
    <t>JLP - Osmar capoteiro 1.2 - Poltronas G1 (antigas Naz)</t>
  </si>
  <si>
    <t xml:space="preserve">000138 </t>
  </si>
  <si>
    <t>JLP -  Compra de Abacate, pera e mamão - DNA Distribuidora EPA</t>
  </si>
  <si>
    <t>GV - Compra de tom.em.2P+T 1349 - Delevy</t>
  </si>
  <si>
    <t>GV - Compra de tom.em.2p+T 1350 - Delevy</t>
  </si>
  <si>
    <t>JLP - Compra de trena aco c/trava - Continental</t>
  </si>
  <si>
    <t xml:space="preserve">JLP - Compra de porc.extra hd - Continental </t>
  </si>
  <si>
    <t>JLP - Despesas padaria com lanches da obra - Lanches da Praça</t>
  </si>
  <si>
    <t>JLP - Compra de rebite e broca - Comercial Loesch</t>
  </si>
  <si>
    <t>GV - Compra de cantoneira 1cmx2mts - Vidraçaria Guanabara</t>
  </si>
  <si>
    <t>GV - Aluguel V 5 DJA - Março 19 - Gustavo (A185)</t>
  </si>
  <si>
    <t>GV - Aluguel V 5 DJA - Abril 19 - Gustavo (A185 CH)</t>
  </si>
  <si>
    <t>GV - Aluguel V 5 DJA - Maio 19 - Gustavo (A185 CH)</t>
  </si>
  <si>
    <t>GV - Aluguel V 5 DJA - Junho 19 - Gustavo (A185 CH)</t>
  </si>
  <si>
    <t>GV - Compra de material de limpeza - DNA Distribuidora EPA</t>
  </si>
  <si>
    <t>JLP - Adiantamento pagamento serviços - Deusdete</t>
  </si>
  <si>
    <t xml:space="preserve">26/03/2019 </t>
  </si>
  <si>
    <t>GV - Ret Irv - Pagamento Igor Bracks 1.3</t>
  </si>
  <si>
    <t xml:space="preserve">253020 </t>
  </si>
  <si>
    <t>GV - Pagamento - Faxina - Vania (375) referente a 05 dias</t>
  </si>
  <si>
    <t>JLP - Aluguel Galpão 03 - Abril 19 - Jorg Paul</t>
  </si>
  <si>
    <t>GV - Aluguel Loja JP 607 - Março 19 - Antonio Celso (A1360)</t>
  </si>
  <si>
    <t>GV - Construção de mobilias p/ apartamentos 204 e 102 - 3.4 - Jeferson Gomes Pereira</t>
  </si>
  <si>
    <t xml:space="preserve">29/03/2019 </t>
  </si>
  <si>
    <t>GV - Ret Irv - DPVAT Suzuki Paula</t>
  </si>
  <si>
    <t xml:space="preserve">GV - Ret Irv - DPVAT HD </t>
  </si>
  <si>
    <t>GV - Ret Irv - DPVAT Tracker</t>
  </si>
  <si>
    <t>GV - Ret Irv - Licenciamento Suzuki Paula</t>
  </si>
  <si>
    <t>GV - Ret Irv - Licenciamento HD</t>
  </si>
  <si>
    <t>GV - Ret Irv - Licenciamento Tracker</t>
  </si>
  <si>
    <t>06/03/2019</t>
  </si>
  <si>
    <t>GV e JLP - MD Tintas (GV 259,90+ FSA 99,93)</t>
  </si>
  <si>
    <t>GV - Vidraçaria Guanabara - Espelho e prateleiras 102</t>
  </si>
  <si>
    <t>000466</t>
  </si>
  <si>
    <t>07/03/2019</t>
  </si>
  <si>
    <t>JLP - Frete Eólicos Gilmar França  (Merc 569,70 + Frete 130 = 669,70) Merc pg 25/02/19</t>
  </si>
  <si>
    <t>000471</t>
  </si>
  <si>
    <t>000472</t>
  </si>
  <si>
    <t>08/03/2019</t>
  </si>
  <si>
    <t>GV e JLP - Locminas  (Pasta de solda, graxa, silicone cinza, discos de corte, brocas,aguarras, lixas)</t>
  </si>
  <si>
    <t>000475</t>
  </si>
  <si>
    <t>11/03/2019</t>
  </si>
  <si>
    <t>GV - Tok &amp; Stok - Cadeiras, mesa e luminárias aps mobiliados GV</t>
  </si>
  <si>
    <t>101470</t>
  </si>
  <si>
    <t>12/03/2019</t>
  </si>
  <si>
    <t>082313</t>
  </si>
  <si>
    <t>GV - Silk 4 - Faixa apartamentos</t>
  </si>
  <si>
    <t>000473</t>
  </si>
  <si>
    <t>13/03/2019</t>
  </si>
  <si>
    <t>GV - Luso - Pedidos nº P104, P107, P108, 02,03,05 (Tinta branco neve, silicone,  argamassa, lixa, zarcao, sirfão)</t>
  </si>
  <si>
    <t>15/03/2019</t>
  </si>
  <si>
    <t>JLP - Dablius Contabilidade Mar 19</t>
  </si>
  <si>
    <t>531000</t>
  </si>
  <si>
    <t>JLP - HSR - Aluguel Fev 19 (A 4980,50 - 5% Desc = 4731,47)</t>
  </si>
  <si>
    <t xml:space="preserve">GV - Safra -  Pedido 01 (02 telhas de amianto) </t>
  </si>
  <si>
    <t>000476</t>
  </si>
  <si>
    <t>19/03/2019</t>
  </si>
  <si>
    <t>JLP - Aluguel Loja FSA 152 - Fev 19 - Alex Couy (AL7750+ AV525)</t>
  </si>
  <si>
    <t>516892</t>
  </si>
  <si>
    <t>JLP - Adiantamento - Mar 19 - Jorgiano</t>
  </si>
  <si>
    <t>000477</t>
  </si>
  <si>
    <t>JLP - Adiantamento - Mar 19 - Juaniz</t>
  </si>
  <si>
    <t>000478</t>
  </si>
  <si>
    <t>20/03/2019</t>
  </si>
  <si>
    <t>191000</t>
  </si>
  <si>
    <t>JLP - Cheque devolvido</t>
  </si>
  <si>
    <t>000324</t>
  </si>
  <si>
    <t>21/03/2019</t>
  </si>
  <si>
    <t>22/03/2019</t>
  </si>
  <si>
    <t>JLP - Pagamento registro INPI</t>
  </si>
  <si>
    <t>991000</t>
  </si>
  <si>
    <t>131030</t>
  </si>
  <si>
    <t>25/03/2019</t>
  </si>
  <si>
    <t>27/03/2019</t>
  </si>
  <si>
    <t>28/03/2019</t>
  </si>
  <si>
    <t>GV - Delevy (calha muninária 102, lamp. Led, 04 lampadas)</t>
  </si>
  <si>
    <t>431000</t>
  </si>
  <si>
    <t>GV e JLP - Luso GV 525,13 FS 60,65 (luvas, varas, joelhos, conector, galão camurça, cromo suave, massa, etc)</t>
  </si>
  <si>
    <t>291000</t>
  </si>
  <si>
    <t>29/03/2019</t>
  </si>
  <si>
    <t>Torneira G1</t>
  </si>
  <si>
    <t>Pagamento estagiário - Fevereiro 19 - Leonardo</t>
  </si>
  <si>
    <t>MD Tintas</t>
  </si>
  <si>
    <t>Galama</t>
  </si>
  <si>
    <t>GV e JLP - Almoço viagem BH</t>
  </si>
  <si>
    <t>GV e JLP - Tomada para a carretinha</t>
  </si>
  <si>
    <t>GV e JLP - Brocas Cofermeta</t>
  </si>
  <si>
    <t>JLP - Graxa Roçadeira</t>
  </si>
  <si>
    <t>JLP - Torneira G1</t>
  </si>
  <si>
    <t>GV - Estacionamento Ponteio</t>
  </si>
  <si>
    <t>GV e JLP - Lanche viagem</t>
  </si>
  <si>
    <t>JLP - Bateria controle portão</t>
  </si>
  <si>
    <t>JLP - Gasolina motossera</t>
  </si>
  <si>
    <t>JLP - FM - Convertedor ferrugem</t>
  </si>
  <si>
    <t>GV - Empréstimo Irving</t>
  </si>
  <si>
    <t xml:space="preserve">GV - Aluguel V 7 DJA - Mar 19 - Luciana LA Boutique (A190 CH) </t>
  </si>
  <si>
    <t>GV - Só Gesso - Ed NE</t>
  </si>
  <si>
    <t>GV e JLP - Óleo de máquina para lubrificação</t>
  </si>
  <si>
    <t>GV e JLP - Pilhas teclado</t>
  </si>
  <si>
    <t>GV e JLP - Chave de fenda e Phillips escritório</t>
  </si>
  <si>
    <t>GV - Aluguel temporário Loja GV 1040 - Abr e Mai</t>
  </si>
  <si>
    <t>JLP - Gasolina Obra - reposição a Irv</t>
  </si>
  <si>
    <t xml:space="preserve">GV -  Pagamento Faxina vania NE </t>
  </si>
  <si>
    <t xml:space="preserve">JLP -  Pagamento Faxina Vania </t>
  </si>
  <si>
    <t>JLP -  Aluguel apt 205</t>
  </si>
  <si>
    <t xml:space="preserve">GV - Diversas Dividido com JLP </t>
  </si>
  <si>
    <t>JLP - Diversas Dividido com GV</t>
  </si>
  <si>
    <t xml:space="preserve">GV - Mão De Obra Dividido com JLP </t>
  </si>
  <si>
    <t>JLP -  Mão De Obra Dividido com GV</t>
  </si>
  <si>
    <t xml:space="preserve">GV -  Materiais Dividido com JLP </t>
  </si>
  <si>
    <t>JLP - Materiais Dividido com GV</t>
  </si>
  <si>
    <t>GV - GPS Dividido com JLP</t>
  </si>
  <si>
    <t>GV - FGTS dividido com JLP</t>
  </si>
  <si>
    <t>GV</t>
  </si>
  <si>
    <t>JLP - FGTS dividido com GV</t>
  </si>
  <si>
    <t>CD</t>
  </si>
  <si>
    <t>CO</t>
  </si>
  <si>
    <t xml:space="preserve">GV - Pagamento faxina Vania </t>
  </si>
  <si>
    <t>GV - Pagamento Faxina Vania</t>
  </si>
  <si>
    <t xml:space="preserve">zbliario </t>
  </si>
  <si>
    <t>GV - IPTU</t>
  </si>
  <si>
    <t>gv</t>
  </si>
  <si>
    <t>jlp</t>
  </si>
  <si>
    <t xml:space="preserve">GV - Pagamento Faxina Vania NE </t>
  </si>
  <si>
    <t>GV - Pagamento Faxina Vania NE</t>
  </si>
  <si>
    <t>saldo final</t>
  </si>
  <si>
    <t>saldo inicial</t>
  </si>
  <si>
    <t>saldo dinheiro</t>
  </si>
  <si>
    <t>somatório déb +cre</t>
  </si>
  <si>
    <t>inicial</t>
  </si>
  <si>
    <t>final dinheiro</t>
  </si>
  <si>
    <t>dados</t>
  </si>
  <si>
    <t>Abr 2019</t>
  </si>
  <si>
    <t>GV - Aluguel V 9 DJA - Abril 19 - Rachid Sergio (A220)</t>
  </si>
  <si>
    <t>GV - Aluguel Apt 104 - Março 19 - Andressa (A990+C90) </t>
  </si>
  <si>
    <t>JLP - Compra material de limpeza - DNA Distribuidora - EPA</t>
  </si>
  <si>
    <t>GV - Conserto janelas ap 205 e 202</t>
  </si>
  <si>
    <t xml:space="preserve">000141 </t>
  </si>
  <si>
    <t xml:space="preserve">03/04/2019 </t>
  </si>
  <si>
    <t>GV e JLP - Tapete GV (172,62) e Material de limpeza JLP (215,33)</t>
  </si>
  <si>
    <t xml:space="preserve">420965 </t>
  </si>
  <si>
    <t xml:space="preserve">130465 </t>
  </si>
  <si>
    <t>GV - Aluguel Apt 204 - Março 19 - Adesil (A1400+C90) CH</t>
  </si>
  <si>
    <t xml:space="preserve">JLP - Compra de disco corte e broca ar 04,3mm - NF 25.828 - LOCMINAS </t>
  </si>
  <si>
    <t xml:space="preserve">JLP - Compra de flanela, pano de chão e esponja - Otoni Utilidades </t>
  </si>
  <si>
    <t>JLP - Compra marcador cd 2 pontas - Imprima BR Produto de Informatica</t>
  </si>
  <si>
    <t xml:space="preserve">JLP e GV - Compra de frutas para o escritorio, naftalina para apto Irving -  DNA Distribuidora EPA </t>
  </si>
  <si>
    <t>JLP - 04 Plastificações de legendas de projeto - Copiadora Copy Service</t>
  </si>
  <si>
    <t>JLP - Compra de rebite de repuxo - Comercial Loesch</t>
  </si>
  <si>
    <t>JLP - Compra de copo rainha 420 ml - Otoni Utilidades</t>
  </si>
  <si>
    <t xml:space="preserve">GV - Compra de lixa agua N-320 - Continental </t>
  </si>
  <si>
    <t xml:space="preserve">JLP - Compra de veneno para rato - Casa da ração </t>
  </si>
  <si>
    <t>JLP - Compra de prego 17x21 - Comercial Loesch</t>
  </si>
  <si>
    <t>GV - Compra de fechadura aliança F-2400 - Ponto das Chaves - Cafofo</t>
  </si>
  <si>
    <t>JLP - Compra de Verniz Sparlack Selador - Comercial Loesch</t>
  </si>
  <si>
    <t>JLP - Compra de arrebites 416 - Comercial Loesch</t>
  </si>
  <si>
    <t>GV - Compra de argamassa AC-1 20kg - Continental</t>
  </si>
  <si>
    <t>GV - Compra de bucha fixação nylon - Ferragens Mineira</t>
  </si>
  <si>
    <t>GV e JLP - Compra de Bom ar e mamão - DNA Distribuidora EPA</t>
  </si>
  <si>
    <t>JLP - Compra de frutas, café, açucar - DNA Distribuidora EPA</t>
  </si>
  <si>
    <t xml:space="preserve">GV - Compra de suporte para botijão </t>
  </si>
  <si>
    <t>GV - Pagamento mão de obra do conserto da janela apto 202 - Mahalali</t>
  </si>
  <si>
    <t>JLP - Pagamento padaria lanche colaboradores da obra  - Lanches da Praça Padaria e Lanchonete</t>
  </si>
  <si>
    <t xml:space="preserve">JLP - Compra  sifão uni, silicone - Continental </t>
  </si>
  <si>
    <t xml:space="preserve">GV - Compra rele sensor de presença - Delevy </t>
  </si>
  <si>
    <t xml:space="preserve">GV - Compra de fita crepe - Continental </t>
  </si>
  <si>
    <t xml:space="preserve">JLP - Compra de Gasolina Aditivada - JLM Derivados de Petroleo </t>
  </si>
  <si>
    <t>JLP - Cópia da chave da porta do jardim - Casa das chaves</t>
  </si>
  <si>
    <t>GV - Aluguel Apt Studio - Março 19 - Fran de Oliveira Alavina (A1500)</t>
  </si>
  <si>
    <t xml:space="preserve">JLP - Retirada para Irving </t>
  </si>
  <si>
    <t>JLP - Pagamento serviços Mylla</t>
  </si>
  <si>
    <t xml:space="preserve">831000 </t>
  </si>
  <si>
    <t>JLP - Adiantamento - Abr 19 - Jorgiano</t>
  </si>
  <si>
    <t>GV - Aluguel GP JP 605 - Março 19 - Fatima Cristina (A1975,42)</t>
  </si>
  <si>
    <t>Saída cheques para depósito feito por Irving</t>
  </si>
  <si>
    <t xml:space="preserve">769980 </t>
  </si>
  <si>
    <t>GV - Aluguel Apt 202 - Março 19 - Izabela (A1400+90cond)</t>
  </si>
  <si>
    <t>GV - Aluguel V 3 DJA - Abril 19 - Fernando Henrique (A190)</t>
  </si>
  <si>
    <t>GV - Aluguel Loja GV 1060 e JP 615 - Março 19 - Tales Colombi (A5000) DN</t>
  </si>
  <si>
    <t xml:space="preserve">GV - Ret Naz - Retirada feita por Irving para repasse a Honorina </t>
  </si>
  <si>
    <t>GV e JLP - Pagamento honorarios Rafaela</t>
  </si>
  <si>
    <t xml:space="preserve">781000 </t>
  </si>
  <si>
    <t>GV - Pagamento - Faxina - Vania (412,50)</t>
  </si>
  <si>
    <t>GV - Aluguel Apt 103 - (Março19 Pro Rata) - Monise (A490+C42+Ar23,30) </t>
  </si>
  <si>
    <t>GV - Aluguel V 4 DJA - (Março19 Pro Rata) - Monise (A70)</t>
  </si>
  <si>
    <t>GV - Aluguel ESP DJA - Abril 19 - Mario Monteiro (A80)</t>
  </si>
  <si>
    <t>GV - Ret Irv - Crossfit Carol</t>
  </si>
  <si>
    <t xml:space="preserve">000140 </t>
  </si>
  <si>
    <t>JLP - Osmar capoteiro 2.2 - Poltronas G1 (antigas Naz)</t>
  </si>
  <si>
    <t xml:space="preserve">000142 </t>
  </si>
  <si>
    <t>GV Ret Irv - Retirada feita por Irving</t>
  </si>
  <si>
    <t>JLP - Aluguel Loja FSA 152 - Março 19 - Alexandre Couy (A7750) CH</t>
  </si>
  <si>
    <t>JLP - Aluguel V 1 a V 5 - Abril 19 - Alexandre Couy (A525) CH</t>
  </si>
  <si>
    <t xml:space="preserve">434000 </t>
  </si>
  <si>
    <t>JLP - Passei para Irving fazer o depósito do CH Alexandre (Habitat)</t>
  </si>
  <si>
    <t>GV - Aluguel Loja GV 1052 - Março 19 - Irmas Figueiredo (A2050) DN</t>
  </si>
  <si>
    <t>JLP - Adiantamento honorarios Mylla</t>
  </si>
  <si>
    <t>GV - Ret Irv - Conta celular Marcio</t>
  </si>
  <si>
    <t>GV e JLP - Taxa licenciamento carretinha</t>
  </si>
  <si>
    <t xml:space="preserve">105894 </t>
  </si>
  <si>
    <t>GV - Aluguel V 2 DJA - Abril 19 - Lucas Barreiros (A185) CH</t>
  </si>
  <si>
    <t>JLP - Pagamento gesso para escritório / Mylla apresentará nota, passei o dinheiro pra ela</t>
  </si>
  <si>
    <t>JLP - Compra de lanche para escritorio e açucar e café para obra - DNA Distribuidora S/A</t>
  </si>
  <si>
    <t>JLP - Fita adesiva, borracha, regua, vasoplas - Otoni Utilidades</t>
  </si>
  <si>
    <t xml:space="preserve">JLP - Compra de fita crepe - Continental </t>
  </si>
  <si>
    <t>JLP - Compra de adesivo plastico c/ pincel - Continental</t>
  </si>
  <si>
    <t xml:space="preserve">JLP - Compra de mascara respiratoria - Continental </t>
  </si>
  <si>
    <t>JLP - Compra produtos de limpeza e lanche escritorio - DNA Distribuidora S/A EPA</t>
  </si>
  <si>
    <t xml:space="preserve">JLP - Compra de desempenadeira aço 12x24 - Continental </t>
  </si>
  <si>
    <t>JLP - Compra de argamassa 20kg - Continental</t>
  </si>
  <si>
    <t>JLP - Compra de modulo interr.Simples, placa 4x4 mod. 230 - Delevy</t>
  </si>
  <si>
    <t>JLP - Compra de disco diamantado turbo seco - LocMinas NF 25.876</t>
  </si>
  <si>
    <t>GV - Aluguel Apt 201 - Março 19 - Juliana (A1500+C90 - 300Desc.ateAbril) </t>
  </si>
  <si>
    <t>JLP - Pagamento serviços prestados por Deusdete período 15 a 18/04</t>
  </si>
  <si>
    <t>JLP - Pagamento serviços prestados por Roberto período 15 a 18/04</t>
  </si>
  <si>
    <t>JLP - Pagamento serviços de jardinagem prestados por Juaniz</t>
  </si>
  <si>
    <t>JLP - Pagamento gratificação Roberto</t>
  </si>
  <si>
    <t>JLP - Pagamento gratificação Juaniz</t>
  </si>
  <si>
    <t>JLP - Compra de caixa de bombom/páscoa para colaboradores da obra - Lojas Americanas</t>
  </si>
  <si>
    <t>JLP - Compra de coador e porta copo - Otoni Utilidades</t>
  </si>
  <si>
    <t>JLP - Compra de lazzuril kit verniz - Rei das Tintas</t>
  </si>
  <si>
    <t>JLP - Pagamento caçamba de terra - Flora e Vida</t>
  </si>
  <si>
    <t>JLP - Compra de resma de papel - Papetoni</t>
  </si>
  <si>
    <t>GV - Aluguel V 8 DJA - Abril 19 (prorata - 22/04 a 30/04) - Alysson Rocha (A60)</t>
  </si>
  <si>
    <t xml:space="preserve">091000 </t>
  </si>
  <si>
    <t>GV - Ret naz - seguro porto res 1.4</t>
  </si>
  <si>
    <t xml:space="preserve">161000 </t>
  </si>
  <si>
    <t>GV - Comissão Christiano Luz - 1a parcela (50%) ap 103</t>
  </si>
  <si>
    <t xml:space="preserve">000137 </t>
  </si>
  <si>
    <t xml:space="preserve">GV - Saída de cheque para depósito </t>
  </si>
  <si>
    <t xml:space="preserve">743643 </t>
  </si>
  <si>
    <t>JLP - 2º adiantamento honorarios Mylla</t>
  </si>
  <si>
    <t>GV - Pagamento - Faxina Edifício Nova Era - Vania (300) Dias 15,18,22 e 25/04</t>
  </si>
  <si>
    <t>GV - Ret Irv - seguro porto res 1.4</t>
  </si>
  <si>
    <t xml:space="preserve">042708 </t>
  </si>
  <si>
    <t>JLP - Pagamento serviços prestados por Deusdete período 22 a 26/04</t>
  </si>
  <si>
    <t>JLP - Pagamento serviços prestados por Roberto período 22 a 26/04</t>
  </si>
  <si>
    <t>GV - Pagamento conserto de duas portas loja 1040 - Bida</t>
  </si>
  <si>
    <t>GV - Aluguel Loja JP 607 - Abril 19 - Antonio Celso (A1465+130IPTU)</t>
  </si>
  <si>
    <t>JLP - Compra de lixa N-180 e N-220 - Continental</t>
  </si>
  <si>
    <t xml:space="preserve">JLP - Compra de Caixa Luz - Continetal </t>
  </si>
  <si>
    <t>JLP - Pagamento Alvará de localização e funcionamento Mylla Teles</t>
  </si>
  <si>
    <t>JLP - Compra sisal - Só Gesso</t>
  </si>
  <si>
    <t>JLP - Compra de bucha e parafuso - CCM Parafusos</t>
  </si>
  <si>
    <t>JLP - Compra de GK Boina de amarrar - Rei das Tintas</t>
  </si>
  <si>
    <t>JLP - Compra de Argamassa porcelanato 20kg - Continental</t>
  </si>
  <si>
    <t>JLP - Adiantamento honorarios Rafaela, descontar na diferença a ser paga do mês 03/19.</t>
  </si>
  <si>
    <t>02/04/2019</t>
  </si>
  <si>
    <t>GV - Marmoraria Galama - pedra ap 105</t>
  </si>
  <si>
    <t>000481</t>
  </si>
  <si>
    <t xml:space="preserve">GV - Colchoart </t>
  </si>
  <si>
    <t>000482</t>
  </si>
  <si>
    <t>000484</t>
  </si>
  <si>
    <t>000485</t>
  </si>
  <si>
    <t>03/04/2019</t>
  </si>
  <si>
    <t>GV e JLP - Delevy - Pedido nº21 (luvas, varas, joelhos, conector)</t>
  </si>
  <si>
    <t>211000</t>
  </si>
  <si>
    <t>04/04/2019</t>
  </si>
  <si>
    <t>GV - Cestas básicas - Supermercado Universal</t>
  </si>
  <si>
    <t>000480</t>
  </si>
  <si>
    <t>05/04/2019</t>
  </si>
  <si>
    <t xml:space="preserve">GV e JLP - Locminas - GV,FSA, JLP Pedidos nº 15,20,22,24,29 (silicone, peneira, tesouras,maskface,disco,arame, alicate) </t>
  </si>
  <si>
    <t>000486</t>
  </si>
  <si>
    <t>08/04/2019</t>
  </si>
  <si>
    <t xml:space="preserve">JLP - Cofermeta - Roçadeira Sthill </t>
  </si>
  <si>
    <t>851000</t>
  </si>
  <si>
    <t>11/04/2019</t>
  </si>
  <si>
    <t>JLP - HSR - Aluguel Mar 19 (A 4980,50 - 5% Desc = 4731,47)</t>
  </si>
  <si>
    <t>768220</t>
  </si>
  <si>
    <t>12/04/2019</t>
  </si>
  <si>
    <t>15/04/2019</t>
  </si>
  <si>
    <t>JLP - Dablius Contabilidade Abr 19</t>
  </si>
  <si>
    <t>781000</t>
  </si>
  <si>
    <t>16/04/2019</t>
  </si>
  <si>
    <t>105894</t>
  </si>
  <si>
    <t>GV - Sonobom - Restante cama baú ap 204 _ NF movimento contabil de fevereiro</t>
  </si>
  <si>
    <t>000468</t>
  </si>
  <si>
    <t>17/04/2019</t>
  </si>
  <si>
    <t>18/04/2019</t>
  </si>
  <si>
    <t>GV - Terra e Entulho</t>
  </si>
  <si>
    <t>000479</t>
  </si>
  <si>
    <t>JLP - Adiantamento - Abr 19 - Juaniz</t>
  </si>
  <si>
    <t>000487</t>
  </si>
  <si>
    <t>22/04/2019</t>
  </si>
  <si>
    <t>265530</t>
  </si>
  <si>
    <t>23/04/2019</t>
  </si>
  <si>
    <t>25/04/2019</t>
  </si>
  <si>
    <t>042708</t>
  </si>
  <si>
    <t>30/04/2019</t>
  </si>
  <si>
    <t>571000</t>
  </si>
  <si>
    <t>JLP - Pagamento IPTU Fco Sá 152</t>
  </si>
  <si>
    <t>JLP - Pagamento IPTU Fco Sá 152 b</t>
  </si>
  <si>
    <t>JLP - Pagamento IPTU Fco Sá 152 c</t>
  </si>
  <si>
    <t>JLP - Pagamento IPTU Fco Sá 152 d</t>
  </si>
  <si>
    <t>JLP - Pagamento IPTU Fco Sá 152 e</t>
  </si>
  <si>
    <t>JLP - Pagamento IPTU MC 217</t>
  </si>
  <si>
    <t>GV e JLP - Alimentação viagem BH</t>
  </si>
  <si>
    <t>GV - Utensílios cozinha Ap 205</t>
  </si>
  <si>
    <t xml:space="preserve">GV - Aluguel Loja GV 1050 - Março 19 - By Fiapo (2000 DN + 1500CH) </t>
  </si>
  <si>
    <t>GV e JLP - Pagamento MHE Consulting</t>
  </si>
  <si>
    <t>JLP - Paraná Ferragens - Treliça</t>
  </si>
  <si>
    <t>Mai 2019</t>
  </si>
  <si>
    <t>GV - Aluguel GP JP 603 - Fevereiro 19 - Pollyana Bisco (A1900-D400+IPTU19,07)</t>
  </si>
  <si>
    <t>GV - Aluguel V 9 DJA - Maio 19 - Rachid Sergio (A220)</t>
  </si>
  <si>
    <t xml:space="preserve">GV - Aluguel V 8 DJA - Maio 19 - Alysson Rocha </t>
  </si>
  <si>
    <t>GV - Aluguel Apt 104 - Abril 19 - Andressa (A1010+C90) </t>
  </si>
  <si>
    <t>JLP - Compra de café para obra - DNA distribuidora EPA</t>
  </si>
  <si>
    <t>GV e JLP - Inet Esc Fsa - Abril</t>
  </si>
  <si>
    <t>JLP - Pagamento serviços prestados por Roberto período 29 e 30 de abril e 02 e 03 de maio</t>
  </si>
  <si>
    <t xml:space="preserve">GV - Repasse para Irving </t>
  </si>
  <si>
    <t>GV - Aluguel Apt 204 - Abril 19 - Adesil (A1400+C90 CH) + 169,87 IPTU DN</t>
  </si>
  <si>
    <t>GV - Reconhecimento de firma contratos dos aptos 102 e 105 - 2º Ofício</t>
  </si>
  <si>
    <t>GV - Aluguel Apt Studio - Abril 19 - Fran de Oliveira Alavina (A1500)</t>
  </si>
  <si>
    <t>GV - Ret Irv - Pagamento Igor Bracks 2.3</t>
  </si>
  <si>
    <t xml:space="preserve">103349 </t>
  </si>
  <si>
    <t xml:space="preserve">171000 </t>
  </si>
  <si>
    <t>GV - Envio correspondencias Michelle apto 105- Correios</t>
  </si>
  <si>
    <t xml:space="preserve">GV e JLP - Adiantamento honorários Mylla </t>
  </si>
  <si>
    <t>JLP - Aluguel Galpão 03 - Maio 19 - Jorg Paul</t>
  </si>
  <si>
    <t>GV - Aluguel Apt 202 - Abril 19 - Izabela (A1400+90cond+23,58IPTU)</t>
  </si>
  <si>
    <t>GV e JLP - Pagamento honorários Mylla mês 04/19, descontados os adiantamentos</t>
  </si>
  <si>
    <t>GV e JLP - Pagamento honorários Rafaela (2490 mes04/19  + 187,35 dif.honorarios mês 03/19)</t>
  </si>
  <si>
    <t>GV - Aluguel GP JP 605 - Abril19 - Fatima Cristina (A 2138,96 + 183 IPTU)</t>
  </si>
  <si>
    <t>JLP - Pagamento serviços prestados por Roberto período 06,07,08 e 09 de maio</t>
  </si>
  <si>
    <t>JLP - Compra de Fita crepe 48mmx50m e 24mmx50m - Continental</t>
  </si>
  <si>
    <t>GV - Compra de prateleira de vidro apto 102 - Vidraçaria Guanabara</t>
  </si>
  <si>
    <t>GV - Compra de suporte red.c/paraf. - Comercial Loesch</t>
  </si>
  <si>
    <t>JLP - Compra de fita isolante - Continental</t>
  </si>
  <si>
    <t>JLP - Compra de máscara respiratória - Continental</t>
  </si>
  <si>
    <t>JLP - Compra de açúcar para café obra - DNA Distribuidora Epa</t>
  </si>
  <si>
    <t>JLP - Compra de frutas, pão, lanche escritório - DNA Distribuidora Epa</t>
  </si>
  <si>
    <t>JLP - Duas chaves para o cofre - Ponto das Chaves</t>
  </si>
  <si>
    <t>GV - Aluguel Apt 103 - Abril 2019 - Monise (A1050+Cond90+Ar50+IPTU28,05)</t>
  </si>
  <si>
    <t>GV - Aluguel V 4 DJA - Abril 2019 - Monise (A150)</t>
  </si>
  <si>
    <t>GV e JLP - Compra material de limpeza para o prédio e lanche p/escritorio - DNA Distribuidora</t>
  </si>
  <si>
    <t>GV - Compra de aparador madeira demolição para loft - Ivana</t>
  </si>
  <si>
    <t xml:space="preserve">10/05/2019 </t>
  </si>
  <si>
    <t xml:space="preserve">921000 </t>
  </si>
  <si>
    <t>GV - Aluguel V 2 DJA - Maio 19 - Lucas Barreiros (A185)</t>
  </si>
  <si>
    <t>GV - Aluguel Loja GV 1050 - Abril 19 - By Fiapo (A3500 + 90,73 IPTU) 2390,73DN+1200CH</t>
  </si>
  <si>
    <t>GV - Caução contrato aluguel loft - Adriano (3000)</t>
  </si>
  <si>
    <t>GV - Ret Irv - Zé do Brejo 1.3</t>
  </si>
  <si>
    <t xml:space="preserve">000146 </t>
  </si>
  <si>
    <t>GV - Aluguel Apt 105 - Abril 2019 Pro rata (17 a 30/04) - Gilmenia (A476+Cond42+IPTU20,72)</t>
  </si>
  <si>
    <t>GV - Saída de cheques p/ depósito conta Honorina (185Gust+190Luci+1490Adesil+185Lucas)- Irivng</t>
  </si>
  <si>
    <t>GV - Saída para depósito conta Honorina  - por Irving</t>
  </si>
  <si>
    <t xml:space="preserve">GV - Repasse para caixa Irving </t>
  </si>
  <si>
    <t>GV - Aluguel Apt 102 - Abril 2019 Pro rata (08 a 30/04) - Amaury (A728,33+Cond69+IPTU18,63)</t>
  </si>
  <si>
    <t>GV - Aluguel Loja GV 1052 - Abril 19 - Irmas Figueiredo (A2050) DN</t>
  </si>
  <si>
    <t>JLP - Compra presente de Mylla - Fai Factoring VT Confecções LTDA</t>
  </si>
  <si>
    <t xml:space="preserve">474000 </t>
  </si>
  <si>
    <t xml:space="preserve">729126 </t>
  </si>
  <si>
    <t>GV - Depósito CXD em CC Hon</t>
  </si>
  <si>
    <t xml:space="preserve">174319 </t>
  </si>
  <si>
    <t xml:space="preserve">284520 </t>
  </si>
  <si>
    <t>GV Ret Irv - Vinhos Carlão</t>
  </si>
  <si>
    <t>GV - Ret Irv - Vivo GVT - Encerramento</t>
  </si>
  <si>
    <t>JLP - Compra de bolo aniversário Mylla - Raquel Luiza</t>
  </si>
  <si>
    <t>JLP - Compra de mortadela, coca e pão p/aniversário Mylla - DNA Distribuidora S/A</t>
  </si>
  <si>
    <t>JLP - Compra de balão e vela para aniversário Mylla - Hollyfestas</t>
  </si>
  <si>
    <t>JLP - Reconhecimento de firma contratos lof, Adriano - 2º Ofício de Notas</t>
  </si>
  <si>
    <t>GV - Pagamento - Faxina Edifício Nova Era - Vania (300) Dias 29/04, 09,13 e 16 de maio/2019</t>
  </si>
  <si>
    <t>GV - Ret Irv - Festa Nacif</t>
  </si>
  <si>
    <t xml:space="preserve">GV - Ret Naz - esocial com erros </t>
  </si>
  <si>
    <t>GV - Ret Naz - esocial com erros 13º</t>
  </si>
  <si>
    <t>GV - Aluguel Apt 201 - Abril 19 - Juliana (A1500+C90+Iptu 28,28 - 300Desc.ateAbril) </t>
  </si>
  <si>
    <t>JLP - Compra de rolamento - Leo pneus e rolamentos</t>
  </si>
  <si>
    <t>JLP - Compra de saco de gesso  - Só gesso</t>
  </si>
  <si>
    <t>GV - Compra de lamp.led bolinha para Loft - Delevy</t>
  </si>
  <si>
    <t>GV - Compra de lampada elet.taschibra - Ferragens Mineira</t>
  </si>
  <si>
    <t>JLP - Compra de materiais de limpeza e banana p/escritorio - DNA Distribuidora Epa</t>
  </si>
  <si>
    <t>GV - Compra de 01 adaptador tipo T para o Loft - Ponto das Chaves</t>
  </si>
  <si>
    <t xml:space="preserve">GV - Compra de extensão para loft - Otoni Utilidades </t>
  </si>
  <si>
    <t>GV - Compra de lampada led bolinha para Loft - Delevy</t>
  </si>
  <si>
    <t>JLP - Compra de pão, queijo e presunto lanche escritório - DNA Distribuidora Epa</t>
  </si>
  <si>
    <t>GV - Compra de porta cadeado aliança p/porta da esquina mezanino - Ferragens Mineira</t>
  </si>
  <si>
    <t>GV - Compra de cortina box e cortina pia para loft - Otoni Utilidades</t>
  </si>
  <si>
    <t>JLP - Pagamentos serviços prestados por Roberto nos dias 13,14,15(meio periodo),17 de maio 19</t>
  </si>
  <si>
    <t>JLP - Pagamento adiantamento honorários Mylla</t>
  </si>
  <si>
    <t>GV - Saída para depósito conta Honorina por Irving</t>
  </si>
  <si>
    <t xml:space="preserve">GV - Ret Naz - Vivo </t>
  </si>
  <si>
    <t xml:space="preserve">731000 </t>
  </si>
  <si>
    <t xml:space="preserve">641000 </t>
  </si>
  <si>
    <t xml:space="preserve">GV - Advogada proceso Cristina 1.2 - Eliene Alves Souza </t>
  </si>
  <si>
    <t>GV - Construção de mobilias p/ apartamentos 204 e 102 - 4.4 - Jeferson Gomes Pereira</t>
  </si>
  <si>
    <t xml:space="preserve">165829 </t>
  </si>
  <si>
    <t xml:space="preserve">165845 </t>
  </si>
  <si>
    <t>GV - Quadros aps Mundo da Arte 1.2</t>
  </si>
  <si>
    <t xml:space="preserve">000144 </t>
  </si>
  <si>
    <t>JLP - Compra de gesso cola - Só Gesso</t>
  </si>
  <si>
    <t>GV - Aluguel ESP DJA - Maio 19 - Mario Monteiro (A80)</t>
  </si>
  <si>
    <t>GV e JLP - Pagamento Serviços marketing - Carol - Abril</t>
  </si>
  <si>
    <t xml:space="preserve">331000 </t>
  </si>
  <si>
    <t>GV e JLP - Inet Esc Fsa - Maio</t>
  </si>
  <si>
    <t xml:space="preserve">351000 </t>
  </si>
  <si>
    <t>GV - Aluguel V 3 DJA - Maio 19 - Fernando Henrique (A190)</t>
  </si>
  <si>
    <t xml:space="preserve">JLP - Aluguel vagas - Maio 19 - Habitat </t>
  </si>
  <si>
    <t>JLP - Aluguel loja - Abril 2019 - Habitat (7750A+309,75IPTU)</t>
  </si>
  <si>
    <t>GV - Passei para Milla entregar Irving p/ fazer o depósito dos CHs Alexandre (Habitat)</t>
  </si>
  <si>
    <t>GV - Pagamento da higienização de equipamentos de ar condicionado - Ramos e Silva</t>
  </si>
  <si>
    <t xml:space="preserve">20/05/2019 </t>
  </si>
  <si>
    <t>JLP - Pagamento mao de obra instação de janelas e portas de vidro - Mahalali</t>
  </si>
  <si>
    <t>JLP - Pagamento vidros - Mahalali</t>
  </si>
  <si>
    <t>GV - Cópia chave da porta do quartinho/limpeza - Casa das Chaves</t>
  </si>
  <si>
    <t>GV - Saída para depósito conta Honorina</t>
  </si>
  <si>
    <t>GV - Pagamento Fogão e geladeira comprados em GV para apartamentos</t>
  </si>
  <si>
    <t xml:space="preserve">751000 </t>
  </si>
  <si>
    <t xml:space="preserve">284574 </t>
  </si>
  <si>
    <t>GV - Compra de aribite - Comercial Loesch</t>
  </si>
  <si>
    <t>JLP - Compra de lanche para escritorio - DNA Distribuidora EPA</t>
  </si>
  <si>
    <t>JLP - Compra de aguarras - Continental</t>
  </si>
  <si>
    <t>JLP - Compra de prato plastico para rosas - Quase Dois</t>
  </si>
  <si>
    <t>JLP - Compra de espuma pedreiro cinza - Continental</t>
  </si>
  <si>
    <t>JLP - Compra de caneta 0,7 - Papel e Arte</t>
  </si>
  <si>
    <t>JLP - Compra de curativo, compressa, esparadrapo, salonpas - Indiana</t>
  </si>
  <si>
    <t>GV - Alugueis atrasados nov/18 a maio/19 +pintura+vistoria - apto 203 - Marina</t>
  </si>
  <si>
    <t>GV - Saída do cheque apto 203, Marina, para depósito por Irving</t>
  </si>
  <si>
    <t xml:space="preserve">284585 </t>
  </si>
  <si>
    <t>GV - Entrada feita por Irving, por Mylla</t>
  </si>
  <si>
    <t xml:space="preserve">JLP - Pagamento serviços prestados nos dias 20,21,22,23 e 24 de maio/19 - Roberto </t>
  </si>
  <si>
    <t>GV - Ret naz - seguro porto res 2.4</t>
  </si>
  <si>
    <t>GV - Ret Irv - seguro porto res 2.4</t>
  </si>
  <si>
    <t>JLP - Aluguel Galpão 03 - Junho 19 - Jorg Paul</t>
  </si>
  <si>
    <t>JLP - Compra de café e açucar para colaboradores da obra e frutas escritorio - DNA Distribuidora</t>
  </si>
  <si>
    <t>JLP - Compra de 04 pilhas para rádio colaboradores - Drogaria Lages</t>
  </si>
  <si>
    <t>JLP - Compra de bandeja para pintura - Luso Brasil</t>
  </si>
  <si>
    <t>GV - Compra de lampada bolinha p/ garagem - Delevy</t>
  </si>
  <si>
    <t>JLP - Compra de tubo red. 1 1/4 - Paraná Ferragens</t>
  </si>
  <si>
    <t>JLP - Compra de tubo red 1 CH 2,00 - Paraná ferragens</t>
  </si>
  <si>
    <t>JLP - Pagamento premio produtividade Jorgiano</t>
  </si>
  <si>
    <t>GV - Aluguel Loja JP 607 - Maio 19 - Antonio Celso (A1464)</t>
  </si>
  <si>
    <t>JLP - Pagamento mão de obra e terra p/tijolinhos - Jorgiano</t>
  </si>
  <si>
    <t>JLP - Compra de produtos de limpeza para galpão 1 - Edson Chaves - líquido Rosa</t>
  </si>
  <si>
    <t>GV - Aluguel V 6 DJA - 2 dias mês Maio/19 e Mês 06/19 - Urias Santana (256) (240junho+16maio)</t>
  </si>
  <si>
    <t>GV - Pagamento - Faxina Edifício Nova Era - Vania (375) Dias 20,23,27,29,30 de maio/2019</t>
  </si>
  <si>
    <t>GV - Aluguel Apt 103 - Maio 2019 - Monise (A1050+Cond90+Ar27,41 (pro rata)+IPTU28,05)</t>
  </si>
  <si>
    <t>GV - Aluguel V 4 DJA - Maio 2019 - Monise (A150)</t>
  </si>
  <si>
    <t>JLP - Pagamento serviços prestados por Robertos nos dias 27 a 31 de maio/2019</t>
  </si>
  <si>
    <t xml:space="preserve">JLP - Adiantamento honorários Mylla </t>
  </si>
  <si>
    <t>02/05/2019</t>
  </si>
  <si>
    <t>JLP - Luso - Pedidos nº 40 e 41 (Piso Majopar, argamassa)</t>
  </si>
  <si>
    <t>000488</t>
  </si>
  <si>
    <t>000489</t>
  </si>
  <si>
    <t>03/05/2019</t>
  </si>
  <si>
    <t>GV - Luso - Pedidos nº 46,47,48,50,53,55 (massa,lixa, direto gesso,tinta esmalte, rejunte)</t>
  </si>
  <si>
    <t>JLP - Safra - Pedido nº33 (Cimento Liz e Mizu)</t>
  </si>
  <si>
    <t>000490</t>
  </si>
  <si>
    <t>06/05/2019</t>
  </si>
  <si>
    <t>GV e JLP - Locminas - Pedidos nº34,42,43,51, (botina, trena, interruptor,disco flap, mass plastica,conserto esmerilhadeira)</t>
  </si>
  <si>
    <t>000491</t>
  </si>
  <si>
    <t>07/05/2019</t>
  </si>
  <si>
    <t>08/05/2019</t>
  </si>
  <si>
    <t>JLP - HSR - Aluguel Abr 19 (A 4980,50 - 5% Desc = 4731,47)</t>
  </si>
  <si>
    <t>10/05/2019</t>
  </si>
  <si>
    <t>JLP - Continetal - Pedidos nº 49,45,44,39,38,37,36,35 Continental (rejunte,silicone,argamassa,lixas,aguarraz)</t>
  </si>
  <si>
    <t>101000</t>
  </si>
  <si>
    <t>15/05/2019</t>
  </si>
  <si>
    <t>JLP - Dablius Contabilidade Mai 19</t>
  </si>
  <si>
    <t>461000</t>
  </si>
  <si>
    <t>16/05/2019</t>
  </si>
  <si>
    <t>JLP - Adiantamento - Mai 19 - Juaniz</t>
  </si>
  <si>
    <t>000493</t>
  </si>
  <si>
    <t>JLP - Adiantamento - Mai 19 - Jorgiano</t>
  </si>
  <si>
    <t>000494</t>
  </si>
  <si>
    <t>17/05/2019</t>
  </si>
  <si>
    <t>JLP - FGTS - Complementar</t>
  </si>
  <si>
    <t>20/05/2019</t>
  </si>
  <si>
    <t>761000</t>
  </si>
  <si>
    <t>21/05/2019</t>
  </si>
  <si>
    <t>22/05/2019</t>
  </si>
  <si>
    <t>284563</t>
  </si>
  <si>
    <t>GV e JLP - Supermercado Universal</t>
  </si>
  <si>
    <t>000492</t>
  </si>
  <si>
    <t>23/05/2019</t>
  </si>
  <si>
    <t>27/05/2019</t>
  </si>
  <si>
    <t>29/05/2019</t>
  </si>
  <si>
    <t>GV e JLP - Terra e Entulho</t>
  </si>
  <si>
    <t>000495</t>
  </si>
  <si>
    <t>30/05/2019</t>
  </si>
  <si>
    <t>GV e JLP - Luso - Pedidos nº46,47,48,50,53,55 (trincha, lixa, massa, tinta)</t>
  </si>
  <si>
    <t>31/05/2019</t>
  </si>
  <si>
    <t>141000</t>
  </si>
  <si>
    <t>GV - Aluguel Loja GV 1060 e JP 615 - Abril 19 - Tales Colombi (A5000) DN</t>
  </si>
  <si>
    <t>GV - Parafusos CCM</t>
  </si>
  <si>
    <t>GV e JLP - Bloco recibos</t>
  </si>
  <si>
    <t>GV - Cópia chave</t>
  </si>
  <si>
    <t>GV - Gasolina frete fogão e geladeira em GV</t>
  </si>
  <si>
    <t>GV - Sanduicheira ap 203</t>
  </si>
  <si>
    <t>GV e JLP - Sanduicheira Escritorio</t>
  </si>
  <si>
    <t>GV - Ret Naz - Depósito CC Itau</t>
  </si>
  <si>
    <t>GV - Chaveiro JP 605 - Posse galpão</t>
  </si>
  <si>
    <t>GV e JLP - HD Digital computer</t>
  </si>
  <si>
    <t>GV e JLP - Canetas</t>
  </si>
  <si>
    <t>GV - Chaves garagens</t>
  </si>
  <si>
    <t>Jun 2019</t>
  </si>
  <si>
    <t>GV - Aluguel V 9 DJA - Junho 19 - Rachid Sergio (A220)</t>
  </si>
  <si>
    <t>GV - Colchoart - Cama Bau 205 e colchoes 205 e 203</t>
  </si>
  <si>
    <t xml:space="preserve">000159 </t>
  </si>
  <si>
    <t>GV - Aluguel Apt 104 - Maio 19 - Andressa (A1010+C90)</t>
  </si>
  <si>
    <t xml:space="preserve">JLP - Pagamento de granito para Gapão 1 - GALAMA </t>
  </si>
  <si>
    <t xml:space="preserve">JLP - Pagamento honorários Mylla Murta </t>
  </si>
  <si>
    <t>GV - Aluguel Loft 609 - Pro rata 10 a 31 de Maio 2019 - Adriano (A733,33)</t>
  </si>
  <si>
    <t>GV - Aluguel Apt Studio - Maio 19 - Fran de Oliveira Alavina (A1500)</t>
  </si>
  <si>
    <t xml:space="preserve">JLP - Restante do pagamento honorários Mylla Murta </t>
  </si>
  <si>
    <t xml:space="preserve">JLP - Adiantamento pagamento honorários Rafaela </t>
  </si>
  <si>
    <t>GV - Ret Naz - Conta Oi Fixo</t>
  </si>
  <si>
    <t xml:space="preserve">GV - Aluguel V 8 DJA - Junho 19 - Alysson Rocha </t>
  </si>
  <si>
    <t xml:space="preserve">GV - Aluguel V 01 DJA - Pro rata 06 a 30 de Junho 19 - Gildásio Klier </t>
  </si>
  <si>
    <t>GV - Venda cópia das chaves garagem - Gildásio Klier</t>
  </si>
  <si>
    <t>JLP - Troca de bateria dos controles - TV SOM</t>
  </si>
  <si>
    <t xml:space="preserve">JLP - Pagamento restante dos honorários Rafaela mês 05/2019 </t>
  </si>
  <si>
    <t>JLP - Pagamento serviços prestados por Robertos do dia 03 a 07 de junho/2019</t>
  </si>
  <si>
    <t>JLP - Venda cópia das chaves garagem - Fran</t>
  </si>
  <si>
    <t>GV - Saída para caixa Irving</t>
  </si>
  <si>
    <t>GV - Ret Naz - Cemitério 1º Semestre 2019</t>
  </si>
  <si>
    <t xml:space="preserve">774000 </t>
  </si>
  <si>
    <t>GV - Ret Irv - Pagamento Igor Bracks 3.3</t>
  </si>
  <si>
    <t xml:space="preserve">140751 </t>
  </si>
  <si>
    <t>GV - Compra de rebite 4x16 - Comercial Loesch</t>
  </si>
  <si>
    <t xml:space="preserve">JLP - Compra de pão de forma, banana, mexerica, queijo e iogurte - DNA Distribuidora </t>
  </si>
  <si>
    <t xml:space="preserve">JLP - Compra de atadura cremer - Indiana </t>
  </si>
  <si>
    <t>GV - Compra de joelho e tubo sold - Delevy</t>
  </si>
  <si>
    <t>GV - Compra de cabinho flexivel e conduite corrugado - Delevy</t>
  </si>
  <si>
    <t>JLP - Compra de lamina larga - Teixeira e chaves</t>
  </si>
  <si>
    <t>GV - Compra de luva sold/rosca - Continental</t>
  </si>
  <si>
    <t>GV - Compra de cantoneira - Vidraçaria Guanabara</t>
  </si>
  <si>
    <t>JLP - Compra de mexirica - Banca feirinha (sem nota, assinado por Mylla)</t>
  </si>
  <si>
    <t>JLP - Compra de vassoura, pão de forma e mexirica - Hipermercado Tia Teca</t>
  </si>
  <si>
    <t>JLP - Compra de fita adeesiva e bloco de anotação - Otoni Utilidades</t>
  </si>
  <si>
    <t xml:space="preserve">JLP - Compra de lav.r.t e detergente liquido - DNA Distribuidora </t>
  </si>
  <si>
    <t xml:space="preserve">GV - Compra de parafuso sx a broc. 6.3x3/4 - CCM Parafusos </t>
  </si>
  <si>
    <t>GV - Compra de caixa de passagem de ar - Climax (sem nota, assinado por Mylla)</t>
  </si>
  <si>
    <t>GV - Aluguel Apt 204 - Maio 19 - Adesil (A1400+C90) </t>
  </si>
  <si>
    <t>GV - Aluguel Apt 202 - Maio 19 - Izabela (A1400+90cond+23,58IPTU)</t>
  </si>
  <si>
    <t>GV - Saida para caixa Irving</t>
  </si>
  <si>
    <t xml:space="preserve">191000 </t>
  </si>
  <si>
    <t>GV - Ret Naz - Cond Santa Lúcia</t>
  </si>
  <si>
    <t xml:space="preserve">GV - Aluguel Loja GV 1050 - Maio 19 - By Fiapo (A3590,73+90,73IPTU) </t>
  </si>
  <si>
    <t>GV - Aluguel Apt 201 - Maio 19 - Juliana (A1500+C90+28,28IPTU - 100 Desc.ateJulho/19) </t>
  </si>
  <si>
    <t>GV - Aluguel ESP DJA - Junho 19 - Mario Monteiro (A80)</t>
  </si>
  <si>
    <t xml:space="preserve">GV - Ret Irv - Festa 30 anos - Wanilce Viana de Souza Li </t>
  </si>
  <si>
    <t xml:space="preserve">421000 </t>
  </si>
  <si>
    <t>GV - Ret Irv - Zé do Brejo 2.3</t>
  </si>
  <si>
    <t xml:space="preserve">000147 </t>
  </si>
  <si>
    <t xml:space="preserve">12/06/2019 </t>
  </si>
  <si>
    <t>GV - Pagamento - Faxina Edifício Nova Era - Vania (300) Dias 03,06,10 e 13/06/2019</t>
  </si>
  <si>
    <t xml:space="preserve">JLP - Compra de pão de forma e mexerica - DNA Distribuidora </t>
  </si>
  <si>
    <t>GV - Depósito CXD Irving</t>
  </si>
  <si>
    <t>GV - Aluguel V 7 DJA - Junho 19 - Luciana LA Boutique (A190)</t>
  </si>
  <si>
    <t xml:space="preserve">GV - Aluguel Loja GV 1052 - Abril 19 - Irmas Figueiredo (A2050+55,28IPTU) </t>
  </si>
  <si>
    <t>JLP - Pagamento serviços prestados por Robertos do dia 12,13,14 de junho/2019</t>
  </si>
  <si>
    <t xml:space="preserve">GV - Advogada proceso Cristina 2.2 - Eliene Alves Souza </t>
  </si>
  <si>
    <t xml:space="preserve">234000 </t>
  </si>
  <si>
    <t>JLP - Aluguel V 1 a V 5 - Junho 19 - Alexandre Couy (A525) CH</t>
  </si>
  <si>
    <t>JLP - Aluguel loja - Maio 2019 - Habitat (7750A+309,75IPTU) CH</t>
  </si>
  <si>
    <t xml:space="preserve">GV - Rescisão Izabella apto 202 </t>
  </si>
  <si>
    <t>JLP - Saída para depósito conta JLP - Rafaela</t>
  </si>
  <si>
    <t>GV - Cópias das chaves garagem JP 16 - Carla e Jorge</t>
  </si>
  <si>
    <t>GV - Aluguel V 2 DJA - Junho 19 - Lucas Barreiros (A185+multa18,50) CH</t>
  </si>
  <si>
    <t xml:space="preserve">335654 </t>
  </si>
  <si>
    <t>GV - Alug.14 dias V10 DJA - Cópia das chaves garagem DJA 16 e JP 605 + Cont.remoto - Carla</t>
  </si>
  <si>
    <t>GV - Aluguel Apt 105 - Maio 19 - Gilmenia (A1020+C90+20,72) faltou 0,72</t>
  </si>
  <si>
    <t>GV - Quadros aps Mundo da Arte 2.2</t>
  </si>
  <si>
    <t xml:space="preserve">000145 </t>
  </si>
  <si>
    <t>GV - Aluguel Apt 102 - Maio 2019  - Amaury (A950+Cond90+IPTU18,63)</t>
  </si>
  <si>
    <t>JLP - Pagamento do adiantamento do salário de Jorgiano</t>
  </si>
  <si>
    <t>JLP - Pagamento do adiantamento do salário de Juaniz</t>
  </si>
  <si>
    <t>JLP - Pagamento premio produtividade Juaniz</t>
  </si>
  <si>
    <t>JLP - Pagamento premio produtividade Roberto</t>
  </si>
  <si>
    <t>GV - Saída dos cheques de Carla vaga 10 e Lucas Barreiros para depósito - por Mylla</t>
  </si>
  <si>
    <t>JLP - Pagamento serviços prestados por Roberto nos dias 17,18,19 e 21/06</t>
  </si>
  <si>
    <t>GV e JLP - Inet Esc Fsa - Junho</t>
  </si>
  <si>
    <t xml:space="preserve">261000 </t>
  </si>
  <si>
    <t xml:space="preserve">284596 </t>
  </si>
  <si>
    <t>JLP - Compra de aguarras - Comercial Loesch</t>
  </si>
  <si>
    <t>GV - Mão de obra referente a instalacao de 01 botoeira no Cafofo - TV SOM (Nota Fiscal)</t>
  </si>
  <si>
    <t>JLP - Compra de 03 rodas de metal para carro aterro  - Ferragens Mineira</t>
  </si>
  <si>
    <t xml:space="preserve">GV - Compra de silicone acetico - Continental </t>
  </si>
  <si>
    <t>JLP - Compra de banana para lanche escritório - DNA Distribuidora Epa</t>
  </si>
  <si>
    <t xml:space="preserve">JLP - Compra de bucha, TE 90 soldavel - Continental </t>
  </si>
  <si>
    <t>JLP - Compra de Iogurte, café, melancia, laranja, açucar, para escr. e obra - DNA Distribuidora</t>
  </si>
  <si>
    <t>GV - Compra de arruela lisa, abracaduto, parafuso, bucha s/07 - Delevy</t>
  </si>
  <si>
    <t xml:space="preserve">GV - Compra de cotovelo 1/4 p/ fogão apto 203 - Ponto dos Fogoes e Peças LTDA </t>
  </si>
  <si>
    <t>GV - Compra de tomada univ. com placa 1429 - Delevy</t>
  </si>
  <si>
    <t xml:space="preserve">GV - Compra de adesivo superciano 20g - Delevy </t>
  </si>
  <si>
    <t>JLP - Compra de mexirica para lache escritório - Banca feirinha (sem nota, assinado por Mylla)</t>
  </si>
  <si>
    <t>JLP - Compra de gesso - Só gesso</t>
  </si>
  <si>
    <t>JLP - Compra de parafuso sx a broc. 6.3x3/4 - CCM Parafusos e Ferramentas</t>
  </si>
  <si>
    <t xml:space="preserve">JLP - Compra de porta queijo para o escritório -  Quase 2 </t>
  </si>
  <si>
    <t>JLP - Compra de cera limp. e estopa proauto - DNA Distribuidora S/A</t>
  </si>
  <si>
    <t>JLP - Compra de abracadeira RSF 1/2x3/4 - Continental</t>
  </si>
  <si>
    <t>JLP - Compra de aveia, pão, algodão e palin - DNA distibuidora S/A</t>
  </si>
  <si>
    <t xml:space="preserve">JLP - Compra de flanelas para escritório - Otoni Utilidades </t>
  </si>
  <si>
    <t>GV - Tubo de inox, peça da estante do apto 203 - Acinox (sem nota, assinado por Mylla)</t>
  </si>
  <si>
    <t>GV - Ret Irv - seguro porto res 3.4</t>
  </si>
  <si>
    <t xml:space="preserve">454000 </t>
  </si>
  <si>
    <t>GV - Ret naz - seguro porto res 3.4</t>
  </si>
  <si>
    <t xml:space="preserve">25/06/2019 </t>
  </si>
  <si>
    <t>GV - Ret Irv - DAE CNH</t>
  </si>
  <si>
    <t>GV - Compra de fita dupla face adesiva - Delevy</t>
  </si>
  <si>
    <t>JLP - Aluguel Galpão 03 espaço para armazenamento - Julho 19 - Jorg Paul</t>
  </si>
  <si>
    <t>GV - Saída do cheque de Gustavo vaga 05 para depósito por Mylla</t>
  </si>
  <si>
    <t xml:space="preserve">GV - Aluguel V 3 DJA - Junho 19 - Fernando Henrique </t>
  </si>
  <si>
    <t>JLP - Compra de recibos e elastico - Imprima BR Produtos de informática</t>
  </si>
  <si>
    <t>GV - Pagamento - Faxina Edifício Nova Era - Vania (300) Dias 17, 21,24 e 27 de junho/2019</t>
  </si>
  <si>
    <t>GV - Pagamento Eletricista Toninho Quadro Ap 203</t>
  </si>
  <si>
    <t>JLP - Compra de pedra granito verde - Galama Mármores</t>
  </si>
  <si>
    <t>GV - Aluguel Loja JP 607 - Junho 19 - Antonio Celso (A1465)</t>
  </si>
  <si>
    <t>JLP - Pagamento serviços prestados por Roberto nos dias 24,25,26,27 e 28 de junho/19</t>
  </si>
  <si>
    <t>JLP - Pagamento serviços prestados nos dias 25,26 e 28 de junho de 2019 - por Willian</t>
  </si>
  <si>
    <t>JLP - Pagamento serviços prestados nos dias 25,26,27 e 28 de junho/19 - por Patrick</t>
  </si>
  <si>
    <t>JLP - Compra de mexirica para lache escritório - Banca feirinha (sem nota, assinado por Irving)</t>
  </si>
  <si>
    <t>03/06/2019</t>
  </si>
  <si>
    <t>04/06/2019</t>
  </si>
  <si>
    <t>JLP - Loja do Profissional - Hidrofugante piso G1</t>
  </si>
  <si>
    <t>000496</t>
  </si>
  <si>
    <t>000497</t>
  </si>
  <si>
    <t>05/06/2019</t>
  </si>
  <si>
    <t>07/06/2019</t>
  </si>
  <si>
    <t>GV e JLP - Locminas - Pedidos nº54,58, (disco corte,roxa,regua,conserto esmerilhadeira,escova,rolamento)</t>
  </si>
  <si>
    <t>000498</t>
  </si>
  <si>
    <t>10/06/2019</t>
  </si>
  <si>
    <t>GV - Continental - ap 203 Pedidos nº 52 e 60 ( fita crepe, rejunte, fita isolante)</t>
  </si>
  <si>
    <t>661000</t>
  </si>
  <si>
    <t>JLP - HSR - Aluguel Mai 19 (A 4980,50 - 5% Desc = 4731,47)</t>
  </si>
  <si>
    <t>11/06/2019</t>
  </si>
  <si>
    <t>JLP - Pagamento Nova Studio vídeo marca JLP 1.2</t>
  </si>
  <si>
    <t>12/06/2019</t>
  </si>
  <si>
    <t>13/06/2019</t>
  </si>
  <si>
    <t>GV - Magazine Luiza - 2 aparelhos arcon 9.000 btus</t>
  </si>
  <si>
    <t>GV - Americanas - 1 aparelho arcon12.000 btus</t>
  </si>
  <si>
    <t>17/06/2019</t>
  </si>
  <si>
    <t>JLP - Dablius Contabilidade Jun 19</t>
  </si>
  <si>
    <t>284630</t>
  </si>
  <si>
    <t>335654</t>
  </si>
  <si>
    <t>18/06/2019</t>
  </si>
  <si>
    <t>19/06/2019</t>
  </si>
  <si>
    <t>21/06/2019</t>
  </si>
  <si>
    <t>24/06/2019</t>
  </si>
  <si>
    <t>25/06/2019</t>
  </si>
  <si>
    <t>311000</t>
  </si>
  <si>
    <t>26/06/2019</t>
  </si>
  <si>
    <t>28/06/2019</t>
  </si>
  <si>
    <t>JLP -  Galama Granitos</t>
  </si>
  <si>
    <t>JLP - TV Som</t>
  </si>
  <si>
    <t>JLP - Adiantamento - Jun 19 - Jorgiano</t>
  </si>
  <si>
    <t>JLP - Adiantamento - Jun 19 - Juaniz</t>
  </si>
  <si>
    <t>GV e JLP - Raquete mosquitos escritorio</t>
  </si>
  <si>
    <t>GV - Ret Naz Junho</t>
  </si>
  <si>
    <t>GV e JLP - Pagamento Serviços marketing - Carol - Maio</t>
  </si>
  <si>
    <t>GV - Aluguel Loja GV 1060 e JP 615 - Maio  19 - Tales Colombi (A5000) DN</t>
  </si>
  <si>
    <t>GV e JLP - Gasolina viagem Irv</t>
  </si>
  <si>
    <t>GV e JLP - Alimentação  viagem Irv</t>
  </si>
  <si>
    <t>GV e JLP - Estacionamento Agencia Publicidade</t>
  </si>
  <si>
    <t>GV e JLP - Almoço Irv / Carol</t>
  </si>
  <si>
    <t>GV - Estacionamento Rua Tamóios compra aramados cozinha 203</t>
  </si>
  <si>
    <t>GV - Ferragens Almeida ganchos coz ap 203</t>
  </si>
  <si>
    <t>GV - Aramados (lixeira, porta detergente, tubos, etc) ap 203</t>
  </si>
  <si>
    <t>GV e JLP - Material jardinagem</t>
  </si>
  <si>
    <t>GV - Ret Irv - Retirada feita por Irving</t>
  </si>
  <si>
    <t xml:space="preserve">GV - Aluguel apt 205 </t>
  </si>
  <si>
    <t>GV - Outros apt 103</t>
  </si>
  <si>
    <t>Jul 2019</t>
  </si>
  <si>
    <t>Caixa Rafaela</t>
  </si>
  <si>
    <t>JLP - Compra de lanche (pão, mortadela, coca)para aniversário Jorgiano</t>
  </si>
  <si>
    <t>GV - Aluguel V 9 DJA - Julho 19 - Rachid Sergio (A220)</t>
  </si>
  <si>
    <t>GV - Aluguel Apt 104 - Junho 19 - Andressa (A1010+C90)</t>
  </si>
  <si>
    <t>GV - Aluguel Apt 103 - Junho 2019 - Monise (A1050+Cond90+IPTU28,05)</t>
  </si>
  <si>
    <t>GV - Aluguel V 4 DJA - Junho 2019 - Monise (A150)</t>
  </si>
  <si>
    <t xml:space="preserve">GV - Aluguel V 8 DJA - Julho 19 - Alysson Rocha </t>
  </si>
  <si>
    <t xml:space="preserve">GV - Aluguel V 01 DJA - Julho 19 - Gildásio Klier </t>
  </si>
  <si>
    <t xml:space="preserve">GV - Aluguel Vaga p/ moto DJA - Julho 19 - Gildásio Klier </t>
  </si>
  <si>
    <t>JLP - Conserto interfone escritório e oficina - Roberto</t>
  </si>
  <si>
    <t>JLP - Pagamento honorários Rafaela</t>
  </si>
  <si>
    <t>GV - Aluguel V 6 DJA - Julho 19 - Urias Santana</t>
  </si>
  <si>
    <t xml:space="preserve">JLP - Compra de veneno Trofeu 40 </t>
  </si>
  <si>
    <t>GV - Compra de tampão de esgoto cap soldavel para garagem - Continental</t>
  </si>
  <si>
    <t xml:space="preserve">JLP - Compra de desinfetante para banheiros - DNA Distribuidora </t>
  </si>
  <si>
    <t>JLP - Compra de cera past.ing para piso galpao - DNA Distribuidora S/A</t>
  </si>
  <si>
    <t>JLP - Compra de naftalina hig.plus p/galpa 03  e lanche para escritorio - DNA Distribuidora</t>
  </si>
  <si>
    <t xml:space="preserve">JLP - Compra de bolo aniversário Jorgiano - Ivanete Murta </t>
  </si>
  <si>
    <t xml:space="preserve">JLP - Compra de cola vipal - Bike Center </t>
  </si>
  <si>
    <t xml:space="preserve">JLP - Compra de roda metal p/carro aterro - Ferragens Mineira </t>
  </si>
  <si>
    <t xml:space="preserve">JLP - Compra de fita veda rosca - Continental </t>
  </si>
  <si>
    <t>JLP - Compra de disco diamantado turbo seco - LocMinas NF 26.563</t>
  </si>
  <si>
    <t>JLP - Compra de 1mt correia - Casa das borrachas</t>
  </si>
  <si>
    <t>JLP - Pagamento serviços prestados por Roberto nos dias 01,02,03,04 e 05 de julhoo/19</t>
  </si>
  <si>
    <t>JLP - Pagamento serviços prestados no dia 02 de julho de 2019 - por Willian</t>
  </si>
  <si>
    <t>JLP - Pagamento serviços prestados nos dias 02,03,04 e 05 de julho/19 - por Patrick</t>
  </si>
  <si>
    <t>JLP - Compra de palha de aço e bombril para piso galpão - DNA Distribuidora Epa</t>
  </si>
  <si>
    <t>GV - Aluguel Loft 609 - Junho 2019 - Adriano (A1000)</t>
  </si>
  <si>
    <t>GV - Aluguel Apt Studio -Junho 19 - Fran de Oliveira Alavina (A1500)</t>
  </si>
  <si>
    <t>GV - Saída para Irving</t>
  </si>
  <si>
    <t>JLP - Compra de café e açucar para colaboradores da obra - DNA Distribuidora</t>
  </si>
  <si>
    <t>GV - Aluguel V 10 DJA - Julho 19 - Carla Martin (A250)</t>
  </si>
  <si>
    <t>GV - Aluguel V 7 DJA - Julho 19 - Luciana LA Boutique (A190)</t>
  </si>
  <si>
    <t>JLP - Compra de pão e iogurte para lanche escritório - DNA Distribuidora EPA</t>
  </si>
  <si>
    <t>GV - Aluguel Apt 204 - Junho 19 - Adesil (A1400+C90) CH</t>
  </si>
  <si>
    <t>GV - Aluguel V 2 DJA - Julho 19 - Lucas Barreiros (A200) CH</t>
  </si>
  <si>
    <t>GV - Saída cheques para depósito feito por Mylla</t>
  </si>
  <si>
    <t>GV - Aluguel Loja GV 1052 - Junho 19 - Irmas Figueiredo (A2050+55,28IPTU) DN</t>
  </si>
  <si>
    <t>GV - Aluguel Apt 102 - Junho 2019  - Amaury (A950+Cond90+IPTU18,63)</t>
  </si>
  <si>
    <t>GV - Pagamento - Faxina Edificio Nova Era - Vania (300) Dias 01,04,08 e 11/07/2019</t>
  </si>
  <si>
    <t>JLP - Pagamento serviços prestados por Janaison (210) Dias 09,10,11, meio periodo do dia 08/07/19</t>
  </si>
  <si>
    <t>JLP - Compra de pilhas para rádio dos colaboradores da obra</t>
  </si>
  <si>
    <t>JLP - Compra de arruela , porca parafusos - CCM parafusos</t>
  </si>
  <si>
    <t xml:space="preserve">JLP - Compra de bateria 12v, solda em controle - TV SOM </t>
  </si>
  <si>
    <t>JLP - Compra de lustra moveis peroba  - Comercial Damasceno Costa</t>
  </si>
  <si>
    <t>JLP - Compra de arrebites - Comercial Loesch</t>
  </si>
  <si>
    <t>JLP - Compra de parafusos com bucha 8 - Comercial Loesch</t>
  </si>
  <si>
    <t xml:space="preserve">JLP - Compra de serra bimetalica flex - Continental </t>
  </si>
  <si>
    <t>JLP  - Compra de bucha 10 com aba - Comercial Loesch</t>
  </si>
  <si>
    <t>JLP - Compra de parafusos com bucha 6 - Comercial Loesch</t>
  </si>
  <si>
    <t xml:space="preserve">JLP - Compra de bucha 8 - Comercial Loesch </t>
  </si>
  <si>
    <t>JLP - Pagamento serviços prestados Patrick nos dias 08,09,10,11 e 12/07/2019</t>
  </si>
  <si>
    <t>JLP - Pagamento serviços prestados Roberto nos dias 08,09,10,11 e 12/07/2019</t>
  </si>
  <si>
    <t>JLP - Pagamento serviços prestados por Thomas nos dias 11 e 12/07/2019</t>
  </si>
  <si>
    <t>JLP - Pagamento aluguel de bomba - Patrick</t>
  </si>
  <si>
    <t>GV - Pagamento alug.+cond apto 101 Antonio Florencio adiantados meses 07,08,09,10, com desconto</t>
  </si>
  <si>
    <t xml:space="preserve">GV - Aluguel Loja GV 1050 - Junho 19 - By Fiapo (A3500+90,73IPTU) </t>
  </si>
  <si>
    <t>JLP - Aluguel loja - Junho 2019 - Habitat (7750A+309,75IPTU)</t>
  </si>
  <si>
    <t xml:space="preserve">JLP - Aluguel vagas - Julho 19 - Habitat </t>
  </si>
  <si>
    <t>GV - Saida cheque para deposito Antonio Florencio</t>
  </si>
  <si>
    <t>GV - Aluguel Apt 201 - Junho 19 - Juliana (A1500+C90+28,28IPTU - 100 Desc.ateJulho/19) </t>
  </si>
  <si>
    <t>GV - Aluguel Apt 204 - Julho 19 - Adesil (A1400+C90) CHEQUE P/10-08</t>
  </si>
  <si>
    <t xml:space="preserve">JLP - Saída do cheque da Habitat para deposito </t>
  </si>
  <si>
    <t>JLP - Conserto portao da francisco as 152c - Roberto</t>
  </si>
  <si>
    <t>JLP - Pagamento honorários Adriana - INSS Irv</t>
  </si>
  <si>
    <t>JLP - Pagamento serviços prestados Patrick nos dias 15,16,17,18 e 19/07/2019</t>
  </si>
  <si>
    <t>JLP - Pagamento serviços prestados Roberto nos dias 15,16,17,18 e 19/07/2019</t>
  </si>
  <si>
    <t>JLP - Pagamento serviços prestados por Thomas nos dias 15,16,17,18 e 19/07/2019</t>
  </si>
  <si>
    <t>JLP - Pagamento Juaniz serviços de jardinagem</t>
  </si>
  <si>
    <t>GV - Aluguel Apt 105 - Junho 19 - Gilmenia (A1020+C90+20,72)</t>
  </si>
  <si>
    <t>GV - Aluguel V 5 DJA - Julho 19 - Gustavo (Alug. com juros 203,50 CH)</t>
  </si>
  <si>
    <t>GV - Aluguel V 5 DJA - Agosto 19 - Gustavo (A200 CH)</t>
  </si>
  <si>
    <t>GV - Aluguel V 5 DJA - Setembro 19 - Gustavo (A200 CH)</t>
  </si>
  <si>
    <t>GV - Aluguel V 5 DJA - Outubro 19 - Gustavo (A200 CH)</t>
  </si>
  <si>
    <t>GV - Aluguel V 5 DJA - Novembro 19 - Gustavo (A200 CH)</t>
  </si>
  <si>
    <t>GV - Aluguel V 5 DJA - Dezembro 19 - Gustavo (A200 CH)</t>
  </si>
  <si>
    <t>GV - Aluguel V 5 DJA - Janeiro 20 - Gustavo (A200 CH)</t>
  </si>
  <si>
    <t>GV - Saída cheque Gustavo mês 07/19 para deposito - por Mylla</t>
  </si>
  <si>
    <t xml:space="preserve">GV - Compra de peça da janela apto 203 e mão de obra - Mahalali </t>
  </si>
  <si>
    <t>JLP - Compra de resma de papel e durex para escritório - Papetoni</t>
  </si>
  <si>
    <t>GV - Aluguel V 3 DJA - Julho 19 - Fernando Henrique (A200)</t>
  </si>
  <si>
    <t>GV - Aluguel ESP DJA - Julho 19 - Mario Monteiro (A80)</t>
  </si>
  <si>
    <t>JLP - Compra de pó de café para colaboradores da obra - Padaria e lanchonete flor do trigo</t>
  </si>
  <si>
    <t>GV - Aluguel Apt 104 - Julho 19 - Andressa (A1010+C90)</t>
  </si>
  <si>
    <t>GV - Pagamento - Faxina Edificio Nova Era - Vania (300) Dias 15,18,22 e 25/07/2019</t>
  </si>
  <si>
    <t xml:space="preserve">JLP - Compra de detergente - DNA Distribuidora Epa </t>
  </si>
  <si>
    <t>JLP - Compra de água sanitária - DNA Distribuidora Epa</t>
  </si>
  <si>
    <t xml:space="preserve">JLP - Compra de café e açucar para lanche da obra - DNA Distribuidora </t>
  </si>
  <si>
    <t>JLP - Compra de pao, iogurte, mexerica, pao de queijo para escritorio - DNA Distribuidora Epa</t>
  </si>
  <si>
    <t>GV - Compra de espelho para banheiro 203 - Vidraçaria Guanabara</t>
  </si>
  <si>
    <t>JLP - Compra de queijo para escritorio sem nota, compra feita com Analice - Mylla</t>
  </si>
  <si>
    <t>JLP - Compra de chapa para talha - Paraná Ferragens</t>
  </si>
  <si>
    <t>JLP - Pagamento serviços prestados Patrick nos dias 22,23,24,25 e 26/07/2019</t>
  </si>
  <si>
    <t>JLP - Pagamento serviços prestados Roberto nos dias 22,23,24,25 e 26/07/2019</t>
  </si>
  <si>
    <t>JLP - Pagamento serviços prestados por Thomas nos dias 22,23,24,25 e 26/07/2019</t>
  </si>
  <si>
    <t>GV - Aluguel Loja JP 607 - Julho 19 - Antonio Celso (A1465)</t>
  </si>
  <si>
    <t>JLP - Reconhecimento de firma contrato Mucuri Coworking e Procuração Cemig - 2º Ofício Notas</t>
  </si>
  <si>
    <t>JLP - Cópia da procuração Cemig - sem nota assinado por Rafaela</t>
  </si>
  <si>
    <t>JLP - Compra de recarga do toner impressora escritorio - Recypress</t>
  </si>
  <si>
    <t xml:space="preserve">GV - Aluguel V 8 DJA - Agosto 19 - Alysson Rocha </t>
  </si>
  <si>
    <t>JLP - Correia roda talha</t>
  </si>
  <si>
    <t>GV - Aluguel Loja GV 1060 e JP 615 - Jun  19 - Tales Colombi (A5000) DN</t>
  </si>
  <si>
    <t>GV - Faca e assadeira ap 205</t>
  </si>
  <si>
    <t>GV e JLP - Gasolina carro Irv - Carretos</t>
  </si>
  <si>
    <t>GV e JLP - Passagens Irv BH</t>
  </si>
  <si>
    <t>GV - Impermeabilização tecido sofá ap 203</t>
  </si>
  <si>
    <t>GV - Casa Aguiar -  tecido sofá ap 203</t>
  </si>
  <si>
    <t>GV - Casa Aguiar -  enchimento almofadas ap 205</t>
  </si>
  <si>
    <t>GV - Ressarcimento Magazine Luiza - Arcon Philco - CC Irving BB</t>
  </si>
  <si>
    <t>GV e JLP - Passagens Irv TO</t>
  </si>
  <si>
    <t>GV e JLP - Gasolina GV TO</t>
  </si>
  <si>
    <t xml:space="preserve">GV e JLP - Conduções Casa / Rodoviária </t>
  </si>
  <si>
    <t>JLP - Divisor de solo grama</t>
  </si>
  <si>
    <t>GV e JLP - Óleo de Neem e Mata Cupim</t>
  </si>
  <si>
    <t>JLP - Pagamento acompanhamento quinquênio acomp marca JLP - MHE</t>
  </si>
  <si>
    <t xml:space="preserve">02/07/2019 </t>
  </si>
  <si>
    <t>JLP - Domínio jlpimoveis.com</t>
  </si>
  <si>
    <t>GV - Ret Irv - Presente Cristiano</t>
  </si>
  <si>
    <t>GV - Ret Irv - Terapia</t>
  </si>
  <si>
    <t xml:space="preserve">000143 </t>
  </si>
  <si>
    <t xml:space="preserve">03/07/2019 </t>
  </si>
  <si>
    <t>GV - Advogada processo Cristina - Eliene Alves Souza - Acompanhamento despejo + parecer</t>
  </si>
  <si>
    <t xml:space="preserve">04/07/2019 </t>
  </si>
  <si>
    <t>JLP - Cera Ingleza piso G1</t>
  </si>
  <si>
    <t xml:space="preserve">090565 </t>
  </si>
  <si>
    <t xml:space="preserve">05/07/2019 </t>
  </si>
  <si>
    <t xml:space="preserve">010705 </t>
  </si>
  <si>
    <t>GV - Ret Naz - Conta Oi</t>
  </si>
  <si>
    <t xml:space="preserve">021000 </t>
  </si>
  <si>
    <t xml:space="preserve">064000 </t>
  </si>
  <si>
    <t xml:space="preserve">321745 </t>
  </si>
  <si>
    <t>GV - Colchoart - Cama Bau 205 e colchoes 205 e 203 - Restante</t>
  </si>
  <si>
    <t xml:space="preserve">000160 </t>
  </si>
  <si>
    <t xml:space="preserve">08/07/2019 </t>
  </si>
  <si>
    <t>JLP - Enceradeira Americanas</t>
  </si>
  <si>
    <t xml:space="preserve">10/07/2019 </t>
  </si>
  <si>
    <t>GV - Ret Naz - Condomínio Santa Lúcia</t>
  </si>
  <si>
    <t xml:space="preserve">284618 </t>
  </si>
  <si>
    <t xml:space="preserve">11/07/2019 </t>
  </si>
  <si>
    <t>GV - Ret Irv - Zé do Brejo 3.3</t>
  </si>
  <si>
    <t xml:space="preserve">000148 </t>
  </si>
  <si>
    <t xml:space="preserve">12/07/2019 </t>
  </si>
  <si>
    <t xml:space="preserve">15/07/2019 </t>
  </si>
  <si>
    <t xml:space="preserve">954000 </t>
  </si>
  <si>
    <t xml:space="preserve">284629 </t>
  </si>
  <si>
    <t xml:space="preserve">16/07/2019 </t>
  </si>
  <si>
    <t xml:space="preserve">18/07/2019 </t>
  </si>
  <si>
    <t xml:space="preserve">22/07/2019 </t>
  </si>
  <si>
    <t xml:space="preserve">961000 </t>
  </si>
  <si>
    <t>GV e JLP - Inet Esc Fsa - Julho</t>
  </si>
  <si>
    <t xml:space="preserve">242478 </t>
  </si>
  <si>
    <t>GV - Ret Naz - Vivo</t>
  </si>
  <si>
    <t xml:space="preserve">891000 </t>
  </si>
  <si>
    <t xml:space="preserve">23/07/2019 </t>
  </si>
  <si>
    <t xml:space="preserve">284673 </t>
  </si>
  <si>
    <t xml:space="preserve">24/07/2019 </t>
  </si>
  <si>
    <t>GV e JLP - Pagamento Serviços marketing - Carol - Junho</t>
  </si>
  <si>
    <t>GV - Ret Irv - Vaka Carol</t>
  </si>
  <si>
    <t xml:space="preserve">25/07/2019 </t>
  </si>
  <si>
    <t xml:space="preserve">26/07/2019 </t>
  </si>
  <si>
    <t xml:space="preserve">435571 </t>
  </si>
  <si>
    <t>GV - Ret Irv - Pagamento roupas Bnomade Bia</t>
  </si>
  <si>
    <t>JLP - Locminas - JLP (eletrodo e discos)</t>
  </si>
  <si>
    <t>000500</t>
  </si>
  <si>
    <t>02/07/2019</t>
  </si>
  <si>
    <t>03/07/2019</t>
  </si>
  <si>
    <t>000501</t>
  </si>
  <si>
    <t>000502</t>
  </si>
  <si>
    <t>05/07/2019</t>
  </si>
  <si>
    <t>321745</t>
  </si>
  <si>
    <t>08/07/2019</t>
  </si>
  <si>
    <t>10/07/2019</t>
  </si>
  <si>
    <t>JLP - Luso - Rolo,lixas,trinchas,fita e tinta</t>
  </si>
  <si>
    <t>11/07/2019</t>
  </si>
  <si>
    <t>GV e JLP - Cestas básicas</t>
  </si>
  <si>
    <t>691000</t>
  </si>
  <si>
    <t>12/07/2019</t>
  </si>
  <si>
    <t>JLP - Locminas - botina, luva,disco, óculos</t>
  </si>
  <si>
    <t>000503</t>
  </si>
  <si>
    <t>JLP - Safra - Cimento</t>
  </si>
  <si>
    <t>000504</t>
  </si>
  <si>
    <t>15/07/2019</t>
  </si>
  <si>
    <t>JLP - Dablius Contabilidade Jul 19</t>
  </si>
  <si>
    <t>JLP - HSR - Aluguel Jun 19 (A 4980,50 - 5% Desc = 4731,47)</t>
  </si>
  <si>
    <t>16/07/2019</t>
  </si>
  <si>
    <t>17/07/2019</t>
  </si>
  <si>
    <t>JLP - Delevy - cabinho flex, fita isolante</t>
  </si>
  <si>
    <t>000505</t>
  </si>
  <si>
    <t>18/07/2019</t>
  </si>
  <si>
    <t>284651</t>
  </si>
  <si>
    <t>JLP - Adiantamento - Jul 19 - Jorgiano</t>
  </si>
  <si>
    <t>000506</t>
  </si>
  <si>
    <t>JLP - Adiantamento - Jul 19 - Juaniz</t>
  </si>
  <si>
    <t>000507</t>
  </si>
  <si>
    <t>19/07/2019</t>
  </si>
  <si>
    <t>481000</t>
  </si>
  <si>
    <t>22/07/2019</t>
  </si>
  <si>
    <t>JLP - Pagamento Nova Studio vídeo marca JLP 2.2</t>
  </si>
  <si>
    <t>GV e JLP - Americanas - Bomba de pressão</t>
  </si>
  <si>
    <t>242478</t>
  </si>
  <si>
    <t>25/07/2019</t>
  </si>
  <si>
    <t>26/07/2019</t>
  </si>
  <si>
    <t>JLP - Transferência CC JLP - Empréstimo sócios - CXD</t>
  </si>
  <si>
    <t>435571</t>
  </si>
  <si>
    <t>000508</t>
  </si>
  <si>
    <t>29/07/2019</t>
  </si>
  <si>
    <t>JLP - Pagamento Caktus - Logo Vila Deco 1.2</t>
  </si>
  <si>
    <t>31/07/2019</t>
  </si>
  <si>
    <t>Transferência da CC</t>
  </si>
  <si>
    <t>GV - Aluguel V 9 DJA - Agosto 19 - Rachid Sergio (A220)</t>
  </si>
  <si>
    <t>GV - Aluguel Apt 103 - Julho 2019 - Monise (A1050+Cond90+IPTU28,05)</t>
  </si>
  <si>
    <t>GV - Aluguel V 4 DJA - Julho 2019 - Monise (A150)</t>
  </si>
  <si>
    <t>JLP - Aluguel Galpão 03 espaço para armazenamento - Agosto 19 - Jorg Paul</t>
  </si>
  <si>
    <t>JLP - Pagamento serviços prestados Patrick nos dias 29,30 e 31/07/2019, e 01 e 02 de agosto/19</t>
  </si>
  <si>
    <t>JLP - Pagamento serviços prestados Roberto nos dias 29,30 e 31/07/2019, e 01 e 02 de agosto/19</t>
  </si>
  <si>
    <t>JLP - Pagamento serviços prestados por Thomas nos dias 29,30 e 31/07/2019 e 01,02 de agosto/19</t>
  </si>
  <si>
    <t xml:space="preserve">JLP - Compra de cinta abdominal para Jorgiano - Indiana </t>
  </si>
  <si>
    <t>JLP - Pagamento honorários Mylla mês 07/19</t>
  </si>
  <si>
    <t>GV - Aluguel Loft 609 - Julho 2019 - Adriano (A1000)</t>
  </si>
  <si>
    <t>JLP - Compra de café, açucar p/obra e material de limpeza e fruta p/escritorio - DNA Distribuidora</t>
  </si>
  <si>
    <t>JLP - Compra de baldes para obra - Otoni Utilidades</t>
  </si>
  <si>
    <t>JLP - Compra de sifão sanf.uni 83cm - Continental</t>
  </si>
  <si>
    <t>JLP - Compra de sifão sanf.uni 65cm - Continental</t>
  </si>
  <si>
    <t xml:space="preserve">JLP - Compra de luva soldavel - Continental </t>
  </si>
  <si>
    <t>JLP - Compra de cadeado segurança - Ponto das Chaves</t>
  </si>
  <si>
    <t xml:space="preserve">GV - Compra de dobradica TN reta - Comercial Loesch </t>
  </si>
  <si>
    <t>GV - Compra de vara grossa cromada, kit suporte teto cromado e ponteira - Abba decorações</t>
  </si>
  <si>
    <t xml:space="preserve">GV - Aluguel V 01 DJA - Agosto 19 - Gildásio Klier </t>
  </si>
  <si>
    <t xml:space="preserve">GV - Aluguel Vaga p/ moto DJA - Agosto 19 - Gildásio Klier </t>
  </si>
  <si>
    <t>GV - Aluguel Apt Studio - Julho 19 - Fran de Oliveira Alavina (A1500)</t>
  </si>
  <si>
    <t>GV - Aluguel V 10 DJA - Agosto 19 - Carla Martin (A250)</t>
  </si>
  <si>
    <t xml:space="preserve">JLP - Pagamento nota MD tintas </t>
  </si>
  <si>
    <t>GV - Pagamento - Faxina Edifício Nova Era - Vania (300) Dias 29/07, 01/08, 05/08 e 08/08</t>
  </si>
  <si>
    <t>GV - Aluguel V 2 DJA - Agosto 19 - Lucas Barreiros (A200) CH</t>
  </si>
  <si>
    <t>GV - Saída de cheques p/ depósito conta Honorina (200Gust+200Lucas)- por Mylla</t>
  </si>
  <si>
    <t>JLP - Pagamento serviços prestados Patrick nos dias 05,06,07,08 e 09 de agosto 2019</t>
  </si>
  <si>
    <t>JLP - Pagamento serviços prestados Roberto nos dias 05,06,07,08 e 09 de agosto 2019</t>
  </si>
  <si>
    <t>JLP - Pagamento serviços prestados por Thomas nos dias 05,06,08 e 09 de agosto 2019</t>
  </si>
  <si>
    <t>GV - Aluguel Loja GV 1060 e JP 615 - Julho 19 - Tales Colombi (A5000) DN</t>
  </si>
  <si>
    <t>GV - Aluguel Apt 201 - Julho 19 - Juliana (A1500+C90+28,28IPTU - 100 Desc.ateJulho/19) </t>
  </si>
  <si>
    <t>GV - Aluguel Loja GV 1052 - Julho 19 - Irmas Figueiredo (A2205+55,28IPTU) DN</t>
  </si>
  <si>
    <t>GV - Saída do Cheque de Adesil para depósito por Mylla</t>
  </si>
  <si>
    <t>GV - Aluguel Loja GV 1050 - Julho 19 - By Fiapo (A3765+90,73IPTU) 1265 em cheque</t>
  </si>
  <si>
    <t>GV - Aluguel V 7 DJA - Agosto 19 - Luciana LA Boutique (A200)</t>
  </si>
  <si>
    <t>GV - Aluguel V 6 DJA - Agosto 19 - Urias Santana</t>
  </si>
  <si>
    <t>GV - Aluguel Apt 102 - Julho 2019  - Amaury (A950+Cond90+IPTU18,63)</t>
  </si>
  <si>
    <t>JLP - Compra de bloco nota promissoria - Papetoni</t>
  </si>
  <si>
    <t>GV - Aluguel correspondente a 03 diárias apto 203 450 - Matheus Filipe</t>
  </si>
  <si>
    <t>GV - Compra utensílios apartamento 203 - UAI Brasil</t>
  </si>
  <si>
    <t>JLP - Aluguel V 1 a V 5 - Agosto 19 - Alexandre Couy (A525) CH</t>
  </si>
  <si>
    <t>JLP - Aluguel loja - Julho 2019 - Habitat (7750A+309,75IPTU) CH</t>
  </si>
  <si>
    <t>JLP - Pagamento serviços prestados Patrick do dia 12 a 16 de agosto/19</t>
  </si>
  <si>
    <t>JLP - Pagamento serviços prestados Roberto do dia 12 a 16 de agosto/19</t>
  </si>
  <si>
    <t>JLP - Pagamento serviços prestados por Thomas do dia 12 a 16 de agosto/19</t>
  </si>
  <si>
    <t>JLP - Compra barra redonda 1/4 6m - Comercial Ferro e Aço</t>
  </si>
  <si>
    <t>JLP - Compra presente de Mylla - BVR Comercio de utilidades</t>
  </si>
  <si>
    <t>GV - Compra de protetor cama casal, refil almofada e travesseiros - Arthur Lundgren tecidos - Ap 203</t>
  </si>
  <si>
    <t>GV - Compra utensílios apartamento 203 - Quase 2</t>
  </si>
  <si>
    <t>JLP - Adiantamento de honorários Mylla</t>
  </si>
  <si>
    <t>GV e JLP - Saída do cheque da Habitat para deposito (8584,72) e cheque By Fiapo (1265) - Mylla</t>
  </si>
  <si>
    <t>GV - Compra de Puff para apto 203 - Uai Brasil</t>
  </si>
  <si>
    <t>GV - Compra de capas protetoras de travesseiros, almofadas para apto 203 - Otoni Utilidades</t>
  </si>
  <si>
    <t>GV - Compra de Kit colcha solteiro - Terapi Roupas LTDA</t>
  </si>
  <si>
    <t>GV - Compra de colher de silicone, capa protetora, cj facas - Otoni Utilidades - AP 203</t>
  </si>
  <si>
    <t>GV - Compra de pratos p/Mylla, lixeira inox para apto 203 - Lojas Americanas</t>
  </si>
  <si>
    <t>GV - Aluguel V 3 DJA - Agosto 19 - Fernando Henrique (A200+ multa 20)</t>
  </si>
  <si>
    <t>GV - Aluguel ESP DJA - Agosto 19 - Mario Monteiro (A80)</t>
  </si>
  <si>
    <t>JLP - Compra de buchas e parafusos - Comercial Loesch</t>
  </si>
  <si>
    <t xml:space="preserve">JLP - Compra de mangueira para gas - Ponto dos fogões </t>
  </si>
  <si>
    <t>JLP - Compra de metro plastico 0.30 - Casa do capoteiro</t>
  </si>
  <si>
    <t>JLP - Compra de manteiga, pilha e queijo para escritorio - DNA Distribuidora S/A</t>
  </si>
  <si>
    <t>JLP - Compra pão, iogurte e cera para sapato p/obra- DNA Distribuidora S/A</t>
  </si>
  <si>
    <t xml:space="preserve">JLP - Compra de anel borracha esgoto - Continental </t>
  </si>
  <si>
    <t>GV - Compra de resistencia maxi ducha - Delevy - ap 203</t>
  </si>
  <si>
    <t xml:space="preserve">JLP - Compra marca texto stabilo - Imprima </t>
  </si>
  <si>
    <t>JLP - Compra de açucar, café, queijo, laranja, pao, iogurte - DNA Distribuidora</t>
  </si>
  <si>
    <t>JLP - Compra de adap.condulete top, condulete - Delevy</t>
  </si>
  <si>
    <t>JLP - Compra de tampa condulete, tampa condulete - Delevy</t>
  </si>
  <si>
    <t>GV - Compra de querosene solar - Ferragens Mineira</t>
  </si>
  <si>
    <t xml:space="preserve">JLP - Compra de pao e café - DNA Distribuidora </t>
  </si>
  <si>
    <t>GV - Cópia de chave - Casa das chaves</t>
  </si>
  <si>
    <t xml:space="preserve">JLP - Compra de escova de aço - Ferragens Mineira </t>
  </si>
  <si>
    <t>JLP - Compra de estopa branca - Locminas (nota fiscal)</t>
  </si>
  <si>
    <t>JLP - Compra de agua sanitaria - DNA Distribuidora</t>
  </si>
  <si>
    <t xml:space="preserve">JLP - Compra de cartão aniversário Rafaela - Papel e Arte Papelaria </t>
  </si>
  <si>
    <t>JLP - Compra de banana para lanche escritório - Sem nota comprado por Mylla</t>
  </si>
  <si>
    <t>JLP - Compra de balão platino, suporte e hastes p/aniversario - Comercial Aspahan LTDA</t>
  </si>
  <si>
    <t xml:space="preserve">JLP - Compra de vela palito para aniversário - ASPAHAN LTDA  </t>
  </si>
  <si>
    <t>JLP - Compra de bolo de aniversario aniversario Rafaela - Raquel Luiz sem nota por Mylla</t>
  </si>
  <si>
    <t>JLP - Compra de pé de mesa 1 1/4 - Casa das Borrachas</t>
  </si>
  <si>
    <t>JLP - Compra de escova de limpeza - Otoni Utilidades</t>
  </si>
  <si>
    <t>JLP - Compra de mortadela, coca e pão p/aniversário Rafaela - DNA Distribuidora S/A</t>
  </si>
  <si>
    <t>GV - Pagamento - Faxina Edifício Nova Era - Vania (300) Dias 12/08, 15/08, 19/08 e 22/08</t>
  </si>
  <si>
    <t>JLP - Aluguel Galpão 03 - Setembro 19 - Jorg Paul</t>
  </si>
  <si>
    <t>GV - Compra de uco, leite, fruta, pão para recepção moradores apto 202 - DNA distribuidora</t>
  </si>
  <si>
    <t>GV - Compra de biscoito para recepção moradores apto 202 - Ponto dos Biscoitos</t>
  </si>
  <si>
    <t>JLP - Pagamento serviços prestados Patrick do dia 19 a 23 de agosto/19</t>
  </si>
  <si>
    <t>JLP - Pagamento serviços prestados Roberto do dia 19 a 23 de agosto/19</t>
  </si>
  <si>
    <t>JLP - Pagamento serviços prestados por Thomas do dia 19 a 23 de agosto/19</t>
  </si>
  <si>
    <t xml:space="preserve">JLP - Pagamento de compra de tecido para estofado G1 feito na Habitat </t>
  </si>
  <si>
    <t>GV - Aluguel Apt 105 - Julho 19 - Gilmenia (A1020+C90+20,72+10%alug.multa)</t>
  </si>
  <si>
    <t>JLP e GV - Compra de botijão completo p/apto 203 (200,00) e de gás para JLP (55) - MD gás</t>
  </si>
  <si>
    <t>GV e JLP - Pagamento da manutenção terraço prédio e JLP - Emily (separado na gaveta)</t>
  </si>
  <si>
    <t>GV - Pagamento adiantado meses set/out e nov. 2019 lj 603 - David</t>
  </si>
  <si>
    <t>GV - Saída do cheque lj 603 - David para depósito - Rafaela</t>
  </si>
  <si>
    <t>JLP - Pagamento serviços prestados Patrick do dia 26 a 30 de agosto/19</t>
  </si>
  <si>
    <t>JLP - Pagamento serviços prestados Roberto do dia 26 a 30 de agosto/19</t>
  </si>
  <si>
    <t>JLP - Pagamento serviços prestados por Thomas do dia 26 a 30 de agosto/19</t>
  </si>
  <si>
    <t>JLP - Pagamento serviços prestados Patrick no dia 31 de agosto/19 - Mylla</t>
  </si>
  <si>
    <t>JLP - Pagamento serviços prestados Roberto no dia 31 de agosto/19 - Mylla</t>
  </si>
  <si>
    <t>JLP - Pagamento serviços prestados por Juaniz no dia 31/08/19 - Mylla</t>
  </si>
  <si>
    <t>JLP - Pagamento serviços prestados por Jorgiano no dia 31/08/19 -  Mylla</t>
  </si>
  <si>
    <t>JLP - Pagamento transportadora cera nota com Irving</t>
  </si>
  <si>
    <t xml:space="preserve">GV - Ret Naz </t>
  </si>
  <si>
    <t>GV - Depósito CC Hon</t>
  </si>
  <si>
    <t>GV - Reforma Sofá Ap 203 - Capoteiro</t>
  </si>
  <si>
    <t>GV - Ret Irv - Reforma 2 cadeiras</t>
  </si>
  <si>
    <t>GV - Facebook de Set 16 a Jul 19 - Débitos em Cartão de Crédito Irv</t>
  </si>
  <si>
    <t>GV - OLX - Fev a Jul 19 - Débitos em Cartão de Crédito Irv</t>
  </si>
  <si>
    <t>GV e JLP - Microsoft Windows 2017, 2018 e 2019 - Débitos em Cartão de Crédito Irv</t>
  </si>
  <si>
    <t>GV e JLP - Notebook Mylla - Abatido Honorários - Débitos em Cartão de Crédito Irv</t>
  </si>
  <si>
    <t>GV e JLP - Crusoé Jul 2018 - Débitos em Cartão de Crédito Irv</t>
  </si>
  <si>
    <t>GV e JLP - Deslocamentos - Taxis e Aplicativos</t>
  </si>
  <si>
    <t>GV - Cópias contrato ap 202</t>
  </si>
  <si>
    <t>GV - Autenticações cópia contrato ap 202</t>
  </si>
  <si>
    <t>GV - Reconhecimento firma contrato ap 202</t>
  </si>
  <si>
    <t>JLP - Primeira parcela Evento Feirinha MCW</t>
  </si>
  <si>
    <t>JLP - Despesas Happy Hour com Carlos  MCW</t>
  </si>
  <si>
    <t>GV e JLP - Notebook Mylla 3.12 - Abatido Honorários - Débitos em Cartão de Crédito Irv</t>
  </si>
  <si>
    <t>GV - Facebook Ago 19 - Débitos em Cartão de Crédito Irv</t>
  </si>
  <si>
    <t>GV e JLP - Crusoé Jul 2019 - Débitos em Cartão de Crédito Irv</t>
  </si>
  <si>
    <t>GV - Roberto Bom Ar - Instalação aparelhos 5 apartamentos - 1ª Parte (restam R$ 950,00)</t>
  </si>
  <si>
    <t>GV - Pilhas controles aparelhos arcon ap 203</t>
  </si>
  <si>
    <t>GV - Instalação novo Roteador e revisão de rede -  Edifício NE</t>
  </si>
  <si>
    <t>GV e JLP - Consultoria Arquitetura e Decoração - Ivana Otoni Pereira</t>
  </si>
  <si>
    <t>GV - Lâmpada ap 205</t>
  </si>
  <si>
    <t>JLP - Rodízios fogão</t>
  </si>
  <si>
    <t>JLP - Parafusos Ponto das Chaves</t>
  </si>
  <si>
    <t>JLP - Sábado trabalhado - Mylla</t>
  </si>
  <si>
    <t>GV - Ret Naz - Acerto com Iuri - Passagem Avião Janeiro - Sem recibo</t>
  </si>
  <si>
    <t xml:space="preserve">05/08/2019 </t>
  </si>
  <si>
    <t xml:space="preserve">526935 </t>
  </si>
  <si>
    <t xml:space="preserve">06/08/2019 </t>
  </si>
  <si>
    <t xml:space="preserve">07/08/2019 </t>
  </si>
  <si>
    <t>GV e JLP - Amazon - Presente Rafaela</t>
  </si>
  <si>
    <t xml:space="preserve">08/08/2019 </t>
  </si>
  <si>
    <t xml:space="preserve">09/08/2019 </t>
  </si>
  <si>
    <t xml:space="preserve">284662 </t>
  </si>
  <si>
    <t xml:space="preserve">12/08/2019 </t>
  </si>
  <si>
    <t xml:space="preserve">231000 </t>
  </si>
  <si>
    <t xml:space="preserve">284684 </t>
  </si>
  <si>
    <t xml:space="preserve">14/08/2019 </t>
  </si>
  <si>
    <t>GV - Americanas - Jogo Panelas ap 203</t>
  </si>
  <si>
    <t xml:space="preserve">15/08/2019 </t>
  </si>
  <si>
    <t xml:space="preserve">031000 </t>
  </si>
  <si>
    <t xml:space="preserve">691000 </t>
  </si>
  <si>
    <t xml:space="preserve">19/08/2019 </t>
  </si>
  <si>
    <t xml:space="preserve">271000 </t>
  </si>
  <si>
    <t xml:space="preserve">20/08/2019 </t>
  </si>
  <si>
    <t>GV e JLP - Inet Esc Fsa - Agosto</t>
  </si>
  <si>
    <t xml:space="preserve">284706 </t>
  </si>
  <si>
    <t xml:space="preserve">21/08/2019 </t>
  </si>
  <si>
    <t xml:space="preserve">GV e JLP - Consultoria  - MEIs e Contratos - Adv. Eliene Alves Souza </t>
  </si>
  <si>
    <t xml:space="preserve">491000 </t>
  </si>
  <si>
    <t>GV - Jeferson Marceneiro - 50% Armários ap 203</t>
  </si>
  <si>
    <t xml:space="preserve">144570 </t>
  </si>
  <si>
    <t xml:space="preserve">22/08/2019 </t>
  </si>
  <si>
    <t>GV - Ret Irv - Mesada Carol</t>
  </si>
  <si>
    <t xml:space="preserve">26/08/2019 </t>
  </si>
  <si>
    <t>JLP - Rodízios Cervejeira G1</t>
  </si>
  <si>
    <t xml:space="preserve">000161 </t>
  </si>
  <si>
    <t xml:space="preserve">29/08/2019 </t>
  </si>
  <si>
    <t xml:space="preserve">102006 </t>
  </si>
  <si>
    <t>JLP - BH Limp - Cera G2</t>
  </si>
  <si>
    <t>JLP - Loja do Profissional - Hidrofugante G2</t>
  </si>
  <si>
    <t>JLP - Ferragens Ipê - Bancos Praça Nazinha Ottoni</t>
  </si>
  <si>
    <t xml:space="preserve">30/08/2019 </t>
  </si>
  <si>
    <t xml:space="preserve">284728 </t>
  </si>
  <si>
    <t>000509</t>
  </si>
  <si>
    <t>000510</t>
  </si>
  <si>
    <t>02/08/2019</t>
  </si>
  <si>
    <t>GV e JLP - Locminas - lapis carp., brocabotina,disco</t>
  </si>
  <si>
    <t>000512</t>
  </si>
  <si>
    <t>05/08/2019</t>
  </si>
  <si>
    <t>JLP - 3 Unidades de ventiladores eólicos G2</t>
  </si>
  <si>
    <t>526946</t>
  </si>
  <si>
    <t>JLP - Pedreira Mattar - Solo brita</t>
  </si>
  <si>
    <t>000511</t>
  </si>
  <si>
    <t>06/08/2019</t>
  </si>
  <si>
    <t>07/08/2019</t>
  </si>
  <si>
    <t>241000</t>
  </si>
  <si>
    <t>08/08/2019</t>
  </si>
  <si>
    <t>JLP - Delevy - lamp.led bolinha, bocal</t>
  </si>
  <si>
    <t>12/08/2019</t>
  </si>
  <si>
    <t>GV - Tarifa Extrato 2ª via</t>
  </si>
  <si>
    <t>GV - Delevy - lampadas e luminaria</t>
  </si>
  <si>
    <t>771000</t>
  </si>
  <si>
    <t xml:space="preserve">GV e JLP - Luso - GV (R$194) JLP (R$267,41) - lixa, trincha, broxa, massa, trincha, bucha </t>
  </si>
  <si>
    <t>JLP - Continental - mascara, tubo esgoto, joelho</t>
  </si>
  <si>
    <t>JLP - HSR - Aluguel Jul 19 (A 4980,50 - 5% Desc = 4731,47)</t>
  </si>
  <si>
    <t>15/08/2019</t>
  </si>
  <si>
    <t>JLP - Dablius Contabilidade Ago 19</t>
  </si>
  <si>
    <t>16/08/2019</t>
  </si>
  <si>
    <t>JLP - Adiantamento - Ago 19 - Jorgiano</t>
  </si>
  <si>
    <t>000513</t>
  </si>
  <si>
    <t>JLP - Adiantamento - Ago 19 - Juaniz</t>
  </si>
  <si>
    <t>000514</t>
  </si>
  <si>
    <t>19/08/2019</t>
  </si>
  <si>
    <t>JLP - Delevy - caixa, conduite, lamp.led bolinha</t>
  </si>
  <si>
    <t>JLP - Pagamento Caktus - Logo Vila Deco 2.2</t>
  </si>
  <si>
    <t>20/08/2019</t>
  </si>
  <si>
    <t>831000</t>
  </si>
  <si>
    <t>284695</t>
  </si>
  <si>
    <t>21/08/2019</t>
  </si>
  <si>
    <t>23/08/2019</t>
  </si>
  <si>
    <t>JLP - Americanas - Ventiladores G2</t>
  </si>
  <si>
    <t>591000</t>
  </si>
  <si>
    <t>JLP - Safra - Cimentos</t>
  </si>
  <si>
    <t>000515</t>
  </si>
  <si>
    <t>27/08/2019</t>
  </si>
  <si>
    <t>29/08/2019</t>
  </si>
  <si>
    <t>102006</t>
  </si>
  <si>
    <t>30/08/2019</t>
  </si>
  <si>
    <t>Set 2019</t>
  </si>
  <si>
    <t xml:space="preserve">GV - Aluguel V 8 DJA - Setembro 19 - Alysson Rocha </t>
  </si>
  <si>
    <t>GV - Aluguel Apt 104 - Agosto 19 - Andressa (A1010+C90)</t>
  </si>
  <si>
    <t>GV - Aluguel Apt 103 - Agosto 2019 - Monise (A1050+Cond90+IPTU28,05)</t>
  </si>
  <si>
    <t>GV - Aluguel V 4 DJA - Agosto 2019 - Monise (A150)</t>
  </si>
  <si>
    <t>GV - Aluguel Loja JP 607 - Agosto 19 - Anderson (A1465)</t>
  </si>
  <si>
    <t>GV - Aluguel V 9 DJA - Setembro 19 - Rachid Sergio (A220)</t>
  </si>
  <si>
    <t xml:space="preserve">GV - Compra de suporte de parede para extintor para garagem - Extintol </t>
  </si>
  <si>
    <t>JLP - Compra de espetinhos para churrasco da obra - Açougue Confiança</t>
  </si>
  <si>
    <t>GV - Compra de modulo tomada 2p+t novo - Delevy</t>
  </si>
  <si>
    <t xml:space="preserve">JLP - Compra de escovas limpeza 55cm e escova lavar roupa - Otoni Utilidades </t>
  </si>
  <si>
    <t xml:space="preserve">JLP - Compra de serra aco rapido irwin - Ferragens Mineira </t>
  </si>
  <si>
    <t xml:space="preserve">GV - Compra de sifao e fita isolante para uso na garagem - Continental </t>
  </si>
  <si>
    <t>JLP - Compra de pao v.sol.nat. para lanche do escritorio - DNA Distribuidora EPA</t>
  </si>
  <si>
    <t xml:space="preserve">JLP - Compra de açucar para café colaboradores da obra - DNA Distribuidora EPA </t>
  </si>
  <si>
    <t>JLP - Compra de para churrasco da obra +lanche escr (48,45).+café p/ obra (16,76)- DNA Dist. EPA</t>
  </si>
  <si>
    <t>JLP - Compra de 10 aruelas, 10 parafusos, 10 buchas  - Ponto das Chaves</t>
  </si>
  <si>
    <t>JLP - Compra de lava roupa ype, pão e mortadela p/lanche sab., esponja, deterg. - DNA Dist. EPA</t>
  </si>
  <si>
    <t xml:space="preserve">GV - Saída para Irving </t>
  </si>
  <si>
    <t>GV e JLP - Compra de vassoura e pa de lixo para apto 203 e rodinho para escritorio G1 - Quase 2</t>
  </si>
  <si>
    <t>GV e JLP - Compra escorredor G1, utensilios p/apto 203 tampa, port.t, potes, etc -BVR Com.Util.</t>
  </si>
  <si>
    <t>GV - Compra de pano multiuso e saco alvejado - Quase 2</t>
  </si>
  <si>
    <t>GV e JLP - Compra de frutas e detergente p/escritorio e sabão em pó p/prédio - DNA Distr.EPA</t>
  </si>
  <si>
    <t xml:space="preserve">JLP - Compra de cimento e brita - Saga materiais de construção </t>
  </si>
  <si>
    <t xml:space="preserve">JLP - Compra de thiner - Comercial Loesch </t>
  </si>
  <si>
    <t>GV - Pagamento - Faxina Edifício Nova Era - Vania (300) Dias 26 e 29/08, e 02 e 05 de set/19</t>
  </si>
  <si>
    <t>GV - Aluguel Apt 204 - Agosto 19 - Adesil (A1400+C90) CH</t>
  </si>
  <si>
    <t xml:space="preserve">GV - Aluguel V 01 DJA - Setembro 19 - Gildásio Klier </t>
  </si>
  <si>
    <t>GV - Aluguel Vaga p/ moto DJA - Setembro 19 - Gildásio Klier /Contabilidade Klier</t>
  </si>
  <si>
    <t>GV - Aluguel Apt Studio - Agosto 19 - Fran de Oliveira Alavina (A1500)</t>
  </si>
  <si>
    <t>GV - Aluguel Loft 609 - Agosto 2019 - Adriano (A1000)</t>
  </si>
  <si>
    <t>JLP - Compra de café e açucar p/obra, laranja e pão para escritorio - DNA Distribuidora EPA</t>
  </si>
  <si>
    <t>GV - Entrada feita por Irving</t>
  </si>
  <si>
    <t>JLP - Pagamento serviços prestados Patrick do dia 02 a 06 de setembro/19</t>
  </si>
  <si>
    <t>JLP - Pagamento serviços prestados Roberto do dia 02 a 06 de setembro/19</t>
  </si>
  <si>
    <t>JLP - Pagamento serviços prestados por Thomas do dia 02 a 06 de setembro/19</t>
  </si>
  <si>
    <t>JLP - Pagamento serviços prestados Patrick no dia 07 de setembro/19 + 06 horas- por Mylla</t>
  </si>
  <si>
    <t>JLP - Pagamento serviços prestados Thomas no dia 07 de setembro/19  + 06 horas - por Mylla</t>
  </si>
  <si>
    <t>JLP - Pagamento serviços prestados Roberto no dia 07 de setembro/19  + 06 horas - por Mylla</t>
  </si>
  <si>
    <t>JLP - Pagamento serviços prestados por Juaniz no dia 07 de setembro/19 + 06 horas - por Mylla</t>
  </si>
  <si>
    <t>JLP - Pagamento serviços prestados por Jorgiano no dia 07 de setembro/19 + 06 horas- por Mylla</t>
  </si>
  <si>
    <t>JLP - Pagamento serviços prestados por Mylla no dia 07 de setembro/19 + 06 horas  - por Mylla</t>
  </si>
  <si>
    <t>JLP - Pagamento honorários Mylla descontado adiantamento</t>
  </si>
  <si>
    <t>GV - Aluguel Apt 202 - Agosto 19 - Izabela (A1400+90cond+17,15iptu)</t>
  </si>
  <si>
    <t>GV - Aluguel V 6 DJA - Setembro 19 - Urias Santana</t>
  </si>
  <si>
    <t>GV - Aluguel V 2 DJA - Setembro 19 - Lucas Barreiros (A200)CH</t>
  </si>
  <si>
    <t>GV - Aluguel V 10 DJA - Setembro 19 - Carla Martin (A250)</t>
  </si>
  <si>
    <t>GV - Saida dos cheques para deposito conta Honorina (cheques Lucas, Carla, Adesil e Gustavo)</t>
  </si>
  <si>
    <t xml:space="preserve">GV - Aluguel V 7 DJA - Setembro 19 - Luciana LA Boutique (A200) </t>
  </si>
  <si>
    <t>JLP - Compra de porta talheres, jarras de vidros e caneta para G1 - UAI BRASIL</t>
  </si>
  <si>
    <t>GV - Aluguel Loja GV 1052 - Agosto 19 - Irmas Figueiredo (A2205+55,28IPTU) DN</t>
  </si>
  <si>
    <t>JLP - Lanche para obra dia 07/09 - Padaria Nova Delícia</t>
  </si>
  <si>
    <t xml:space="preserve">GV - Aluguel por temporada - 03 Diárias apartamento 203 - Vitor da Cruz </t>
  </si>
  <si>
    <t xml:space="preserve">JLP - Pagamento limpeza e impermeabilização dos estofados G1 - Tchau Sujeira </t>
  </si>
  <si>
    <t>JLP - Pagamento entrada camisas Vila Deco - Omax Uniformes e brindes</t>
  </si>
  <si>
    <t>JLP - Pagamento entrada panfletos 10x15 da Vila Deco - Gráfica Carvalho</t>
  </si>
  <si>
    <t>JLP - Compra Azeite, milho de pipoca, amendoim, etc, para inauguração G1 - DNA Distr. EPA</t>
  </si>
  <si>
    <t xml:space="preserve">JLP - Compra de saco pra pipoca - Ponto das embalagens </t>
  </si>
  <si>
    <t>JLP - Compra de copos para G1 - BVR Comercio de Utilidades (Uai Brasil)</t>
  </si>
  <si>
    <t>JLP - Compra de banner Vila Deco - Silk4</t>
  </si>
  <si>
    <t>GV - Aluguel Apt 201 - Agosto 19 - Juliana (A1500+C90+28,28IPTU - 100 Desc.) </t>
  </si>
  <si>
    <t>JLP - Compra lanche Irving / Mylla / Ivana - Salman e Salman LTDA</t>
  </si>
  <si>
    <t>JLP - Compra de alfinete - Barateiro</t>
  </si>
  <si>
    <t>JLP - Pagamento serviços prestados + 7 horas extras Patrick do dia 09 a 13 de setembro/19</t>
  </si>
  <si>
    <t>JLP - Pagamento serviços prestados + 7 horas extras Roberto do dia 09 a 13 de setembro/19</t>
  </si>
  <si>
    <t>JLP - Pagamento serviços prestados + 6 horas extras por Thomas do dia 09 a 13 de setembro/19</t>
  </si>
  <si>
    <t>JLP - Pagamento 7 horas extras Juaniz do dia 09 a 13 de setembro/19</t>
  </si>
  <si>
    <t>JLP - Pagamento 16 horas extras Mylla do dia 09 a 13 de setembro/19</t>
  </si>
  <si>
    <t>JLP - Pagamento restante das camisas Vila Deco - Omax Uniformes e brindes</t>
  </si>
  <si>
    <t xml:space="preserve">GV - Aluguel Loja GV 1050 - Agosto 19 - By Fiapo (A3765+90,73IPTU) </t>
  </si>
  <si>
    <t>JLP - Aluguel V 1 a V 5 - Setembro 19 - Alexandre Couy (A525) CH</t>
  </si>
  <si>
    <t>JLP - Aluguel loja - Agosto 2019 - Habitat (7750A+309,75IPTU) CH</t>
  </si>
  <si>
    <t xml:space="preserve">GV - Aluguel por temporada - 02 Diárias apartamento 203 - Vitor da Cruz </t>
  </si>
  <si>
    <t xml:space="preserve">JLP - Saída para depósito conta JLP cheque Habitat/Alexandre </t>
  </si>
  <si>
    <t>GV - Aluguel Apt 102 - Agosto 2019  - Amaury (A950+Cond90+IPTU18,63)</t>
  </si>
  <si>
    <t>GV - Compra de adaptador para tomada do micro ondas apto 203 - Ponto das Chaves</t>
  </si>
  <si>
    <t>GV - Compra de Papel Higienico BOB 60m para apto 203 - Ivone de Almeida Teles</t>
  </si>
  <si>
    <t xml:space="preserve">JLP - Compra de abracaduto 14cm - Delevy </t>
  </si>
  <si>
    <t>JLP - Compra de soquete abajur - Delevy</t>
  </si>
  <si>
    <t xml:space="preserve">JLP - Compra de broca ar 04 3mm - Locminas </t>
  </si>
  <si>
    <t>JLP - Compra de lampada fluor.36w - Delevy</t>
  </si>
  <si>
    <t>JLP - Compra de caderno e canetas p/ G1 - Vila Deco - Teixeira e Chaves LTDA</t>
  </si>
  <si>
    <t>JLP - Compra de alicate corte tramontina - CCM Parafusos</t>
  </si>
  <si>
    <t>JLP - Pagamento instalação de vidro G1 vidraçaria Guanabara - Dilcione</t>
  </si>
  <si>
    <t>GV - Compra de torneira para jardim/ terraço - Ferragens Mineira</t>
  </si>
  <si>
    <t xml:space="preserve">JLP - Compra de coca cola p/escritorio - DNA Distribuidora </t>
  </si>
  <si>
    <t>JLP - Compra de pães para escritorio e café para obra - DNA Distribuidora EPA</t>
  </si>
  <si>
    <t>JLP - Compra de luvas para colaboradores da obra - DNA Distribuidora EPA</t>
  </si>
  <si>
    <t>JLP - Pagamento padaria lanche colaboradores da obra periodo 02 a 06/09  - Lanches da Praça Padaria</t>
  </si>
  <si>
    <t>JLP - Compra de removedor cera e pano limppano - Supermercado Coelho Diniz</t>
  </si>
  <si>
    <t xml:space="preserve">JLP - Compra de pano limpeza 40x30 - Otoni Utilidades </t>
  </si>
  <si>
    <t>JLP - Compra de munhequeira mercur elastica para Roberto - Irmãos Mattar</t>
  </si>
  <si>
    <t>JLP - Compra de lanche para colaboradores dia 07/07 - Padaria Nova Delicia</t>
  </si>
  <si>
    <t>JLP - Pagamento padaria lanche colaboradores da obra periodo 09 a 13/09  - Lanches da Praça Padaria</t>
  </si>
  <si>
    <t xml:space="preserve">JLP - Compra de caixa de luz plast - Continental </t>
  </si>
  <si>
    <t xml:space="preserve">JLP - Compra de veda calha cz 285g - Continental </t>
  </si>
  <si>
    <t>JLP - Compra de gasolina comum 5l - Posto Getulio Vargas</t>
  </si>
  <si>
    <t>JLP - Compra de TE Esgoto 75mmx75mm - Continental</t>
  </si>
  <si>
    <t>JLP - Compra de protetor auditivo silicone - LocMinas</t>
  </si>
  <si>
    <t>JLP - Compra de rebite e escapula 19x60 - Comercial Loesch</t>
  </si>
  <si>
    <t>JLP - Compra de parafuso e bucha - Comercial Loesch</t>
  </si>
  <si>
    <t>JLP - Compra de arame recozido 181kg - Locminas NF pasta contabilidade</t>
  </si>
  <si>
    <t>GV - Pagamento - Faxina Edifício Nova Era - Vania (280) Dias 09,12,19 set/19 e meio periodo 16/09</t>
  </si>
  <si>
    <t>JLP - Pagamento serviços prestados por Patrick do dia 16 a 20 de setembro/19</t>
  </si>
  <si>
    <t>JLP - Pagamento serviços prestados por Roberto do dia 16 a 20 de setembro/19</t>
  </si>
  <si>
    <t>JLP - Pagamento serviços prestados por Juaniz no dia 14/09/2019</t>
  </si>
  <si>
    <t>JLP - Pagamento calceteiros 80 m²</t>
  </si>
  <si>
    <t>GV - Saque para CXD</t>
  </si>
  <si>
    <t>JLP - Placas com nomes de árvores</t>
  </si>
  <si>
    <t>JLP - Padaria lanche para calceteiros</t>
  </si>
  <si>
    <t>JLP - Palha de aço para G1</t>
  </si>
  <si>
    <t>JLP - Pagamento calceteiros 66 m²</t>
  </si>
  <si>
    <t>JLP - Formas de pizza e tábua de corte - Quase 2</t>
  </si>
  <si>
    <t>GV - Ret Naz - Picolés Festa Praça - Timoneiro</t>
  </si>
  <si>
    <t>GV - Aluguel Loja GV 1060 e JP 615 - Agosto 19 - Tales Colombi (A5000) DN</t>
  </si>
  <si>
    <t>GV - Ret Naz - Pastéis Recepção Helio Delmiro - Tony Lanches</t>
  </si>
  <si>
    <t>JLP - Segunda parcela Evento Feirinha MCW</t>
  </si>
  <si>
    <t>JLP - Guarda Mobília Daniele</t>
  </si>
  <si>
    <t>GV - Lençol ap 203 - Terapi (cartão Irv)</t>
  </si>
  <si>
    <t>JLP - Patrocínio Show Helio Delmiro</t>
  </si>
  <si>
    <t>JLP - Cerveja para Inauguração</t>
  </si>
  <si>
    <t>JLP - Bancos de madeira para o G1 (8 unidades)</t>
  </si>
  <si>
    <t>JLP - Cerveja e diversos para Inauguração</t>
  </si>
  <si>
    <t>JLP - Passagens e despesas Carolina</t>
  </si>
  <si>
    <t>JLP - Água Tônica Inauguração</t>
  </si>
  <si>
    <t>JLP - Padaria e lanches Inauguração</t>
  </si>
  <si>
    <t>GV - Aluguel Apt 105 - Agosto 19 - Gilmenia (A1020+C90+20,72+10%alug.multa)</t>
  </si>
  <si>
    <t>GV - Travesseiros ap 205</t>
  </si>
  <si>
    <t>GV - Aluguel Loja JP 607 - Setembro 19 - Anderson (A1465)</t>
  </si>
  <si>
    <t>JLP - Pagamento serviços Roberto dias 08 e 14/09/19</t>
  </si>
  <si>
    <t>GV - Pagamento última parcela Roberto Bom Ar - Aps Ed Nova Era</t>
  </si>
  <si>
    <t>GV - TV ap 203 - Cartão Irv</t>
  </si>
  <si>
    <t>GV - Banquetas ap 203 - Cartão Irv</t>
  </si>
  <si>
    <t>GV - Ret Irv - Empréstimo Irv a CXD (TV + Banquetas)</t>
  </si>
  <si>
    <t>GV - Padaria turma obra GV 1040</t>
  </si>
  <si>
    <t>GV - Trabalho sábado dia 21 loja GV 1040 - Juaniz</t>
  </si>
  <si>
    <t>GV - Trabalho sábado dia 21 loja GV 1040 - Patrick</t>
  </si>
  <si>
    <t>GV - Trabalho sábado dia 21 loja GV 1040 - Luiz</t>
  </si>
  <si>
    <t>GV - Trabalho sábado dia 21 loja GV 1040 - Sidney</t>
  </si>
  <si>
    <t>GV - Aluguel V 3 DJA - Setembro 19 - Fernando Henrique (A200+ multa 20)</t>
  </si>
  <si>
    <t>GV - Rescisão e acertos finais Adesil - Ap 204 (abatida a caução)</t>
  </si>
  <si>
    <t>GV e JLP - Apontamento ponteiros e talhadeiras</t>
  </si>
  <si>
    <t>JLP - Pagamento Engemax - Restante serviços elétricos av Fsa</t>
  </si>
  <si>
    <t>GV - Aluguel ESP DJA - Setembro 19 - Mario Monteiro (A80)</t>
  </si>
  <si>
    <t>JLP - Vasos cerâmica - Espaço Garden</t>
  </si>
  <si>
    <t>GV - Comercial Loesch - Dobradiças armários ap 204</t>
  </si>
  <si>
    <t>GV - Engenharty - Plantas Imóveis GV</t>
  </si>
  <si>
    <t>GV - Jeferson Marceneiro - 50% restantes Armários ap 203</t>
  </si>
  <si>
    <t>JLP - Aluguel Galpão 03 - Outubro 19 - Jorg Paul</t>
  </si>
  <si>
    <t>JLP - Pagamento Horas Extras Mylla do dia 6 a 27 de setembro/19</t>
  </si>
  <si>
    <t>JLP - Pagamento serviços prestados por Roberto do dia 23 a 27 de setembro/19</t>
  </si>
  <si>
    <t>JLP - Pagamento serviços extras jardinagem por Juaniz do dia 23 a 27 de setembro/19</t>
  </si>
  <si>
    <t>JLP - Pagamento serviços prestados por Patrick do dia  23 a 27 de setembro/19</t>
  </si>
  <si>
    <t>JLP - Pagamento serviços prestados por Sidnei do dia  25 a 27 de setembro/19</t>
  </si>
  <si>
    <t>JLP - Pagamento serviços prestados por Thomas no dia  25 de setembro/19</t>
  </si>
  <si>
    <t>GV e JLP - Passagens BH TO BH Irv</t>
  </si>
  <si>
    <t>JLP - Pagamento Simples Nacional Mylla Teles</t>
  </si>
  <si>
    <t>GV e JLP - Lanches 0bra - Pães 16 a 20/09</t>
  </si>
  <si>
    <t>GV e JLP - Lanches Escritório - Período</t>
  </si>
  <si>
    <t>JLP - Rei das Tintas - Verniz</t>
  </si>
  <si>
    <t>GV - Locminas - Aguarrás</t>
  </si>
  <si>
    <t>GV e JLP - Aveia Lanche escritório</t>
  </si>
  <si>
    <t>GV e JLP - Material Limpeza Esritório</t>
  </si>
  <si>
    <t>GV - Lanche extra pessoal - caçamba</t>
  </si>
  <si>
    <t>GV e JLP - Lanches 0bra - Pães 23 a 27/09</t>
  </si>
  <si>
    <t>GV e JLP - Broca - Locminas</t>
  </si>
  <si>
    <t>JLP - Loesch - Parafusos e Buchas</t>
  </si>
  <si>
    <t>GV e JLP - Lanche Escritório</t>
  </si>
  <si>
    <t xml:space="preserve">GV - Aluguel V 8 DJA - Outubro 19 - Alysson Rocha </t>
  </si>
  <si>
    <t>GV - Ret Naz - Acerto Ivana Festa 85 anos</t>
  </si>
  <si>
    <t xml:space="preserve">02/09/2019 </t>
  </si>
  <si>
    <t>GV - Alugués restantes e multas Loja JP 603</t>
  </si>
  <si>
    <t xml:space="preserve">03/09/2019 </t>
  </si>
  <si>
    <t xml:space="preserve">JLP - Poste Praça - Luminarias Nossa Senhora </t>
  </si>
  <si>
    <t>JLP - Varais de lâmpadas</t>
  </si>
  <si>
    <t xml:space="preserve">061713 </t>
  </si>
  <si>
    <t xml:space="preserve">04/09/2019 </t>
  </si>
  <si>
    <t>JLP - Engemax - Zé Felipe - Eletricista - Primeira parcela</t>
  </si>
  <si>
    <t xml:space="preserve">000162 </t>
  </si>
  <si>
    <t xml:space="preserve">05/09/2019 </t>
  </si>
  <si>
    <t xml:space="preserve">411000 </t>
  </si>
  <si>
    <t xml:space="preserve">06/09/2019 </t>
  </si>
  <si>
    <t>GV - Ret Naz - Tia Teca - Comes e Bebes Inauguração Praça</t>
  </si>
  <si>
    <t xml:space="preserve">340165 </t>
  </si>
  <si>
    <t xml:space="preserve">544065 </t>
  </si>
  <si>
    <t xml:space="preserve">09/09/2019 </t>
  </si>
  <si>
    <t>JLP - Ralos junto as grelhas e barras de parafuso FSa</t>
  </si>
  <si>
    <t xml:space="preserve">272965 </t>
  </si>
  <si>
    <t xml:space="preserve">10/09/2019 </t>
  </si>
  <si>
    <t xml:space="preserve">241000 </t>
  </si>
  <si>
    <t xml:space="preserve">11/09/2019 </t>
  </si>
  <si>
    <t xml:space="preserve">284717 </t>
  </si>
  <si>
    <t>JLP - Amendoim - Recepção Helio Delmiro</t>
  </si>
  <si>
    <t xml:space="preserve">513165 </t>
  </si>
  <si>
    <t>JLP - Tele Cerveja - Recepção Helio Delmiro</t>
  </si>
  <si>
    <t xml:space="preserve">345065 </t>
  </si>
  <si>
    <t>GV - Ret Naz - Pizza Craft - Christiano Luz</t>
  </si>
  <si>
    <t xml:space="preserve">000164 </t>
  </si>
  <si>
    <t>GV - Ret Naz - Bouquet de Rosas aniversário - Flora e Vida</t>
  </si>
  <si>
    <t xml:space="preserve">000163 </t>
  </si>
  <si>
    <t xml:space="preserve">12/09/2019 </t>
  </si>
  <si>
    <t xml:space="preserve">13/09/2019 </t>
  </si>
  <si>
    <t>GV - Ret Naz - Pat - Albuns de Fotografias</t>
  </si>
  <si>
    <t xml:space="preserve">16/09/2019 </t>
  </si>
  <si>
    <t xml:space="preserve">035660 </t>
  </si>
  <si>
    <t xml:space="preserve">19/09/2019 </t>
  </si>
  <si>
    <t xml:space="preserve">20/09/2019 </t>
  </si>
  <si>
    <t>GV e JLP - Inet Esc Fsa - Setembro</t>
  </si>
  <si>
    <t xml:space="preserve">103065 </t>
  </si>
  <si>
    <t xml:space="preserve">23/09/2019 </t>
  </si>
  <si>
    <t>JLP - Aluguel Guarda Mobília - Mathias</t>
  </si>
  <si>
    <t xml:space="preserve">JLP - Grelhas Fsa - Luminarias Nossa Senhora </t>
  </si>
  <si>
    <t>GV e JLP - Honorários Carolina</t>
  </si>
  <si>
    <t xml:space="preserve">25/09/2019 </t>
  </si>
  <si>
    <t>GV - Ret Irv - H Pardini - Exame Toxicologico</t>
  </si>
  <si>
    <t>JLP - Dominio jlp.com.br</t>
  </si>
  <si>
    <t xml:space="preserve">26/09/2019 </t>
  </si>
  <si>
    <t>JLP - Pagamento Iana Soares - Design Banner, flyer e camiseta</t>
  </si>
  <si>
    <t xml:space="preserve">514000 </t>
  </si>
  <si>
    <t xml:space="preserve">694100 </t>
  </si>
  <si>
    <t xml:space="preserve">27/09/2019 </t>
  </si>
  <si>
    <t>03/09/2019</t>
  </si>
  <si>
    <t>000517</t>
  </si>
  <si>
    <t>000518</t>
  </si>
  <si>
    <t>05/09/2019</t>
  </si>
  <si>
    <t>GV e JLP - Locminas - botina, disco corte,disco lixa,eletrodo,broca</t>
  </si>
  <si>
    <t>000516</t>
  </si>
  <si>
    <t>06/09/2019</t>
  </si>
  <si>
    <t>JLP - Delevy - placa 4x2 3 mod, modulo cego, modulo tomada</t>
  </si>
  <si>
    <t>421000</t>
  </si>
  <si>
    <t>09/09/2019</t>
  </si>
  <si>
    <t>JLP - Antiderrapante</t>
  </si>
  <si>
    <t>10/09/2019</t>
  </si>
  <si>
    <t>JLP - HSR - Aluguel Ago 19 (A 4980,50 - 5% Desc = 4731,47)</t>
  </si>
  <si>
    <t>GV e JLP - Continetal - JLP  R$110,10 (peneira, desempenadeira, etc) GARAGEM GV  R$114,90 (Caixa acopl)</t>
  </si>
  <si>
    <t>13/09/2019</t>
  </si>
  <si>
    <t>JLP - Areial do Noé</t>
  </si>
  <si>
    <t>000519</t>
  </si>
  <si>
    <t>16/09/2019</t>
  </si>
  <si>
    <t>JLP - Dablius Contabilidade Set 19</t>
  </si>
  <si>
    <t>JLP - Luso - tintas, bucha, sel.acr., solv.</t>
  </si>
  <si>
    <t>035660</t>
  </si>
  <si>
    <t>17/09/2019</t>
  </si>
  <si>
    <t>GV e JLP - Locminas - disco, linha pedreiro,vassourao, lapis)</t>
  </si>
  <si>
    <t>000520</t>
  </si>
  <si>
    <t>18/09/2019</t>
  </si>
  <si>
    <t>JLP - Delevy - Lamp.led bolinha</t>
  </si>
  <si>
    <t>281000</t>
  </si>
  <si>
    <t>JLP - Registro INPI - Vila Deco</t>
  </si>
  <si>
    <t>JLP - Adiantamento - Set 19 - Jorgiano</t>
  </si>
  <si>
    <t>000522</t>
  </si>
  <si>
    <t>JLP - Adiantamento - Set 19 - Juaniz</t>
  </si>
  <si>
    <t>000523</t>
  </si>
  <si>
    <t>19/09/2019</t>
  </si>
  <si>
    <t>JLP - Delevy - Projetor industrial, pendente</t>
  </si>
  <si>
    <t>284739</t>
  </si>
  <si>
    <t>20/09/2019</t>
  </si>
  <si>
    <t>103065</t>
  </si>
  <si>
    <t>23/09/2019</t>
  </si>
  <si>
    <t>JLP - Delevy - Modulo interr., placa, modulo, abracaduto, placa</t>
  </si>
  <si>
    <t>681000</t>
  </si>
  <si>
    <t>JLP - Locmaq - Placa paralelepípedos</t>
  </si>
  <si>
    <t>JLP - BR Extintores Fsa 1.3</t>
  </si>
  <si>
    <t>JLP - Ponto Frio - 6 ventiladores G2</t>
  </si>
  <si>
    <t>485250</t>
  </si>
  <si>
    <t>25/09/2019</t>
  </si>
  <si>
    <t>27/09/2019</t>
  </si>
  <si>
    <t>JLP - Delevy - Material elétrico Fsa</t>
  </si>
  <si>
    <t>000521</t>
  </si>
  <si>
    <t>30/09/2019</t>
  </si>
  <si>
    <t xml:space="preserve">JLP - Delevy - Cabinho flex, placa 4x2, lumin.energencia </t>
  </si>
  <si>
    <t>JLP - Delevy -  cabinho  flexivel, cabo pp</t>
  </si>
  <si>
    <t>791000</t>
  </si>
  <si>
    <t>Loja do Profissional</t>
  </si>
  <si>
    <t>Matos e Nascimento - Engenharia</t>
  </si>
  <si>
    <t>Saga Materiais Construção</t>
  </si>
  <si>
    <t>Out 2019</t>
  </si>
  <si>
    <t>Entrada do caixa que estava com Mylla repassado por Irving</t>
  </si>
  <si>
    <t>JLP - Pagamento padaria lanche colab. obra periodo 29/09 a 04/10  - Lanches da Praça Padaria</t>
  </si>
  <si>
    <t>JLP - Pagamento lanches Roberto e Mylla periodo da feirinha 05 e 06/10 - sem nota</t>
  </si>
  <si>
    <t>GV - Aluguel Apt 104 - Setembro 19 - Andressa (A1010+C90)</t>
  </si>
  <si>
    <t>GV - Aluguel Apt 202 - Setembro 19 - Thais (A1400+90cond+17,15iptu)</t>
  </si>
  <si>
    <t>GV - Aluguel Loft 609 - Setembro 2019 - Adriano (A1000)</t>
  </si>
  <si>
    <t>JLP - Aluguel mesas para Feirinha Coworking - Carlos</t>
  </si>
  <si>
    <t>GV - Aluguel V 3 DJA - Outubro 19 - Fernando Henrique (A200)</t>
  </si>
  <si>
    <t xml:space="preserve">JLP - Pagamento serviços prestados por Thomas </t>
  </si>
  <si>
    <t xml:space="preserve">GV - Devolução dos 04 cheques de Gustavo vaga que estavam com Irving </t>
  </si>
  <si>
    <t>JLP - Pagamento honorários, final de semana e horas de Mylla</t>
  </si>
  <si>
    <t xml:space="preserve">JLP - Compra de embalagens/vasos planta 25l,18l,14,3l - Agricol </t>
  </si>
  <si>
    <t>JLP - Compra de removedor pint. - Luso Brasil</t>
  </si>
  <si>
    <t>JLP - Compra de açucar p/ café colaboradores - DNA Distribuidora EPA</t>
  </si>
  <si>
    <t>JLP - Compra de vassoura e agua sanitaria - Hipermercado Tia Teca</t>
  </si>
  <si>
    <t>GV - Compra de malhas para terraço - Kilão</t>
  </si>
  <si>
    <t>JLP - Pagamento frete da cera - Eureka</t>
  </si>
  <si>
    <t xml:space="preserve">JLP - Compra de Thiner premium 9100 - Continental </t>
  </si>
  <si>
    <t xml:space="preserve">JLP - Pagamento cadastro Prefeitura p/execucao de obras </t>
  </si>
  <si>
    <t>GV - Aluguel V 2 DJA - Outubro 19 - Lucas Barreiros (A200)CH</t>
  </si>
  <si>
    <t>GV e JLP - Compra de produtos de limpeza para o prédio e banana p/lanche escr. - DNA Dist.EPA</t>
  </si>
  <si>
    <t>GV - Saída dos cheques Gustavo e Lucas para deposito (200 cada)</t>
  </si>
  <si>
    <t xml:space="preserve">GV - Aluguel V 7 DJA - Outubro 19 - Luciana LA Boutique (A200) </t>
  </si>
  <si>
    <t>GV - Aluguel V 10 DJA - Outubro 19 - Carla Martin (A250)</t>
  </si>
  <si>
    <t>JLP - Compra de pão v.sol para escritorio - DNA Distri.EPA</t>
  </si>
  <si>
    <t>JLP - Pagamento padaria lanche colab. obra periodo 07/10 a 11/10 - Lanches da Praça Padaria</t>
  </si>
  <si>
    <t>JLP - Compra de lixas N-180 e N-220 - Continental</t>
  </si>
  <si>
    <t>GV - Aluguel Apt 201 - Setembro 19 - Juliana (A1500+C90+28,28IPTU - 100 Desc.) </t>
  </si>
  <si>
    <t>JLP - Pagamento serviços prestados por Patrick do dia 07 a 11 de outubro/19</t>
  </si>
  <si>
    <t>JLP - Pagamento serviços prestados por Roberto do dia 07 a 11 de outubro/19</t>
  </si>
  <si>
    <t xml:space="preserve">JLP - Pagamento serviços prestados por Juaniz </t>
  </si>
  <si>
    <t>JLP - Pagamento serviços prestados por Jonatan nos dias 10 e 11 de outubro/19</t>
  </si>
  <si>
    <t>GV - Aluguel Loja GV 1050 - Setembro 19 - By Fiapo (A3765)</t>
  </si>
  <si>
    <t>JLP - Pagamento horarios Rafaela ref.mês 09/19</t>
  </si>
  <si>
    <t>GV - Compra de leite, biscoito, banana e maça para apto 203 , locação temp. - DNA Dist. EPA</t>
  </si>
  <si>
    <t>GV - Valor referente a 05 diarias apto 203 - Wilson Junior</t>
  </si>
  <si>
    <t>GV - Aluguel Loja GV 1060 e JP 615 - Setembro 19 - Tales Colombi (A5200) DN</t>
  </si>
  <si>
    <t>GV - Ret Naz - Saída para Honorina</t>
  </si>
  <si>
    <t>GV - Aluguel Apt 102 - Setembro 2019  - Amaury (A950+Cond90+IPTU18,63)</t>
  </si>
  <si>
    <t>JLP - Aluguel V 1 a V 5 - Outubro 19 - Alexandre Couy (A525) CH</t>
  </si>
  <si>
    <t>JLP - Aluguel loja - Setembro 2019 - Habitat (7750A+309,75IPTU) CH</t>
  </si>
  <si>
    <t>GV - Aluguel Apt 105 - Setembro 19 - Gilmenia (A1020+C90+20,72)</t>
  </si>
  <si>
    <t>GV - Aluguel V 6 DJA - Outubro 19 - Urias Santana</t>
  </si>
  <si>
    <t>GV - Compra de garfo para apto 204 - BVR Comercio de Utilidades</t>
  </si>
  <si>
    <t>GV - Compra de travesseiro para apto 204 - Arthur Lundgren tecidos</t>
  </si>
  <si>
    <t>GV e JLP - Compra de balde para obra - Otoni Utilidades</t>
  </si>
  <si>
    <t>GV e JLP - Compra de espuma pedreiro cinza - Continental</t>
  </si>
  <si>
    <t>GV e JLP - Compra de agua sanitaria e SBP - DNA Distribuidora</t>
  </si>
  <si>
    <t>GV e JLP - Compra de queijo para escritorio e escova de sapato p/ limpar estofados - DNA Dist.EPA</t>
  </si>
  <si>
    <t xml:space="preserve">JLP - Compra de barra chata 1 3/16 - Paraná Ferragens </t>
  </si>
  <si>
    <t xml:space="preserve">JLP - Compra de madeirite 5mm - Comercial Loesch </t>
  </si>
  <si>
    <t>GV - Pagamento - Faxina Edifício Nova Era - Vania (320) Dias 14 a 18 de outubro</t>
  </si>
  <si>
    <t xml:space="preserve">GV - Saida cheques Alexandre (Habitat) para depósito </t>
  </si>
  <si>
    <t>JLP - Pagamento serviços prestados por Patrick do dia 14 a 18 de outubro/19</t>
  </si>
  <si>
    <t>JLP - Pagamento serviços prestados por Roberto do dia 14 a 18 de outubro/19</t>
  </si>
  <si>
    <t>GV - Aluguel por temporada apto 204 antecipado 1 mês - Shirlene</t>
  </si>
  <si>
    <t>GV - Antecipação conta de luz apto 204 - Shirlene</t>
  </si>
  <si>
    <t>GV - Aluguel Loja JP 607 - Outubro 19 - Anderson (A1465)</t>
  </si>
  <si>
    <t>JLP - Pagamento serviços prestados por Patrick do dia 21 a 25 de outubro/19</t>
  </si>
  <si>
    <t>JLP - Pagamento serviços prestados por Roberto do dia 21 a 25 de outubro/19</t>
  </si>
  <si>
    <t>GV - Aluguel Loja GV 1052 - Setembro 19 - Irmas Figueiredo (A2050) DN</t>
  </si>
  <si>
    <t>JLP - Compra de resma A4 para escritório- Papetoni</t>
  </si>
  <si>
    <t>JLP - Aluguel Galpão 03 guarda moveis - Novembro 19 - Jorg Paul</t>
  </si>
  <si>
    <t xml:space="preserve">GV - Aluguel V 8 DJA - Novembro 19 - Alysson Rocha </t>
  </si>
  <si>
    <t>GV - Pagamento - Faxina Edifício Nova Era - Vania (320) Dias 21,24,28 e 31 de outubro/19</t>
  </si>
  <si>
    <t>JLP - Pagamento horas extras e serviços no sabor de Buteco Mylla</t>
  </si>
  <si>
    <t>GV - Aluguel V 9 DJA - Outubro 19 - Rachid Sergio (A220)</t>
  </si>
  <si>
    <t>JLP - Cital Telas - Telas para galeria pluviai</t>
  </si>
  <si>
    <t>GV - Aluguel Apt Studio - Setembro 19 - Fran de Oliveira Alavina (A1500)</t>
  </si>
  <si>
    <t>JLP - Eucaliptos para tutores e cercas</t>
  </si>
  <si>
    <t xml:space="preserve">GV - Aluguel V 01 DJA - Outubro 19 - Gildásio Klier </t>
  </si>
  <si>
    <t>GV - Aluguel Vaga p/ moto DJA - Outubro 19 - Gildásio Klier /Contabilidade Klier</t>
  </si>
  <si>
    <t>JLP - Compra de uma rede de descanso</t>
  </si>
  <si>
    <t>GV - Aluguel Apt 103 - Setembro 2019 - Monise (A1050+Cond90+IPTU28,05)</t>
  </si>
  <si>
    <t>GV - Aluguel V 4 DJA - Setembro 2019 - Monise (A150)</t>
  </si>
  <si>
    <t>GV - Carreto pedras fazenda - Acertar Ivana</t>
  </si>
  <si>
    <t>JLP -  Evento Feirinha MCW 05 e 06 Outubro</t>
  </si>
  <si>
    <t>JLP - Silk 4 - Banners</t>
  </si>
  <si>
    <t>GV - CH Luz - comissão ap 103 - restante</t>
  </si>
  <si>
    <t>GV - Pagamento - Faxina Edifício Nova Era - Vania Dias 24, 26 e 30 set/19 e 03 out/19</t>
  </si>
  <si>
    <t>JLP - Pagamento serviços prestados por Sidnei do dia 30 de setembro a 04 outubro/19</t>
  </si>
  <si>
    <t>JLP - Pagamento serviços prestados por Roberto do dia 30 de setembro a 04 outubro/19</t>
  </si>
  <si>
    <t>JLP - Pagamento serviços prestados por Patrick do dia 30 de setembro a 04 outubro/19</t>
  </si>
  <si>
    <t>GV - Saída para Mylla</t>
  </si>
  <si>
    <t>JLP - Estorno pagamento serviços prestados por Thomas no dia  27 de setembro/19</t>
  </si>
  <si>
    <t>GV e JLP - Aplicativos carro Irv viagem e prefeitura (8+12+12+13+9)</t>
  </si>
  <si>
    <t>GV e JLP - Aplicativos carro Irv e Casacor (13+11+60)</t>
  </si>
  <si>
    <t>GV e JLP - Lanche viagem Irv</t>
  </si>
  <si>
    <t>JLP - Compra Ford 1931 (4500 trasnf cc BB e 500 cash sem recibo)</t>
  </si>
  <si>
    <t>GV - Ret Irv - Empréstimo Irv a CXD (Ford 1931)</t>
  </si>
  <si>
    <t>JLP - Compra Ford 1931 - Restante do pagamento (8000 trasnf cc BB)</t>
  </si>
  <si>
    <t>JLP - Plantas ornamentais Fsa</t>
  </si>
  <si>
    <t>GV e JLP - Timo - Enxofre</t>
  </si>
  <si>
    <t>JLP - Vaso Decorativo</t>
  </si>
  <si>
    <t>JLP - Agricol - Vasos Fsa</t>
  </si>
  <si>
    <t>JLP - Pagamento Serviços Roberto Feirinha Coworking 5 e 6/10</t>
  </si>
  <si>
    <t>JLP - Banner Vila Deco</t>
  </si>
  <si>
    <t>JLP - Evento Sabor de Buteco</t>
  </si>
  <si>
    <t>JLP - Acerto banner capoteiro Ilmar e Taxi Roberto (20+10) - Sem recibo</t>
  </si>
  <si>
    <t>JLP - Evento Sabor de Buteco - Ajustes</t>
  </si>
  <si>
    <t xml:space="preserve">480653 </t>
  </si>
  <si>
    <t xml:space="preserve">03/10/2019 </t>
  </si>
  <si>
    <t xml:space="preserve">112848 </t>
  </si>
  <si>
    <t xml:space="preserve">113255 </t>
  </si>
  <si>
    <t xml:space="preserve">07/10/2019 </t>
  </si>
  <si>
    <t xml:space="preserve">08/10/2019 </t>
  </si>
  <si>
    <t xml:space="preserve">10/10/2019 </t>
  </si>
  <si>
    <t xml:space="preserve">771000 </t>
  </si>
  <si>
    <t xml:space="preserve">284740 </t>
  </si>
  <si>
    <t xml:space="preserve">14/10/2019 </t>
  </si>
  <si>
    <t xml:space="preserve">15/10/2019 </t>
  </si>
  <si>
    <t xml:space="preserve">744000 </t>
  </si>
  <si>
    <t xml:space="preserve">581000 </t>
  </si>
  <si>
    <t xml:space="preserve">16/10/2019 </t>
  </si>
  <si>
    <t>JLP - Bhlimp - Keila Matsu - Cera Galpão 2</t>
  </si>
  <si>
    <t xml:space="preserve">17/10/2019 </t>
  </si>
  <si>
    <t xml:space="preserve">21/10/2019 </t>
  </si>
  <si>
    <t xml:space="preserve">671000 </t>
  </si>
  <si>
    <t xml:space="preserve">22/10/2019 </t>
  </si>
  <si>
    <t xml:space="preserve">183858 </t>
  </si>
  <si>
    <t xml:space="preserve">23/10/2019 </t>
  </si>
  <si>
    <t xml:space="preserve">857142 </t>
  </si>
  <si>
    <t>GV - Cemig JP 609 de junho não paga - retirada do débito automático por conta locação</t>
  </si>
  <si>
    <t>01/10/2019</t>
  </si>
  <si>
    <t>JLP - Othon de Carvalho - Material elétrico Fsa</t>
  </si>
  <si>
    <t>480653</t>
  </si>
  <si>
    <t>02/10/2019</t>
  </si>
  <si>
    <t>JLP - Delevy - Cabinho flexivel</t>
  </si>
  <si>
    <t>000524</t>
  </si>
  <si>
    <t>000525</t>
  </si>
  <si>
    <t>03/10/2019</t>
  </si>
  <si>
    <t>112826</t>
  </si>
  <si>
    <t>04/10/2019</t>
  </si>
  <si>
    <t>JLP - Loja Elétrica - Material elétrico Fsa</t>
  </si>
  <si>
    <t>JLP - Locminas - botina,massa plastica, betumaadeira,cola adesivo, disco corte.</t>
  </si>
  <si>
    <t>000526</t>
  </si>
  <si>
    <t>07/10/2019</t>
  </si>
  <si>
    <t>721000</t>
  </si>
  <si>
    <t>08/10/2019</t>
  </si>
  <si>
    <t>JLP - frete Othon de Carvalho</t>
  </si>
  <si>
    <t>10/10/2019</t>
  </si>
  <si>
    <t>JLP - Continental - Materiais Hidráulicos</t>
  </si>
  <si>
    <t>JLP - MD Tintas - tinta tomate seco, azul del rey</t>
  </si>
  <si>
    <t>JLP - HSR - Aluguel Set 19 (A 4980,50 - 5% Desc = 4731,47)</t>
  </si>
  <si>
    <t>11/10/2019</t>
  </si>
  <si>
    <t>JLP - Saga - jg saca parafuso, cabo de aço, trena</t>
  </si>
  <si>
    <t>000527</t>
  </si>
  <si>
    <t>14/10/2019</t>
  </si>
  <si>
    <t>JLP - CCM - jg saca parafuso, cabo de aço, trena</t>
  </si>
  <si>
    <t>15/10/2019</t>
  </si>
  <si>
    <t>JLP - Othon Carvalho - box curvo, tampa, fita, condulete, cabo, etc</t>
  </si>
  <si>
    <t>JLP - Dablius Contabilidade Out 19</t>
  </si>
  <si>
    <t>17/10/2019</t>
  </si>
  <si>
    <t>JLP - Adiantamento - Out 19 - Juaniz</t>
  </si>
  <si>
    <t>000528</t>
  </si>
  <si>
    <t>JLP - Adiantamento - Out 19 - Jorgiano</t>
  </si>
  <si>
    <t>000529</t>
  </si>
  <si>
    <t>18/10/2019</t>
  </si>
  <si>
    <t>284750</t>
  </si>
  <si>
    <t>21/10/2019</t>
  </si>
  <si>
    <t>JLP - BR Extintores Fsa 2.3</t>
  </si>
  <si>
    <t>731000</t>
  </si>
  <si>
    <t>22/10/2019</t>
  </si>
  <si>
    <t>JLP - Hostgator hospedagem domínio viladeco.com.br</t>
  </si>
  <si>
    <t>183858</t>
  </si>
  <si>
    <t>23/10/2019</t>
  </si>
  <si>
    <t>JLP - Luso - Remov. Pintura, cim.port., tinta piso</t>
  </si>
  <si>
    <t>301000</t>
  </si>
  <si>
    <t>24/10/2019</t>
  </si>
  <si>
    <t>GV - Locaçao de Martelete loja GV 1040</t>
  </si>
  <si>
    <t>729247</t>
  </si>
  <si>
    <t>729258</t>
  </si>
  <si>
    <t>25/10/2019</t>
  </si>
  <si>
    <t>28/10/2019</t>
  </si>
  <si>
    <t>JLP - Badu Armações - Grelha</t>
  </si>
  <si>
    <t>000530</t>
  </si>
  <si>
    <t>29/10/2019</t>
  </si>
  <si>
    <t>31/10/2019</t>
  </si>
  <si>
    <t>Nov 2019</t>
  </si>
  <si>
    <t>GV - Aluguel V 9 DJA - Novembro 19 - Rachid Sergio (A220)</t>
  </si>
  <si>
    <t>JLP - Pagamento serviços prestados por Roberto do dia 28/10 a 01/11/19</t>
  </si>
  <si>
    <t xml:space="preserve">JLP - Pagamento horas extras de Roberto </t>
  </si>
  <si>
    <t>JLP - Compra de flanela para limpeza galpão 1 - DNA distribuidora EPA</t>
  </si>
  <si>
    <t>JLP - Compra de araldite 10 minutos - LocMinas</t>
  </si>
  <si>
    <t>JLP - Pagamento serviços prestados por Patrick do dia 28/10 a 01/11/19</t>
  </si>
  <si>
    <t>JLP - Pagamento de hora extra Juaniz</t>
  </si>
  <si>
    <t>JLP - Empréstimo para Juaniz</t>
  </si>
  <si>
    <t>GV - Aluguel por temporada apto 204 valor restante - Shirlene</t>
  </si>
  <si>
    <t>JLP - Entrada para pagamento faxina G1 - Carol</t>
  </si>
  <si>
    <t>GV - Aluguel Apt 104 - Outubro 19 - Andressa (A1010+C90)</t>
  </si>
  <si>
    <t>GV - Aluguel ESP DJA - Outubro 19 - Mario Monteiro (A80)</t>
  </si>
  <si>
    <t>GV - Aluguel ESP DJA - Novembro 19 - Mario Monteiro (A80)</t>
  </si>
  <si>
    <t>GV - Aluguel referente a 19 dias de aluguel+cond no apto 101 - 753,60CH - Antonio Florencio</t>
  </si>
  <si>
    <t>GV - Aluguel Apt Studio - Outubro 19 - Fran de Oliveira Alavina (A1500)</t>
  </si>
  <si>
    <t>GV - Saída do cheque de seu Antonio para deposito por Irving</t>
  </si>
  <si>
    <t>JLP - Pagamento de emprestimo por Juaniz</t>
  </si>
  <si>
    <t>JLP - Pagamento instalação ventiladores G2 - Diego</t>
  </si>
  <si>
    <t>GV - Ret Irv - Retirada Irving</t>
  </si>
  <si>
    <t xml:space="preserve">JLP - Saída para pagamento exame demissional Jorgiano </t>
  </si>
  <si>
    <t>JLP - Pagamento serviços prestados por Patrick nos dias 05,06,07 de novembro/19</t>
  </si>
  <si>
    <t>GV - Aluguel Apt 103 - Outubro 2019 - Monise (A1050+Cond90+IPTU28,05)</t>
  </si>
  <si>
    <t>GV - Aluguel V 4 DJA - Outubro 2019 - Monise (A150)</t>
  </si>
  <si>
    <t>GV - Aluguel Apt 202 - Outubro 2019 - Thais (A1400+90cond+17,15iptu)</t>
  </si>
  <si>
    <t>GV e JLP - Pagamento honorários mês 0utubro/19 Mylla</t>
  </si>
  <si>
    <t>GV e JLP - Pagamento serviços prestados por Roberto de 04 a 08 de novembro/19</t>
  </si>
  <si>
    <t xml:space="preserve">GV - Aluguel V 7 DJA - Novembro 19 - Luciana LA Boutique  </t>
  </si>
  <si>
    <t>GV - Aluguel Loft 609 - Outubro 2019 - Adriano (A1000)</t>
  </si>
  <si>
    <t>GV - Aluguel V 2 DJA - Novembro 19 - Lucas Barreiros (A200) CH</t>
  </si>
  <si>
    <t xml:space="preserve">GV - Saída para deposito conta Honorina cheque Gustavo e Lucas  - vagas garagem </t>
  </si>
  <si>
    <t>GV - Aluguel V 10 DJA - Novembro 19 - Carla Martin (A250)</t>
  </si>
  <si>
    <t>GV - Aluguel V 6 DJA - Novembro 19 - Urias Santana</t>
  </si>
  <si>
    <t>JLP - Pagamento serviços prestados por Patrick nos dias 12 e 13 de novembro/19</t>
  </si>
  <si>
    <t>GV - Aluguel Loja GV 1050 - Outubro 19 - By Fiapo (A3765)</t>
  </si>
  <si>
    <t>GV e JLP - Pagamento honorários Rafaela</t>
  </si>
  <si>
    <t xml:space="preserve">GV - Compra de cola durepoxi para Caixa d'agua - Continental </t>
  </si>
  <si>
    <t>GV - Compra de luvas, adaptador, joelhos - Continental</t>
  </si>
  <si>
    <t>JLP - Compra de queijo e manteiga para lanche escritório - DNA Distribuidora</t>
  </si>
  <si>
    <t>JLP - Compra açucar e café para lanche obra e laranja,banana e iogurte p/escritorio - DNA Distribuidora</t>
  </si>
  <si>
    <t>JLP - Compra açucar e café p/ lanche obra e laranja,banana,pao, iogurte p/escritorio - DNA Distribuidora</t>
  </si>
  <si>
    <t>JLP - Pagamento padaria lanche obra periodo 22/11 a 25/11 - Lanche da Praça</t>
  </si>
  <si>
    <t xml:space="preserve">JLP - Compra de grampo p/cabo aço - Ferragens Mineira  </t>
  </si>
  <si>
    <t>JLP - Compra de abraçadeira 1/2x3/4 - Continental</t>
  </si>
  <si>
    <t>JLP - Compra de parafuso 1/4 e bucha 10 - Comercial Loesch</t>
  </si>
  <si>
    <t xml:space="preserve">JLP - Compra de mamão havai, banana p/lanche escritorio - DNA Distribuidora </t>
  </si>
  <si>
    <t>JLP - Compra de 06 metros de mangueira para maquina de compressão - Casa das Borrachas</t>
  </si>
  <si>
    <t xml:space="preserve">JLP - Compra de pão e queijo para lanche escritorio - DNA Distribuidora </t>
  </si>
  <si>
    <t>GV - Compra de plugue femea 2p+t - Ferragens Mineira</t>
  </si>
  <si>
    <t xml:space="preserve">JLP - Compra de arame recozido 18 1kg - Locminas </t>
  </si>
  <si>
    <t>JLP - Compra de plastico transparente para fogão - Casa do capoteiro</t>
  </si>
  <si>
    <t>JLP - Pagamento padaria lanche obra periodo 14/10 a 21/10 - Lanche da Praça</t>
  </si>
  <si>
    <t>JLP - Compra de fita dupla face - Locminas</t>
  </si>
  <si>
    <t>GV - Compra de plug femea 20A - Delevy</t>
  </si>
  <si>
    <t>JLP - Compra parafusos 1/4x60 - Comercial Loesch</t>
  </si>
  <si>
    <t>GV - Aluguel Apt 105 - Outubro 19 - Gilmenia (A1020+C90+20,72) faltou 0,72</t>
  </si>
  <si>
    <t>GV - Aluguel Apt 102 - Outubro 2019  - Amaury (A950+Cond90+IPTU18,63)</t>
  </si>
  <si>
    <t>GV - Pagamento - Faxina Edifício Nova Era - Vania (320) Dias 04,07,11 e 14 de novembro/19</t>
  </si>
  <si>
    <t>JLP - Pagamento serviços prestados por Roberto do dia 11 a 14 de novembro/19</t>
  </si>
  <si>
    <t>GV - Pagamento 21 caçambas loja 1040 - Robson Tele Entulho Madeiraço (pag.será feito por Irving)</t>
  </si>
  <si>
    <t>JLP - Compra de pão para colaboradores da obra - Padaria lanches da Praça</t>
  </si>
  <si>
    <t>GV - Aluguel Apt 201 - Outubro 19 - Juliana (A1500+C90+28,28IPTU - 100 Desc.) </t>
  </si>
  <si>
    <t xml:space="preserve">GV - Ret Irv - Saída para Irving </t>
  </si>
  <si>
    <t>JLP - Aluguel V 1 a V 5 - Novembro 19 - Habitat (A525) CH</t>
  </si>
  <si>
    <t>JLP - Aluguel loja - Outubro 2019 - Habitat (7750A+309,75IPTU) CH</t>
  </si>
  <si>
    <t>JLP - Saída cheque Habitat para depósito</t>
  </si>
  <si>
    <t>GV - Aluguel referente a 09 dias de aluguel+cond no apto 101 - 753,60CH - Antonio Florencio</t>
  </si>
  <si>
    <t>GV - Saída cheque Antônio Florêncio para deposito</t>
  </si>
  <si>
    <t>GV - Aluguel Loja GV 1060 e JP 615 - Outubro 19 - Tales Colombi (A5200) DN</t>
  </si>
  <si>
    <t>JLP - Pagamento serviços prestados por Roberto dia 01/11/19 - Evento Carol e Bruno</t>
  </si>
  <si>
    <t>JLP - Pagamento baixa de inscrição com extinção de débito - Prefeitura de Téofilo Otoni</t>
  </si>
  <si>
    <t>JLP - Pagamento padaria lanche obra periodo 04/11 a 14/11 - Lanche da Praça</t>
  </si>
  <si>
    <t>GV - Compra de bateria para controle da garagem - TV Som</t>
  </si>
  <si>
    <t>GV - Saída para deposito conta Honorina</t>
  </si>
  <si>
    <t>JLP - Desconto dado no valor das caçambas pagas em 14/11 para Terra Entulho - Estorno</t>
  </si>
  <si>
    <t xml:space="preserve">GV - Aluguel V 01 DJA - Novembro 19 - Gildásio Klier </t>
  </si>
  <si>
    <t>GV - Aluguel Vaga p/ moto DJA - Novembro 19 - Gildásio Klier /Contabilidade Klier</t>
  </si>
  <si>
    <t>JLP - Compra de pilhas para rádio dos colaboradores da obra e Naftalina - DNA Distribuidora</t>
  </si>
  <si>
    <t xml:space="preserve">JLP - Compra de refrigerante e coca para funcionários COPASA - DNA Distribuidora </t>
  </si>
  <si>
    <t>JLP e GV - Compra de queijo e pão para escritório e material de limpeza para prédio - DNA Distribuidora</t>
  </si>
  <si>
    <t>JLP - Pagamento serviços prestados por Roberto do dia 18 a 22 de novembro/19</t>
  </si>
  <si>
    <t>GV - Ret Irv - Saída para Irving</t>
  </si>
  <si>
    <t>JLP- Compra de capa para celular do escritório - Paraíso dos Importados</t>
  </si>
  <si>
    <t>JLP - Compra de camisa social para presente de Roberto - Turqueza Tecidos e Vestuarios</t>
  </si>
  <si>
    <t>GV - Pagamento - Faxina Edifício Nova Era - Vania (320) Dias 18,21,25 e 28 de novembro/19</t>
  </si>
  <si>
    <t>GV - Aluguel Loja JP 607 - Novembro 19 - Anderson (A1465)</t>
  </si>
  <si>
    <t>JLP - Pagamento serviços prestados por Roberto de 25 a 29 de novembro/19</t>
  </si>
  <si>
    <t>JLP - Saída para Roberto comprar cola</t>
  </si>
  <si>
    <t>GV e JLP - Notebook Mylla 4.12 - Abatido Honorários - Débitos em Cartão de Crédito Irv - Set</t>
  </si>
  <si>
    <t>GV e JLP - Notebook Mylla 5.12 - Abatido Honorários - Débitos em Cartão de Crédito Irv - Out</t>
  </si>
  <si>
    <t>GV e JLP - Notebook Mylla 6.12 - Abatido Honorários - Débitos em Cartão de Crédito Irv - Nov</t>
  </si>
  <si>
    <t>GV - Terapi - Lençol ap 203 - hóspedes  Outubro</t>
  </si>
  <si>
    <t>GV e JLP - Facebook Outubro</t>
  </si>
  <si>
    <t>GV e JLP - OLX Outubro</t>
  </si>
  <si>
    <t>GV e JLP - Facebook Novembro</t>
  </si>
  <si>
    <t>GV e JLP - Aplicativos Motoristas - Rodoviária, Backer, Loja Eletrica, Residencia</t>
  </si>
  <si>
    <t>JLP - Luminária G1 - Loja Elétrica</t>
  </si>
  <si>
    <t xml:space="preserve">JLP - Festa Carol 01/11/19 - PG por BRUNO MACEDO LORENTZ </t>
  </si>
  <si>
    <t xml:space="preserve">05/11/2019 </t>
  </si>
  <si>
    <t xml:space="preserve">06/11/2019 </t>
  </si>
  <si>
    <t xml:space="preserve">904000 </t>
  </si>
  <si>
    <t xml:space="preserve">284860 </t>
  </si>
  <si>
    <t xml:space="preserve">11/11/2019 </t>
  </si>
  <si>
    <t xml:space="preserve">761000 </t>
  </si>
  <si>
    <t xml:space="preserve">381000 </t>
  </si>
  <si>
    <t xml:space="preserve">284761 </t>
  </si>
  <si>
    <t xml:space="preserve">12/11/2019 </t>
  </si>
  <si>
    <t xml:space="preserve">18/11/2019 </t>
  </si>
  <si>
    <t xml:space="preserve">521000 </t>
  </si>
  <si>
    <t xml:space="preserve">881000 </t>
  </si>
  <si>
    <t xml:space="preserve">19/11/2019 </t>
  </si>
  <si>
    <t xml:space="preserve">284838 </t>
  </si>
  <si>
    <t xml:space="preserve">20/11/2019 </t>
  </si>
  <si>
    <t xml:space="preserve">729434 </t>
  </si>
  <si>
    <t xml:space="preserve">21/11/2019 </t>
  </si>
  <si>
    <t xml:space="preserve">234204 </t>
  </si>
  <si>
    <t xml:space="preserve">22/11/2019 </t>
  </si>
  <si>
    <t>GV e JLP e Irv - Honorários Carol (1120) + Mesada e Hospital Irv (1295)</t>
  </si>
  <si>
    <t xml:space="preserve">321000 </t>
  </si>
  <si>
    <t>JLP - Pagamento Iana Soares - Design cartão visita impresso e virtual, flyer, estandarte Vila Deco</t>
  </si>
  <si>
    <t xml:space="preserve">25/11/2019 </t>
  </si>
  <si>
    <t>GV - Ret Naz - Cemitério 2º Semestre 2019</t>
  </si>
  <si>
    <t xml:space="preserve">221000 </t>
  </si>
  <si>
    <t>JLP - Aluguel Guarda Mobília - Mathias - pós pago</t>
  </si>
  <si>
    <t xml:space="preserve">059870 </t>
  </si>
  <si>
    <t>04/11/2019</t>
  </si>
  <si>
    <t>000531</t>
  </si>
  <si>
    <t>000532</t>
  </si>
  <si>
    <t>05/11/2019</t>
  </si>
  <si>
    <t>06/11/2019</t>
  </si>
  <si>
    <t>729236</t>
  </si>
  <si>
    <t>07/11/2019</t>
  </si>
  <si>
    <t>348215</t>
  </si>
  <si>
    <t>08/11/2019</t>
  </si>
  <si>
    <t>JLP - FGTS Rescição Jorgiano</t>
  </si>
  <si>
    <t>JLP - Luso - Junta Dilatação grelha</t>
  </si>
  <si>
    <t>11/11/2019</t>
  </si>
  <si>
    <t>JLP - Continental - Trinchas</t>
  </si>
  <si>
    <t>981000</t>
  </si>
  <si>
    <t>JLP - DELEVY - Cabos, abraçadeiras, plugs</t>
  </si>
  <si>
    <t>JLP - HSR - Aluguel Out 19 (A 4980,50 - 5% Desc = 4731,47)</t>
  </si>
  <si>
    <t>729270</t>
  </si>
  <si>
    <t>JLP - Locminas - silicone cinza, disco diamantado, protetor, eletrodo, disco, botina</t>
  </si>
  <si>
    <t>000533</t>
  </si>
  <si>
    <t>12/11/2019</t>
  </si>
  <si>
    <t>JLP - Certificação Digital JLP A3</t>
  </si>
  <si>
    <t>13/11/2019</t>
  </si>
  <si>
    <t>JLP - MD Tintas Vila</t>
  </si>
  <si>
    <t>031000</t>
  </si>
  <si>
    <t>261000</t>
  </si>
  <si>
    <t>GV e JLP - Rescisão Jorgiano</t>
  </si>
  <si>
    <t>000536</t>
  </si>
  <si>
    <t>18/11/2019</t>
  </si>
  <si>
    <t>JLP - Dablius Contabilidade Nov 19</t>
  </si>
  <si>
    <t>19/11/2019</t>
  </si>
  <si>
    <t>JLP - Certificação Digital JLP A3 Irv</t>
  </si>
  <si>
    <t>171000</t>
  </si>
  <si>
    <t>JLP - Certificação Digital JLP A3 Hon</t>
  </si>
  <si>
    <t>GV - Saída cheque Habitat para depósito</t>
  </si>
  <si>
    <t>284827</t>
  </si>
  <si>
    <t>JLP - Adiantamento - Nov 19 - Juaniz</t>
  </si>
  <si>
    <t>000534</t>
  </si>
  <si>
    <t>20/11/2019</t>
  </si>
  <si>
    <t xml:space="preserve">JLP - GPS             </t>
  </si>
  <si>
    <t>JLP - BR Extintores Fsa 3.3</t>
  </si>
  <si>
    <t>131000</t>
  </si>
  <si>
    <t>21/11/2019</t>
  </si>
  <si>
    <t>234204</t>
  </si>
  <si>
    <t>27/11/2019</t>
  </si>
  <si>
    <t>28/11/2019</t>
  </si>
  <si>
    <t>JLP - Adiantamento - 13º 1A - Juaniz</t>
  </si>
  <si>
    <t>000535</t>
  </si>
  <si>
    <t>29/11/2019</t>
  </si>
  <si>
    <t>GV e JLP - Terra e Entulho - Garagem DJA 270 e JLP 720</t>
  </si>
  <si>
    <t>000537</t>
  </si>
  <si>
    <t>GV - Aluguel Loja GV 1052 - Outubro 19 - Irmas Figueiredo (A2205) DN</t>
  </si>
  <si>
    <t>GV - Aluguel V 9 DJA - Dezembro 19 - Rachid Sergio (A220)</t>
  </si>
  <si>
    <t xml:space="preserve">GV - Aluguel V 8 DJA - Dezembro 19 - Alysson Rocha </t>
  </si>
  <si>
    <t>GV - Aluguel Apt 103 - Novembro 2019 - Monise (A1050+Cond90+IPTU28,05)</t>
  </si>
  <si>
    <t>GV - Aluguel V 4 DJA - Novembro 2019 - Monise (A150)</t>
  </si>
  <si>
    <t>GV - Troco da compra de cola feita por Roberto dia 29/11, valor da nota 17,90 - Continental</t>
  </si>
  <si>
    <t xml:space="preserve">GV e JLP - Cópia de chaves gás apto 203 e compra de ralinho para pia - Casa das Chaves </t>
  </si>
  <si>
    <t>GV - Cópia das chaves da garagem para Isabela vaga 11 - Casa das Chaves</t>
  </si>
  <si>
    <t>GV - Cópia do controle da garagem para Isabela vaga 11 - TV Som</t>
  </si>
  <si>
    <t>GV - Aluguel Apt Studio - Novembro 19 - Fran de Oliveira Alavina (A1500)</t>
  </si>
  <si>
    <t>JLP - Compra de broca 6.3x3/4 - CCM Parafusos</t>
  </si>
  <si>
    <t>GV - Pagamento pro-rata aluguel vaga 11 + controle e chaves - Isabela</t>
  </si>
  <si>
    <t>GV - Aluguel V 3 DJA - Novembro 19 - Fernando Henrique (A200+ multa 20)</t>
  </si>
  <si>
    <t xml:space="preserve">JLP - Pagamento honorários mês 11/19 - Rafaela </t>
  </si>
  <si>
    <t xml:space="preserve">JLP - Compra de pães para escritorio - Lanches da Praça padaria </t>
  </si>
  <si>
    <t xml:space="preserve">GV - Aluguel V 01 DJA - Dezembro 19 - Gildásio Klier </t>
  </si>
  <si>
    <t xml:space="preserve">GV - Aluguel Vaga p/ moto DJA - Dezembro 19 - Gildásio Klier </t>
  </si>
  <si>
    <t>JLP - Pagamento honorarios mês 11/19 - Mylla</t>
  </si>
  <si>
    <t>GV - Aluguel Apt 104 - Novembro 19 - Andressa (A1010+C90)</t>
  </si>
  <si>
    <t>GV - Pagamento adiantado meses dezem/19 janeiro e fevereiro/2020 lj 603 - David (4500 CH)</t>
  </si>
  <si>
    <t>GV - Aluguel V 6 DJA - Dezembro 19 - Urias Santana</t>
  </si>
  <si>
    <t xml:space="preserve">GV - Sinal diarias apto 203 aluguel temporada - Jorge </t>
  </si>
  <si>
    <t>JLP - Contribuição de natal Dablius contabilidade</t>
  </si>
  <si>
    <t>JLP - Aluguel Galpão 03 - Dezembro 19 - Jorg Paul</t>
  </si>
  <si>
    <t>JLP - Pagamento serviços prestados por Roberto de 02 a 06 de dezembro/19</t>
  </si>
  <si>
    <t>GV - Pagamento da luz referente ao segundo periodo de locação apto 204-  Shirlene</t>
  </si>
  <si>
    <t>GV - Aluguel Apt 202 - Novembro 2019 - Thais (A1400+90cond+17,15iptu)</t>
  </si>
  <si>
    <t>GV - Aluguel Loft 609 - Novembro 2019 - Adriano (A1000)</t>
  </si>
  <si>
    <t>GV-  Acerto aluguel apto 101 e locação espaço p/armazenamento mobilia - Antonio Florencio (CH 606)</t>
  </si>
  <si>
    <t>GV e JLP - Compra de panettone para sorteio da confraternização - Lojas Americanas</t>
  </si>
  <si>
    <t>GV e JLP - Compra de guirlanda, cortador de pizza, pisca pisca p/confraternização - Otoni Utilidades</t>
  </si>
  <si>
    <t>GV e JLP - Compra de enfeite de Natal para decoração confraternização - BVR Comercio de brinquedos</t>
  </si>
  <si>
    <t>GV e JLP - Compra de panetones e chocolate para colaboradores - Totoni Chocolates finos</t>
  </si>
  <si>
    <t>GV - Aluguel V 2 DJA - Dezembro 19 - Lucas Barreiros</t>
  </si>
  <si>
    <t>GV - Aluguel V 10 DJA - Dezembro 19 - Carla Martin (A250)</t>
  </si>
  <si>
    <t>GV - Caução contrato aluguel lapto 101- Amanda (3450)</t>
  </si>
  <si>
    <t>GV - Ret Naz - Retirada para  Honorina por Irving</t>
  </si>
  <si>
    <t xml:space="preserve">GV - Ret Irv - Retirada de Irving </t>
  </si>
  <si>
    <t>GV e JLP - Compra de suco para confraternização e flor para Nazinha - EPA Plus</t>
  </si>
  <si>
    <t>GV e JLP - Compra de bebidas e panettone para confraternização - Hipermercado Tia Teca</t>
  </si>
  <si>
    <t>GV e JLP - Compra de sobremesa para confraternização -  Cantinho Gourmet</t>
  </si>
  <si>
    <t xml:space="preserve">GV - Aluguel V 7 DJA - Dezembro 19 - Luciana LA Boutique (A200) </t>
  </si>
  <si>
    <t>GV e JLP - Compra de 03 cestas de natal para funcionarios - DNA Distribuidora EPA</t>
  </si>
  <si>
    <t xml:space="preserve">GV - Compra de trincha 396/2 3/4'' Atlas  - Continental </t>
  </si>
  <si>
    <t>GV e JLP - Compra de mini arvore de natal para decoracao confraternização - Quase 2</t>
  </si>
  <si>
    <t>GV - Compra de fita crepe 24mmx50m - Continental</t>
  </si>
  <si>
    <t xml:space="preserve">GV e JLP - Compra de bolo para aniversário Roberto - Ivanelia </t>
  </si>
  <si>
    <t xml:space="preserve">GV - Compra de curva 90, tubo, lixa adeviso plastico - Continental </t>
  </si>
  <si>
    <t xml:space="preserve">GV e JLP - Compra de issqueiro para deixar no G1 - Tia Teca </t>
  </si>
  <si>
    <t>GV e JLP - Compea de pao, mortadela e coca para aniversario Roberto</t>
  </si>
  <si>
    <t xml:space="preserve">JLP - Compra de cap esgoto - Continental </t>
  </si>
  <si>
    <t xml:space="preserve">GV e JLP - Compra de pao, queijo e banana para lanches escritorio - DNA Distribuidora </t>
  </si>
  <si>
    <t>JLP - Compra de caixa rattan e ralinho - Otoni Utilidades</t>
  </si>
  <si>
    <t>JLP - Compra de luva soldavel e te 90 soldavel - Continental</t>
  </si>
  <si>
    <t xml:space="preserve">GV e JLP - Compra de açucar para café colaboradores da obra - DNA Distribuidora EPA </t>
  </si>
  <si>
    <t xml:space="preserve">GV e JLP - Pagamento lanche colaboradores da obra periodo de 18 a 22 de nov - Lanches da Praça </t>
  </si>
  <si>
    <t xml:space="preserve">GV e JLP - Pagamento lanche colaboradores da obra periodo de 22/11 a 06/12 - Lanches da Praça </t>
  </si>
  <si>
    <t>GV e JLP - Compra de oculos de seguranca fume - Locminas</t>
  </si>
  <si>
    <t>GV e JLP - Compra de pisca pisca para decoração G1 - BVR Comercio</t>
  </si>
  <si>
    <t xml:space="preserve">GV - Compra de rolo la antigota - Continental </t>
  </si>
  <si>
    <t xml:space="preserve">GV e JLP - Compra de patê para confreternização - Ivanelia </t>
  </si>
  <si>
    <t xml:space="preserve">GV - Compra de agua sanitária no FORT para matar mosquitos da dengue - SEM nota </t>
  </si>
  <si>
    <t>GV - Ret Irv - Pagamento serviços INSS - Adriana</t>
  </si>
  <si>
    <t>GV - Pagamento - Faxina Edifício Nova Era - Vania (320) Dias 02,05,09 E 12 de dezemb/19 , dia 05/12 foi meio periodo</t>
  </si>
  <si>
    <t>GV - Aluguel Loja GV 1050 - Novembro 19 - By Fiapo (A2965DN+800CH)</t>
  </si>
  <si>
    <t>JLP - Pagamento serviços prestados por Roberto de 09 a 13 de dezembro/19</t>
  </si>
  <si>
    <t>JLP - Pagamento serviços prestados por Thomas de 09 a 13 de dezembro/19</t>
  </si>
  <si>
    <t>GV - Aluguel Apt 201 - Novembro 19 - Juliana (A1500+C90+28,28IPTU - 100 Desc.) </t>
  </si>
  <si>
    <t>GV - Aluguel Apt 102 - Novembro 2019  - Amaury (A950+Cond90+IPTU18,63)</t>
  </si>
  <si>
    <t xml:space="preserve">JLP - Aluguel vagas - Dezembro 19 - Habitat </t>
  </si>
  <si>
    <t>JLP - Aluguel loja - Novembro 2019 - Habitat (7750A+309,75IPTU)</t>
  </si>
  <si>
    <t>JLP - Pagamento honorários dezembro/19 Mylla</t>
  </si>
  <si>
    <t>JLP - Compra de uma sandalia comfortlex presente aniversário Vânia - Confec.Oliveira e Costa MIB</t>
  </si>
  <si>
    <t>JLP - Compra de tenis lembrança de despedida para Mylla - Marisa</t>
  </si>
  <si>
    <t>GV - Compra de sabão em pó OMO para prédio - DNA Distribuidora EPA</t>
  </si>
  <si>
    <t xml:space="preserve">JLP - Compra de coca, mortadela, pão frances para confraternização Copasa - DNA Distribuidora </t>
  </si>
  <si>
    <t>JLP - Compra de parafusos e porcas - sem nota na Comercial Loesch</t>
  </si>
  <si>
    <t>GV - Reconhecimento de firma contrato apto 101 Amanda - 2º Ofício de Notas</t>
  </si>
  <si>
    <t>JLP - Compra de panetone para Rafaela - Totoni Chocolates finos</t>
  </si>
  <si>
    <t>GV - Compra de dobradica e calco - Ferragens Mineira</t>
  </si>
  <si>
    <t>JLP - Compra de rodizos e parafusos - Comercial Loesch</t>
  </si>
  <si>
    <t>JLP - Pagamento serviços prestados por Roberto de 16 a 20 de dezembro/19 e 01 dia confraternização HSR</t>
  </si>
  <si>
    <t>JLP - Pagamento serviços prestados por Thomas de 16 a 20 de dezembro/19</t>
  </si>
  <si>
    <t>GV - Aluguel Loja GV 1060 e JP 615 - Novembro 19 - Tales Colombi (A5200) DN</t>
  </si>
  <si>
    <t>JLP - Compra de vasos para plantas - K-Legal</t>
  </si>
  <si>
    <t>JLP - Compra de fita crepe e aguarras - Continental</t>
  </si>
  <si>
    <t xml:space="preserve">GV - Pagamento - Faxina Edifício Nova Era - Vania (320) Dias 16,19,23 e 26 de dezemb/19 </t>
  </si>
  <si>
    <t>GV - Aluguel Loja JP 607 -  19 - Anderson (A1464)</t>
  </si>
  <si>
    <t>JLP - Pagamento serviços prestados por Roberto nos dias 23,24,26 e 27de dezembro/19</t>
  </si>
  <si>
    <t>JLP - Aluguel Galpão 03 - Janeiro 2020 - Jorg Paul</t>
  </si>
  <si>
    <t>GV - Aluguel Loja GV 1052 - Novembro 19 - Irmas Figueiredo (A2205) DN</t>
  </si>
  <si>
    <t>JLP - Manutenção Jardins - Junia Espaço Garden</t>
  </si>
  <si>
    <t>GV e JLP - Caneta Irv</t>
  </si>
  <si>
    <t>GV e JLP - Carregador Supermercado - Confraternização</t>
  </si>
  <si>
    <t>GV e JLP - Vinho Canção - Confraternização</t>
  </si>
  <si>
    <t>JLP - Corantes para MS Engenharia</t>
  </si>
  <si>
    <t xml:space="preserve">JLP - MHE - Registro Vila Deco INPI </t>
  </si>
  <si>
    <t>JLP - MHE - Domínio Vila Deco Hostgator</t>
  </si>
  <si>
    <t>GV e JLP - Viagem BH &gt; Teo - Gasolina</t>
  </si>
  <si>
    <t>GV e JLP - Viagem BH &gt; Teo - Lanche</t>
  </si>
  <si>
    <t>GV e JLP - Viagem BH &gt; Teo - Refeição</t>
  </si>
  <si>
    <t>GV - Inseticida Garagem GV - Maurício</t>
  </si>
  <si>
    <t>GV - Chaves Garagem Maurício</t>
  </si>
  <si>
    <t>GV - Delevy - Lâmpadas Ed. NE</t>
  </si>
  <si>
    <t>GV - Ret Irv - Carlão Confraria</t>
  </si>
  <si>
    <t>GV e JLP - Confraternização - Pizza Craft</t>
  </si>
  <si>
    <t>GV e JLP e Irv - Honorários Carol (1100) + Mesada Irv (1200)</t>
  </si>
  <si>
    <t>JLP - Aluguel Guarda Mobília - Mathias - pós pago - vem dia 19</t>
  </si>
  <si>
    <t>JLP - Luso - (bucha rolo, tinta piso, selador)</t>
  </si>
  <si>
    <t>JLP - HSR - Aluguel Nov 19 (A 4980,50 - 5% Desc = 4731,47)</t>
  </si>
  <si>
    <t>JLP - MD TINTAS - Nova Cor Vermelho</t>
  </si>
  <si>
    <t>GV e JLP - Luso - GV 40,00, JLP 58,00 (massa, cimento, tinta gelo)</t>
  </si>
  <si>
    <t>JLP - Locminas - disco, corda, veda calh</t>
  </si>
  <si>
    <t>JLP - Pagamento de DAE Alteração Contratual</t>
  </si>
  <si>
    <t xml:space="preserve">JLP - GPS 13º </t>
  </si>
  <si>
    <t>GV e JLP - Juaniz 13º</t>
  </si>
  <si>
    <t>GV e JLP - Adiantamento - Juaniz</t>
  </si>
  <si>
    <t>GV e JLP - Férias - Juaniz</t>
  </si>
  <si>
    <t>JLP - Continental - espatula, lixa, broca, alongador</t>
  </si>
  <si>
    <t>GV - Pagamento alug.+cond apto 101 Antonio Florencio adiantados meses 07,08,09,10, com desconto (360,00 cd)</t>
  </si>
  <si>
    <t xml:space="preserve">GV- IPTU </t>
  </si>
  <si>
    <t>GV - Pagamento Faxina vania NE</t>
  </si>
  <si>
    <t xml:space="preserve">GV - Outros ap 102 Gilmenia </t>
  </si>
  <si>
    <t xml:space="preserve">GV - MO Dividido com JLP </t>
  </si>
  <si>
    <t xml:space="preserve">JLP - MO Dividido com GV </t>
  </si>
  <si>
    <t>DIVIDIDO</t>
  </si>
  <si>
    <t xml:space="preserve">dividido </t>
  </si>
  <si>
    <t>GV e JLP - Compra de botijão completo p/apto 203 (200,00) e de gás para JLP (55) - MD gás</t>
  </si>
  <si>
    <t>GV - Outros - apt 105 Gilmenia</t>
  </si>
  <si>
    <t>somatório mov</t>
  </si>
  <si>
    <t>GV - Transferência Caixa Rafaela</t>
  </si>
  <si>
    <t>GV - Repasse acertos Mylla a Irving - CX D</t>
  </si>
  <si>
    <t>GV - Repasse acertos Leonardo a Irving - CX D</t>
  </si>
  <si>
    <t>26/02/2019</t>
  </si>
  <si>
    <t>222690</t>
  </si>
  <si>
    <t>450318</t>
  </si>
  <si>
    <t>07/02/2019</t>
  </si>
  <si>
    <t>521550</t>
  </si>
  <si>
    <t xml:space="preserve">222690 </t>
  </si>
  <si>
    <t>GV - Construção de mobilias p/ apartamentos 204 e 102 - Jeferson Gomes Pereira - Devolução TED</t>
  </si>
  <si>
    <t>GV - Depósito cc Honorina - Irving (CH 3500)</t>
  </si>
  <si>
    <t xml:space="preserve">562520 </t>
  </si>
  <si>
    <t xml:space="preserve">08/02/2019 </t>
  </si>
  <si>
    <t>GV - Depósito conta Santander HON L.A. Boutique</t>
  </si>
  <si>
    <t xml:space="preserve">284519 </t>
  </si>
  <si>
    <t>GV - Repasse saldo inicial caixa Rafaela</t>
  </si>
  <si>
    <t xml:space="preserve">Complemento para caixa inicial feito por Irving </t>
  </si>
  <si>
    <t xml:space="preserve">521550 </t>
  </si>
  <si>
    <t xml:space="preserve">450318 </t>
  </si>
  <si>
    <t xml:space="preserve">GV - Pagamento faxina Vania NE </t>
  </si>
  <si>
    <t xml:space="preserve">GV - Compra de sifao sanfonado 65cm - Continental </t>
  </si>
  <si>
    <t xml:space="preserve">DVD </t>
  </si>
  <si>
    <t xml:space="preserve">jlp </t>
  </si>
  <si>
    <t>jl0p</t>
  </si>
  <si>
    <t>JLP - IPTU</t>
  </si>
  <si>
    <t>GV - Outros Monise</t>
  </si>
  <si>
    <t xml:space="preserve">esse </t>
  </si>
  <si>
    <t>GV - Pagament Faxina Vania NE</t>
  </si>
  <si>
    <t>JLP -Dividido com GV</t>
  </si>
  <si>
    <t xml:space="preserve">gv </t>
  </si>
  <si>
    <t>dividido</t>
  </si>
  <si>
    <t>GV - Dividiodo com JLP</t>
  </si>
  <si>
    <t>dinheiro</t>
  </si>
  <si>
    <t>JLP - Pedreira Matar - solo brita</t>
  </si>
  <si>
    <t xml:space="preserve">GV - Condominío </t>
  </si>
  <si>
    <t>GV - Aluguel apt205</t>
  </si>
  <si>
    <t xml:space="preserve">GV - Outros 105 Gilmenia </t>
  </si>
  <si>
    <t>esse</t>
  </si>
  <si>
    <t>GV - Entrada do caixa que estava com Mylla repassado por Irving</t>
  </si>
  <si>
    <t xml:space="preserve">JLP - Pagamento faxina Vania NE </t>
  </si>
  <si>
    <t>GV - MO - Dividido com JLP</t>
  </si>
  <si>
    <t>JLP - Dividido com JLP</t>
  </si>
  <si>
    <t>JLP -Dividido com gv</t>
  </si>
  <si>
    <t>Dez 2019</t>
  </si>
  <si>
    <t>GV - Saída de cheque para depósito Gustavo ref.dez/19 - (CH200)</t>
  </si>
  <si>
    <t>GV - Saída cheque by fiapo para deposito por Irving</t>
  </si>
  <si>
    <t xml:space="preserve">GV - Saída do cheque da Habitat para deposito </t>
  </si>
  <si>
    <t xml:space="preserve">GV - Comora de sifao sanfonado 65cm - Continental </t>
  </si>
  <si>
    <t>GV - Saida para Irving</t>
  </si>
  <si>
    <t xml:space="preserve">05/12/2019 </t>
  </si>
  <si>
    <t xml:space="preserve">391000 </t>
  </si>
  <si>
    <t xml:space="preserve">06/12/2019 </t>
  </si>
  <si>
    <t xml:space="preserve">284783 </t>
  </si>
  <si>
    <t xml:space="preserve">09/12/2019 </t>
  </si>
  <si>
    <t xml:space="preserve">284849 </t>
  </si>
  <si>
    <t xml:space="preserve">10/12/2019 </t>
  </si>
  <si>
    <t xml:space="preserve">550997 </t>
  </si>
  <si>
    <t xml:space="preserve">11/12/2019 </t>
  </si>
  <si>
    <t xml:space="preserve">284772 </t>
  </si>
  <si>
    <t xml:space="preserve">12/12/2019 </t>
  </si>
  <si>
    <t xml:space="preserve">13/12/2019 </t>
  </si>
  <si>
    <t xml:space="preserve">284805 </t>
  </si>
  <si>
    <t xml:space="preserve">16/12/2019 </t>
  </si>
  <si>
    <t xml:space="preserve">17/12/2019 </t>
  </si>
  <si>
    <t xml:space="preserve">281000 </t>
  </si>
  <si>
    <t xml:space="preserve">000165 </t>
  </si>
  <si>
    <t xml:space="preserve">18/12/2019 </t>
  </si>
  <si>
    <t xml:space="preserve">20/12/2019 </t>
  </si>
  <si>
    <t xml:space="preserve">23/12/2019 </t>
  </si>
  <si>
    <t xml:space="preserve">26/12/2019 </t>
  </si>
  <si>
    <t xml:space="preserve">478547 </t>
  </si>
  <si>
    <t>02/12/2019</t>
  </si>
  <si>
    <t>04/12/2019</t>
  </si>
  <si>
    <t>000538</t>
  </si>
  <si>
    <t>05/12/2019</t>
  </si>
  <si>
    <t>06/12/2019</t>
  </si>
  <si>
    <t>09/12/2019</t>
  </si>
  <si>
    <t>701000</t>
  </si>
  <si>
    <t>10/12/2019</t>
  </si>
  <si>
    <t>16/12/2019</t>
  </si>
  <si>
    <t>411000</t>
  </si>
  <si>
    <t>000539</t>
  </si>
  <si>
    <t>17/12/2019</t>
  </si>
  <si>
    <t>20/12/2019</t>
  </si>
  <si>
    <t>284816</t>
  </si>
  <si>
    <t>000540</t>
  </si>
  <si>
    <t>000541</t>
  </si>
  <si>
    <t>000542</t>
  </si>
  <si>
    <t>23/12/2019</t>
  </si>
  <si>
    <t>26/12/2019</t>
  </si>
  <si>
    <t>27/12/2019</t>
  </si>
  <si>
    <t>30/12/2019</t>
  </si>
  <si>
    <t>Jan 2020</t>
  </si>
  <si>
    <t>GV - Aluguel V 9 DJA - Janeiro 20 - Rachid Sergio (A220)</t>
  </si>
  <si>
    <t>GV - Aluguel ESP DJA - Dezembro 19 - Mario Monteiro (A80) + 8,00 multa</t>
  </si>
  <si>
    <t>GV - Aluguel ESP DJA - Janeiro 2020 - Mario Monteiro (A80)</t>
  </si>
  <si>
    <t>GV - Aluguel Apt 105 - Novembro 19 - Gilmenia (A1020+C90+20,72+10%alug.multa)</t>
  </si>
  <si>
    <t>GV - Aluguel Apt Studio - Dezembro 19 - Fran de Oliveira Alavina (A1250 + 90 cond + 52,50luz)</t>
  </si>
  <si>
    <t>JLP - Pagamento serviços prestados por Roberto dias 30 e 31 de dezembro/19 e 02 e 03 janeiro/2020</t>
  </si>
  <si>
    <t>GV - Compra de lanche para recepção hospedes apto 203 - Hipermercado Tia Teca</t>
  </si>
  <si>
    <t xml:space="preserve">JLP - Compra de massa cerejeira - Comercial Loesch </t>
  </si>
  <si>
    <t xml:space="preserve">GV - Pagamento restante das diárias apto 203 temporada - Jorge </t>
  </si>
  <si>
    <t xml:space="preserve">JLP - Conserto controle do portão de entrada JLP que fica com Rafaela - TV SOM </t>
  </si>
  <si>
    <t>JLP - Compra de pão colaboradores da obra - Padaria Laches da Praça</t>
  </si>
  <si>
    <t>GV - Aluguel V 04 DJA - Janeiro 20 - Isabela</t>
  </si>
  <si>
    <t>GV  - Aluguel vaga moto Janeiro 2020 pro rata + controle e chaves Fábio</t>
  </si>
  <si>
    <t xml:space="preserve">GV - Aluguel V 01 DJA - Janeiro 20 - Gildásio Klier </t>
  </si>
  <si>
    <t>GV - Aluguel Vaga p/ moto DJA - Janeiro 20 - Gildásio Klier /Contabilidade Klier</t>
  </si>
  <si>
    <t xml:space="preserve">GV - Reembolso Urias/Stefanie controle e chaves pagos por Fábio </t>
  </si>
  <si>
    <t>GV - Aluguel Loft 609 - Dezembro 2019 - Adriano (A1000)</t>
  </si>
  <si>
    <t xml:space="preserve">GV - Ret - Naz - Saída por Irving repassar para Honorina </t>
  </si>
  <si>
    <t xml:space="preserve">GV - Aluguel apto 101 pro rata com desconto black friday - Dezembro 2019 - Amanda </t>
  </si>
  <si>
    <t xml:space="preserve">GV- Compra de papel higienico e detergente para o prédio - DNA Distribuidora </t>
  </si>
  <si>
    <t>JLP - Compra de lanche para escritorio, e p/obra e agua sanitaria p/caixa d'agua - DNA Distrib.</t>
  </si>
  <si>
    <t xml:space="preserve">JLP - Compra de parafusos  - Ponto das Chaves </t>
  </si>
  <si>
    <t>GV - Aluguel V 05 DJA - Janeiro 20 - Carla Martin (A250)</t>
  </si>
  <si>
    <t>GV - Pagamento - Faxina Edifício Nova Era - Vania (280) Dias 30/12/19, 02 e 09/01/20  e meio periodo 06/01/20</t>
  </si>
  <si>
    <t>10/01/202</t>
  </si>
  <si>
    <t>GV - Aluguel Apt 202 - Dezembro19 - Thais (A1400+90cond+17,15iptu)</t>
  </si>
  <si>
    <t>JLP - Compra de Papel A4 para escritório - Papetoni</t>
  </si>
  <si>
    <t>JLP - Pagamento serviços prestados por Thomas nos dias 07 a 10 de janeiro/2020</t>
  </si>
  <si>
    <t>JLP - Pagamento serviços prestados por  Roberto  nos dias 06 a 10 de janeiro/2020</t>
  </si>
  <si>
    <t xml:space="preserve">JLP - Pagamento honorários Rafaela </t>
  </si>
  <si>
    <t>GV - Aluguel V 06 DJA - Janeiro 20 - Lucas Barreiros (A200) CH</t>
  </si>
  <si>
    <t>GV - Ret Irv - Saida para Irving (anotado no caderno)</t>
  </si>
  <si>
    <t xml:space="preserve">GV - Aluguel V 10 DJA - Janeiro 20 - Alysson Rocha </t>
  </si>
  <si>
    <t>GV - Aluguel Apt 104 - Dezembro 19 - Andressa (A1010+C90)</t>
  </si>
  <si>
    <t xml:space="preserve">GV - Aluguel V 7 DJA - Janeiro 20 - Luciana LA Boutique (A200) </t>
  </si>
  <si>
    <t>GV - Aluguel Loja GV 1050 - Dezembro 19 - By Fiapo (A3765)</t>
  </si>
  <si>
    <t>GV - Saida para Irving (anotado no caderno)</t>
  </si>
  <si>
    <t>GV - Aluguel V 24 DJA - Dezembro 19 - Fernando Henrique (A200 + 20multa)</t>
  </si>
  <si>
    <t xml:space="preserve">GV - Aluguel V 24 DJA - Janeiro 20 - Fernando Henrique (A200) </t>
  </si>
  <si>
    <t>JLP - Pagamento calhas e pingadeira - Marcio de Ferreira  por NOTA FISCAL</t>
  </si>
  <si>
    <t>GV - Entrada aluguel por temporada apto 203 - Marilene (periodo 03 a 09/02/2020) (Total 840 - entrada 420CH)</t>
  </si>
  <si>
    <t>GV - Aluguel Apt 103 - Dezembro 2019 - Monise (A1050+Cond90)</t>
  </si>
  <si>
    <t>GV - Aluguel V 4 DJA - Dezembro 2019 - Monise (A150)</t>
  </si>
  <si>
    <t>GV - Aluguel Apt 102 - Dezembro 2019  - Amaury (A950+Cond90)</t>
  </si>
  <si>
    <t>GV - Aluguel Apt 201 - Dezembro 19 - Juliana (A1500+C90+50garagem) </t>
  </si>
  <si>
    <t>JLP - Pagamento serviços de jardinagem prestados por Juaniz do dia 21/12/19 a 05/01/2020 total de 08 horas</t>
  </si>
  <si>
    <t>JLP - Pagamento serviços prestados por Thomas nos dias 13 a 17 de janeiro/2020</t>
  </si>
  <si>
    <t>JLP - Pagamento serviços prestados por  Roberto  nos dias 13 a 17 de janeiro/2020</t>
  </si>
  <si>
    <t>GV - Ret Irv - Saída para Irving (anotado no caderno)</t>
  </si>
  <si>
    <t>JLP - Aluguel V 1 a V 5 - Dezembro 19 - Alexandre Couy (A525) CH</t>
  </si>
  <si>
    <t>JLP - Aluguel loja - Dezembro 2019 - Habitat (7750A) CH</t>
  </si>
  <si>
    <t>GV - Saída para deposito conta JLP</t>
  </si>
  <si>
    <t>GV - Saída para deposito conta Honorina (cheques Gustavo, Marilene, Lucas)</t>
  </si>
  <si>
    <t>GV  - Compra de materiais de limpeza para o prédio e um café para Irving</t>
  </si>
  <si>
    <t>GV - Aluguel Apt 105 - Dezembro 19 - Gilmenia (A1020+C90)</t>
  </si>
  <si>
    <t>GV - Pagamento - Faxina Edifício Nova Era - Vania (320)  Dias 13,16,20 e 23/01/2020</t>
  </si>
  <si>
    <t>JLP - Pagamento padaria período de 13/01 a 24/01/2020  - Padaria lanches da Praça</t>
  </si>
  <si>
    <t xml:space="preserve">JLP - Compra de fita crepre - Continental </t>
  </si>
  <si>
    <t>JLP - Compra de limpa vidros  - DNA distribuidora EPA</t>
  </si>
  <si>
    <t>GV - Ret Irv - Saída para Irving  (anotado no caderno)</t>
  </si>
  <si>
    <t>JLP - Pagamento serviços prestados por Thomas nos dias 20,21,22 e 24 de janeiro/2020</t>
  </si>
  <si>
    <t>JLP - Pagamento serviços prestados por Roberto do dia 20 a 24 de janeiro/2020</t>
  </si>
  <si>
    <t>GV - Aluguel Loja GV 1060 e JP 615 - Dezembro 20 - Tales Colombi (A5200) DN</t>
  </si>
  <si>
    <t xml:space="preserve">GV - 15 diárias apartamento 204 - Shirlene </t>
  </si>
  <si>
    <t>GV - Aluguel Loja JP 607 - Janeiro 20 - Anderson (A1464)</t>
  </si>
  <si>
    <t>JLP - Carga toner impressora escritório - Oliveira suprimentos</t>
  </si>
  <si>
    <t>JLP - Compra de ralo de ferro - Ferragens Mineira</t>
  </si>
  <si>
    <t>GV e JLP - Diafragma borracha para compressor - Locaqui</t>
  </si>
  <si>
    <t xml:space="preserve">GV - Aluguel V 14 DJA - fevereiro 20 - Alysson Rocha </t>
  </si>
  <si>
    <t>GV - Compra de lanche para apto 203 temporada Wagner Airbnb e escritório -  DNA Distribuidora EPA</t>
  </si>
  <si>
    <t>GV - Aluguel Loja GV 1052 - Dezembro 20 - Irmas Figueiredo (A2205) DN</t>
  </si>
  <si>
    <t xml:space="preserve">JLP - Compra de remendos e cola vipal uso carrinho de mao - Duas Rodas Bicicletas </t>
  </si>
  <si>
    <t>JLP - Pagamento serviços prestados por Thomas de 27 a 31 de janeiro/2020</t>
  </si>
  <si>
    <t>JLP - Pagamento serviços prestados por Roberto do dia 27 a 31 de janeiro/2020</t>
  </si>
  <si>
    <t>JLP - Compra de 12 sacos de cimento - Safra</t>
  </si>
  <si>
    <t>GV - Quatro colchas - duas solteiro e duas casal - Comprado caminhão de praia - Sem Nota</t>
  </si>
  <si>
    <t>JLP - Material Copasa Ely</t>
  </si>
  <si>
    <t>GV e JLP - Microsoft Store - extensões</t>
  </si>
  <si>
    <t>JLP - Material Copasa Carlos</t>
  </si>
  <si>
    <t>JLP - Cópia chave cadeado galeria</t>
  </si>
  <si>
    <t>JLP - Agricol- Herbicida e vasos</t>
  </si>
  <si>
    <t>JLP - Casa do Campo - Roundap</t>
  </si>
  <si>
    <t>JLP - Engenharty - Plotagem PPCI JLP</t>
  </si>
  <si>
    <t>JLP - Cesar Jardineiro (2 dias)</t>
  </si>
  <si>
    <t>GV - Vedantes borrachas vistorias</t>
  </si>
  <si>
    <t>JLP - Desengordurante galerial pluvial vertical</t>
  </si>
  <si>
    <t>GV - Ret Naz - Faxineira substituta - Iuri</t>
  </si>
  <si>
    <t>GV - Transferência CXD - Empréstimo sócios</t>
  </si>
  <si>
    <t>GV e JLP - Honorários Carol</t>
  </si>
  <si>
    <t>GV - Plastificação instruções máquina de lavar</t>
  </si>
  <si>
    <t xml:space="preserve">08/01/2020 </t>
  </si>
  <si>
    <t>GV - Ret Irv - Unimed BH - Dez</t>
  </si>
  <si>
    <t xml:space="preserve">352480 </t>
  </si>
  <si>
    <t xml:space="preserve">09/01/2020 </t>
  </si>
  <si>
    <t xml:space="preserve">GV - Ret Irv - Maria Beatriz Pereira Bar </t>
  </si>
  <si>
    <t xml:space="preserve">10/01/2020 </t>
  </si>
  <si>
    <t>GV - Ret Irv - Unimed BH - Jan</t>
  </si>
  <si>
    <t xml:space="preserve">101000 </t>
  </si>
  <si>
    <t xml:space="preserve">13/01/2020 </t>
  </si>
  <si>
    <t>GV - Ret Irv - IPVA Tracker</t>
  </si>
  <si>
    <t xml:space="preserve">571000 </t>
  </si>
  <si>
    <t xml:space="preserve">15/01/2020 </t>
  </si>
  <si>
    <t xml:space="preserve">991000 </t>
  </si>
  <si>
    <t xml:space="preserve">17/01/2020 </t>
  </si>
  <si>
    <t>GV - Ret Irv - IPVA HD</t>
  </si>
  <si>
    <t xml:space="preserve">342247 </t>
  </si>
  <si>
    <t xml:space="preserve">20/01/2020 </t>
  </si>
  <si>
    <t>GV - Ret Irv - IPTU Ap 304</t>
  </si>
  <si>
    <t xml:space="preserve">21/01/2020 </t>
  </si>
  <si>
    <t xml:space="preserve">284850 </t>
  </si>
  <si>
    <t xml:space="preserve">22/01/2020 </t>
  </si>
  <si>
    <t xml:space="preserve">23/01/2020 </t>
  </si>
  <si>
    <t xml:space="preserve">573037 </t>
  </si>
  <si>
    <t xml:space="preserve">573048 </t>
  </si>
  <si>
    <t>JLP - Aluguel Guarda Mobília - Mathias - pós pago - vence dia 19</t>
  </si>
  <si>
    <t>GV - Cemig AP 204</t>
  </si>
  <si>
    <t>GV e JLP - CRA Irv</t>
  </si>
  <si>
    <t>02/01/2020</t>
  </si>
  <si>
    <t>GV e JLP - Maxi ducha,cabinho,capacitor,luminaria emergencia</t>
  </si>
  <si>
    <t>03/01/2020</t>
  </si>
  <si>
    <t>GV e JLP - Salário - Juaniz</t>
  </si>
  <si>
    <t>000543</t>
  </si>
  <si>
    <t>06/01/2020</t>
  </si>
  <si>
    <t>JLP - Lixas</t>
  </si>
  <si>
    <t>07/01/2020</t>
  </si>
  <si>
    <t>961000</t>
  </si>
  <si>
    <t>08/01/2020</t>
  </si>
  <si>
    <t>JLP - HSR - Aluguel Dez 19 (A 4980,50 - 5% Desc = 4731,47)</t>
  </si>
  <si>
    <t>882333</t>
  </si>
  <si>
    <t>352480</t>
  </si>
  <si>
    <t>09/01/2020</t>
  </si>
  <si>
    <t>13/01/2020</t>
  </si>
  <si>
    <t>GV - Garagem fita crepe, remov., tinta, cimento</t>
  </si>
  <si>
    <t>15/01/2020</t>
  </si>
  <si>
    <t>JLP - Dablius Contabilidade Dez 19</t>
  </si>
  <si>
    <t>17/01/2020</t>
  </si>
  <si>
    <t>342247</t>
  </si>
  <si>
    <t>20/01/2020</t>
  </si>
  <si>
    <t>741000</t>
  </si>
  <si>
    <t>JLP - Fortlev - Caixas d'água PPCI</t>
  </si>
  <si>
    <t>21/01/2020</t>
  </si>
  <si>
    <t>284882</t>
  </si>
  <si>
    <t>22/01/2020</t>
  </si>
  <si>
    <t>23/01/2020</t>
  </si>
  <si>
    <t>27/01/2020</t>
  </si>
  <si>
    <t>28/01/2020</t>
  </si>
  <si>
    <t>JLP - Compra de joelho, red.ex.pvc,tubo e cimento</t>
  </si>
  <si>
    <t>Empréstimo sócios - CX</t>
  </si>
  <si>
    <t>Marcio Ferreira</t>
  </si>
  <si>
    <t>Reembolso despesas Hospital Santa Rosália</t>
  </si>
  <si>
    <t>Safra</t>
  </si>
  <si>
    <t>Aluguéis</t>
  </si>
  <si>
    <t>Csir</t>
  </si>
  <si>
    <t>Projetos</t>
  </si>
  <si>
    <t>GV - Aluguel Ap 205</t>
  </si>
  <si>
    <t>total</t>
  </si>
  <si>
    <t>GV - Aluguel V 04 DJA - Dezembro 2019 - Monise (A150)</t>
  </si>
  <si>
    <t xml:space="preserve">GV - Aluguel V 07 DJA - Janeiro 20 - Luciana LA Boutique (A200) </t>
  </si>
  <si>
    <t>GV - Aluguel V 09 DJA - Janeiro 20 - Rachid Sergio (A220)</t>
  </si>
  <si>
    <t>GV - Aluguel vaga moto Janeiro 2020 pro rata + controle e chaves Fábio</t>
  </si>
  <si>
    <t>GV - Compra de materiais de limpeza para o prédio e um café para Irving</t>
  </si>
  <si>
    <t>Fev 2020</t>
  </si>
  <si>
    <t>JLP - Compra de pedra brita 3/4 - Pedreira Mattar</t>
  </si>
  <si>
    <t>JLP - Aluguel Galpão 03 - Fevereiro 20 - Jorg Paul</t>
  </si>
  <si>
    <t>GV - Aluguel V 11 DJA - Fevereiro 20 - Rachid Sergio (170CH + 80DN = 250)</t>
  </si>
  <si>
    <t>GV - Pagamento restante das diárias locação por temporada apto 203 - Marilene (420CH)</t>
  </si>
  <si>
    <t>JLP - Compra de papel toalha de mão para banheiros - Ponto das Embalagens</t>
  </si>
  <si>
    <t>JLP - Compra de 05 panos cru para chão - Ponto das Embalagens</t>
  </si>
  <si>
    <t xml:space="preserve">JLP - Compra de desinfetante para banheiros, pó de café de açucar para colaboradores da obra- DNA Distribuidora </t>
  </si>
  <si>
    <t>JLP - Compra de joelho esgoto 90º - Safra Mat.Construção</t>
  </si>
  <si>
    <t>JLP - Compra de café para escritório - Padaria Lanches da Praça</t>
  </si>
  <si>
    <t>JLP - Conserto 01 controle portão casa Nazinha  - TV SOM</t>
  </si>
  <si>
    <t>GV - Aluguel V 04 DJA - Fevereiro 20 - Isabela</t>
  </si>
  <si>
    <t>JLP - Reembolso dos gastos festa HSR - sem recibo - para para Irving - repassado para caixa Rafaela</t>
  </si>
  <si>
    <t xml:space="preserve">JLP - Adiantamento de 50% evento Pindura Língua </t>
  </si>
  <si>
    <t xml:space="preserve">JLP - Compra de curva 90 longa sec.40mmm+01 luva sold. - Continental </t>
  </si>
  <si>
    <t>JLP - Compra de curva PVC sold 40x90 - Luso Brasil</t>
  </si>
  <si>
    <t>GV - Aluguel Apt Studio - Janeiro 20 - Fran de Oliveira Alavina (A1250 A+90 cond)</t>
  </si>
  <si>
    <t>GV - Pagamento - Faxina Edifício Nova Era - Vania (320)  Dias 27 e 30/01/20 e 03 e 06/02/2020</t>
  </si>
  <si>
    <t>GV - Aluguel Apt 103 - Janeiro 2020 - Monise (A1050+Cond90)</t>
  </si>
  <si>
    <t>GV - Aluguel V 4 DJA - Janeiro 2020 - Monise (A150)</t>
  </si>
  <si>
    <t>JLP - Compra de junta plastica p/dilatacao - Ferragens Mineira</t>
  </si>
  <si>
    <t>JLP - Compra de cantoneira 5/8 - Paraná Ferragens</t>
  </si>
  <si>
    <t>JLP - Pagamento estagiaria Rafaelle periodo de 27 a 31/01/2020  - Recibo contabilidade</t>
  </si>
  <si>
    <t>JLP - Pagamento estagiaria Vitor periodo de 27 a 31/01/2020  - Recibo contabilidade</t>
  </si>
  <si>
    <t>JLP - Pagamento serviços prestados por Thomas de 2020</t>
  </si>
  <si>
    <t xml:space="preserve">JLP - Pagamento da padaria lanches colaboradores da obra - Lanches da Praça Padaria </t>
  </si>
  <si>
    <t>JLP - Pagamentojardinagem prestados por Juaniz do dia 21/12/19 a 02/02/2020 total de 08 horas - saldo 1,5</t>
  </si>
  <si>
    <t>Gv - Aluguel de uma diária apto 203 , prorrogação da estadia - Marilene</t>
  </si>
  <si>
    <t>GV - Aluguel V 05 DJA - Fevereiro 20 - Carla Martin (A250)</t>
  </si>
  <si>
    <t>GV - Aluguel Vaga para moto - Fevereiro 20 - Fábio</t>
  </si>
  <si>
    <t>GV - Aluguel V 03 DJA - Fevereiro 20 - Gildásio Klier (A250)</t>
  </si>
  <si>
    <t>GV - Aluguel Vaga p/ moto DJA - Fevereiro 20- Gildásio Klier /Contabilidade Klier</t>
  </si>
  <si>
    <t>GV-  Aluguel locaçãoguarda mobilia periodo de 10/01 a 10/02 e 10/02 a 10/03 - Antonio Florencio CH</t>
  </si>
  <si>
    <t>GV - Aluguel V 6 DJA - Fevereiro 20 - Lucas Barreiros (A200) CH</t>
  </si>
  <si>
    <t xml:space="preserve">GV - Aluguel temporada duas diárias apto 203 - Jaime </t>
  </si>
  <si>
    <t>JLP - Compra de 10 sacos de cimento - compra feita por Vitor - Lages Mucuri - sem nota</t>
  </si>
  <si>
    <t>JLP - Compra de 05 metros cubicos de areia - Areal Noé - sem nota</t>
  </si>
  <si>
    <t xml:space="preserve">JLP - Pagamento de manutenção computador escritório - Digital Computer </t>
  </si>
  <si>
    <t xml:space="preserve">GV - Saída cheques de Antonio Florencio, Rachid, Lucas  e Marilene </t>
  </si>
  <si>
    <t xml:space="preserve">JLP - Compra de detergentes escritorio e obra, café e açucar para colaboradores  - DNA Distribuidora Epa </t>
  </si>
  <si>
    <t>JLP - Compra de sabão em pó Maxx para obra - DNA Distribuidora Epa</t>
  </si>
  <si>
    <t xml:space="preserve">JLP - Pagamento dos serviços de jardinagem - Cesar </t>
  </si>
  <si>
    <t xml:space="preserve">JLP - Compra de Diazitop PM 25g  - Mario Dias Pereira </t>
  </si>
  <si>
    <t xml:space="preserve">GV - Aluguel V 7 DJA - Fevereiro 20 - Luciana LA Boutique (A200) </t>
  </si>
  <si>
    <t xml:space="preserve">GV - Aluguel Loja GV 1050 - Janeiro 20 - By Fiapo </t>
  </si>
  <si>
    <t xml:space="preserve">GV - Aluguel 08 diárias apto 204 + luz correspondente ao periodo - Shirlene </t>
  </si>
  <si>
    <t>GV - Pagamento Caução apto 203 - MSA Vigilância - 4650CH</t>
  </si>
  <si>
    <t xml:space="preserve">GV - Saída cheque caução apto 203 para deposito </t>
  </si>
  <si>
    <t xml:space="preserve">GV - Compra de vidro liso para banheiro apto 204 - Vidraçaria Guanabara </t>
  </si>
  <si>
    <t>GV - Aluguel Apt 102 - Janeiro 2020  - Amaury (A950+Cond90)</t>
  </si>
  <si>
    <t>JLP - Pagamento serviços prestados por Thomas nos dias 10,11,14 de fev. 2020</t>
  </si>
  <si>
    <t>JLP - Pagamento serviços prestados por Roberto nos dias de 10 a 14 de fev. 2020 + 12 horas extras</t>
  </si>
  <si>
    <t>JLP - Pagamento serviços prestados por Juaniz dias 8 e 9 de fev. 2020 + 11 horas extras</t>
  </si>
  <si>
    <t>JLP  - Pagamento 50% restante evento Pindura (1650)</t>
  </si>
  <si>
    <t>JLP - Compra de lanche para Vitor durante todo o dia 15/02 - Evento Pindura</t>
  </si>
  <si>
    <t>GV - Aluguel ESP DJA - Fevereiro/20 - Mario Monteiro (A80)+ 8,00 multa</t>
  </si>
  <si>
    <t>GV - Aluguel Apt 201 -Janeiro 20 - Juliana (A1500+C90) </t>
  </si>
  <si>
    <t xml:space="preserve">GV - Aluguel Garagem com desconto - fevereiro 20 - Juliana apto 201 </t>
  </si>
  <si>
    <t>JLP - Aluguel V 1 a V 5 - Fevereiro 20 - Alexandre Couy (A525) CH</t>
  </si>
  <si>
    <t>JLP - Aluguel loja Fsa 152 - Janeiro 20- Habitat (7750A) CH</t>
  </si>
  <si>
    <t>JLP - Recebimento acerto Pindura - Rose</t>
  </si>
  <si>
    <t xml:space="preserve">GV - Saída do cheque Habitat para depósito </t>
  </si>
  <si>
    <t>JLP  - Compra de papel toalha para banheiros - Ponto das Embalagens</t>
  </si>
  <si>
    <t xml:space="preserve">JLP - Bateria para controle portão JLP - TV SOM </t>
  </si>
  <si>
    <t>GV - Saída para Irving (anotado no caderno)</t>
  </si>
  <si>
    <t>JLP -  Saída gratificação Vitor evento Pindura</t>
  </si>
  <si>
    <t xml:space="preserve">JLP - Compra de recibo comercial </t>
  </si>
  <si>
    <t>GV - Aluguel Loft 609 - Janeiro 20 - Adriano (A1000)+ multa 10%</t>
  </si>
  <si>
    <t xml:space="preserve">GV - Reconhecimento de firma contrato apto 203 Marcella </t>
  </si>
  <si>
    <t xml:space="preserve">JLP - Compra de pilhas Rayov - DNA Distribuidora </t>
  </si>
  <si>
    <t>JLP - Compra de 04 rodizios 562 - Comercial Loesch</t>
  </si>
  <si>
    <t>JLP - Compra de parafusos - Ponto das Chaves</t>
  </si>
  <si>
    <t xml:space="preserve">JLP - Compra de pastilha 800g e cloro - Acquazul </t>
  </si>
  <si>
    <t>GV - Compra de abracadeira 1/2x3/4 apto 102 - Ferragens Mineira</t>
  </si>
  <si>
    <t>GV - Compra de kit cx/acoplada universal apto 102 - Ferragens Mineira</t>
  </si>
  <si>
    <t>GV - Pagamento serviços prestados por Vânia dias 10,13,14 meio periodo, 17 e 20 fev./2020</t>
  </si>
  <si>
    <t>JLP - Pagamento padaria lanche colaboradores da obra - Lanches da Praça Padaria e Lanchonete</t>
  </si>
  <si>
    <t>GV - Aluguel Apt 103 - Fevereiro 2020 - Monise (A1050+Cond90)</t>
  </si>
  <si>
    <t>GV - Aluguel V 4 DJA - Fevereiro 2020 - Monise (A150)</t>
  </si>
  <si>
    <t>GV - Aluguel Loja JP 607 - Fevereiro 20 - Anderson (A1464)</t>
  </si>
  <si>
    <t>JLP - Pagamento serviços prestados por Thomas do dia 17 a 21 fev/20</t>
  </si>
  <si>
    <t>JLP - Pagamento serviços prestados por Roberto meio expedi. 17 e o do dia 18 a 21 fev/20</t>
  </si>
  <si>
    <t>GV - Diferença de caixa - Possível Areal do Noé (300) e JP 609 (100) + moedas</t>
  </si>
  <si>
    <t>GV - Saída caixa Irving</t>
  </si>
  <si>
    <t>GV - Aluguel Apt 204 - Fevereiro 20 - Adesil (A672,41+C40,34 - proporcional)</t>
  </si>
  <si>
    <t>GV - Aluguel V 22 DJA - Março 20 - Joao (A220 + 21 copia de chaves)</t>
  </si>
  <si>
    <t>GV - Aluguel Loja GV 1060 e JP 615 - Janeiro 20 - Tales Colombi (A5200) DN</t>
  </si>
  <si>
    <t>GV - Aluguel Loja GV 1052 - Janeiro 20 - Irmas Figueiredo (A2205) DN</t>
  </si>
  <si>
    <t>GV - Ret Naz - Saída para caixa Irving (anotado no caderno)</t>
  </si>
  <si>
    <t>JLP - Pagamento serviços prestados por Thomas nos dias 27 e 28 de fev/20</t>
  </si>
  <si>
    <t>JLP - Pagamento serviços prestados por Roberto nos dias 26, 27 e 28 de fev/20</t>
  </si>
  <si>
    <t>JLP - Pagamento jardinagem prestados por Juaniz 08 horas</t>
  </si>
  <si>
    <t>GV e JLP - Esponja de panela e guardanapo</t>
  </si>
  <si>
    <t>JLP - Recebimento obras Copasa ap vizinha América</t>
  </si>
  <si>
    <t>GV e JLP - Reembolso gasolina Irv (fretes diversos)</t>
  </si>
  <si>
    <t>JLP - Refeições e refri - Roberto e Juaniz - sábado</t>
  </si>
  <si>
    <t>JLP - Refeições e refri - Roberto e Juaniz - domingo</t>
  </si>
  <si>
    <t>JLP - Recebimento obras Copasa ap vizinha Norma</t>
  </si>
  <si>
    <t>GV - Engates mangueira garagem DJA</t>
  </si>
  <si>
    <t>JLP - Gratificação Pindura - Rafaela</t>
  </si>
  <si>
    <t>GV - Ret Naz - Vivo Família Irv (conta pessoal encerrada e incluída no plano família Irv)</t>
  </si>
  <si>
    <t>GV - Duas tábuas de madeira carne / queijo ap 205</t>
  </si>
  <si>
    <t>GV e JLP - Ferragens Mineira - Ganchos mesas escritório</t>
  </si>
  <si>
    <t xml:space="preserve">03/02/2020 </t>
  </si>
  <si>
    <t>GV - Airbnb - AP 203 - 4 diárias</t>
  </si>
  <si>
    <t xml:space="preserve">05/02/2020 </t>
  </si>
  <si>
    <t xml:space="preserve">10/02/2020 </t>
  </si>
  <si>
    <t xml:space="preserve">11/02/2020 </t>
  </si>
  <si>
    <t xml:space="preserve">252585 </t>
  </si>
  <si>
    <t xml:space="preserve">284893 </t>
  </si>
  <si>
    <t xml:space="preserve">12/02/2020 </t>
  </si>
  <si>
    <t xml:space="preserve">14/02/2020 </t>
  </si>
  <si>
    <t xml:space="preserve">284904 </t>
  </si>
  <si>
    <t xml:space="preserve">17/02/2020 </t>
  </si>
  <si>
    <t xml:space="preserve">18/02/2020 </t>
  </si>
  <si>
    <t xml:space="preserve">19/02/2020 </t>
  </si>
  <si>
    <t>052390</t>
  </si>
  <si>
    <t xml:space="preserve">20/02/2020 </t>
  </si>
  <si>
    <t>GV - Ret Irv - Honorarios mesada cidadania outros Carol</t>
  </si>
  <si>
    <t>671000</t>
  </si>
  <si>
    <t xml:space="preserve">26/02/2020 </t>
  </si>
  <si>
    <t xml:space="preserve">28/02/2020 </t>
  </si>
  <si>
    <t>03/02/2020</t>
  </si>
  <si>
    <t>05/02/2020</t>
  </si>
  <si>
    <t>06/02/2020</t>
  </si>
  <si>
    <t>JLP - Salário - Juaniz</t>
  </si>
  <si>
    <t>000544</t>
  </si>
  <si>
    <t>07/02/2020</t>
  </si>
  <si>
    <t>10/02/2020</t>
  </si>
  <si>
    <t>GV e JLP - Locminas - Compra de brocas,disco de corte,rebite</t>
  </si>
  <si>
    <t>000545</t>
  </si>
  <si>
    <t>11/02/2020</t>
  </si>
  <si>
    <t>252585</t>
  </si>
  <si>
    <t>JLP - HSR - Aluguel Jan 20 (A 4980,50 - 5% Desc = 4731,47)</t>
  </si>
  <si>
    <t>942000</t>
  </si>
  <si>
    <t>12/02/2020</t>
  </si>
  <si>
    <t>17/02/2020</t>
  </si>
  <si>
    <t>JLP - Dablius Contabilidade Jan 20</t>
  </si>
  <si>
    <t>811000</t>
  </si>
  <si>
    <t>GV e JLP - Cestas básicas - Sup Universal</t>
  </si>
  <si>
    <t>071000</t>
  </si>
  <si>
    <t>JLP - Lajes Wolf - blocos cimento piso tijolos</t>
  </si>
  <si>
    <t>18/02/2020</t>
  </si>
  <si>
    <t>284871</t>
  </si>
  <si>
    <t>JLP - MHE - Atendimento Pindura</t>
  </si>
  <si>
    <t>000546</t>
  </si>
  <si>
    <t>19/02/2020</t>
  </si>
  <si>
    <t>20/02/2020</t>
  </si>
  <si>
    <t>011000</t>
  </si>
  <si>
    <t>944000</t>
  </si>
  <si>
    <t>21/02/2020</t>
  </si>
  <si>
    <t>26/02/2020</t>
  </si>
  <si>
    <t>JLP - Tinta cinza chumbo</t>
  </si>
  <si>
    <t>28/02/2020</t>
  </si>
  <si>
    <t>JLP - Luso - Compra de trinchas, bucha, espuma, cimento, martelo</t>
  </si>
  <si>
    <t>081000</t>
  </si>
  <si>
    <t>Pedreira Mattar</t>
  </si>
  <si>
    <t>Salário Estagiário Rafaelle</t>
  </si>
  <si>
    <t>Salário Estagiário Vitor</t>
  </si>
  <si>
    <t>GV - Aluguel Apt 201 -Janeiro 20 - Juliana (A1500+C90)+ 50,00 garagem</t>
  </si>
  <si>
    <t>GV - Aluguel Airbnb - AP 203 - 4 diárias</t>
  </si>
  <si>
    <t>Mar 2020</t>
  </si>
  <si>
    <t>JLP -  Acerto pintura+multa+conserto controle apto 201 Juliana</t>
  </si>
  <si>
    <t>GV - Aluguel Apt 201 - Fevereiro 20 - Juliana (A1500+C90)</t>
  </si>
  <si>
    <t>GV - Aluguel V 15 DJA - Fevereiro 20- Cesar Porto (A100)</t>
  </si>
  <si>
    <t>GV - Conserto/solda controle garagem - TV SOM</t>
  </si>
  <si>
    <t>GV - Aluguel Apt 202 - Janeiro 2020 - Thais (A1400+90cond)</t>
  </si>
  <si>
    <t xml:space="preserve">GV - Compra de sabão em pó para prédio - DNA Distribuidora </t>
  </si>
  <si>
    <t>GV - Aluguel Apt 104 - Janeiro 20 - Andressa (A1010+C90)</t>
  </si>
  <si>
    <t>GV - Aluguel Apt 104 - Fevereiro 20 - Andressa (A1010+C90)</t>
  </si>
  <si>
    <t>GV - Saída para caixa Irving (anotado no caderno)</t>
  </si>
  <si>
    <t>GV - Aluguel V 11 DJA - Março 20 - Rachid Sergio (A250)</t>
  </si>
  <si>
    <t xml:space="preserve">GV e JLP - Compra de controle remoto garagem DJA e Vila Deco - TV SOM </t>
  </si>
  <si>
    <t>GV - Aluguel Apt Studio - Fevereiro 20 - Fran de Oliveira Alavina (A1250+90)</t>
  </si>
  <si>
    <t>JLP - Pagamento salario Rafaelle estagiária  mês fev/2020</t>
  </si>
  <si>
    <t>JLP - Pagamento salario Vitor estagiário  mês fev/202020</t>
  </si>
  <si>
    <t>JLP - Pagamento limpeza computador escritório - Digital Computer</t>
  </si>
  <si>
    <t>JLP - Pagamento NF 10.755  compra de luva, joelho,  cap. Soldavel - Continetal</t>
  </si>
  <si>
    <t xml:space="preserve">GV - Aluguel V 14 DJA - Março 2020 - Alysson Rocha </t>
  </si>
  <si>
    <t>JLP - Compra presente Juaniz - camisa - loja Roupa Nova</t>
  </si>
  <si>
    <t xml:space="preserve">JLP - Pagamento serviços prestados por Vânia dias 26/02,02 e 05 de fev+meio periodo </t>
  </si>
  <si>
    <t>JLP - Compra de carne (acem e pernil) para churrasco confraternização - Açougue Confiança</t>
  </si>
  <si>
    <t>JLP - Compra de refrigerante, pao de alho e espetinho para churrasco - DNA Distri. EPA</t>
  </si>
  <si>
    <t>JLP - Aluguel Galpão 03 - Março 20 - Jorg Paul</t>
  </si>
  <si>
    <t>JLP - Compra de bolo aniversário Juaniz - (Ivanelia mae de Mylla)</t>
  </si>
  <si>
    <t>JLP - Compra de mortadela e pao aniversario Juaniz - DNA Dist. EPA</t>
  </si>
  <si>
    <t>JLP - Pagamento serviços prestados por Thomas do dia 02 a 06 março/20</t>
  </si>
  <si>
    <t>JLP - Pagamento serviços prestados por Roberto do dia 02 a 06 março/20</t>
  </si>
  <si>
    <t>JLP - Compra de suco para churrasco - DNA Distri. EPA</t>
  </si>
  <si>
    <t xml:space="preserve">JLP - Compra de carne para churrasco - Açougue Confiança </t>
  </si>
  <si>
    <t xml:space="preserve">GV - Aluguel V 03 DJA - Março 20 - Gildásio Klier </t>
  </si>
  <si>
    <t>GV - Aluguel Vaga p/ moto DJA - Março 20 - Gildásio Klier /Contabilidade Klier</t>
  </si>
  <si>
    <t>GV - Aluguel Apt 104 - Janeiro 20 - Amanda (A1150+C90) - acordo liberação sem multa</t>
  </si>
  <si>
    <t>GV - Aluguel Apt 104 - Fevereiro 20 - Amanda (A1150+C90)</t>
  </si>
  <si>
    <t>GV - Aluguel Apt 202 - Fevereiro 20 - Thais (A1400+90cond)</t>
  </si>
  <si>
    <t>GV - Aluguel Vaga para moto - Março 20 - Fábio</t>
  </si>
  <si>
    <t>GV - Aluguel Apt 203 - Fev20 proporcioal 12 a 29 - MSA Segurança (A962,07+55,86cond)</t>
  </si>
  <si>
    <t>GV - Aluguel V 09 DJA - Fev 20 - MSA Segurança Patrimonial</t>
  </si>
  <si>
    <t>GV - Aluguel V 06 DJA - Março 20 - Lucas Barreiros (A200CH)</t>
  </si>
  <si>
    <t>JLP - Compra de fitilho verde - Ponto das Embalagens</t>
  </si>
  <si>
    <t>JLP - Compra de sabao em po para banheiros e luva de limpeza - DMA Dist. EPA</t>
  </si>
  <si>
    <t>GV - Aluguel ESP DJA - Março 2020 - Mario Monteiro (A80)</t>
  </si>
  <si>
    <t>GV - Aluguel V 05 DJA - Março 20 - Carla Martin (A250)</t>
  </si>
  <si>
    <t xml:space="preserve">GV - Saida de cheques  Lucas e MSA para depósito </t>
  </si>
  <si>
    <t>GV - Compra de borrachinhas registro - Casa dos reparos</t>
  </si>
  <si>
    <t xml:space="preserve">GV - Compra de solda - Frio Radiadores São Jorge </t>
  </si>
  <si>
    <t>GV - Aluguel V 04 DJA - Março 20 - Isabela</t>
  </si>
  <si>
    <t>GV - Compra adesivo silicone - Ferragens Mineira</t>
  </si>
  <si>
    <t xml:space="preserve">GV - Compra de tomada padrao 10A Elegance - Delevy Comercial </t>
  </si>
  <si>
    <t>GV - Aluguel V 13 DJA - Março 20 - Jorge Roberto (A100)</t>
  </si>
  <si>
    <t>GV - Aluguel Loja GV 1050 - Fevereiro 20 - By Fiapo (A4000)</t>
  </si>
  <si>
    <t>GV - Compra de pincel tigre  - Ferragens Mineira</t>
  </si>
  <si>
    <t>JLP - Compra de refil Raid e Repelente OFF para escritório - DMA Distr. EPA</t>
  </si>
  <si>
    <t>JLP - Compra de 04 ponteiras - Ponto das Chaves</t>
  </si>
  <si>
    <t>GV - Aluguel Apt 105 - Janeiro 20 - Gilmenia (A1020+C90+102multa) pagou 1206</t>
  </si>
  <si>
    <t>JLP - Pagamento serviços de jardinagem - Cesar jardineiro</t>
  </si>
  <si>
    <t>JLP - Pagamento serviços prestados por Thomas do dia 09 a 13 março/20</t>
  </si>
  <si>
    <t>JLP - Pagamento serviços prestados por Roberto do dia 09 a 13 março/20</t>
  </si>
  <si>
    <t>GV - Compra de panela de pressão 4,5l premium para apto 201 - Lojas Americanas</t>
  </si>
  <si>
    <t>GV - Compra de forma, pote e jarra para apto 201 - BVR Comercio de brinquedos</t>
  </si>
  <si>
    <t>GV - Compra de garrafa, ralador, tabua p/corte, prato para apto 201 - Otoni Utilidades</t>
  </si>
  <si>
    <t>GV - Compra de jogo de facas, pegador massas, abridor de latas - Otoni Utilidades</t>
  </si>
  <si>
    <t>JLP - Pagamento honorários Ivana 1.6 (R$ 6.400,00) - Projetos Loja GV 1040</t>
  </si>
  <si>
    <t xml:space="preserve">JLP - Compra alpiste para passarinhos - Albino di Pietro </t>
  </si>
  <si>
    <t>GV - Restante do aluguel caetano, ficou faltando R$6,00</t>
  </si>
  <si>
    <t>JLP e Irv - Compra de material de limpeza e lanche Escritório - DMA Distr.EPA</t>
  </si>
  <si>
    <t xml:space="preserve">GV - Compra de garrafa termica apto 201 - Otoni Utilidades </t>
  </si>
  <si>
    <t>JLP - Compra de farelo de milho para pssarinho - Mercearia Coelho</t>
  </si>
  <si>
    <t>GV - Aluguel Apt 102 - Fevereiro 2020  - Amaury (A950+Cond90)</t>
  </si>
  <si>
    <t>GV - Aluguel Apt 105 - fevereiro 20 - Gilmenia (A1020+C90)</t>
  </si>
  <si>
    <t>JLP - Aluguel V 1 a V 5 - Março 20 - Alexandre Couy (A525) CH</t>
  </si>
  <si>
    <t>JLP - Aluguel loja Fsa 152 - Fevereiro 20- Habitat (7750A) CH</t>
  </si>
  <si>
    <t>GV - Aluguel antecipado 08 meses apto 201 com desconto +IPTU - Antonio Florêncio</t>
  </si>
  <si>
    <t>GV - Saida cheque de Antônio Florêncio para depósito por Vitor</t>
  </si>
  <si>
    <t xml:space="preserve">GV - Pagamento higienização e impermeabilização sofá e colchão 201 e 204 </t>
  </si>
  <si>
    <t xml:space="preserve">GV - Aluguel V 7 DJA - Março 20 - Luciana LA Boutique (A200) </t>
  </si>
  <si>
    <t>GV -  Compra de pilhas para controle ar-condicionado apto 201 - Quase 2</t>
  </si>
  <si>
    <t>GV - Compra de ganchos para vassouras apto 201 e demais - Ponto das Chaves</t>
  </si>
  <si>
    <t>GV - Aluguel V 24 DJA - Fevereiro 20 - Fernando Henrique (A200+multa10%)</t>
  </si>
  <si>
    <t xml:space="preserve">JLP - Pagamento horas extras Vitor acordo valor compensado </t>
  </si>
  <si>
    <t>JLP  - Compra de estoque material limpeza predio e escritorio - DNA Distr. EPA</t>
  </si>
  <si>
    <t>GV - Pagamento serviços prestados por Vânia dias 09,12,16 e 19/03/2020.</t>
  </si>
  <si>
    <t xml:space="preserve">GV - Saída cheque Alexandre para depósito </t>
  </si>
  <si>
    <t>GV - Aluguel Apt 101 - Março 20 - Amanda (A1150+C90) CH</t>
  </si>
  <si>
    <t xml:space="preserve">JLP - Pagamento padaria lanche colaboradores da obra - Lanches da Praça Padaria  </t>
  </si>
  <si>
    <t>JLP - Pagamento serviços prestados por Thomas do dia 16 a 20 março/20</t>
  </si>
  <si>
    <t>JLP - Pagamento serviços prestados por Roberto do dia 16 a 20 março/20+1,5h extra</t>
  </si>
  <si>
    <t>JLP - Compra de milho p/passarinho, alpiste, formicida - Casa da ração</t>
  </si>
  <si>
    <t xml:space="preserve">GV - Pagamento dia 23/03 trabalhado por Vania e adiantamento </t>
  </si>
  <si>
    <t>JLP - Compra de chuveiro - DNA Distribuidora EPA</t>
  </si>
  <si>
    <t>GV - Aluguel Loja GV 1060 e JP 615 - Fevereiro 20 - Tales Colombi (A5200) DN</t>
  </si>
  <si>
    <t xml:space="preserve">JLP - Pgto Simples Nacional (MEI) Nov/18 a Mar/20 - Roberto </t>
  </si>
  <si>
    <t>GV - Aluguel Loft 609 - Março 2020 - Adriano (A1000+10%multa)</t>
  </si>
  <si>
    <t>JLP - Pagamento serviços prestados por Thomas de 23 a 25 março/20</t>
  </si>
  <si>
    <t>JLP - Pagamento serviços prestados por Roberto do dia 23 a 25 março/20</t>
  </si>
  <si>
    <t>JLP - Pagamento adiantamento Thomas devido paralização Coronavirus</t>
  </si>
  <si>
    <t>JLP - Pagamento adiantamento Roberto devido paralização Coronavirus</t>
  </si>
  <si>
    <t>GV - Saida para Irving - anotado caderninho</t>
  </si>
  <si>
    <t>GV - Transf CXD p CC Hon</t>
  </si>
  <si>
    <t>JLP - Toalhas e papel higiênico</t>
  </si>
  <si>
    <t>GV e JLP - Equipamentos cozinha G1 e Cerveja festa Juaniz</t>
  </si>
  <si>
    <t>GV e JLP - Passagens TEO / BH - Irv</t>
  </si>
  <si>
    <t>GV e JLP - Honorarios Carol</t>
  </si>
  <si>
    <t>GV - Protetor de colchão ap 201</t>
  </si>
  <si>
    <t>GV e JLP - Agricol - Vasos de plantas</t>
  </si>
  <si>
    <t>GV e JLP - Formikell</t>
  </si>
  <si>
    <t>GV - Estacionamento SPE Park retirada tijolos</t>
  </si>
  <si>
    <t>GV - Botijão reserva</t>
  </si>
  <si>
    <t>GV e JLP - Passagens TEO / BH - Irv - Devolução</t>
  </si>
  <si>
    <t>GV e JLP - Removedor</t>
  </si>
  <si>
    <t>GV e JLP - DASN DARF multa Roberto</t>
  </si>
  <si>
    <t>GV e JLP - Maletas de ferramentas em couro - Campanário - Sem Nota</t>
  </si>
  <si>
    <t xml:space="preserve">02/03/2020 </t>
  </si>
  <si>
    <t xml:space="preserve">04/03/2020 </t>
  </si>
  <si>
    <t xml:space="preserve">05/03/2020 </t>
  </si>
  <si>
    <t xml:space="preserve">06/03/2020 </t>
  </si>
  <si>
    <t>GV - Jogo panelas ap 204</t>
  </si>
  <si>
    <t>GV - Microondas Ap 201</t>
  </si>
  <si>
    <t xml:space="preserve">10/03/2020 </t>
  </si>
  <si>
    <t xml:space="preserve">GV - Ret Irv - Unimed BH </t>
  </si>
  <si>
    <t xml:space="preserve">11/03/2020 </t>
  </si>
  <si>
    <t xml:space="preserve">12/03/2020 </t>
  </si>
  <si>
    <t xml:space="preserve">16/03/2020 </t>
  </si>
  <si>
    <t xml:space="preserve">20/03/2020 </t>
  </si>
  <si>
    <t>033711</t>
  </si>
  <si>
    <t xml:space="preserve">23/03/2020 </t>
  </si>
  <si>
    <t>GV e JLP - Licenciamento carretinha</t>
  </si>
  <si>
    <t>JLP - PPCI - Thiago Luz</t>
  </si>
  <si>
    <t>GV - Desenhos Loja GV 1040 e geral Iara</t>
  </si>
  <si>
    <t>GV - Ret Naz - Transferência CC Itaú</t>
  </si>
  <si>
    <t>02/03/2020</t>
  </si>
  <si>
    <t>04/03/2020</t>
  </si>
  <si>
    <t>000547</t>
  </si>
  <si>
    <t>10/03/2020</t>
  </si>
  <si>
    <t>GV - Tinta branco gelo e esempenadeira</t>
  </si>
  <si>
    <t>JLP - HSR - Aluguel Fev 20 (A 4980,50 - 5% Desc = 4731,47)</t>
  </si>
  <si>
    <t>928797</t>
  </si>
  <si>
    <t>11/03/2020</t>
  </si>
  <si>
    <t>GV - Paraná Ferragens - Malhas Pop (serão usadas nos pisos das lojas GV 1040)</t>
  </si>
  <si>
    <t>16/03/2020</t>
  </si>
  <si>
    <t>JLP - Dablius Contabilidade Fev 20</t>
  </si>
  <si>
    <t>801000</t>
  </si>
  <si>
    <t>18/03/2020</t>
  </si>
  <si>
    <t>JLP - DAE AVCB</t>
  </si>
  <si>
    <t>000548</t>
  </si>
  <si>
    <t>20/03/2020</t>
  </si>
  <si>
    <t xml:space="preserve">GV e JLP - GPS             </t>
  </si>
  <si>
    <t>284948</t>
  </si>
  <si>
    <t>23/03/2020</t>
  </si>
  <si>
    <t>JLP - Cheque devolvido Habitat</t>
  </si>
  <si>
    <t>25/03/2020</t>
  </si>
  <si>
    <t>30/03/2020</t>
  </si>
  <si>
    <t>JLP - Compra de Disco de corte, arame, prego, fita,lapis,silicone, eletrodo, cola adesivo.</t>
  </si>
  <si>
    <t>000550</t>
  </si>
  <si>
    <t>31/03/2020</t>
  </si>
  <si>
    <t>Continental</t>
  </si>
  <si>
    <t>GV - Aluguel Apt 101 - Fevereiro 20 - Amanda (A1150+C90)</t>
  </si>
  <si>
    <t>GV - Aluguel Apt 101 - Janeiro 20 - Amanda (A1150+C90) - acordo liberação sem multa</t>
  </si>
  <si>
    <t>GV - Aluguel antecipado 08 meses apto 201 com desconto +IPTU - Antonio Florêncio (iptu135,43)</t>
  </si>
  <si>
    <t>GV - Aluguel Apt 205</t>
  </si>
  <si>
    <t>GV - Compra de pilhas para controle ar-condicionado apto 201 - Quase 2</t>
  </si>
  <si>
    <t>JLP - Acerto pintura+multa+conserto controle apto 201 Juliana</t>
  </si>
  <si>
    <t>JLP - Compra de estoque material limpeza predio e escritorio - DNA Distr. EPA</t>
  </si>
  <si>
    <t>Abr 2020</t>
  </si>
  <si>
    <t xml:space="preserve">GV - Aluguel V 03 DJA - Abril 20 - Gildásio Klier </t>
  </si>
  <si>
    <t>GV - Aluguel Vaga p/ moto DJA - Abril 20 - Gildásio Klier /Contabilidade Klier</t>
  </si>
  <si>
    <t xml:space="preserve">JLP - Pagamento padaria refente aos dias 20 a 25/03 e 07 a 09/04 - Lanches da Praça Padaria  </t>
  </si>
  <si>
    <t>JLP - Pagamento bolsa estagio Rafaelle</t>
  </si>
  <si>
    <t>JLP - Pagamento meio período jardineiro - César</t>
  </si>
  <si>
    <t xml:space="preserve">GV - Aluguel V 14 DJA - abril 2020 - Alysson Rocha </t>
  </si>
  <si>
    <t>GV - Aluguel Apt 203 -  Março20  - MSA / Jaime (1550+90cond)</t>
  </si>
  <si>
    <t>GV - Aluguel V 09 DJA - Março 20 - MSA Segurança Patrimonial / Jaime</t>
  </si>
  <si>
    <t>GV - Aluguel Loja GV 603 com desc. Covid19 -Mar/ 20 - Davi - 697,42CH + 580 DN</t>
  </si>
  <si>
    <t>JLP - Pagamento de  parte da dívida aluguel fevereiro  2020 - A.M COUY / Habitat</t>
  </si>
  <si>
    <t xml:space="preserve">GV - Saída do cheque de Davi para depósito </t>
  </si>
  <si>
    <t xml:space="preserve">JLP - Pagamento bolsa estagio Vitor </t>
  </si>
  <si>
    <t>JLP - Pagamento serviços prestados por Roberto dias 07,08,09 de abril 2020</t>
  </si>
  <si>
    <t xml:space="preserve">JLP - Compra de barra de ferro, porca e arruela - Ferragens Mineira </t>
  </si>
  <si>
    <t xml:space="preserve">GV - Saída de valor para depósito </t>
  </si>
  <si>
    <t>GV - Aluguel V 06 DJA - abril 2020 - Lucas Barreiros CH</t>
  </si>
  <si>
    <t>JLP - Pagamento NF 046.136 compra de capacitor - Delevy</t>
  </si>
  <si>
    <t xml:space="preserve">GV - Saída cheque Lucas Barreiros para depósito </t>
  </si>
  <si>
    <t>JLP - Compra de parafusos sx SOB - CCM Parafusos</t>
  </si>
  <si>
    <t>JLP - Pagamento de conserto do bebedouro - Breno Refrigeração</t>
  </si>
  <si>
    <t>GV - Aluguel Loja JP 607 - Março 20 - Anderson (A1465 com desconto de 424 covid-19 1040)</t>
  </si>
  <si>
    <t>GV - Reconhecimento de firma Antonio Florencio apto 201 - 2º Ofício de Notas</t>
  </si>
  <si>
    <t>GV - Aluguel Loja GV 1050 - Mar20 - By Fiapo (A4000 desc.COVID 1161,27 = 2838,73)</t>
  </si>
  <si>
    <t xml:space="preserve">GV - Devolução cheque Amanda apto 101, conforme acordo p/ abater aluguel na caução </t>
  </si>
  <si>
    <t xml:space="preserve">JLP - Compra de barra de ferro roscada - Ferragens Mineira </t>
  </si>
  <si>
    <t>GV - Aluguel Apt 105 - Março 20 - Gilmenia (A1020+C90)</t>
  </si>
  <si>
    <t>JLP e GV - Pagamento NF 028.568 e 028.430, discos e pregos - Locminas</t>
  </si>
  <si>
    <t>JLP - Pagamento areia média adquirida em 10 de fev/20 - Areal do Noe</t>
  </si>
  <si>
    <t>GV - Aluguel Loja GV 1052 - Março 20 - Irmas Figueiredo (A2366 - Desc.Covid 686= 1680)</t>
  </si>
  <si>
    <t>JLP - Pagamento Roberto serviços prestados de 13 a 17 de abril 2020</t>
  </si>
  <si>
    <t>GV - Pagamento serviços prestados por Vânia dias 06,09,14 e 17/04 abatido um dia</t>
  </si>
  <si>
    <t xml:space="preserve">GV e JLP - Pagamento honorários Rafaela </t>
  </si>
  <si>
    <t>GV - Aluguel Loja GV 1060 e JP 615 - Mar 20 - Tales (A5200 - Desc.Covid 1509 = 3690) DN</t>
  </si>
  <si>
    <t>GV -  Pagamento conserto geladeira apto 203 - Breno</t>
  </si>
  <si>
    <t>JLP - Compra de duas lixas flap - CCM Parafusos (anotado por Vitor, não pegou cupom)</t>
  </si>
  <si>
    <t>GV - Aluguel V 23 DJA - Fevereiro 20 - Gustavo (A200 + 10% multa)</t>
  </si>
  <si>
    <t>GV - Aluguel V 23 DJA - Março 20 - Gustavo (A200 + 10% multa)</t>
  </si>
  <si>
    <t>GV - Aluguel V 23 DJA - Abril 20 - Gustavo (A200 + 10% multa)</t>
  </si>
  <si>
    <t>GV - Aluguel V 23 DJA -Mai,Jun,Jul,Ago,Set,Outubro - Gustavo - Pago em cheques</t>
  </si>
  <si>
    <t xml:space="preserve">JLP - Compra de recibo para escritorio - Imprima BR produtos </t>
  </si>
  <si>
    <t xml:space="preserve">JLP - Pagamento padaria periodo de 13 a 24/04  colaboradores obra - Lanches da Praça  </t>
  </si>
  <si>
    <t xml:space="preserve">GV - Aluguel V 24 DJA - Abril prorata 20 - Isabela (de 22 a 30/04) </t>
  </si>
  <si>
    <t>GV - Aluguel Loja JP 607 - Abr20 - Anderson (A1465 com desc. de 1024 covid-19 440)</t>
  </si>
  <si>
    <t>JLP - Compra de cabo pp e plug 2p - Delevy</t>
  </si>
  <si>
    <t>JLP - Pagamento serviços prestado por Roberto do dia 27 a 30/04</t>
  </si>
  <si>
    <t>JLP - Pagamentos serviços de jardinagem prestado por Cesar dia 30/04</t>
  </si>
  <si>
    <t xml:space="preserve">JLP - Pagamento de nota compra de joelho, TE e cap soldavel - Continental </t>
  </si>
  <si>
    <t>GV - Aluguel Apt 104 - Março 20 - Andressa (A1010+C90)</t>
  </si>
  <si>
    <t>GV - Aluguel Vaga para moto - Abril 20 - Fábio</t>
  </si>
  <si>
    <t>GV - Aluguel Apt 103 - Março 2020 - Monise (A1050+Cond90)</t>
  </si>
  <si>
    <t>GV - Aluguel V 4 DJA - Março 2020 - Monise (A150)</t>
  </si>
  <si>
    <t>GV e JLP - Papel A4 para escritório</t>
  </si>
  <si>
    <t>GV - Aluguel V 11 DJA - Abril 20 - Rachid Sergio (A250)</t>
  </si>
  <si>
    <t>GV - Aluguel V 05 DJA - Abril 20 - Carla Martin (A250)</t>
  </si>
  <si>
    <t>GV - Aluguel V 13 DJA - Abril 20 - Jorge Roberto (A100)</t>
  </si>
  <si>
    <t>GV - Aluguel V 15 DJA - Abril 20 - Cesar Porto (A100)</t>
  </si>
  <si>
    <t>GV - Pagamento honorários Ivana 2.6 (R$ 6.400,00 - faltam 4.400)  - Projetos Loja GV 1040</t>
  </si>
  <si>
    <t>JLP - Caçamba entulho</t>
  </si>
  <si>
    <t>GV - Aluguel Loja GV 1052 - Fevereiro 20 - Irmas Figueiredo (A2205) DN</t>
  </si>
  <si>
    <t>GV e JLP - Materiais de limpeza e etc</t>
  </si>
  <si>
    <t>GV - Aluguel Apt Studio - Março 20 - Fran de Oliveira Alavina (A1250+90)</t>
  </si>
  <si>
    <t>GV - Aluguel ESP DJA - Abril 2020 - Mario Monteiro (A80)</t>
  </si>
  <si>
    <t>GV - Aluguel V 22 DJA - Abril 20 - João Paulo (A220)</t>
  </si>
  <si>
    <t xml:space="preserve">GV - Aluguel Apt 204 - Março 20 - Adesil (A1500+C90) Pg via boleto Carol </t>
  </si>
  <si>
    <t>GV - Aluguel Apt 101 - Março 20 - Amanda (A abt caução+C90) Pg via boleto Carol</t>
  </si>
  <si>
    <t xml:space="preserve">JLP - Aluguel Galpão 03 - Abril 20 - Jorg Paul - Pg via boleto Carol </t>
  </si>
  <si>
    <t xml:space="preserve">GV - Aluguel Apt 202 - Março 2020 - Thais (A1251+90cond) - Pg via boleto Carol </t>
  </si>
  <si>
    <t xml:space="preserve">GV - Aluguel Apt 102 - Março 2020  - Amaury (A950-D104+Cond90) - Pg via boleto Carol </t>
  </si>
  <si>
    <t>GV - Ret Naz - Globoplay (22,38) e Netfix Cartão Irv</t>
  </si>
  <si>
    <t>GV e JLP - Queijo e amendoim para o escritório</t>
  </si>
  <si>
    <t>GV - Transferência para a CC GV</t>
  </si>
  <si>
    <t>GV e JLP - Lanche escritório</t>
  </si>
  <si>
    <t>JLP - Paraná Ferragens - Cantoneira grades deck pallets</t>
  </si>
  <si>
    <t>GV e JLP - Máscaras Covid Paty Caldeira</t>
  </si>
  <si>
    <t>GV e JLP - Crepeira e utensílios garfos teflçon</t>
  </si>
  <si>
    <t xml:space="preserve">08/04/2020 </t>
  </si>
  <si>
    <t>GV - Ret Irv - Honorarios (300) mesada cidadania outros Carol</t>
  </si>
  <si>
    <t xml:space="preserve">13/04/2020 </t>
  </si>
  <si>
    <t>884000</t>
  </si>
  <si>
    <t xml:space="preserve">GV - Ret Naz - Inet </t>
  </si>
  <si>
    <t xml:space="preserve">14/04/2020 </t>
  </si>
  <si>
    <t>284970</t>
  </si>
  <si>
    <t>945861</t>
  </si>
  <si>
    <t xml:space="preserve">15/04/2020 </t>
  </si>
  <si>
    <t>914000</t>
  </si>
  <si>
    <t>034000</t>
  </si>
  <si>
    <t>GV - Ret Naz - Cemitério 1º Semestre 2020</t>
  </si>
  <si>
    <t>945707</t>
  </si>
  <si>
    <t>GV - Peça ventilador Spirit ap 202</t>
  </si>
  <si>
    <t xml:space="preserve">17/04/2020 </t>
  </si>
  <si>
    <t>451000</t>
  </si>
  <si>
    <t xml:space="preserve">20/04/2020 </t>
  </si>
  <si>
    <t xml:space="preserve">23/04/2020 </t>
  </si>
  <si>
    <t xml:space="preserve">24/04/2020 </t>
  </si>
  <si>
    <t>JLP - Comercial Loesch - Compensado Naval Cx Dágua PPCI</t>
  </si>
  <si>
    <t>02/04/2020</t>
  </si>
  <si>
    <t>03/04/2020</t>
  </si>
  <si>
    <t>391000</t>
  </si>
  <si>
    <t>06/04/2020</t>
  </si>
  <si>
    <t>GV e JLP - MD Tintas - GV R$45,63 -Tinta azul para ap 201 / JLP R$37,31 -Tinta  base bebedouro</t>
  </si>
  <si>
    <t>000551</t>
  </si>
  <si>
    <t>000552</t>
  </si>
  <si>
    <t>07/04/2020</t>
  </si>
  <si>
    <t>09/04/2020</t>
  </si>
  <si>
    <t>GV e JLP - Luso - massa, mascaras, disco p/aco</t>
  </si>
  <si>
    <t>371000</t>
  </si>
  <si>
    <t>JLP - HSR - Aluguel Mar 20 (A 4980,50 - 5% Desc = 4731,47)</t>
  </si>
  <si>
    <t>15/04/2020</t>
  </si>
  <si>
    <t xml:space="preserve">JLP - Dablius Contabilidade </t>
  </si>
  <si>
    <t>17/04/2020</t>
  </si>
  <si>
    <t>000553</t>
  </si>
  <si>
    <t>20/04/2020</t>
  </si>
  <si>
    <t>22/04/2020</t>
  </si>
  <si>
    <t>24/04/2020</t>
  </si>
  <si>
    <t>27/04/2020</t>
  </si>
  <si>
    <t>30/04/2020</t>
  </si>
  <si>
    <t>321000</t>
  </si>
  <si>
    <t>Acerto parcial aluguel Fev 20 Habitat</t>
  </si>
  <si>
    <t>Mai 2020</t>
  </si>
  <si>
    <t>GV - Aluguel V 11 DJA - Maio 20 - Rachid Sergio (A250)</t>
  </si>
  <si>
    <t>GV - Aluguel V 22 DJA - Maio 20 - João (A220)</t>
  </si>
  <si>
    <t xml:space="preserve">JLP - Compra de luva bucha latao - Ferragens Mineira </t>
  </si>
  <si>
    <t>GV - Aluguel V 15 DJA - Maio 20 - Cesar (100)</t>
  </si>
  <si>
    <t>JLP - Pagamento 1ª parcela acordo Alexandre/Habitat - Fev/Mar/Abril</t>
  </si>
  <si>
    <t>GV - Pagamento Vania dias 23,23 e 27/04 e 04/05 abatido 01 dia adiantamento feito 23/03</t>
  </si>
  <si>
    <t>JLP - Compra de luvas, flanela, esponja de aço, açucar, veja - DMA Distrib. EPA</t>
  </si>
  <si>
    <t>JLP - Reconhecimento de firma assinatura Alexandre/Habitat. Acordo de dívida</t>
  </si>
  <si>
    <t>GV - Aluguel Loja GV 1052 - Abr20 - Irmas Figueiredo (A2366 - Desc.Covid 1656= 710)</t>
  </si>
  <si>
    <t>GV - Aluguel Apt Studio - Abril20 - Fran de Oliveira Alavina (A1250+90)</t>
  </si>
  <si>
    <t xml:space="preserve">JLP - Compra de ralo SIF redondo 100x400 - Safra Mat.Construção </t>
  </si>
  <si>
    <t xml:space="preserve">GV - Aluguel V 14 DJA -  maio 2020 - Alysson Rocha </t>
  </si>
  <si>
    <t>GV - Aluguel ESP DJA - Maio 2020 - Mario Monteiro (A80)</t>
  </si>
  <si>
    <t xml:space="preserve">GV - Aluguel V 03 DJA - Maio 20 - Gildásio Klier </t>
  </si>
  <si>
    <t>GV - Aluguel Vaga p/ moto DJA - Maio 20 - Gildásio Klier /Contabilidade Klier</t>
  </si>
  <si>
    <t xml:space="preserve">JLP - Compra de banana / barraca / para escritorio </t>
  </si>
  <si>
    <t xml:space="preserve">JLP - Pagamento padaria  de 27/04 a 08/05  colaboradores obra - Lanches da Praça  </t>
  </si>
  <si>
    <t xml:space="preserve">JLP - Compra de cola Teck Bond - Lucmar Conexões e Utilidades </t>
  </si>
  <si>
    <t>GV - Aluguel Loja GV 1050 - Abril/20 - By Fiapo (A4000 desc.COVID 2800 = 1.200)</t>
  </si>
  <si>
    <t>JLP - Pagamento serviços prestado por Roberto do dia 04 a 08 de maio de 2020</t>
  </si>
  <si>
    <t>GV - Aluguel Loja GV 603 com desc. Covid19 -Abril/ 20 - Davi - 1800-1260= 540</t>
  </si>
  <si>
    <t>JLP - Pagamento honorarios Rafaela mês abril 2020</t>
  </si>
  <si>
    <t>GV - Aluguel Vaga para moto - Maio 20 - Fábio</t>
  </si>
  <si>
    <t>JLP - Recebimento 2ª parc. Acordo Alexandre - Habitat (1750CH)</t>
  </si>
  <si>
    <t>GV - Aluguel V 06 DJA - Maio 20 - Lucas Barreiros (A200CH)</t>
  </si>
  <si>
    <t xml:space="preserve">GV - Saída cheque para deposito conta JLP </t>
  </si>
  <si>
    <t>GV -  Pagamento Monise apto 103, devolução da caução com abatimento rescisão</t>
  </si>
  <si>
    <t>GV - Aluguel V 13 DJA - Maio 20 - Jorge Roberto (A100)</t>
  </si>
  <si>
    <t>GV - Aluguel V 05 DJA - Maio 20 - Carla Martin (A250)</t>
  </si>
  <si>
    <t xml:space="preserve">GV - Pagamento antecipado locação loft 30 dias - Simone </t>
  </si>
  <si>
    <t>GV -  Pagamento Adriano loft, devolução da caução com abatimento rescisão</t>
  </si>
  <si>
    <t xml:space="preserve">GV - Saída cheque Lucas e Gustavo estacionamento para deposito </t>
  </si>
  <si>
    <t xml:space="preserve">GV - Pagamento Vania dias 05,07,11 e 14 de maio abatido 01 dia adiantamento </t>
  </si>
  <si>
    <t>GV e JLP - Compra de grampo e grampeador de tapeceiro - Teixeira e Chaves</t>
  </si>
  <si>
    <t>GV - Entrada feita por Irving - R$200,00.</t>
  </si>
  <si>
    <t>JLP - Pagamento serviços prestado por Roberto do dia 11 a 15 de maio de 2020</t>
  </si>
  <si>
    <t>JLP - Recebimento 3ª parc. Acordo Alexandre - Habitat (1800CH+675)</t>
  </si>
  <si>
    <t>GV - Pagamento restauração de moldura e duas molduras - Mundo da Arte</t>
  </si>
  <si>
    <t>GV - Compra de lustra inox p/apto 103 - DMA Distribuidora - EPA</t>
  </si>
  <si>
    <t>JLP - Pagamento serviços prestados por Roberto de 18 a 22 de maio/2020</t>
  </si>
  <si>
    <t xml:space="preserve">GV - Compra de espelho para banheiro apto 103 - Vidraçaria Oliveira </t>
  </si>
  <si>
    <t>GV - Compra de fecho roleto para apto 103 - Comercial Loesch</t>
  </si>
  <si>
    <t>GV - Compra de 03 fechos roleto para apto 103 - Comercial Loesch</t>
  </si>
  <si>
    <t>JLP - Recebimento 4ª parc. Acordo Alexandre - Habitat (19700CH)</t>
  </si>
  <si>
    <t xml:space="preserve">JLP - Saída do cheque de Alexandre para depósito </t>
  </si>
  <si>
    <t>GV - Compra de apagador intermediario para apto 103 - Delevy Comercial</t>
  </si>
  <si>
    <t>GV - Cópia chave treta loja 1060 - Ponto das Chaves</t>
  </si>
  <si>
    <t>GV - Entrada feita por Irving  R$1000,00</t>
  </si>
  <si>
    <t xml:space="preserve">GV - Pagamento 01 peça grantio para apto 103 - Galama Mármores </t>
  </si>
  <si>
    <t>GV - Compra de massa branca p/apto 103 - Comercial Loesch</t>
  </si>
  <si>
    <t>GV - Pagamento Vania dias 18,21,25 e 28 e meio periodo do dia 26 de maio/2020</t>
  </si>
  <si>
    <t>JLP e GV -  Compra de k otrine e formicida - Casa da Ração</t>
  </si>
  <si>
    <t xml:space="preserve">JLP - Pagamento padaria periodo de 11 a 29/05  colaboradores obra - Lanches da Praça  </t>
  </si>
  <si>
    <t>GV - Entrada feita por Irving anotado no caderninho</t>
  </si>
  <si>
    <t>JLP - Pagamento serviços prestados por Roberto de 25 a 29 de maio/2020</t>
  </si>
  <si>
    <t>JLP - Aluguel Galpão 03 - Maio  20 - Jorg Paul (Pg via boleto Carol)</t>
  </si>
  <si>
    <t>GV - Aluguel Apt 204 - Abril 20 - Adesil (A1500+C90) (Pg via boleto Carol )</t>
  </si>
  <si>
    <t>GV - Aluguel Apt 104 - abril 20 - Andressa (A1010+C90) (Pg via boleto Carol )</t>
  </si>
  <si>
    <t>GV e JLP - Escorredores de arroz e peneira para G1 e ap 205</t>
  </si>
  <si>
    <t>JLP - Tapioqueira G1</t>
  </si>
  <si>
    <t>GV - Aluguel Apt 101 - Abril 20 - Amanda (A 1150+C90) (Pg via boleto Carol)</t>
  </si>
  <si>
    <t>GV - Aluguel Apt 203 -  Abril 20  - MSA / Jaime (1550+90cond)  (Pg via boleto Carol)</t>
  </si>
  <si>
    <t>GV - Aluguel V 09 DJA - Abril 20 - MSA Segurança Patrimonial / Jaime  (Pg via boleto Carol)</t>
  </si>
  <si>
    <t>GV - Compra instalação loja GV 1060 - Tales Colombi</t>
  </si>
  <si>
    <t>GV - Ret Naz - Globoplay e Netfix (Cartão Irv)</t>
  </si>
  <si>
    <t xml:space="preserve">GV - Aluguel Apt 102 - Abril 2020  - Amaury (A950-D104+Cond90) - Pg via boleto Carol </t>
  </si>
  <si>
    <t xml:space="preserve">GV - Aluguel V 24 DJA - Maio 20 - Isabela (A 220 - D 70 Covid) - Pg via boleto Carol </t>
  </si>
  <si>
    <t xml:space="preserve">GV - Aluguel Apt 202 - Abril 2020 - Thais (A1251+90cond) - Pg via boleto Carol </t>
  </si>
  <si>
    <t xml:space="preserve">GV - Aluguel Apt 105 - Abril 20 - Gilmenia (A1020+C90) - Pg via boleto Carol </t>
  </si>
  <si>
    <t>GV - Ret Naz - Sabrina (2ª quinzena maio e primeira quinzena junho)</t>
  </si>
  <si>
    <t>GV - Ret Naz - Pagamento a Ingrid</t>
  </si>
  <si>
    <t>GV - Ventiladores Ap 203 - Baldin</t>
  </si>
  <si>
    <t xml:space="preserve">GV - Aluguel e Rescisão Apt 204 - Maio 20 - Adesil </t>
  </si>
  <si>
    <t>Honorários + mesada</t>
  </si>
  <si>
    <t>Nubank Irv</t>
  </si>
  <si>
    <t>Mesada</t>
  </si>
  <si>
    <t>Honorários</t>
  </si>
  <si>
    <t>Jorg</t>
  </si>
  <si>
    <t>Ap 204</t>
  </si>
  <si>
    <t>Andressa</t>
  </si>
  <si>
    <t>Jorró</t>
  </si>
  <si>
    <t>Amanda</t>
  </si>
  <si>
    <t>Isabela</t>
  </si>
  <si>
    <t>CC Hon</t>
  </si>
  <si>
    <t>Rafik</t>
  </si>
  <si>
    <t>Mesada Setembro</t>
  </si>
  <si>
    <t>João Paulo V22</t>
  </si>
  <si>
    <t>Presente</t>
  </si>
  <si>
    <t>CC Nubank Irv</t>
  </si>
  <si>
    <t>Lucas Barreiros</t>
  </si>
  <si>
    <t>Mesada Outubro</t>
  </si>
  <si>
    <t>Mesada Novembro</t>
  </si>
  <si>
    <t>Mesada Dezembro</t>
  </si>
  <si>
    <t>Amaury</t>
  </si>
  <si>
    <t>Gilmenia</t>
  </si>
  <si>
    <t>Presente Natal</t>
  </si>
  <si>
    <t>Mesada Janeiro</t>
  </si>
  <si>
    <t>Chaves</t>
  </si>
  <si>
    <t>Isabela V4</t>
  </si>
  <si>
    <t>Compra sanduiche no cartão</t>
  </si>
  <si>
    <t>Mesada Fevereiro</t>
  </si>
  <si>
    <t>Liudimila</t>
  </si>
  <si>
    <t xml:space="preserve">05/05/2020 </t>
  </si>
  <si>
    <t xml:space="preserve">06/05/2020 </t>
  </si>
  <si>
    <t xml:space="preserve">11/05/2020 </t>
  </si>
  <si>
    <t>284000</t>
  </si>
  <si>
    <t>511000</t>
  </si>
  <si>
    <t xml:space="preserve">12/05/2020 </t>
  </si>
  <si>
    <t xml:space="preserve">14/05/2020 </t>
  </si>
  <si>
    <t>821000</t>
  </si>
  <si>
    <t xml:space="preserve">15/05/2020 </t>
  </si>
  <si>
    <t xml:space="preserve">18/05/2020 </t>
  </si>
  <si>
    <t xml:space="preserve">20/05/2020 </t>
  </si>
  <si>
    <t xml:space="preserve">22/05/2020 </t>
  </si>
  <si>
    <t xml:space="preserve">25/05/2020 </t>
  </si>
  <si>
    <t xml:space="preserve">26/05/2020 </t>
  </si>
  <si>
    <t>GV - Cemig Studio GV - inclusa no aluguel - não paga em Dez 19</t>
  </si>
  <si>
    <t>Saldo inicial Maio</t>
  </si>
  <si>
    <t>04/05/2020</t>
  </si>
  <si>
    <t>05/05/2020</t>
  </si>
  <si>
    <t>06/05/2020</t>
  </si>
  <si>
    <t>000554</t>
  </si>
  <si>
    <t>11/05/2020</t>
  </si>
  <si>
    <t>JLP - HSR - Aluguel Abr 20 (A 4980,50 - 5% Desc = 4731,47)</t>
  </si>
  <si>
    <t>000555</t>
  </si>
  <si>
    <t>12/05/2020</t>
  </si>
  <si>
    <t>Luso</t>
  </si>
  <si>
    <t>945718</t>
  </si>
  <si>
    <t>JLP - Primeiro decênio marca Vila Deco INPI</t>
  </si>
  <si>
    <t>13/05/2020</t>
  </si>
  <si>
    <t>15/05/2020</t>
  </si>
  <si>
    <t>641000</t>
  </si>
  <si>
    <t>19/05/2020</t>
  </si>
  <si>
    <t>945751</t>
  </si>
  <si>
    <t>000556</t>
  </si>
  <si>
    <t>20/05/2020</t>
  </si>
  <si>
    <t>21/05/2020</t>
  </si>
  <si>
    <t>26/05/2020</t>
  </si>
  <si>
    <t>945806</t>
  </si>
  <si>
    <t>27/05/2020</t>
  </si>
  <si>
    <t>29/05/2020</t>
  </si>
  <si>
    <t>Jun 2020</t>
  </si>
  <si>
    <t>GV - Aluguel V 11 DJA - Junho 20 - Rachid Sergio (A250)</t>
  </si>
  <si>
    <t>GV - Aluguel V 14 DJA - Junho 2020 - Alysson Rocha (A200)</t>
  </si>
  <si>
    <t>JLP - Recebimento 5ª parc. Acordo Alexandre - Habitat (1093CH+417DN)</t>
  </si>
  <si>
    <t xml:space="preserve">GV - Saída do cheque de Alexandre para depósito </t>
  </si>
  <si>
    <t>GV - Envio pertences Igor apto 204 - Correios</t>
  </si>
  <si>
    <t>GV - Aluguel Apt Studio - Junho 20 - Fran de Oliveira Alavina (A1250+90)</t>
  </si>
  <si>
    <t xml:space="preserve">GV - Aluguel V 22 DJA - Junho 20  - Joao Paulo </t>
  </si>
  <si>
    <t>GV- Rescisão Thais apto 202 (multa+pintu+aluguel mês 05+ iptu) 1534DN+1534CH</t>
  </si>
  <si>
    <t>JLP - Pagamento serviços prestados por Roberto de 01,02 e 03 de junho/2020</t>
  </si>
  <si>
    <t xml:space="preserve">GV - Aluguel Vaga garagem DJA - Junho 20  - Joao Antonio </t>
  </si>
  <si>
    <t>JLP - Compra de papel toalha para banheiro - Central embalagens</t>
  </si>
  <si>
    <t>GV - Compra de torneira boia e nipel c/rosca para LOFT - Ferragens Mineira</t>
  </si>
  <si>
    <t xml:space="preserve">GV - Saída de cheque da rescisão apto 202 Thais para deposito </t>
  </si>
  <si>
    <t>JLP - Recebimento 6ª parc. Acordo Alexandre - Habitat (1740CH)</t>
  </si>
  <si>
    <t xml:space="preserve">JLP - Saída do cheque acordo Alexandre para deposito </t>
  </si>
  <si>
    <t>GV - Aluguel Loja JP 607 - Maio20 - Anderson (A1464 com desc. 914 covid-19 550)</t>
  </si>
  <si>
    <t>JLP - Pagamento honorarios Rafaela mês maio 2020</t>
  </si>
  <si>
    <t>JLP - Serviços de jardinagem - Cesar</t>
  </si>
  <si>
    <t xml:space="preserve">GV - Aluguel V 03 DJA - Junho 20 - Gildásio Klier </t>
  </si>
  <si>
    <t>GV - Aluguel Vaga p/ moto DJA - Junho 20 - Gildásio Klier /Contabilidade Klier</t>
  </si>
  <si>
    <t>GV - Aluguel Vaga para moto - Junho 20 - Fábio</t>
  </si>
  <si>
    <t>JLP - Compra de pão milani para lanche escritorio - DMA Distribuidora</t>
  </si>
  <si>
    <t xml:space="preserve">JLP e GV - Compra de material de limpeza para Vila e prédio - DMA Distribuidora </t>
  </si>
  <si>
    <t>GV - Reconhecimento de firma contrato Rafik - 2º Ofício de Notas</t>
  </si>
  <si>
    <t>GV - Aluguel ESP DJA - junho 2020 - Mario Monteiro (A80)</t>
  </si>
  <si>
    <t>GV - Aluguel Loja GV 1052 - Maio 20 - Irmas Figueiredo (A888 com desc. covid)</t>
  </si>
  <si>
    <t>JLP - Compra de açai comemoração contrato RAFIK - Sorvetes KI-MANIA</t>
  </si>
  <si>
    <t>JLP e GV  - Compra de limpa inox e limpa aluminio - DMA Distribuidora EPA</t>
  </si>
  <si>
    <t>JLP - Compra de leite em pó, granola, banana e leite condensado - DMA Distrib.</t>
  </si>
  <si>
    <t>GV - Acerto lampada e taça cafofo - Simone</t>
  </si>
  <si>
    <t>GV - Aluguel temporada 30 dias R$1300+ R$200 adiantamento energia apto 202 - Simone</t>
  </si>
  <si>
    <t>GV - Aluguel vaga 07 temporada - Simene</t>
  </si>
  <si>
    <t>GV - Aluguel Loja GV 603 com desc. Covid19 -Maio 20 - 675 CH - Davi</t>
  </si>
  <si>
    <t>GV - Aluguel V 06 DJA - Junhi 20 - Lucas Barreiros (A200CH)</t>
  </si>
  <si>
    <t xml:space="preserve">GV - Saída cheque - Lucas e Davi loja 603 - para deposito </t>
  </si>
  <si>
    <t>GV - Aluguel Loja GV 1050 - Maio/20 - By Fiapo (A4000 desc.COVID 2500 = 1500)</t>
  </si>
  <si>
    <t>GV - Impressão colorida anuncio vagas RAFIK  - Sem nota - anotado por Vitor</t>
  </si>
  <si>
    <t>GV - Pagamento serviços de limpeza prestados por Vânia no prédio dias 01, 08, 11/06</t>
  </si>
  <si>
    <t xml:space="preserve">JLP - Pagamentos serviços de limpeza prestados por Vânia na Vila e escritórios </t>
  </si>
  <si>
    <t xml:space="preserve">JLP - Compra de fita empacotamento  - Continental </t>
  </si>
  <si>
    <t>JLP - Pagamento serviços prestados por Roberto de 08 a 12 de junho/2020</t>
  </si>
  <si>
    <t xml:space="preserve">GV - Pagamento conserto maquina de lavar roupas predio - MM Refrigeração </t>
  </si>
  <si>
    <t xml:space="preserve">JLP - Compra de material para escritorio recibo, caneta, fita - Imprima BR Produtos </t>
  </si>
  <si>
    <t>JLP - Compra de medicamentos codex,dexador e seringa p/Juaniz - Irmaos Mattar e CIA</t>
  </si>
  <si>
    <t>JLP - Compra de açucar e café para colaboradores da obra - DMA Distribuidora</t>
  </si>
  <si>
    <t xml:space="preserve">JLP - Compra de balde para escritorio - Mercearia Coelho </t>
  </si>
  <si>
    <t>JLP e GV - Compra de lima e rebites - Comercial Loesch</t>
  </si>
  <si>
    <t xml:space="preserve">GV - Compra de ralo sif quadrado  - Safra materiais de construção </t>
  </si>
  <si>
    <t xml:space="preserve">GV - Compra de vidro martelado 21x48 p/loft - 3pçs - Vidraçaria Guanabara </t>
  </si>
  <si>
    <t>JLP - Aluguel V 1 a V 5 - Maio 20 - Alexandre Couy (A525 - desc.covid 328,13= 196,87) CH</t>
  </si>
  <si>
    <t>JLP - Aluguel loja Fsa 152 - Maio 20- Habitat (7750A - desc.covid 4843,75 = 2906,25) CH</t>
  </si>
  <si>
    <t xml:space="preserve">GV - Saída cheque  Alexandre Habitat para deposito conta JLP </t>
  </si>
  <si>
    <t xml:space="preserve">JLP - Pagamento padaria periodo de 01 a 19 junho colaboradores obra - Lanches da Praça  </t>
  </si>
  <si>
    <t>JLP - Pagamento serviços prestados por Roberto de 15 a 19 de junho 2020</t>
  </si>
  <si>
    <t xml:space="preserve">GV - Compra de peça chumbo 7,8 kg - Fundição Sr. Jair </t>
  </si>
  <si>
    <t>GV e JLP - Compra de rebite 4/2 - Comercial Loesch</t>
  </si>
  <si>
    <t>GV - Compra de detergente e esponja e Vassoura p/apto 204 - DMA Distr.</t>
  </si>
  <si>
    <t>GV - Saída cheque Gustavo vaga 23 para deposito (depositado dia 16/06, não lançado)</t>
  </si>
  <si>
    <t>GV - Compra de 1/2 kilo de massa para vidro - Vidraçaria Guanabara</t>
  </si>
  <si>
    <t>JLP - Compra de papel higiênico e papel toalha para banheiros - Atacadista Três Vales</t>
  </si>
  <si>
    <t>GV - Compra de pilhas para controles de ar-condicionado - Mercearia Coelho</t>
  </si>
  <si>
    <t>GV - Compra de cabinho flexivel 6mm - 25mt para loja 1060 - Delevy Comercial</t>
  </si>
  <si>
    <t>JLP - Compra supermercado festa junina - Hipermercado Tia Teca</t>
  </si>
  <si>
    <t xml:space="preserve">JLP - Compra de massa de pastel para festa junina - Tonns Lanches </t>
  </si>
  <si>
    <t xml:space="preserve">JLP - Compras supermercado para festa junina  - DMA Distribuidora </t>
  </si>
  <si>
    <t>JLP - Compra de paçoca para festa junina - PERIMAR</t>
  </si>
  <si>
    <t>JLP - Compra de bandeirolas para festa junina - Barranco LTDA</t>
  </si>
  <si>
    <t>JLP - Compra de cheiro verde e mandioca para festa - Hortifruit - sem nota - Rafaelle</t>
  </si>
  <si>
    <t>JLP - Recebimento 7ª parc. Acordo Alexandre - Habitat (1740CH)</t>
  </si>
  <si>
    <t xml:space="preserve">GV - Entrada caixa feito por Irving </t>
  </si>
  <si>
    <t>JLP - Compra de bandeirolas para festa junina e saquinho - Barranco LTDA</t>
  </si>
  <si>
    <t>JLP - Pagamento serviços prestados por Roberto de 22 a 26 de junho de 2020</t>
  </si>
  <si>
    <t>GV - Pagamento serviços limpeza prestados por Vânia dias 15,18,22 e 25/06</t>
  </si>
  <si>
    <t>JLP - Pagamentos serviços de limpeza prestados Vânia - Vila e escritórios dia 16 e 23/06</t>
  </si>
  <si>
    <t>GV - As Marias - cobertores aps mobiliados</t>
  </si>
  <si>
    <t>JLP - Aluguel Galpão 03 - Jun  20 - Jorg Paul (Pg via boleto Irv)</t>
  </si>
  <si>
    <t>GV - Aluguel Apt 104 - maio 20 - Andressa (A1010+C90) (Pg via boleto Irv )</t>
  </si>
  <si>
    <t>GV - Aluguel Apt 101 - Amanda - Parcela 1.10 acordo covid (Pg via boleto Irv)</t>
  </si>
  <si>
    <t>GV - Aluguel Apt 101 - Maio  20 - Amanda (A 1150+C90) (Pg via boleto Irv)</t>
  </si>
  <si>
    <t>GV - Aluguel Apt 203 -  Maio 20  - MSA / Jaime (1550+90cond)  (Pg via boleto Irv)</t>
  </si>
  <si>
    <t>GV - Aluguel V 09 DJA - Maio 20 - MSA Segurança Patrimonial / Jaime  (Pg via boleto Irv)</t>
  </si>
  <si>
    <t>GV - Aluguel V 13 DJA - Junho 20 - Jorge Roberto (A100)</t>
  </si>
  <si>
    <t>GV - Aluguel V 05 DJA - Junho 20 - Carla Martin (A250)</t>
  </si>
  <si>
    <t>JLP - Taças de vinho Tinto (Recanto Queijo)</t>
  </si>
  <si>
    <t>GV - Ret Naz - Sabrina (de 15 de junho até 10 de julho)</t>
  </si>
  <si>
    <t xml:space="preserve">GV - Aluguel Apt 105 - Maio 20 - Gilmenia (A1020+C90-D Covid 111) - Pg via boleto Irv </t>
  </si>
  <si>
    <t xml:space="preserve">GV - Aluguel V 24 DJA - Jun 20 - Isabela (A 220 - D 100 Covid) - Pg via boleto Irv </t>
  </si>
  <si>
    <t xml:space="preserve">GV - Aluguel Apt 102 - Maio 2020  - Amaury (A950-D104+Cond90) - Pg via boleto Carol </t>
  </si>
  <si>
    <t>GV e JLP - Café e adaptador escritorio</t>
  </si>
  <si>
    <t>JLP - Live Renato</t>
  </si>
  <si>
    <t>GV - Ret Naz - Globoplay e Netfix Cartão Irv</t>
  </si>
  <si>
    <t>GV - Aps mobiliados - Facebook K9ZJEUN8L2 SAO PAULO BR - Cartão Irv</t>
  </si>
  <si>
    <t>GV e JLP - Microsoft*Store Sao Paulo BR - Office escritório - Cartão Irv</t>
  </si>
  <si>
    <t>GV - Ret Naz - Indiana - Cartão Irv</t>
  </si>
  <si>
    <t>GV e JLP - Vivo GV 1.12</t>
  </si>
  <si>
    <t>GV - Almofadas apartamentos 103, 204 e 205 e capas colchão ap 103</t>
  </si>
  <si>
    <t xml:space="preserve">GV e JLP - Americanas.com - Venenos </t>
  </si>
  <si>
    <t>GV - Ret Irv - Livro Ana Luiza presente</t>
  </si>
  <si>
    <t xml:space="preserve">12/06/2020 </t>
  </si>
  <si>
    <t>945773</t>
  </si>
  <si>
    <t xml:space="preserve">15/06/2020 </t>
  </si>
  <si>
    <t>015936</t>
  </si>
  <si>
    <t>016065</t>
  </si>
  <si>
    <t>881000</t>
  </si>
  <si>
    <t>891000</t>
  </si>
  <si>
    <t xml:space="preserve">22/06/2020 </t>
  </si>
  <si>
    <t xml:space="preserve">23/06/2020 </t>
  </si>
  <si>
    <t>GV - Ret Irv - DARF IRPF</t>
  </si>
  <si>
    <t>02/06/2020</t>
  </si>
  <si>
    <t>03/06/2020</t>
  </si>
  <si>
    <t>945730</t>
  </si>
  <si>
    <t>04/06/2020</t>
  </si>
  <si>
    <t>05/06/2020</t>
  </si>
  <si>
    <t>08/06/2020</t>
  </si>
  <si>
    <t>000557</t>
  </si>
  <si>
    <t>09/06/2020</t>
  </si>
  <si>
    <t xml:space="preserve">GV e JLP - Cestas básicas - EPA LOJA 121       </t>
  </si>
  <si>
    <t>060470</t>
  </si>
  <si>
    <t>GV e JLP - Pagamento estagiária Rafaelle</t>
  </si>
  <si>
    <t>GV e JLP - Continental (GV - R$80,22   JLP - R$445,63)</t>
  </si>
  <si>
    <t>GV e JLP - Pagamento estagiário Vitor</t>
  </si>
  <si>
    <t>000559</t>
  </si>
  <si>
    <t>12/06/2020</t>
  </si>
  <si>
    <t>JLP - HSR - Aluguel Mai 20 (A 4980,50 - 5% Desc = 4731,47)</t>
  </si>
  <si>
    <t>15/06/2020</t>
  </si>
  <si>
    <t>GV e JLP - Locminas (GV - R$20,12  / JLP - R$61,32)</t>
  </si>
  <si>
    <t>000558</t>
  </si>
  <si>
    <t>19/06/2020</t>
  </si>
  <si>
    <t>945795</t>
  </si>
  <si>
    <t>22/06/2020</t>
  </si>
  <si>
    <t>000560</t>
  </si>
  <si>
    <t>23/06/2020</t>
  </si>
  <si>
    <t>25/06/2020</t>
  </si>
  <si>
    <t xml:space="preserve">GV - MD TINTAS LTDA           </t>
  </si>
  <si>
    <t>020734</t>
  </si>
  <si>
    <t>29/06/2020</t>
  </si>
  <si>
    <t>945817</t>
  </si>
  <si>
    <t>30/06/2020</t>
  </si>
  <si>
    <t>019253</t>
  </si>
  <si>
    <t>GV - Aluguel vaga 07 temporada - Simone</t>
  </si>
  <si>
    <t>Jul 2020</t>
  </si>
  <si>
    <t>GV - Aluguel V 22 DJA - Julho 20 - João Paulo (A220)</t>
  </si>
  <si>
    <t>JLP - Recebimento 8ª parc. Acordo Alexandre - Habitat (1740CH)</t>
  </si>
  <si>
    <t>JLP - Compra de gás para cozinha Vila Deco - MD Gás</t>
  </si>
  <si>
    <t>GV - Aluguel V 11 DJA - Julho 20 - Rachid Sergio (A250)</t>
  </si>
  <si>
    <t>GV - Aluguel V 15 DJA - Julho 20- Cesar Porto (A100)</t>
  </si>
  <si>
    <t>GV - Aluguel V 24 DJA - certo final, alugueis em atraso / acordo - Fernando Henrique</t>
  </si>
  <si>
    <t>GV - Pagamento serviços prestados por Roberto de 29 e 30/06 e 01,02,03 de julho/20</t>
  </si>
  <si>
    <t xml:space="preserve">JLP - Pagamento padaria colabor. da obra period. de 22/06 a 06/07 - Lanches da Praça </t>
  </si>
  <si>
    <t>JLP/GV - Compra de rebite 4/5 - Comercial Loesch</t>
  </si>
  <si>
    <t>JLP/GV - Compra de rebite - Ponto das Chaves</t>
  </si>
  <si>
    <t>GV- Compra de tijolo Loft - Casa Nova</t>
  </si>
  <si>
    <t xml:space="preserve">GV - Aluguel V 14 DJA - Julho 2020 - Alysson Rocha </t>
  </si>
  <si>
    <t>GV - Aluguel ESP DJA - Julho 2020 - Mario Monteiro (A80)</t>
  </si>
  <si>
    <t xml:space="preserve">GV - Aluguel V 03 DJA - Julho 20 - Gildásio Klier </t>
  </si>
  <si>
    <t>GV - Aluguel Vaga p/ moto DJA - Ulho 20 - Gildásio Klier /Contabilidade Klier</t>
  </si>
  <si>
    <t>GV - Aluguel Vaga para moto - Julho 20 - Fábio</t>
  </si>
  <si>
    <t>GV e JLP - Compra de lapis carpinteiro - Ferragens Mineira</t>
  </si>
  <si>
    <t>GV - Pagamento serviços de limpeza prestados por Vânia no prédio dias 02,06 e 09/07/20</t>
  </si>
  <si>
    <t>JLP - Pagamentos serviços de limpeza por Vânia na Vila e escritórios 30/06 e 07/07</t>
  </si>
  <si>
    <t>GV - Aluguel Loja GV 603 com desc. Covid19 -Junho/ 20 - Davi - 400CH + 500 DN</t>
  </si>
  <si>
    <t xml:space="preserve">GV - Saída de cheque aluguel Davi para deposito </t>
  </si>
  <si>
    <t>GV - Aluguel temporada 30 dias R$1300+ R$100 adiantamento energia apto 202 - Simone</t>
  </si>
  <si>
    <t>GV - Aluguel V 06 DJA - Julho 20 - Lucas Barreiros (A200)</t>
  </si>
  <si>
    <t>JLP - Pagamento serviços prestados por Roberto de 06 a 10 de julho de 2020</t>
  </si>
  <si>
    <t>GV - Aluguel Loja GV 1050 - junho/20 - By Fiapo (A4000 desc.COVID 2000 = 2000)</t>
  </si>
  <si>
    <t>GV - Aluguel Loja JP 607 - junho/20 - Anderson (A1464 com desc. de 732 covid-19 732)</t>
  </si>
  <si>
    <t>GV- Saída para compra de lençois e mantas para apartamentos - Casas Pernambucanas</t>
  </si>
  <si>
    <t xml:space="preserve">JLP - Compra de frutas e biscoito para lanche escritório - DMA Distribuidora </t>
  </si>
  <si>
    <t xml:space="preserve">GV - Saída cheque Gustavo vaga 23 para deposito </t>
  </si>
  <si>
    <t xml:space="preserve">JLP - Compra de pino adaptador - Ferragens Mineira </t>
  </si>
  <si>
    <t xml:space="preserve">GV - Aluguel V moto DJA - Julho 20 proporcional - Warlen Luiz </t>
  </si>
  <si>
    <t>GV - Venda de 03 cópias de chaves garagem para Warlen</t>
  </si>
  <si>
    <t>GV - Compra de luva soldavel 32x25 mm Krona - Safra material de Construção</t>
  </si>
  <si>
    <t xml:space="preserve">GV - Compra de TE 90 soldavel BC latão - Continental Construção </t>
  </si>
  <si>
    <t>GV e JLP - Compra de bobina 25cm - Embaclean</t>
  </si>
  <si>
    <t>JLP - Aluguel vagas+loja Junho 20 - Habitat (A8275 - desc.covid 4137,50) CH 4135+2,50m</t>
  </si>
  <si>
    <t>GV - Compra de valvula de retenção p/loft - Safra Mat. Const.</t>
  </si>
  <si>
    <t xml:space="preserve">JLP - Pagamento padaria colabor. da obra period. de 07/07 a 16/07 - Lanches da Praça </t>
  </si>
  <si>
    <t>GV - Pagamento serviços prestados por Roberto de 13 a 17 de julho de 2020 - loft</t>
  </si>
  <si>
    <t>JLP - Saída cheques Habitat para deposito conta JLP</t>
  </si>
  <si>
    <t xml:space="preserve">JLP - Compra de grampo e cola cascola - Ferragens Mineira </t>
  </si>
  <si>
    <t>GV - Pagamento serviços de limpeza  por Vânia no prédio 14,20 e 23/07 e 16/07meio exp.</t>
  </si>
  <si>
    <t>JLP - Pagamentos serviços de limpeza por Vânia na Vila e escritórios dias 14 e 21/07</t>
  </si>
  <si>
    <t>JLP - Pagamento serviços prestados por Roberto de 20 a 24 de julho de 2020</t>
  </si>
  <si>
    <t xml:space="preserve">JLP - Pagamento padaria lache obra  do dia 17 a 30/07 - Lanches da Praça Padaria  </t>
  </si>
  <si>
    <t>JLP - Compra de café e açucar escritorio - DMA Distri. EPA</t>
  </si>
  <si>
    <t xml:space="preserve">GV - Compra de controle remoto garagem para Lindomar apto 204 - TV SOM </t>
  </si>
  <si>
    <t>JLP - Pagamento serviços prestados por Roberto de 27 a 31 de julho de 2020</t>
  </si>
  <si>
    <t>JLP - Compra de pano cru 03 unidades - Ponto das Embalagens</t>
  </si>
  <si>
    <t>JLP - Compra de material de limpeza desifet.agua sanit., detergente - DMA Dist. EPA</t>
  </si>
  <si>
    <t xml:space="preserve">JLP - Compra de oleo de maquina e flanela - Mercearia Coelho </t>
  </si>
  <si>
    <t>JLP - Aluguel Galpão 03 - Jul  20 - Jorg Paul (Pg via boleto Carol)</t>
  </si>
  <si>
    <t>GV - Caução Ap 204 - Lindomar Chaves  (Pg via boleto Carol)</t>
  </si>
  <si>
    <t>GV - Aluguel Apt 104 - junho 20 - Andressa (A1010+C90) (Pg via boleto Carol )</t>
  </si>
  <si>
    <t>GV - Aluguel V 13 DJA - Julho 20 - Jorge Roberto (A100) (Pg via boleto Carol)</t>
  </si>
  <si>
    <t>GV - Aluguel V 05 DJA - Julho 20 - Carla Martin (A250) (Pg via boleto Carol)</t>
  </si>
  <si>
    <t xml:space="preserve">GV e JLP - Pagamento honorarios Rafaela mês junho 2020  - parcial 1.2 </t>
  </si>
  <si>
    <t>GV - Aluguel Apt 101 - Junho  20 - Amanda (A 1150+C90) (Pg via boleto Carol)</t>
  </si>
  <si>
    <t>GV - Aluguel Apt 101 - Amanda - Parcela 2.10 acordo covid (Pg via boleto Carol)</t>
  </si>
  <si>
    <t>GV - Aluguel Apt 204 - junho 20 - Lindomar (A300+C0) (Pg via boleto Irv )</t>
  </si>
  <si>
    <t>GV - Aluguel V 12 DJA - Junho 20 - Lindomar (Pg via boleto Irv)</t>
  </si>
  <si>
    <t>GV - Aluguel temporada 30 dias  R$ 70 adiantamento energia apto 202 - Simone (Pg via boleto Irv)</t>
  </si>
  <si>
    <t>GV - Aquarelas Paula Gui Pereira</t>
  </si>
  <si>
    <t>GV - Aluguel Apt 203 -  Junho 20  - MSA / Jaime (1550+90cond)  (Pg via boleto Irv)</t>
  </si>
  <si>
    <t>GV - Aluguel V 09 DJA - Junho 20 - MSA Segurança Patrimonial / Jaime  (Pg via boleto Irv)</t>
  </si>
  <si>
    <t>GV - Aluguel V 24 DJA - Jul 20 - Isabela (A 220 - D 100 Covid) - (Pg via boleto Carol)</t>
  </si>
  <si>
    <t>GV - Pagamento 4 extintores garagem DJA Ricardo vizinho (Nub Irv)</t>
  </si>
  <si>
    <t>GV - Ret Irv (Mesada Carol)</t>
  </si>
  <si>
    <t>GV - Aluguel Apt 102 - Junho 2020  - Amaury (A950-D104+Cond90) - Pg via boleto Irv</t>
  </si>
  <si>
    <t xml:space="preserve">GV - Aluguel Apt 105 - Junho  20 - Gilmenia (A1020+C90-D Covid 111) - Pg via boleto Irv </t>
  </si>
  <si>
    <t>GV e JLP - Viagem IRV BH de 04 a 12/07/20</t>
  </si>
  <si>
    <t>GV - Ret Naz - Pagamento Ingrid</t>
  </si>
  <si>
    <t>GV - Ret Naz - Globoplay 21,90 e Netfix 32,90 (Cartão Irv)</t>
  </si>
  <si>
    <t>GV e JLP - Vivo GV 2.12</t>
  </si>
  <si>
    <t>GV - Mobly - 1.12 Móveis 103 e criados aps diversos</t>
  </si>
  <si>
    <t xml:space="preserve">GV e JLP - Pagamento honorarios Rafaela mês junho 2020  - parcial 2.2 </t>
  </si>
  <si>
    <t>JLP - Ferragens Paraná Vergalhões para tutores</t>
  </si>
  <si>
    <t>GV - Ret Naz - Pertences feijoada Internato Rural</t>
  </si>
  <si>
    <t>GV - Ferragens Paraná metalon cafôfo</t>
  </si>
  <si>
    <t>GV - Só Gesso cafôfo</t>
  </si>
  <si>
    <t>JLP - Aluguel Galpão 03 - Ago  20 - Jorg Paul (Pg via boleto Irv)</t>
  </si>
  <si>
    <t xml:space="preserve">GV - Aluguel V 22 DJA - Agosto 20  - Joao Paulo </t>
  </si>
  <si>
    <t xml:space="preserve">GV - Ret Naz - arroz e feijão feijoada </t>
  </si>
  <si>
    <t>GV - Cemig Ap 204 - vazio (Ainda em nome de Igor Adesil)</t>
  </si>
  <si>
    <t>GV - Material ap 103</t>
  </si>
  <si>
    <t>GV - Capa de botijão Ap 103</t>
  </si>
  <si>
    <t>GV e JLP - Material limpeza e lanche escritório</t>
  </si>
  <si>
    <t xml:space="preserve">06/07/2020 </t>
  </si>
  <si>
    <t>GV - Ret Naz - Oi Fixo</t>
  </si>
  <si>
    <t>015768</t>
  </si>
  <si>
    <t>018108</t>
  </si>
  <si>
    <t xml:space="preserve">10/07/2020 </t>
  </si>
  <si>
    <t>016581</t>
  </si>
  <si>
    <t>945828</t>
  </si>
  <si>
    <t xml:space="preserve">13/07/2020 </t>
  </si>
  <si>
    <t>016054</t>
  </si>
  <si>
    <t xml:space="preserve">14/07/2020 </t>
  </si>
  <si>
    <t>GV - Ret naz - seguro porto res 4.4</t>
  </si>
  <si>
    <t>GV - Ret Irv - seguro porto res 4.4</t>
  </si>
  <si>
    <t xml:space="preserve">17/07/2020 </t>
  </si>
  <si>
    <t xml:space="preserve">20/07/2020 </t>
  </si>
  <si>
    <t>GV - Ret Irv - Vinhos Cláudio Monteiro</t>
  </si>
  <si>
    <t xml:space="preserve">21/07/2020 </t>
  </si>
  <si>
    <t xml:space="preserve">22/07/2020 </t>
  </si>
  <si>
    <t>GV - Pagamento Cemig ap 202 Simone</t>
  </si>
  <si>
    <t>015909</t>
  </si>
  <si>
    <t xml:space="preserve">23/07/2020 </t>
  </si>
  <si>
    <t>GV - Pagamento Cemig ap 204 Igor</t>
  </si>
  <si>
    <t>GV - Pagamento Cemig jp 609 Simone</t>
  </si>
  <si>
    <t>JLP - Taxa de domínio anual jlp.com</t>
  </si>
  <si>
    <t>02/07/2020</t>
  </si>
  <si>
    <t>945850</t>
  </si>
  <si>
    <t>03/07/2020</t>
  </si>
  <si>
    <t>GV - Friovix - Ar condicionado cafôfo JP 609</t>
  </si>
  <si>
    <t>06/07/2020</t>
  </si>
  <si>
    <t>GV e JLP - Luso (JLP R$101,80 / GV R$13,50)</t>
  </si>
  <si>
    <t>020758</t>
  </si>
  <si>
    <t>GV - Salário - Juaniz</t>
  </si>
  <si>
    <t>000561</t>
  </si>
  <si>
    <t>07/07/2020</t>
  </si>
  <si>
    <t>08/07/2020</t>
  </si>
  <si>
    <t>GV e JLP - Salário estágio Rafaelle</t>
  </si>
  <si>
    <t>GV e JLP - Salário estágio Vitor</t>
  </si>
  <si>
    <t>10/07/2020</t>
  </si>
  <si>
    <t xml:space="preserve">GV e JLP -  Continental (JLP R$70,15 / GV R$31,05) - Aguarras, redução, curva, joelhos, cola </t>
  </si>
  <si>
    <t>019265</t>
  </si>
  <si>
    <t>JLP - HSR - Aluguel Jun 20 (A 4980,50 - 5% Desc = 4731,47)</t>
  </si>
  <si>
    <t>14/07/2020</t>
  </si>
  <si>
    <t>GV - Luso - Garagem - Veda calha, tubo pvc, redução, argamassa, cimento</t>
  </si>
  <si>
    <t>021132</t>
  </si>
  <si>
    <t>15/07/2020</t>
  </si>
  <si>
    <t>021081</t>
  </si>
  <si>
    <t>16/07/2020</t>
  </si>
  <si>
    <t xml:space="preserve">GV - GPS             </t>
  </si>
  <si>
    <t>GV - Luso - Cimento pro cafofo</t>
  </si>
  <si>
    <t>17/07/2020</t>
  </si>
  <si>
    <t>GV e JLP - Locminas - Disco de corte, desempenadeira, alicate, cola adesivo.</t>
  </si>
  <si>
    <t>000562</t>
  </si>
  <si>
    <t>GV - Adiantamento - Juaniz</t>
  </si>
  <si>
    <t>000563</t>
  </si>
  <si>
    <t>20/07/2020</t>
  </si>
  <si>
    <t>31/07/2020</t>
  </si>
  <si>
    <t>GV e JLP - Locminas (GV R$48,85 - Compra de lapis e discos / JLP R$16,35 - Compra de arame galvanizado</t>
  </si>
  <si>
    <t>000564</t>
  </si>
  <si>
    <t>Lyam Decor</t>
  </si>
  <si>
    <t>Lojas RPM</t>
  </si>
  <si>
    <t>Mobly</t>
  </si>
  <si>
    <t>Troco aluguel Habitat</t>
  </si>
  <si>
    <t>Ago 2020</t>
  </si>
  <si>
    <t>GV - Aluguel V 19 DJA - Agosto 20 - Cátia (A220, pago 212,65 proprocional 03 a 31/08)</t>
  </si>
  <si>
    <t xml:space="preserve">GV - Saída do cheque para depósito conta Honorina </t>
  </si>
  <si>
    <t>GV - Aluguel V 11 DJA - Agosto 20 - Rachid Sergio (A250)</t>
  </si>
  <si>
    <t xml:space="preserve">GV e JLP - Compra de dipirona, curativo e creme dental - Irmãos Mattar </t>
  </si>
  <si>
    <t>JLP - Pagamento de exame admissional Roberto - NF 23121  - GV Clinicas</t>
  </si>
  <si>
    <t xml:space="preserve">GV - Aluguel V 14 DJA - Agosto 2020 - Alysson Rocha </t>
  </si>
  <si>
    <t>GV - Aluguel Loja JP 607 - Julho 20 - Anderson (A1464)</t>
  </si>
  <si>
    <t>GV - Aluguel Apt Studio - Julho 20 - Fran de Oliveira Alavina (A1250+90)</t>
  </si>
  <si>
    <t>GV - Pagamento serviços de limpeza  por Vânia no prédio 27 e 30/07 e 03 e 06/08</t>
  </si>
  <si>
    <t>JLP - Pagamento serv. de limp. por Vânia na Vila e escrit. dias 28/07 e 04/08 meio exp</t>
  </si>
  <si>
    <t>GV - Aluguel ESP DJA - Agosto 2020 - Mario Monteiro (A80)</t>
  </si>
  <si>
    <t>GV - Aluguel Loja GV 603 com desc. Covid19 -Julho/ 20 - Davi - 1800-720= 1080</t>
  </si>
  <si>
    <t>GV - Aluguel V moto DJA - Agosto 2020 -  Jocelia Gomes - A60 - pro rata (22 dias )</t>
  </si>
  <si>
    <t>GV - Aluguel Loja GV 1050 - Julho20 - By Fiapo (A4000 desc.COVID 1800 = 2200)</t>
  </si>
  <si>
    <t xml:space="preserve">GV - Aluguel V moto DJA - Agosto 2020  - Warlen Luiz </t>
  </si>
  <si>
    <t xml:space="preserve">GV - Aluguel V 03 DJA - Agosto 20 - Gildásio Klier </t>
  </si>
  <si>
    <t>GV - Aluguel Vaga p/ moto DJA - Agosto 20 - Gildásio Klier /Contabilidade Klier</t>
  </si>
  <si>
    <t>GV - Aluguel temporada apto 202 - 10 diarias - Simone - continuidade do contrato</t>
  </si>
  <si>
    <t>GV - Aluguel V 15 DJA - Agosto 20 - Cesar Porto</t>
  </si>
  <si>
    <t xml:space="preserve">GV - Aluguel V moto DJA - Agosto 20 - Fábio Pereira </t>
  </si>
  <si>
    <t>JLP - Pagamento notas fiscais 029.448 e 5962/1 - Locminas</t>
  </si>
  <si>
    <t xml:space="preserve">GV - Aluguel V 04 DJA - Agosto 20 - Isabela </t>
  </si>
  <si>
    <t>JLP - Pagamento trabalho MEI conforme contrato prest.serviços Rafaela mês 07/2020</t>
  </si>
  <si>
    <t>JLP - Compra de bolo  brownie niver Rafa - Cozinha da Sônia</t>
  </si>
  <si>
    <t>JLP - Aluguel vagas (ago)+loja Julho 20 - Habitat (A8275 - desc.covid 3310) CH 4965</t>
  </si>
  <si>
    <t xml:space="preserve">JLP - Pagamento padaria lanche obra do dia 31/07 a 17/08 - Lanches da Praça Padaria  </t>
  </si>
  <si>
    <t xml:space="preserve">GV e JLP - Compra de marcador CD ponta dupla p/ uso ceramica - Imprima </t>
  </si>
  <si>
    <t>JLP - Compra de bandeja de empada para aniversário Rafa - Universo Goumet</t>
  </si>
  <si>
    <t>JLP - Compra de cento de mini pastel para aniversário Rafa - Tonn's lanches</t>
  </si>
  <si>
    <t>GV e JLP - Compra de martelo 120g tramontina - Ferragens Mineira</t>
  </si>
  <si>
    <t xml:space="preserve">GV - Saida de cheques  Habitat Alexandre para depósito conta JLP  </t>
  </si>
  <si>
    <t>GV - Saída cheque Gustavo para deposito conta Honorina</t>
  </si>
  <si>
    <t xml:space="preserve">GV - Compra de tabuas de bambu para aptos - BVR Comercio de brinquedos </t>
  </si>
  <si>
    <t>GV e JLP - Compra de arame galvanizado nº18 1 kg - Ferragens Mineira</t>
  </si>
  <si>
    <t>GV - Compra de sabonete liquido 2l - DMA Distr. EPA</t>
  </si>
  <si>
    <t>GV e JLP - Compra de mça, banana, amendoim e pão milani p/escr. Vila - DMA Distr.EPA</t>
  </si>
  <si>
    <t>GV - Acerto da mobilia estragada e em falta apto 202 - Simone</t>
  </si>
  <si>
    <t>JLP - Compra de raticida Ratak - Mario Dias</t>
  </si>
  <si>
    <t>JLP - Compra de lampada bolinha 09w 3.000k - Delevy</t>
  </si>
  <si>
    <t xml:space="preserve">JLP - Compra de caixas organizadoras - Otoni Utilidades </t>
  </si>
  <si>
    <t xml:space="preserve">GV - Pagamento do adiantamento Roberto recibo na contabilidade </t>
  </si>
  <si>
    <t xml:space="preserve">GV - Pagamento serviços de limpeza  por Vânia no prédio dias10,13 meio exp,17 e 20/08 </t>
  </si>
  <si>
    <t>JLP - Pagamento serv. de limp. por Vânia na Vila e escrit. dias 11 e 18/08 meio exp</t>
  </si>
  <si>
    <t>GV - Aluguel Loja JP 607 - Agosto 20 - Anderson (A1464)</t>
  </si>
  <si>
    <t xml:space="preserve">JLP - Compra de azeite e ovos caipira  - DMA Distr. EPA </t>
  </si>
  <si>
    <t>GV e JLP - Compra café, açúcar e alcool em gel - DMA Distr. EPA  mesma nota (111,78)</t>
  </si>
  <si>
    <t>GV - Compra de  material de limpeza para predio -DMA Dist. Mesma nota (111,78)</t>
  </si>
  <si>
    <t>JLP - Compra de material para escritorio (corretivo, caneta, borracha) - Imprima BR prod.</t>
  </si>
  <si>
    <t xml:space="preserve">JLP - Pagamento padaria periodo 18 a 31/08 colaboradores obra - Lanches da Praça </t>
  </si>
  <si>
    <t>GV - Aluguel Apt 103 - Julho 20 - Tairiny (R$1216,12 A + R$84,19 Cond)  (Pg via boleto Irv)</t>
  </si>
  <si>
    <t>GV - Aluguel Apt 104 - julho 20 - Andressa (A1010+C90) (Pg via boleto Irv )</t>
  </si>
  <si>
    <t>GV - Sinal 50% cortinas cafôfo</t>
  </si>
  <si>
    <t>GV - Ret Naz - Pagamento Iuri (Medicamentos R$ 1164,71 + Supermercado R$128,14)</t>
  </si>
  <si>
    <t>GV - Malhas para o Terração - Kilão</t>
  </si>
  <si>
    <t>GV - Ret Naz - Sabrina (de 10 de julho até 07 setembro)</t>
  </si>
  <si>
    <t>GV - Mundo da Arte - quadros para aps</t>
  </si>
  <si>
    <t>GV - Aluguel Apt 204 - julho 20 - Lindomar (A1500+C90+V150) (Pg via boleto Irv )</t>
  </si>
  <si>
    <t>GV - Aluguel Apt 203 -  Julho 20  - MSA / Jaime (1550+90cond+150vaga)  (Pg via boleto Irv)</t>
  </si>
  <si>
    <t>GV - Aluguel Apt 101 - Julho  20 - Amanda (A 1050+C66+ 115 acordo caução) (Pg via boleto Irv)</t>
  </si>
  <si>
    <t>GV - Aluguel V 06 DJA - Ago 20 - Lucas Barreiros (A200) (Pg via boleto Irv)</t>
  </si>
  <si>
    <t>GV - Aluguel V 13 DJA - Ago 20 - Jorge Roberto (A100) (Pg via boleto Irv)</t>
  </si>
  <si>
    <t>GV - Aluguel V 05 DJA - Ago 20 - Carla Martin (A250) (Pg via boleto Irv)</t>
  </si>
  <si>
    <t>GV e JLP - Presente aniversáro Rafaela (Pg via Nubank Irv)</t>
  </si>
  <si>
    <t>GV - Transf CXD p CC Hon  (Pg via Nubank Irv)</t>
  </si>
  <si>
    <t>JLP - Taxa de fiscalização PMTO (Pg cc BB Irv)</t>
  </si>
  <si>
    <t>JLP - Taxa de Alvará PMTO (Pg cc BB Irv)</t>
  </si>
  <si>
    <t>GV - Aluguel Apt 102 - Julho 2020  - Amaury (A950-D104+Cond90) - Pg via boleto Irv</t>
  </si>
  <si>
    <t>GV - Ret Naz - Globoplay e Netfix Cartão Irv)</t>
  </si>
  <si>
    <t>GV e JLP - Vivo GV 3.12</t>
  </si>
  <si>
    <t xml:space="preserve">GV - Mobly  02.12 - Móveis ap 103 e outros </t>
  </si>
  <si>
    <t>GV e JLP - Facebook</t>
  </si>
  <si>
    <t>GV - Império dos Azulejos - GV Cafôfo - Piso coz</t>
  </si>
  <si>
    <t>GV - Marcan - 1.2 - GV Cafôfo - Piso sala</t>
  </si>
  <si>
    <t>GV - Avenida - GV Cuba cafôfo</t>
  </si>
  <si>
    <t>GV e JLP - Assinatura Crusoé</t>
  </si>
  <si>
    <t>GV - Impermeabilização sofás ap 103 e cafôfo (pago via Nubank Irv)</t>
  </si>
  <si>
    <t xml:space="preserve">GV - Aluguel Apt 105 - Julho  20 - Gilmenia (A1020+C90-D Covid 111) - Pg via boleto Irv </t>
  </si>
  <si>
    <t>GV - Limpeza Ap 202 - Carla - Pg Nubank Irv</t>
  </si>
  <si>
    <t>GV - Levantamento topografico GV - Vilar - Pg via conta BB Irv</t>
  </si>
  <si>
    <t xml:space="preserve">GV - Aluguel V 22 DJA - Julho 20  - Joao Paulo </t>
  </si>
  <si>
    <t>JLP - Live MOOV</t>
  </si>
  <si>
    <t>GV e JLP - Paisagismo e Jardinagem - Emilly Ramos - Pg Nubank Irv</t>
  </si>
  <si>
    <t>JLP - Aluguel Galpão 03 - Set  20 - Jorg Paul (Pg via boleto Irv)</t>
  </si>
  <si>
    <t xml:space="preserve">04/08/2020 </t>
  </si>
  <si>
    <t>869840</t>
  </si>
  <si>
    <t xml:space="preserve">05/08/2020 </t>
  </si>
  <si>
    <t>015833</t>
  </si>
  <si>
    <t xml:space="preserve">06/08/2020 </t>
  </si>
  <si>
    <t>018201</t>
  </si>
  <si>
    <t xml:space="preserve">12/08/2020 </t>
  </si>
  <si>
    <t xml:space="preserve">14/08/2020 </t>
  </si>
  <si>
    <t xml:space="preserve">17/08/2020 </t>
  </si>
  <si>
    <t>869851</t>
  </si>
  <si>
    <t xml:space="preserve">20/08/2020 </t>
  </si>
  <si>
    <t>017791</t>
  </si>
  <si>
    <t>017872</t>
  </si>
  <si>
    <t xml:space="preserve">24/08/2020 </t>
  </si>
  <si>
    <t>GV - Tony Lanches - Salgados Live</t>
  </si>
  <si>
    <t>073477</t>
  </si>
  <si>
    <t>05/08/2020</t>
  </si>
  <si>
    <t>GV - Salário - Juaniz - Cafôfo</t>
  </si>
  <si>
    <t>GV e JLP - Continental (GV 602,68 / JLP 44,77) curva, tampão, luvas, joelhos, adaptador, ducha, cola, TE 90</t>
  </si>
  <si>
    <t>GV - Delevy - Compra de quadro dist. e duto</t>
  </si>
  <si>
    <t>JLP - HSR - Aluguel Jul 20 (A 4980,50 - 5% Desc = 4731,47)</t>
  </si>
  <si>
    <t>13/08/2020</t>
  </si>
  <si>
    <t>GV - Delevy - Compra decaixa polifasica, bucha, curva, disjuntor, terminal, conector, etc</t>
  </si>
  <si>
    <t>021636</t>
  </si>
  <si>
    <t>GV - Luso - Compra argamassa e cimento</t>
  </si>
  <si>
    <t>021293</t>
  </si>
  <si>
    <t>GV - Metais e acabamentos banheiro cafofo</t>
  </si>
  <si>
    <t>17/08/2020</t>
  </si>
  <si>
    <t>021380</t>
  </si>
  <si>
    <t>869862</t>
  </si>
  <si>
    <t>18/08/2020</t>
  </si>
  <si>
    <t>JLP - Ret Naz - FisioStore - Assento vaso e andador</t>
  </si>
  <si>
    <t>20/08/2020</t>
  </si>
  <si>
    <t>034750</t>
  </si>
  <si>
    <t>000568</t>
  </si>
  <si>
    <t>21/08/2020</t>
  </si>
  <si>
    <t>24/08/2020</t>
  </si>
  <si>
    <t>25/08/2020</t>
  </si>
  <si>
    <t xml:space="preserve">GV- Luso - Compra de cimento e rejunte </t>
  </si>
  <si>
    <t>020915</t>
  </si>
  <si>
    <t>26/08/2020</t>
  </si>
  <si>
    <t>27/08/2020</t>
  </si>
  <si>
    <t>GV - Galama - Pedras cafôfo</t>
  </si>
  <si>
    <t>000567</t>
  </si>
  <si>
    <t>28/08/2020</t>
  </si>
  <si>
    <t>GV - TV Samsung Cafôfo</t>
  </si>
  <si>
    <t>JLP - Microondas G1</t>
  </si>
  <si>
    <t>31/08/2020</t>
  </si>
  <si>
    <t>019766</t>
  </si>
  <si>
    <t>Marcan</t>
  </si>
  <si>
    <t>GV Clínicas</t>
  </si>
  <si>
    <t>Adiantamento - Roberto</t>
  </si>
  <si>
    <t>Avenida</t>
  </si>
  <si>
    <t>Set 2020</t>
  </si>
  <si>
    <t>GV - Aluguel V 11 DJA - Setembro 20 - Rachid Sergio (180CH + 70DN)</t>
  </si>
  <si>
    <t>JLP - Compra de veneno sempra 4 gramas - Flora Vida (Recibo assinado por Vitor)</t>
  </si>
  <si>
    <t xml:space="preserve">JLP - Compra de protetor de alimentos - Otoni Utilidades </t>
  </si>
  <si>
    <t xml:space="preserve">JLP - Compra de milho de pipoca para lanche - DMA Distrib. EPA </t>
  </si>
  <si>
    <t>GV - Pagamento serviços de limpeza  por Vânia no prédio dias 24,27,31/08 e 03/09</t>
  </si>
  <si>
    <t>JLP - Pagamento serv. de limp. por Vânia na Vila e escrit. dias 29/08 e 01/09  meio exp</t>
  </si>
  <si>
    <t xml:space="preserve">JLP -Pagamento 16 horas do banco de horas de Juaniz </t>
  </si>
  <si>
    <t>GV - Compra de pilhas , sabonete e papel higienico p/apto 201 - Irmãos Mattar</t>
  </si>
  <si>
    <t xml:space="preserve">GV - Pagamento de vagas na GV para trabalho 1040 - SPE </t>
  </si>
  <si>
    <t xml:space="preserve">JLP - Compra de barra cremalhera p/portao Vila - TV SOM </t>
  </si>
  <si>
    <t>GV e JLP - Compra de recibos com canhoto - Teixeira e Chaves</t>
  </si>
  <si>
    <t>GV - Reconhecimento de firma contrato Renata loja 1052 - 2º Ofício de Notas</t>
  </si>
  <si>
    <t>GV - Compra de caneta para tecido acripen 520 - Teixeira e Chaves</t>
  </si>
  <si>
    <t>GV - Compra de dois travesseiros para apto 201 - Itapuã</t>
  </si>
  <si>
    <t>GV - Aluguel Vaga para moto - Setembro 20 - Fábio</t>
  </si>
  <si>
    <t>GV - Reconhecimento de firma 2ª via contrato Renata loja 1052 - 2º Ofício de Notas</t>
  </si>
  <si>
    <t>GV - Aluguel ESP DJA - Setembro 2020 - Mario Monteiro (A80)</t>
  </si>
  <si>
    <t>GV - Aluguel Apt Studio - Ago 20 - Fran de Oliveira Alavina (A1250+90)</t>
  </si>
  <si>
    <t>GV - Compra de marmitex e refrigerante para Roberto e Juaniz 05/09 lj1040 - Arte e Sabor</t>
  </si>
  <si>
    <t>GV - Compra de marmitex e refrigerante para Roberto e Juaniz 06/09 lj1040 - Arte e Sabor</t>
  </si>
  <si>
    <t>GV - Pagamento um dia de trabalho retirada de entulho lj1040 - Georgelis</t>
  </si>
  <si>
    <t>GV - Pagamento dois dias de trabalho retirada de entulho lj1040 - Luis</t>
  </si>
  <si>
    <t>GV - Pagamento dois dias de trabalho retirada de entulho lj1040 - Tenai</t>
  </si>
  <si>
    <t>GV - Pagamento meio dia de trabalho retirada de entulho lj1040 - Sil</t>
  </si>
  <si>
    <t>GV - Saida do cheque de Rachid para deposito - conta Honorina</t>
  </si>
  <si>
    <t>GV - Pagamento dois dias de trabalho retirada de entulho lj1040 - Juaniz</t>
  </si>
  <si>
    <t>GV - Pagamento um dia de trabalho retirada de entulho lj1040 - Roberto</t>
  </si>
  <si>
    <t xml:space="preserve">GV - Aluguel V 03 DJA - Set/20 - Gildásio Klier </t>
  </si>
  <si>
    <t>GV - Aluguel Vaga p/ moto DJA - Set/20 - Gildásio Klier /Contabilidade Klier</t>
  </si>
  <si>
    <t>GV - Aluguel V 15 DJA - Set. 20- Cesar Porto (A100)</t>
  </si>
  <si>
    <t>GV - Aluguel Loja GV 603 com desc. Covid19 -Ago/ 20 - Davi - 475CH + 610 DN</t>
  </si>
  <si>
    <t>GV - Saída de cheque de parte do aluguel de Davi lj 603, para deposito - conta Honorina</t>
  </si>
  <si>
    <t xml:space="preserve">GV - Compra de utensílios para apto 202 - BVR Comércio </t>
  </si>
  <si>
    <t xml:space="preserve">GV - Ret Irv - Compra de pão francês e azeitona verde - DMA Distribuidora </t>
  </si>
  <si>
    <t xml:space="preserve">GV - Ret Irv - Compra de leite em pó e amendoim - DMA Dist. EPA </t>
  </si>
  <si>
    <t>JLP - Compra de açucar, sabão em pó e detergente - DMA Distr. EPA</t>
  </si>
  <si>
    <t>GV - Aluguel V 14 DJA - Set 2020 - Alysson Rocha (A200)</t>
  </si>
  <si>
    <t>GV - Aluguel Vaga p/ moto DJA - Set/20 - Jocelia</t>
  </si>
  <si>
    <t>GV - Aluguel Loja GV 1050 - Set/20 - By Fiapo (A4000 desc.COVID 1200 = 2800)</t>
  </si>
  <si>
    <t xml:space="preserve">GV - Aluguel V moto DJA - Set 20  - Warlen Luiz </t>
  </si>
  <si>
    <t>GV - Aluguel V 04 DJA - Set 20 - Isabela  - desconto COVID</t>
  </si>
  <si>
    <t>JLP e GV - Pagamento padaria lanche colaboradores de 01 a 14/09 - Lanches da Praça</t>
  </si>
  <si>
    <t>GV - Saída do cheque de Gustavo alug. Vaga mês 09 para deposito conta Honorina</t>
  </si>
  <si>
    <t>JLP - Aluguel  loja mês/08 e est. mês/09 - Habitat (A8275 - desc.covid 2482,5) CH 5792,50</t>
  </si>
  <si>
    <t>GV - Pagamento serviços de limpeza  por Vânia no prédio dias 8,10,14,17/09</t>
  </si>
  <si>
    <t>JLP - Pagamento serv. de limp. por Vânia na Vila e escrit. Dia 15/09 meio expe.</t>
  </si>
  <si>
    <t>GV - Compra de material de limpeza detergente, sabão, etc  p/ prédio - DMA Distr.EPA</t>
  </si>
  <si>
    <t>JLP - Compra de 500g de massa - Vidraçaria Guanabara</t>
  </si>
  <si>
    <t>JLP - Pagamento serviços prestados no dia 17/09 no lote e Vila - por Patrick</t>
  </si>
  <si>
    <t>GV e JLP - Pagamento serviços de jardinagem - Cesar jardineiro</t>
  </si>
  <si>
    <t>GV - Saída cheque Alexandre Habitat para depósito conta JLP</t>
  </si>
  <si>
    <t>JLP - Compra de biscoito para lanche escritório - Ponto do Biscoito</t>
  </si>
  <si>
    <t xml:space="preserve">JLP e GV - Compra de fita crepe 18x50 - Imprima </t>
  </si>
  <si>
    <t>GV - Compra de pé cama box fixo 130MM para apto 202 cama casal - Ferragens Mineira</t>
  </si>
  <si>
    <t xml:space="preserve">GV - Compra de taça para água e champagne para apto 201 - Otoni Utilidades </t>
  </si>
  <si>
    <t>GV - Compra de filtro, tampa micro ondas, jogo americano, etc, p/aptos - BVR Comercio</t>
  </si>
  <si>
    <t>GV - Compra de Manta Dohler para apto 103 - Itapuã</t>
  </si>
  <si>
    <t>GV - Compra de Manta Hedrons para cafofo - Abba Decorações</t>
  </si>
  <si>
    <t>GV - Compra de vidro liso para apto 202 - Vidraçaria Oliveira</t>
  </si>
  <si>
    <t>GV e JLP - Compra de pincel 151-16 e 151-10 - Mundo da Arte</t>
  </si>
  <si>
    <t>GV e JLP - Compra de removedor Kink 1000ml - DMA Distribuidora</t>
  </si>
  <si>
    <t>GV e JLP - Compra de escova colgate para limpeza - Supermercado Coelho Diniz</t>
  </si>
  <si>
    <t xml:space="preserve">GV - Compra de Kaol Médio - Ferragens Mineira </t>
  </si>
  <si>
    <t xml:space="preserve">GV - Ret Irv - Compra de curativo band-aid - DMA Distribuidora </t>
  </si>
  <si>
    <t xml:space="preserve">GV - Compra de colcha p/apto 202 cama solteiro e manta sofá apto 201 - Terapi </t>
  </si>
  <si>
    <t>GV e JLP- Compra de converdor de ferrugem - Ferragens Mineira</t>
  </si>
  <si>
    <t>Gv e JLP - Reconhecimento de firma contrato Rafaela - 2º Ofício</t>
  </si>
  <si>
    <t>JLP - Pagamento serviços prestados do dia 21 a 25/09  Vila - por Patrick</t>
  </si>
  <si>
    <t xml:space="preserve">GV - Compra de vidro incolor para janela apto 105 - Vridraçaria Guanabara </t>
  </si>
  <si>
    <t>JLP - Compra de oleo de peroba 200ml para bancos Vila - DMA Distr. EPA</t>
  </si>
  <si>
    <t>JLP e GV - Pagamento padaria lanche colaboradores de 15 a 28/09 - Lanches da Praça</t>
  </si>
  <si>
    <t xml:space="preserve">JLP - Compra de pincel marcador permanente - Imprima </t>
  </si>
  <si>
    <t>JLP - Compra de de detergente, RAID, lustra moveis e lanche escr. - DMA Dist. EPA</t>
  </si>
  <si>
    <t>GV - Compra de graxa nugget usar nas poltronas 202 - Coelho Diniz</t>
  </si>
  <si>
    <t>GV e JLP - Compra de removedor tinta base agua - Ferragens Mineira</t>
  </si>
  <si>
    <t>GV - Aluguel Temporada Ap 201 Jose Carlos Correa (sublocação S. A. Florêncio) - Sinal 50% - Pg Nubank Irv</t>
  </si>
  <si>
    <t>JLP - Cesar Jardineiro (2 x 100) + Remédio plantas (40) - Pg Nubank Irv</t>
  </si>
  <si>
    <t>GV - Aluguel Temporada Ap 201 Jose Carlos Correa (sublocação S. A. Florêncio) - Restante 50% - Pg Nubank Irv</t>
  </si>
  <si>
    <t>GV - Ret Naz - Sabrina (de 08 setembro até 05 outubro) - Pg Nubank Irv</t>
  </si>
  <si>
    <t>GV - Ret Naz - Pagamento Iuri (Medicamentos R$ 1.074,76 + Supermercado R$ 0,00) - Pg Nubank Irv</t>
  </si>
  <si>
    <t>GV - Ret Naz - Pagamento Ingrid - Pg Nubank Irv</t>
  </si>
  <si>
    <t>GV - Aluguel loja 1060 Rafik - agosto 20 - (A 6500 - D 3000) Via boleto Carol</t>
  </si>
  <si>
    <t>GV - Aluguel Apt 104 - agosto 20 - Andressa (A1010+C90) - Via boleto Carol</t>
  </si>
  <si>
    <t>GV - Transf CXD p CC Hon  (Pg via Nubank Carol)</t>
  </si>
  <si>
    <t>GV - Aluguel V 19 DJA - Set 20 - Cátia (A220) - Via boleto Irv</t>
  </si>
  <si>
    <t>GV - Aluguel V 06 DJA - Set 20 - Lucas Barreiros (A200) (Pg via boleto Irv)</t>
  </si>
  <si>
    <t>GV - Aluguel V 13 DJA - Set 20 - Jorge Roberto (A100) (Pg via boleto Irv)</t>
  </si>
  <si>
    <t>GV - Aluguel V 05 DJA - Set 20 - Carla Martin (A250) (Pg via boleto Irv)</t>
  </si>
  <si>
    <t>GV - Pagamento pintura ap 202 (abatendo pás ventilador quebradas)  - Pg Nubank Irv</t>
  </si>
  <si>
    <t>GV - Aluguel Apt 103 - Ago 20 - Tairiny (R$1300 A + R$90 C)  (Pg via boleto Irv)</t>
  </si>
  <si>
    <t>GV - Aluguel Apt 101 - Ago  20 - Amanda (A 1150+C90+115acordo caução-Dcovid 115) (Pg via boleto Irv)</t>
  </si>
  <si>
    <t>GV - Aluguel Apt 203 -  Ago 20  - MSA / Jaime (1550+90cond+150vaga)  (Pg via boleto Irv)</t>
  </si>
  <si>
    <t>GV - Pagamento Toninho eletricista GV Cafôfo - Padrão e quadro chaves  - Pg Nubank Irv</t>
  </si>
  <si>
    <t>GV - Pagamento Robson Caçambas - 10 caçambas GV 1040  - Pg Nubank Irv</t>
  </si>
  <si>
    <t>GV e JLP - Pagamento honorarios Rafaela mês agosto 2020  - Pg Nubank Irv</t>
  </si>
  <si>
    <t>GV - Aluguel Apt 204 - Ago 20 - Lindomar (A1500+C90+V150) (Pg via boleto Irv )</t>
  </si>
  <si>
    <t>GV - Aluguel Apt 102 - Ago 2020  - Amaury (A950-D95+Cond90) - Pg via boleto Irv</t>
  </si>
  <si>
    <t>GV - Molduras cafôfo e outros aps</t>
  </si>
  <si>
    <t>GV - Ret Naz - Vivo Família Irv (conta pessoal encerrada e incluída no plano família Irv) (Ligações pela Oi)</t>
  </si>
  <si>
    <t>GV e JLP - Jogo de chaves boca / estria</t>
  </si>
  <si>
    <t>GV e JLP - Vivo GV 4.12</t>
  </si>
  <si>
    <t xml:space="preserve">GV - Mobly  03.12 - Móveis ap 103 e outros </t>
  </si>
  <si>
    <t xml:space="preserve">GV - Aluguel Apt 105 - Agosto  20 - Gilmenia (A1020+C90-D Covid 102) - Pg via boleto Irv </t>
  </si>
  <si>
    <t>JLP - Manuela Soares - Batizado</t>
  </si>
  <si>
    <t>GV - Aluguel Loja JP 607 - Setembro 20 - Anderson (A1464)</t>
  </si>
  <si>
    <t>JLP - Pagamento sinal projeto estrutura metálica - Engemax</t>
  </si>
  <si>
    <t>JLP - Muda hortelã e almoço Patrick batizado</t>
  </si>
  <si>
    <t>GV - Americanas - Varal</t>
  </si>
  <si>
    <t xml:space="preserve">15/09/2020 </t>
  </si>
  <si>
    <t>869895</t>
  </si>
  <si>
    <t xml:space="preserve">17/09/2020 </t>
  </si>
  <si>
    <t>GV - Cemig ap 201</t>
  </si>
  <si>
    <t>015312</t>
  </si>
  <si>
    <t>015484</t>
  </si>
  <si>
    <t>GV - Cemig JP 609 - Agosto</t>
  </si>
  <si>
    <t>GV - Cemig JP 609 - Setembro</t>
  </si>
  <si>
    <t xml:space="preserve">22/09/2020 </t>
  </si>
  <si>
    <t>GV - Pagamento Cemig ap 202</t>
  </si>
  <si>
    <t xml:space="preserve">23/09/2020 </t>
  </si>
  <si>
    <t xml:space="preserve">24/09/2020 </t>
  </si>
  <si>
    <t>GV - Delevy - Material padrão GV 1052</t>
  </si>
  <si>
    <t>02/09/2020</t>
  </si>
  <si>
    <t>03/09/2020</t>
  </si>
  <si>
    <t>04/09/2020</t>
  </si>
  <si>
    <t>GV - MD Tintas - Compra de massa corrida suvinil</t>
  </si>
  <si>
    <t>021549</t>
  </si>
  <si>
    <t>GV e JLP - Esmerilhadeira - Americanas</t>
  </si>
  <si>
    <t>000570</t>
  </si>
  <si>
    <t>GV - Salário - Roberto - Cafôfo</t>
  </si>
  <si>
    <t>000571</t>
  </si>
  <si>
    <t>08/09/2020</t>
  </si>
  <si>
    <t>09/09/2020</t>
  </si>
  <si>
    <t>10/09/2020</t>
  </si>
  <si>
    <t>GV - Continental - Compra de joelho,torneira, tubo, luva, etc GV - R$120,33 e JLP - R$5,87</t>
  </si>
  <si>
    <t>019849</t>
  </si>
  <si>
    <t>JLP - HSR - Aluguel Ago 20 (A 4980,50)</t>
  </si>
  <si>
    <t>11/09/2020</t>
  </si>
  <si>
    <t>GV - Kit pás ventilador ap 202 - Mercado Livre</t>
  </si>
  <si>
    <t>Falta NF</t>
  </si>
  <si>
    <t>14/09/2020</t>
  </si>
  <si>
    <t>GV - Cestas básicas - Sup Universal</t>
  </si>
  <si>
    <t>020750</t>
  </si>
  <si>
    <t>GV - Luso - Cafofo - compra de argamassa e valvula pia</t>
  </si>
  <si>
    <t>021376</t>
  </si>
  <si>
    <t>JLP - Anualidade domínio jlpimoveis.com.br</t>
  </si>
  <si>
    <t>GV - Ret Irv - Quadros Paula pra Aninha</t>
  </si>
  <si>
    <t xml:space="preserve">GV - Locminas - disco diamante, compra de espuma bloco, aluguel de maquina GV </t>
  </si>
  <si>
    <t>18/09/2020</t>
  </si>
  <si>
    <t>034704</t>
  </si>
  <si>
    <t>869906</t>
  </si>
  <si>
    <t>GV - Adiantamento - Roberto</t>
  </si>
  <si>
    <t>000573</t>
  </si>
  <si>
    <t>000574</t>
  </si>
  <si>
    <t>21/09/2020</t>
  </si>
  <si>
    <t>24/09/2020</t>
  </si>
  <si>
    <t>GV - MD Tintas - Compra de tinta branco acetinado cafofo</t>
  </si>
  <si>
    <t>021079</t>
  </si>
  <si>
    <t>25/09/2020</t>
  </si>
  <si>
    <t>29/09/2020</t>
  </si>
  <si>
    <t>JLP - Anualidade domínio viladeco.com.br</t>
  </si>
  <si>
    <t>GV e JLP - Luso - GV R$158,00 e JLP R$89,71 - Compra de tinta e cimento</t>
  </si>
  <si>
    <t>30/09/2020</t>
  </si>
  <si>
    <t>019693</t>
  </si>
  <si>
    <t>Out 2020</t>
  </si>
  <si>
    <t xml:space="preserve">GV e JLP - Compra de fita isolante 10m adelbras - Continental </t>
  </si>
  <si>
    <t>GV - Entrada referente à pintura das fachadas do ed.Nova Era - Marcone</t>
  </si>
  <si>
    <t>GV - Aluguel V 11 DJA - Outubro 20 - Rachid Sergio (A250)</t>
  </si>
  <si>
    <t>GV - Pagamento serv. de limpeza  por Vânia no prédio dias 21,24,29/09,01/10 e 28/09 meio</t>
  </si>
  <si>
    <t>JLP - Pagamento serv. de limp. por Vânia na Vila e escrit. Dias 22 e 28/09 meio expe.</t>
  </si>
  <si>
    <t>JLP - Pagamentos serviços de jardinagem prestado por Cesar dia 01/10/2020</t>
  </si>
  <si>
    <t>GV - Ret Naz - Retirada para Honorina - recibo pagamento aulas Danilo</t>
  </si>
  <si>
    <t>GV - Aluguel V 14 DJA - Out/20 - Alysson Rocha (A200)</t>
  </si>
  <si>
    <t>GV - Aluguel Vaga p/ moto DJA - Out/20 - Jocelia</t>
  </si>
  <si>
    <t>GV - Aluguel Apt Studio - Set/20 - Fran de Oliveira Alavina (A1250+90)</t>
  </si>
  <si>
    <t>GV e JLP - Pagamento serviços prestados por Patrick na Vila e Ed.Nova Era</t>
  </si>
  <si>
    <t>GV - Compra de nipel, cap pvc, e caixa de descarga - Ferragens  Mineira</t>
  </si>
  <si>
    <t xml:space="preserve">GV - Compra de varal de chão para aptos - Otoni Utilidades </t>
  </si>
  <si>
    <t>GV e JLP - Compra de cabo pa/foice mad. 1,20mt - Locminas NF 029.876</t>
  </si>
  <si>
    <t>GV - Aluguel V 04 DJA - Outubro 20 - Isabela - desconto covid</t>
  </si>
  <si>
    <t xml:space="preserve">GV - Aluguel V 03 DJA - Outubro 20 - Gildásio Klier </t>
  </si>
  <si>
    <t>GV - Aluguel Vaga p/ moto DJA - Outubro 20 - Gildásio Klier /Contabilidade Klier</t>
  </si>
  <si>
    <t>GV - Aluguel Vaga para moto - Outubro 20 - Fábio</t>
  </si>
  <si>
    <t>GV - Aluguel V 15 DJA - Outubro 20- Cesar Porto (A100)</t>
  </si>
  <si>
    <t>GV - Compra de tintas fosco azul e fosco firmamento p/cafofo - MD tintas</t>
  </si>
  <si>
    <t>GV - Aluguel ESP DJA - outubro 2020 - Mario Monteiro (A80)</t>
  </si>
  <si>
    <t>GV - Aluguel Loja GV 603 com desc. Covid -Set/ 20 - Davi - 1800-540= 1260</t>
  </si>
  <si>
    <t>GV - Compra de 30 lixas madeira 15 de 1,80 e 15 de 2,20 - Comercial Loesch</t>
  </si>
  <si>
    <t>GV - Saída para caixa JLP por Irving anotado carderninho verde</t>
  </si>
  <si>
    <t>JLP e GV - Pagamento padaria lanche colaboradores de 29/09 a 13/10 - Lanches da Praça</t>
  </si>
  <si>
    <t>GV - Aluguel Loja GV 1052 - set20 - Andre Batista A2900 desc. Excepcional de 30%</t>
  </si>
  <si>
    <t xml:space="preserve">GV - Aluguel V 19 DJA - 13 dias  Out/20 - Cátia - encerramento </t>
  </si>
  <si>
    <t>GV - Aluguel Loja GV 1050 - Set20 - By Fiapo (A4000)</t>
  </si>
  <si>
    <t>GV - Pagamento restante da pintura prédio - Marcone Teo Pinturas</t>
  </si>
  <si>
    <t>GV - Compra de picareta - Comercial Loesch</t>
  </si>
  <si>
    <t xml:space="preserve">GV - Pagamento serv. de limpeza  por Vânia no prédio dias 05,08,13 e 15/10 </t>
  </si>
  <si>
    <t>JLP - Serviço de limpeza nos escritorios e Vila meio exped. 06/10 - Vânia</t>
  </si>
  <si>
    <t>JLP - Compra de 3,20m de alizar - Comercial Loesch</t>
  </si>
  <si>
    <t xml:space="preserve">GV - Compra de lampadas G9 2W 2.700K para apto 201 - Delevy Comercial </t>
  </si>
  <si>
    <t xml:space="preserve">GV - Compra de capa protetora para travesseiro - Otoni Utilidades </t>
  </si>
  <si>
    <t>JLP - Pagamento serviços prestados jardinagem banco de horas Juaniz</t>
  </si>
  <si>
    <t xml:space="preserve">JLP e GV -  Pagamento serviços prestados por Patrick do dia 13 a 16/10/2020 </t>
  </si>
  <si>
    <t>GV - Pagamento 05 diarias apto 201  - Silvio Kubiaki</t>
  </si>
  <si>
    <t xml:space="preserve">JLP - Restante do aluguel estacionamento Habitat pago em dinheiro </t>
  </si>
  <si>
    <t xml:space="preserve">GV - Compra de joelho 45 esgoto e luva esgoto p/lj 1040 - Continental </t>
  </si>
  <si>
    <t>JLP - Saída cheque Alexandre para depósito conta JLP</t>
  </si>
  <si>
    <t xml:space="preserve">GV - Aluguel V moto DJA - Outubro 2020  - Warlen Luiz </t>
  </si>
  <si>
    <t xml:space="preserve">GV - Retirada  Irving anotado no caderninho verde </t>
  </si>
  <si>
    <t>GV - Pagamento de entrada na compra de box, porta e basculantes p/loft - Guanabara</t>
  </si>
  <si>
    <t>JLP - Compra de café e açucar e material de limpeza  - DMA Distr. EPA</t>
  </si>
  <si>
    <t>GV - Pagamento 02 diárias apto 201 - prorrogação - Silvio Kubiaki</t>
  </si>
  <si>
    <t xml:space="preserve">JLP - Compra de corrente para madeira zincada - Ferragens Mineira </t>
  </si>
  <si>
    <t>GV - Compra de peças de granito para Cafofo - GALAMA</t>
  </si>
  <si>
    <t>GV e JLP - Compra de broca 6 - Comercial Loesch</t>
  </si>
  <si>
    <t xml:space="preserve">JLP e GV - Compra de massa  e cola para madeira - Comercial Loesch </t>
  </si>
  <si>
    <t>GV - Compra de cantoneira para cafofo - Vidraçaria Oliveira</t>
  </si>
  <si>
    <t xml:space="preserve">GV -  Pagamento serviços prestados por Patrick do dia 19 a 23/10/2020 </t>
  </si>
  <si>
    <t xml:space="preserve">GV -  Pagamento serviços prestados por XXXXX do dia 21 a 23/10/2020 </t>
  </si>
  <si>
    <t>JLP e GV - Pagamento serviços prestados jardinagem banco de horas Juaniz</t>
  </si>
  <si>
    <t>GV - Pagamento vagas para entulho na Av.Get.Vargas - SPE Park</t>
  </si>
  <si>
    <t>GV - Com Roberto para pagamento de mão de obra</t>
  </si>
  <si>
    <t>JLP e GV - Pagamento padaria do dia 14 a 26/10 - Lanches da Praça Padaria</t>
  </si>
  <si>
    <t xml:space="preserve">GV - Compra de lixa agua n-220  - Continental </t>
  </si>
  <si>
    <t xml:space="preserve">GV - Compra de rolo la e assento soft - Continental </t>
  </si>
  <si>
    <t>GV - Retirada para Irving anotado no caderninho verde</t>
  </si>
  <si>
    <t xml:space="preserve">JLP - Compra de mascara descartavel PFF2 - Ferragens Mineira </t>
  </si>
  <si>
    <t>JLP - Compra de seis camisas uniforme obra - LOJA TOP 12</t>
  </si>
  <si>
    <t xml:space="preserve">JLP - Compra de calças uniforme obra - Lojas Citicol  S A </t>
  </si>
  <si>
    <t xml:space="preserve">GV - Aluguel Loja JP 607 - Out20 - Anderson  A1464 </t>
  </si>
  <si>
    <t>GV - Pagamento serv. de limpeza  por Vânia no prédio dias 19,22,26 e 29/10</t>
  </si>
  <si>
    <t>JLP - Serviço de limpeza nos escritorios e Vila meio exped. 20 e 27/10 - Vânia</t>
  </si>
  <si>
    <t>JLP - Compra de dois carbonos para escritorio - Imprima</t>
  </si>
  <si>
    <t>GV - Ret Naz - Pagamento Iuri (Medicamentos  + Supermercado) - Pg Nubank Irv</t>
  </si>
  <si>
    <t>JLP - Aluguel Galpão 03 - Out  20 - Jorg Paul (Pg via boleto Carol)</t>
  </si>
  <si>
    <t>GV - Aluguel Apt 104 - Set 20 - Andressa (A1010+C90) - Via boleto Carol</t>
  </si>
  <si>
    <t>GV - Aluguel V 22 DJA - Outubro 20  - Joao Antonio  - Via boleto Carol</t>
  </si>
  <si>
    <t>GV - IPTU GV 1040 1.5</t>
  </si>
  <si>
    <t>GV - Aluguel V 13 DJA - Out 20 - Jorge Roberto (A100) (Pg via boleto Irv)</t>
  </si>
  <si>
    <t>GV - Aluguel V 05 DJA - Out 20 - Carla Martin (A250) (Pg via boleto Irv)</t>
  </si>
  <si>
    <t>GV - IPTU GV 1040 2.5</t>
  </si>
  <si>
    <t>GV - IPTU GV 1040 3.5</t>
  </si>
  <si>
    <t>GV - IPTU GV 1040 4.5</t>
  </si>
  <si>
    <t>GV - IPTU GV 1040 5.5</t>
  </si>
  <si>
    <t>GV e JLP - Honorários Rafaela (CXD 2000 = CCJLP 490)</t>
  </si>
  <si>
    <t>GV - Aluguel loja 1060 Rafik - Set 20 - (A 6500 - D 3000) Via boleto Carol</t>
  </si>
  <si>
    <t>GV - Aluguel V 06 DJA - Out 20 - Lucas Barreiros (A200) (Pg via boleto Carol)</t>
  </si>
  <si>
    <t>GV - Ret Naz - Sabrina (de 09 outubro até 03 novembro) - Pg Nubank Irv</t>
  </si>
  <si>
    <t>GV - Aluguel Apt 103 - Set 20 - Tairiny (R$1300 A + R$90 C)  (Pg via boleto Irv)</t>
  </si>
  <si>
    <t>GV - Aluguel Apt 101 - Set  20 - Amanda (A 1150+C90+115acordo caução-Dcovid 115) (Pg via boleto Irv)</t>
  </si>
  <si>
    <t>GV - Aluguel Apt 204 - Set 20 - Lindomar (A1500+C90+V150) (Pg via boleto Irv )</t>
  </si>
  <si>
    <t>GV - Aluguel Apt 203 -  Set 20  - MSA / Jaime (1550+90cond+150vaga)  (Pg via boleto Irv)</t>
  </si>
  <si>
    <t>GV - Aluguel Apt 102 - Set 2020  - Amaury (A950-D95+Cond90) - Pg via boleto Irv</t>
  </si>
  <si>
    <t>GV - Muda Cróton terraço - Emily</t>
  </si>
  <si>
    <t>GV - Pagamento honorários Ivana 3, 4, 5 e 6.6  - Projetos Loja GV 1040</t>
  </si>
  <si>
    <t>GV - Ret Naz - Vivo Família Irv (conta pessoal encerrada e incluída no plano família Irv)(Ligações pela Oi)</t>
  </si>
  <si>
    <t>GV e JLP - Vivo GV 5.12</t>
  </si>
  <si>
    <t xml:space="preserve">GV - Mobly  04.12 - Móveis ap 103 e outros </t>
  </si>
  <si>
    <t>GV - Marcan - 2.2 - GV Cafôfo - Piso sala</t>
  </si>
  <si>
    <t>GV - Megafoto - fotos antigas pro cafofo (Pg Nubank Irv)</t>
  </si>
  <si>
    <t>GV - Cantoneira PVC - Só Forro e PVC (Nota extraviada)</t>
  </si>
  <si>
    <t>JLP - Sondagem SPT terreno frente para studio e caixa d'água</t>
  </si>
  <si>
    <t>GV - Pagamento Robson Caçambas - 5 caçambas GV 1040  - Pg Nubank Irv</t>
  </si>
  <si>
    <t>GV - Pagamento Robson Caçambas - 5 caçambas GV 1040  - Pg Nubank Irv - ERRO</t>
  </si>
  <si>
    <t xml:space="preserve">09/10/2020 </t>
  </si>
  <si>
    <t xml:space="preserve">13/10/2020 </t>
  </si>
  <si>
    <t>017711</t>
  </si>
  <si>
    <t>GV - Ret Naz - Cemitério 2º Semestre 2020</t>
  </si>
  <si>
    <t>GV - Certidão de Inteiro teor - Registro terreno GV</t>
  </si>
  <si>
    <t>GV e JLP - Consultoria admissão MEIs</t>
  </si>
  <si>
    <t>GV - Estorno pacote serviço julho</t>
  </si>
  <si>
    <t xml:space="preserve">20/10/2020 </t>
  </si>
  <si>
    <t>017756</t>
  </si>
  <si>
    <t xml:space="preserve">22/10/2020 </t>
  </si>
  <si>
    <t>GV - Pagamento Cemig ap 201</t>
  </si>
  <si>
    <t xml:space="preserve">23/10/2020 </t>
  </si>
  <si>
    <t xml:space="preserve">26/10/2020 </t>
  </si>
  <si>
    <t>GV - MD Tintas - Fachada</t>
  </si>
  <si>
    <t>017972</t>
  </si>
  <si>
    <t>018016</t>
  </si>
  <si>
    <t>02/10/2020</t>
  </si>
  <si>
    <t>05/10/2020</t>
  </si>
  <si>
    <t>GV - Delevy - loft - curva pvc, cabihos, kit barr.bif. p/16, terminal, conector saída.</t>
  </si>
  <si>
    <t>021553</t>
  </si>
  <si>
    <t>GV - Delevy - interruptores para cafofo</t>
  </si>
  <si>
    <t>021102</t>
  </si>
  <si>
    <t xml:space="preserve">GV - Locminas - serra ar, aluguel serra,lixa, espatula, etc </t>
  </si>
  <si>
    <t>000575</t>
  </si>
  <si>
    <t>06/10/2020</t>
  </si>
  <si>
    <t>000576</t>
  </si>
  <si>
    <t>000577</t>
  </si>
  <si>
    <t>08/10/2020</t>
  </si>
  <si>
    <t>021462</t>
  </si>
  <si>
    <t>13/10/2020</t>
  </si>
  <si>
    <t>GV - Continental - cafôfo</t>
  </si>
  <si>
    <t>019448</t>
  </si>
  <si>
    <t>GV e JLP - Honorários Rafaela</t>
  </si>
  <si>
    <t>021046</t>
  </si>
  <si>
    <t>JLP - HSR - Aluguel Set 20 (A 4980,50)</t>
  </si>
  <si>
    <t>GV - Locminas - Compra de sikadur, trincha, estopa</t>
  </si>
  <si>
    <t>000578</t>
  </si>
  <si>
    <t>14/10/2020</t>
  </si>
  <si>
    <t xml:space="preserve">GV - Luso - Compra de veda trinca, cimento, argamassa, etc </t>
  </si>
  <si>
    <t>021126</t>
  </si>
  <si>
    <t>15/10/2020</t>
  </si>
  <si>
    <t>021236</t>
  </si>
  <si>
    <t>000580</t>
  </si>
  <si>
    <t>21/10/2020</t>
  </si>
  <si>
    <t>000579</t>
  </si>
  <si>
    <t>27/10/2020</t>
  </si>
  <si>
    <t>30/10/2020</t>
  </si>
  <si>
    <t>019366</t>
  </si>
  <si>
    <t>Restante aluguel Habitat</t>
  </si>
  <si>
    <t>ACF</t>
  </si>
  <si>
    <t>Nov 2020</t>
  </si>
  <si>
    <t>GV - Aluguel V 11 DJA - Novembro 20 - Rachid Sergio (A250)</t>
  </si>
  <si>
    <t>GV - Compra de dobradiça para box apto 201 - Vidraçaria Guanabara</t>
  </si>
  <si>
    <t xml:space="preserve">GV e JLP - Compra de broxa retangular - Continental </t>
  </si>
  <si>
    <t>JLP - Compra diazitop, pesticida e saco de vaso de planta - Agricol</t>
  </si>
  <si>
    <t>GV e JLP - Pagamento serviços prestados por Patrick dos dias 26 a 30/10</t>
  </si>
  <si>
    <t xml:space="preserve">GV e JLP - Serviços de jardinagem - Cesar </t>
  </si>
  <si>
    <t>GV - Compra de material de limpeza vass., rodo, pasta  p/ prédio - DMA Distr.EPA</t>
  </si>
  <si>
    <t>GV - DINHEIRO COM VITOR PARA PAGAMENTO DE AJUDANTE E EMERGÊNCIA</t>
  </si>
  <si>
    <t xml:space="preserve">GV - Compra de massa para vidro para cafofo - Vidraçaria Guanabara </t>
  </si>
  <si>
    <t xml:space="preserve">JLP - Compra de naftalina - Mercearia Coelho </t>
  </si>
  <si>
    <t>GV - Compra de 03 espelhos para apto 201,205 e cafofo - Vidraçaria Guanabara</t>
  </si>
  <si>
    <t>GV - Aluguel V 14 DJA - Nov 2020 - Alysson Rocha (A200)</t>
  </si>
  <si>
    <t>GV - Aluguel Vaga p/ moto DJA - Nov/20 - Jocelia</t>
  </si>
  <si>
    <t>GV - Pagamento estacionamento tele entulho jl 1040 - SPE Park</t>
  </si>
  <si>
    <t>GV e JLP - Pagamento serviços prestados por Patrick na loja e Vila (plantas) dias 03 e 04/11</t>
  </si>
  <si>
    <t>GV - Com Vitor para pagamento de mão de obra sábado</t>
  </si>
  <si>
    <t>GV - Aluguel V 15 DJA - Novembro 20- Cesar Porto (A100)</t>
  </si>
  <si>
    <t>GV - Compra de jogo de cama casal - Itapuã</t>
  </si>
  <si>
    <t xml:space="preserve">GV - Compra de jogos de cama, banho e capa de travesseiro p/aptos - Pernambucanas </t>
  </si>
  <si>
    <t>GV - Aluguel Apt Studio - Outubro 20 - Fran de Oliveira Alavina (A1250+90)</t>
  </si>
  <si>
    <t xml:space="preserve">GV - Aluguel V 03 DJA - Novembro 20 - Gildásio Klier </t>
  </si>
  <si>
    <t>GV - Aluguel Vaga p/ moto DJA - Novembro 20 - Gildásio Klier /Contabilidade Klier</t>
  </si>
  <si>
    <t>GV - Aluguel Vaga para moto - Novembro 20 - Fábio</t>
  </si>
  <si>
    <t>GV - Passei para Vitor efetuar pagamentos  - anotado no caderno</t>
  </si>
  <si>
    <t>GV - Aluguel Loja GV 1052 - Out 20 - Andre Batista A2900 - Desc.contratual 700</t>
  </si>
  <si>
    <t>GV - Compra de joelho 90, cap. Esgoto, disco diam. -  Continental</t>
  </si>
  <si>
    <t xml:space="preserve">GV - Compra de joelho PVC esgoto 90 - Ferragens Mineira </t>
  </si>
  <si>
    <t xml:space="preserve">GV - Compra de joelho 90 esgoto - Continental </t>
  </si>
  <si>
    <t>GV - Compra de disco corte inox - LocMinas</t>
  </si>
  <si>
    <t xml:space="preserve">GV - Recarga de 04 extintores e placas para Ed. Nova Era - BR Extintores </t>
  </si>
  <si>
    <t>GV e JLP - Compra de trincha 396/2 e Sifão - Continental</t>
  </si>
  <si>
    <t>GV - Compra de 500g de massa para vidro - Vidraçaria Guanabara</t>
  </si>
  <si>
    <t>GV - Pagamento serviços prestados dia 27/10 por Luis</t>
  </si>
  <si>
    <t>JLP - Compra de vinagre, detergente e café OBRA????? - DMA Distri. EPA</t>
  </si>
  <si>
    <t xml:space="preserve">GV  e JLP - Compra de pugue 03 saídas radial e reparo p/torneira - Ferragens Mineira </t>
  </si>
  <si>
    <t>GV - Compra de suporte café, pilhas e tampa de micro ondas p/aptos - BVR Comercio</t>
  </si>
  <si>
    <t>GV - Compra de esponja, papel higiênico, sabonete, etc p/aptos - DMA Distr.EPA</t>
  </si>
  <si>
    <t>GV e JLP - Pagamento padaria lanche colab. de 27/10 a 09/11 - Padaria Lanches da Praça</t>
  </si>
  <si>
    <t xml:space="preserve">GV e JLP - Pagamento serviços prestados por Thomas - 02  dias </t>
  </si>
  <si>
    <t>JLP - Serviço de limpeza nos escritorios e Vila meio exped.10/11- Vânia</t>
  </si>
  <si>
    <t xml:space="preserve">GV - Saída pra Irving </t>
  </si>
  <si>
    <t>GV - Aluguel Loja GV 603 com desc. Covid -Out/ 20 - Davi - 1800-540= 1260</t>
  </si>
  <si>
    <t>GV - Aluguel ESP DJA - Nov2020 - Mario Monteiro (A80)</t>
  </si>
  <si>
    <t>GV - Aluguel V 23 DJA -Nov, Dez/20, Jan, Fev/21 - Gustavo - Pago em cheques</t>
  </si>
  <si>
    <t xml:space="preserve">JLP - Pagamento serviços prestados por Patrick do dia 09 a 13 de novembro </t>
  </si>
  <si>
    <t>GV -  Compra de topo de bolo para aniversário Rafaelle</t>
  </si>
  <si>
    <t xml:space="preserve">JLP - Compra presente aniversário Rafaelle - Calçados Mattar </t>
  </si>
  <si>
    <t>JLP - Compra de bolo aniversário Rafaelle - Leo Bolos</t>
  </si>
  <si>
    <t>JLP - Compra de salgados e refri aniversário Rafaelle</t>
  </si>
  <si>
    <t>JLP - Compra de suco para aniversário Rafaelle</t>
  </si>
  <si>
    <t>GV e JLP - Compra de broca 11/32 - LocMinas</t>
  </si>
  <si>
    <t xml:space="preserve">GV e JLP - Compra de fita dupla face 16 - Imprima </t>
  </si>
  <si>
    <t>JLP - Compra de alpiste e canjiquinha para passarinhos - DMA Dist. EPA</t>
  </si>
  <si>
    <t xml:space="preserve">GV - Fita dupla face adesiva estreita 12mm - Delevy Comercial </t>
  </si>
  <si>
    <t>JLP - Compra de porca 3/8 e ruela 3/8 - Comercial Loesch</t>
  </si>
  <si>
    <t>GV - Pagamento serviços prestados loja 1040 - Valdemar - Recibo com Antonio Eusta.</t>
  </si>
  <si>
    <t>GV - Pagamento serviços prestados loja 1040 - Marcos -  Recibo com Antonio Eustaq.</t>
  </si>
  <si>
    <t>GV - Passei para Rafa pagar material obra lj1040 - anotado caderninho verde</t>
  </si>
  <si>
    <t xml:space="preserve">GV - Pagamento caução apto 201 Liudmila </t>
  </si>
  <si>
    <t>JLP - Aluguel V 1 a V 5 - Novembro 20 - Alexandre Couy (A525)</t>
  </si>
  <si>
    <t>JLP - Aluguel loja Fsa 152 - Outubro 20- Habitat (7750A) 7500CH + 250DN</t>
  </si>
  <si>
    <t xml:space="preserve">JLP - Saída cheque Alexandre/Habitat para deposito </t>
  </si>
  <si>
    <t xml:space="preserve">GV - Devolvido por Vitor através dos recibos da mão de obra paga </t>
  </si>
  <si>
    <t>GV - Valor repassado p/ Roberto pagar mão de obra lj 1040 dia 07/11</t>
  </si>
  <si>
    <t>GV - Valor repassado p/ Roberto pagar almoço ajudantes obra lj 1040 dia 07/11</t>
  </si>
  <si>
    <t xml:space="preserve">GV - Pagamento serviços prestados por Thomas dias 04 e 05/11 lj 1040 </t>
  </si>
  <si>
    <t xml:space="preserve">GV - Devolução feita por Rafaelle em notas </t>
  </si>
  <si>
    <t>GV - Compra de cimento para obra lj 1040 - Safra mat.Construção</t>
  </si>
  <si>
    <t>GV - Compra de brita para obra lj 1040 - Pedreira Mattar</t>
  </si>
  <si>
    <t>GV - Compra de areia para obra lj 1040 - Areal do Noé</t>
  </si>
  <si>
    <t>GV - Devolução caixa emergência Vitor</t>
  </si>
  <si>
    <t>GV - Conserto fechadura porta de vidro predio - Ponto das Chaves</t>
  </si>
  <si>
    <t>GV - Compra de parafusos para Cafofo - Ponto das Chaves</t>
  </si>
  <si>
    <t>GV - Compra de dobradiça box apto 201 - Vidraçaria Guanabara</t>
  </si>
  <si>
    <t>GV -  Plotagem cópia e digitação de projeto metro linear - Imprima</t>
  </si>
  <si>
    <t xml:space="preserve">JLP - Compra de dobradiça galvanizada 2,5 p/cafofo -  Comercial Loesch </t>
  </si>
  <si>
    <t>GV - Compra de bucha, parafusos, broca p/cafofo - Comercial Loesch</t>
  </si>
  <si>
    <t xml:space="preserve">GV - Compra de adesivo plastico p/l loja 1040 -  Continental </t>
  </si>
  <si>
    <t xml:space="preserve">GV - Compra de prego para lj 1040 - Continental </t>
  </si>
  <si>
    <t>GV - Compra de tábuas grossas  p/ lj 1040 - Comercial Loesch</t>
  </si>
  <si>
    <t xml:space="preserve">GV - Compra de mangueira para jardim lj 1040 - Ferragens Mineira </t>
  </si>
  <si>
    <t xml:space="preserve">GV - Compra de cimento e cal p/1040 - com Vitor anotado caderno </t>
  </si>
  <si>
    <t xml:space="preserve">GV - Pagamento serviços prestados loja 1040 dia 16/11 - Valdemar </t>
  </si>
  <si>
    <t xml:space="preserve">GV - Pagamento serviços prestados loja 1040 dia 16/11 - Marcos </t>
  </si>
  <si>
    <t xml:space="preserve">GV - Pagamento serviços prestados por Patrick do dia 16 a 20/11 </t>
  </si>
  <si>
    <t>GV - Compra de tijolos + frete p/lj 1040 - com Vitor anotado no caderno</t>
  </si>
  <si>
    <t>GV -  Aluguel 08 dias vaga moto - Patricia</t>
  </si>
  <si>
    <t>JLP - Pagamento NF 5989-1 Locminas (nota pasta contabilidade)</t>
  </si>
  <si>
    <t>GV - Aluguel vaga moto mês 11 - multa 10% - Warlen</t>
  </si>
  <si>
    <t>GV - Aluguel vaga garagem DJA - nov/20  - desc.COVID - Isabela</t>
  </si>
  <si>
    <t>GV - Pagamento serv. de limpeza  por Vânia no prédio dias 16,19,23,26/11/2020</t>
  </si>
  <si>
    <t>JLP - Serviço de limpeza nos escritorios e Vila meio exped. dias 17 e 24/11/2020 - Vânia</t>
  </si>
  <si>
    <t>GV - Compra de 02 molduras para espelho apto 205 e cafofo - Mundo da Arte</t>
  </si>
  <si>
    <t>GV - Compra de moldura e MDF para espelho 45x123 p/espelho apto 201 - Mundo da Arte</t>
  </si>
  <si>
    <t>JLP - Pagamento serviços prestados por Patrick do dia 23 a 27/11  (recibo com Vitor)</t>
  </si>
  <si>
    <t>JLP - Aluguel Galpão 03 - Nov  20 - Jorg Paul - Pg Nubank Irv</t>
  </si>
  <si>
    <t>GV - Aluguel V 22 DJA - Nov 20  - Joao Antonio  - Pg Nubank Irv</t>
  </si>
  <si>
    <t>GV - Aluguel Temporada Ap 201 Jose Carlos Correa - Temporada - Pg Nubank Irv</t>
  </si>
  <si>
    <t>GV - Aluguel Apt 104 - Out 20 - Andressa (A1010+C90) - Pg Nubank Irv</t>
  </si>
  <si>
    <t>GV e JLP - Gasolina viagem Irv BH</t>
  </si>
  <si>
    <t xml:space="preserve">GV - Ret Naz - Pagamento Danilo </t>
  </si>
  <si>
    <t>GV - Aluguel V 06 DJA - Nov 20 - Lucas Barreiros (A200) - Pg Nubank Irv</t>
  </si>
  <si>
    <t>GV - Ret Naz - Retirada</t>
  </si>
  <si>
    <t>GV - Aluguel V 13 DJA - Nov 20 - Jorge Roberto (A100)  - Pg Nubank Irv</t>
  </si>
  <si>
    <t>GV - Aluguel V 05 DJA - Nov 20 - Carla Martin (A250)  - Pg Nubank Irv</t>
  </si>
  <si>
    <t>GV - Aluguel Apt 101 - Out  20 - Amanda (A 1150+C90+115acordo caução-Dcovid 115) - Pg Nubank Irv</t>
  </si>
  <si>
    <t>GV - Aluguel Apt 103 - Out 20 - Tairiny (R$1300 A + R$90 C)  - Pg Nubank Irv</t>
  </si>
  <si>
    <t>GV - Aluguel loja 1060 Rafik - Out 20 - (A 6500 - D 3000) - Pg Nubank Irv</t>
  </si>
  <si>
    <t>GV - Aluguel Apt 204 - Out 20 - Lindomar (A1500+C90+V150) - Pg Nubank Irv</t>
  </si>
  <si>
    <t>GV - Aluguel Apt 203 -  Out 20  - MSA / Jaime (1550+90cond+150vaga)  - Pg Nubank Irv</t>
  </si>
  <si>
    <t>GV - Ret Naz - Sabrina (04 novembro até 30 novembro inclusive) - Pg Nubank Irv</t>
  </si>
  <si>
    <t>GV - Ret Naz - Pagamento Bianca (30 setembro  até 30 outubro inclusive) - Pg Nubank Irv</t>
  </si>
  <si>
    <t>GV - Pagamento Robson Caçambas - 4 caçambas GV 1040  - Pg Nubank Irv</t>
  </si>
  <si>
    <t>GV - Ret Naz - Pagamento Aline Dentista - Pg Nubank Irv</t>
  </si>
  <si>
    <t>GV - Paraná Ferragens - Estrutura telhado área cafêfo</t>
  </si>
  <si>
    <t>GV - Luso - Telhas em fibra - Telhado Cafôfo</t>
  </si>
  <si>
    <t>GV - Ret Naz - Pagamento Ótica Brasil - Pg Nubank Irv</t>
  </si>
  <si>
    <t>GV - Aluguel Loja GV 1050 - Out 20 - By Fiapo (A4000)</t>
  </si>
  <si>
    <t>GV - Aluguel Apt 102 - Out 2020  - Amaury (A950-D95+Cond90) - Pg via boleto Irv</t>
  </si>
  <si>
    <t>res+cof+nub</t>
  </si>
  <si>
    <t>GV - Exame admissional Marcos e Valdemar GV 1040</t>
  </si>
  <si>
    <t>GV e JLP - Compra de trado e alongamento</t>
  </si>
  <si>
    <t>GV - Paraná Ferragens - Estrutura telhado GV 1040</t>
  </si>
  <si>
    <t>GV e JLP - Honorários Rafaela (CXD 1750 = CCJLP 740)</t>
  </si>
  <si>
    <t>GV e JLP - Vivo GV 6.12</t>
  </si>
  <si>
    <t xml:space="preserve">GV - Mobly  05.12 - Móveis ap 103 e outros </t>
  </si>
  <si>
    <t>GV - Aluguel Apt 105 - Set  20 - Gilmenia (A1020+C90+M111) - Pg via boleto Irv</t>
  </si>
  <si>
    <t>JLP - Tranferência CC para Caixa</t>
  </si>
  <si>
    <t>GV - Mineira Madeiras - Eucaliptos tapume GV 1040</t>
  </si>
  <si>
    <t>GV - Só Gesso - cafôfo</t>
  </si>
  <si>
    <t>GV - Vitor Guanabara - Nota no caixa da Rafaela</t>
  </si>
  <si>
    <t>GV - Aluguel V 22 DJA - Dez 20  - Joao Paulo  - Via boleto Carol</t>
  </si>
  <si>
    <t>JLP - Aluguel Galpão 03 - Dez  20 - Jorg Paul (Pg via boleto Carol)</t>
  </si>
  <si>
    <t>GV e JLP - Airfryer G1</t>
  </si>
  <si>
    <t>GV e JLP - Multiprocessador G1</t>
  </si>
  <si>
    <t xml:space="preserve">06/11/2020 </t>
  </si>
  <si>
    <t>018524</t>
  </si>
  <si>
    <t xml:space="preserve">10/11/2020 </t>
  </si>
  <si>
    <t>018151</t>
  </si>
  <si>
    <t xml:space="preserve">11/11/2020 </t>
  </si>
  <si>
    <t>GV - Aluguel Temporário 201 - Airbnb</t>
  </si>
  <si>
    <t>GV - CREA - Cemig Loja GV 1052</t>
  </si>
  <si>
    <t xml:space="preserve">12/11/2020 </t>
  </si>
  <si>
    <t xml:space="preserve">16/11/2020 </t>
  </si>
  <si>
    <t xml:space="preserve">17/11/2020 </t>
  </si>
  <si>
    <t xml:space="preserve">GV - Cemig JP 609 </t>
  </si>
  <si>
    <t>GV - Cemig Ap 201</t>
  </si>
  <si>
    <t>GV - Certificado digital obra 1040</t>
  </si>
  <si>
    <t xml:space="preserve">19/11/2020 </t>
  </si>
  <si>
    <t xml:space="preserve">20/11/2020 </t>
  </si>
  <si>
    <t>018030</t>
  </si>
  <si>
    <t xml:space="preserve">23/11/2020 </t>
  </si>
  <si>
    <t xml:space="preserve">24/11/2020 </t>
  </si>
  <si>
    <t xml:space="preserve">25/11/2020 </t>
  </si>
  <si>
    <t>03/11/2020</t>
  </si>
  <si>
    <t xml:space="preserve">GV e JLP - Locminas - disco,broca,pa bico, etc. </t>
  </si>
  <si>
    <t>000581</t>
  </si>
  <si>
    <t>04/11/2020</t>
  </si>
  <si>
    <t>06/11/2020</t>
  </si>
  <si>
    <t>027385</t>
  </si>
  <si>
    <t>027434</t>
  </si>
  <si>
    <t>09/11/2020</t>
  </si>
  <si>
    <t>10/11/2020</t>
  </si>
  <si>
    <t>JLP - HSR - Aluguel Out 20 (A 4980,50)</t>
  </si>
  <si>
    <t>19/11/2020</t>
  </si>
  <si>
    <t>869940</t>
  </si>
  <si>
    <t>20/11/2020</t>
  </si>
  <si>
    <t>034268</t>
  </si>
  <si>
    <t xml:space="preserve">GV - Ret Irv - GV e JLP e Irv Festa - Vinhos Miolo </t>
  </si>
  <si>
    <t>000582</t>
  </si>
  <si>
    <t>000583</t>
  </si>
  <si>
    <t>23/11/2020</t>
  </si>
  <si>
    <t>JLP - Adiantamento - 13º 1A - Roberto</t>
  </si>
  <si>
    <t>000584</t>
  </si>
  <si>
    <t>000585</t>
  </si>
  <si>
    <t>24/11/2020</t>
  </si>
  <si>
    <t>25/11/2020</t>
  </si>
  <si>
    <t>021248</t>
  </si>
  <si>
    <t>30/11/2020</t>
  </si>
  <si>
    <t>019274</t>
  </si>
  <si>
    <t>JLP - Fortlev 1.3 - Ciaxa d'água 15.000 litros</t>
  </si>
  <si>
    <t>021272</t>
  </si>
  <si>
    <t>Aluguel Habitat Nov 20</t>
  </si>
  <si>
    <t>Contas Ingrid</t>
  </si>
  <si>
    <t>DAE Junta Comercial - certidão</t>
  </si>
  <si>
    <t>DAE Junta Comercial - alteração contratual</t>
  </si>
  <si>
    <t>Dez 2020</t>
  </si>
  <si>
    <t>GV - Compra de kit de peneira para terraço - BVR Comercio</t>
  </si>
  <si>
    <t xml:space="preserve">JLP - Compra de 02 linhas 6516 - Armarinho Barateiro </t>
  </si>
  <si>
    <t>JLP - Compra de Toalha de plastico p/mesa Jorg - Teixeira e Chaves</t>
  </si>
  <si>
    <t>GV - Ret Irv - Compra de fonte veicular - Paraíso Importadoes</t>
  </si>
  <si>
    <t>GV - Aluguel V 11 DJA - Dez 20 - Rachid Sergio (A250)</t>
  </si>
  <si>
    <t xml:space="preserve">GV - Aluguel Loja JP 607 - Nov 20 - Anderson  A1464 </t>
  </si>
  <si>
    <t>JLP - Compra de camisa para presente Roberto - RAFIK</t>
  </si>
  <si>
    <t>JLP - Compra de bolo para aniversário Roberto - ChocoLeo</t>
  </si>
  <si>
    <t xml:space="preserve">JLP - Ajuda de natal Dablius contabilidade - Liliane </t>
  </si>
  <si>
    <t>GV - Aluguel V 15 DJA - Dez 20- Cesar Porto (A100)</t>
  </si>
  <si>
    <t>JLP - Pagamento serviços prestados por Patrick de 30/11 a 04/12</t>
  </si>
  <si>
    <t>GV - Pagamento instalação ar-cond. Loft - com Vitor anotado no caderno</t>
  </si>
  <si>
    <t>JLP - Pagamento do dia 10/12 a 10/01 guarda mobilia  - Hober Caminhas</t>
  </si>
  <si>
    <t xml:space="preserve">GV - Pagamento vaga p/moto - dez/20 - Patrícia </t>
  </si>
  <si>
    <t>GV - Aluguel ESP DJA - Dez 2020 - Mario Monteiro (A80)</t>
  </si>
  <si>
    <t>GV - Compra de vidro para quadro - Mundo da Arte</t>
  </si>
  <si>
    <t xml:space="preserve">GV - Aluguel V 03 DJA - Dez/20 - Gildásio Klier </t>
  </si>
  <si>
    <t>GV - Aluguel Vaga p/ moto DJA - Dez/20 - Gildásio Klier /Contabilidade Klier</t>
  </si>
  <si>
    <t>GV - Aluguel Vaga para moto - Dez/20 - Fábio</t>
  </si>
  <si>
    <t>GV - Aluguel Apt Studio - Dez/20 - Fran de Oliveira Alavina (A1250+90)</t>
  </si>
  <si>
    <t>GV - Pagamento elaboração projeto elétrico Ed. Nova Era e Loja 1052 - Diogo Soares Costa</t>
  </si>
  <si>
    <t>GV - Aluguel Loja GV 603 com desc. Covid -Nov/ 20 - Davi - 1800-540= 1260</t>
  </si>
  <si>
    <t>GV - Saída cheque de Gustavo - vaga garagem - p/depósito conta Honorina</t>
  </si>
  <si>
    <t>GV - Pagamento serv. de limpeza  por Vânia no prédio dias 30/11 03,07 e 10/12</t>
  </si>
  <si>
    <t>JLP - Serviço de limpeza nos escritorios e Vila meio exped. dias 01/12 - Vânia</t>
  </si>
  <si>
    <t>GV - Aluguel Apt 202 - De 13 a 30 de nov/20 - Gabriel Botelho Corteletti</t>
  </si>
  <si>
    <t>GV - Vaga garagem c/desconto condom.Nova Era - Ref. 17 a 30/11 - Gabriel</t>
  </si>
  <si>
    <t>GV - Aluguel V 14 DJA - Dez/2020 - Alysson Rocha (A200)</t>
  </si>
  <si>
    <t>GV - Aluguel Vaga p/ moto DJA - Dez/20 - Jocelia</t>
  </si>
  <si>
    <t xml:space="preserve">JLP - Compra de um gás para Vila - MD gás </t>
  </si>
  <si>
    <t>GV - Aluguel Loja GV 1050 -  Nov 20 - By Fiapo (A4000)</t>
  </si>
  <si>
    <t>JLP - Pagamento serviços prestados por Patrick do dias 07,09 a 11/12</t>
  </si>
  <si>
    <t xml:space="preserve">GV e JLP - Pagamento um dia de serviço jardinagem Juaniz </t>
  </si>
  <si>
    <t>Hon - Pagamento aulas informática Danilo - com Vitor e Rafa</t>
  </si>
  <si>
    <t>Hon - Pagamento aulas informática Danilo ref. Mês Dez/20- com Vitor e Rafa</t>
  </si>
  <si>
    <t>JLP - Compra de modulo tomada 20A Fame - RV Lustres</t>
  </si>
  <si>
    <t>JLP - Pagamento locação de foto na Vila - Regina Lima - não esperou recibo</t>
  </si>
  <si>
    <t>JLP - Adiantamento dias de trabalho Patrick - recibo com Vitor</t>
  </si>
  <si>
    <t>JLP - Compra de cimento construção parede oficina - Safra - com Vitor</t>
  </si>
  <si>
    <t>JLP e GV - Compra de tijolos para obra lj 1040 e nova oficina - Grão Pará -com Vitor</t>
  </si>
  <si>
    <t>JLP - Aluguel V 1 a V 5 - Dezembro 20 - Alexandre Couy (A525)</t>
  </si>
  <si>
    <t>JLP - Aluguel loja Fsa 152 - Novembro 20- Habitat (7750A)</t>
  </si>
  <si>
    <t>GV - Saída para pagamento BADU compra p/obra 1040 - com Vitor anotado caderno</t>
  </si>
  <si>
    <t>JLP - Compra de bolo para aniversário Vânia - ChocoLeo/Gaciel</t>
  </si>
  <si>
    <t xml:space="preserve">GV - Saída do cheque de Alexandre/Habitat para depósito </t>
  </si>
  <si>
    <t>GV e JLP - Compra de filé para confraternização - Açougue Confiança</t>
  </si>
  <si>
    <t>JLP - Compra de suporte para ventilador - Eletro Pereira</t>
  </si>
  <si>
    <t>GV e JLP - Compra de lombo de porco para confraternização - Rebanhos</t>
  </si>
  <si>
    <t>JLP - Compra de ebulidor para a oficina - Ferragens Mineira</t>
  </si>
  <si>
    <t xml:space="preserve">GV e JLP - Compra de óleo e bacon para confraternização - DMA Distribuidora </t>
  </si>
  <si>
    <t>GV - Ret Irv - Compra de ivermectina 6MG - Irmãos Mattar</t>
  </si>
  <si>
    <t>GV e JLP - Compra de presente aniversário Vânia - Roupa Nova</t>
  </si>
  <si>
    <t xml:space="preserve">GV e JLP - Compras para almoço de confraternização - DMA Distribuidora </t>
  </si>
  <si>
    <t xml:space="preserve">GV e JLP - Compra de panetones para funcionarios escritorio - Cacau Show </t>
  </si>
  <si>
    <t>GV e JLP - Compra de cestas de natal colaboradores da obra - Mart Minas</t>
  </si>
  <si>
    <t xml:space="preserve">GV e JLP - Compra de fita veda rosca - Continental </t>
  </si>
  <si>
    <t>GV - Compra de 02 ganchos completo - Comercial Loesch</t>
  </si>
  <si>
    <t>JLP - Pagamento serviços prestados de 14 a 18 de dezembro de 2020 - Patrick</t>
  </si>
  <si>
    <t>Passei para Vitor efetuar pagamentos  - anotado no caderno - 10/11</t>
  </si>
  <si>
    <t>GV - Pagamento Serviços prestados por Roberto no dia 07/11</t>
  </si>
  <si>
    <t>GV - Pagamento Serviços prestados por Patricko no dia 07/11</t>
  </si>
  <si>
    <t>GV - Pagamento Serviços prestados por Juaniz no dia 07/11</t>
  </si>
  <si>
    <t>GV - Pagamento Serviços prestados por Luiz no dia 07/11</t>
  </si>
  <si>
    <t>GV - Vaga para tele-entulho loja 1040 - SPE PARK</t>
  </si>
  <si>
    <t>GV - Compra de porcas e arruela - Ferragens Mineira</t>
  </si>
  <si>
    <t xml:space="preserve">GV e JLP - Compra de cabos de enxada - Banca 26 -Mercado Municipal </t>
  </si>
  <si>
    <t xml:space="preserve">JLP - Compra de papel A4 - Imprima </t>
  </si>
  <si>
    <t>GV - Compra de porcas, barra roscavel e abraçadeira - Ferragens Mineira</t>
  </si>
  <si>
    <t>JLP - Compra de modulo tomada 20A BCO - Delevy</t>
  </si>
  <si>
    <t>GV - Compra de cola de madeira e torneira - cafofo - Continental</t>
  </si>
  <si>
    <t>JLP - Pagamento lanches colaboradores  período de 10/11 a 01/12 - Lanches da Praça padaria</t>
  </si>
  <si>
    <t xml:space="preserve">GV - Compra de 10 ripão - Comercial Loesch </t>
  </si>
  <si>
    <t xml:space="preserve">GV - Compra de rolo la - Continental </t>
  </si>
  <si>
    <t xml:space="preserve">GV - Compra de disco e eletrodo - Locminas </t>
  </si>
  <si>
    <t xml:space="preserve">JLP - Compra de radio transmi JFL 315MHZ - TV SOM </t>
  </si>
  <si>
    <t>GV - Compra de válvula para pia - Luso Brasil (abateu crédito de devolução)</t>
  </si>
  <si>
    <t>GV - Compra de prego c/cabeça 18x30 - Ferragens Mineira</t>
  </si>
  <si>
    <t xml:space="preserve">GV e JLP - Compra de bota couro bico plastico - Continental </t>
  </si>
  <si>
    <t xml:space="preserve">GV - Compra de luva soldavel - Continental </t>
  </si>
  <si>
    <t xml:space="preserve">GV - Compra de registro esfera - Continental </t>
  </si>
  <si>
    <t xml:space="preserve">GV - Compra de fita crepe - Teixeira e Chaves </t>
  </si>
  <si>
    <t xml:space="preserve">GV e JLP - Compra de bandeja pintura - Continental </t>
  </si>
  <si>
    <t>GV - Compra de eletrodo - Locminas</t>
  </si>
  <si>
    <t xml:space="preserve">GV - Compra de caixa passagem - Santos Refrigeração </t>
  </si>
  <si>
    <t>JLP - Compra 13 folhas transparentes - Teixeira e Chaves</t>
  </si>
  <si>
    <t>GV - Compra de parafusos c/bucha - Comercial Loesch</t>
  </si>
  <si>
    <t xml:space="preserve">GV - Compra de sifão - Continental </t>
  </si>
  <si>
    <t xml:space="preserve">GV - Compra de acefato cristal - Teixeira e Chaves </t>
  </si>
  <si>
    <t>GV - Compra de corrente p/lustre - Ferragens Mineira</t>
  </si>
  <si>
    <t xml:space="preserve">GV e JLP - Plastificação - Copiadora GV </t>
  </si>
  <si>
    <t>GV - Compra de sikatop 100 - Locminas - NF 030.234</t>
  </si>
  <si>
    <t>GV - Compra de thinner 900ml - Locminas - NF 030.237</t>
  </si>
  <si>
    <t xml:space="preserve">GV - Ret Irv - Compra de peito de frango - Casa de frango </t>
  </si>
  <si>
    <t xml:space="preserve">GV e JLP - Compra de botina elas -  Locminas </t>
  </si>
  <si>
    <t>GV - Compra de 02 ponteiras - Mundo da Arte</t>
  </si>
  <si>
    <t>JLP - Cópia de chave simples - Organização Garcia e Dutra</t>
  </si>
  <si>
    <t>JLP - Compra de recibo sem canhoto - Imprima</t>
  </si>
  <si>
    <t xml:space="preserve">GV - Compra de placa saída de emergência - Locminas </t>
  </si>
  <si>
    <t xml:space="preserve">JLP - Compra de bota de couro bico plastico - Continental </t>
  </si>
  <si>
    <t>GV - Compra de balde metal  - Locminas</t>
  </si>
  <si>
    <t xml:space="preserve">JLP - Compra de refrigerante , café, açucar, pão francês e mortadela - DMA Distr. EPA </t>
  </si>
  <si>
    <t xml:space="preserve">GV - Compra de trincha e rolo - Continental </t>
  </si>
  <si>
    <t xml:space="preserve">GV - Compra de disjuntor bipolar - Continental </t>
  </si>
  <si>
    <t>GV e JLP - Compra de lixas - Comercial Loesch</t>
  </si>
  <si>
    <t xml:space="preserve">GV - Compra de gesso cola para loja 1052 - Só gesso </t>
  </si>
  <si>
    <t>GV e JLP - Compra de refil Raid e sandalia Havaiana p/Vânia - DMA Distr. EPA</t>
  </si>
  <si>
    <t xml:space="preserve">JLP - Compra de papel interfolhas - Atacadista Três Vales </t>
  </si>
  <si>
    <t xml:space="preserve">GV - Compra de agimax cupim - Mario Dias Pereira </t>
  </si>
  <si>
    <t>GV - Compra de 20 sacos de cimento p/loja 1040 - Safra - NF 042.912 - Honorina</t>
  </si>
  <si>
    <t xml:space="preserve">GV - Compra de serra e arame - Ferragens Mineira </t>
  </si>
  <si>
    <t xml:space="preserve">JLP - Compra de corante globocor 50ml - Ferragens Mineira </t>
  </si>
  <si>
    <t xml:space="preserve">GV - Compra de placas 4x2 3 TEC - Delevy Comercial </t>
  </si>
  <si>
    <t xml:space="preserve">GV e JLP - Compra de fita adesiva 45mm - Imprima </t>
  </si>
  <si>
    <t xml:space="preserve">GV e JLP - Compra de material de limpeza -  DMA Distr. EPA </t>
  </si>
  <si>
    <t>GV - Compra de Novacor acrilico fosco  - MD Tintas - NF 11.793 Honorina usou av q tinha</t>
  </si>
  <si>
    <t xml:space="preserve">GV  - Compra de uma flanela - Sem nota  recibo assinado por Rafaelle </t>
  </si>
  <si>
    <t>GV - Compra de arruela ferro - Ferragens Mineira</t>
  </si>
  <si>
    <t>GV - Compra de 04 ganchos - Comercial Loesch</t>
  </si>
  <si>
    <t xml:space="preserve">JLP - Compra de peneira areia - Locminas </t>
  </si>
  <si>
    <t>JLP - Compra de espuma bloco - Locminas</t>
  </si>
  <si>
    <t>GV - Passei para Rafaelle completar valor dos tijolos comprados no dia 15/12</t>
  </si>
  <si>
    <t xml:space="preserve">GV - Entrada feita por Irving </t>
  </si>
  <si>
    <t>GV - Pagamento 05 dias Mateus ajudante obra 1040 - Recibo Sr. Antônio</t>
  </si>
  <si>
    <t>GV - Adiantamento Marcos pedreiro obra 1040 - Recibo com Sr. Antônio</t>
  </si>
  <si>
    <t>GV - Adiantamento Valdemar ajudante obra 1040 - Recibo com Sr. Antônio</t>
  </si>
  <si>
    <t xml:space="preserve">JLP - Empréstimo feito a Juaniz </t>
  </si>
  <si>
    <t>JLP - Pagamento cesar jardinheiro - serviços prestados na Vila</t>
  </si>
  <si>
    <t xml:space="preserve">GV - Compra de laje para loja 1040 - Lajes Mucury </t>
  </si>
  <si>
    <t>GV - Compra de escoras, tabuas, ripão e prego - Comercial Loesch</t>
  </si>
  <si>
    <t>GV - Compra de tijolos - Grão Pará Mat. Construção</t>
  </si>
  <si>
    <t>GV - Compra de 03 barras de ferro - Grão Pará Mat. Construção</t>
  </si>
  <si>
    <t>GV - Compra de vassourão p/estacionamento - Locminas</t>
  </si>
  <si>
    <t>GV - Compra de material de limpeza, sal e corante - DMA Distr. EPA</t>
  </si>
  <si>
    <t xml:space="preserve">GV - Compras para LOFT (pano microfibra, potes, saca rolhas, etc) - Otoni Utilidades </t>
  </si>
  <si>
    <t>GV - Compras para Loft (balde, copo, peneira, garfos, pratos, etc) BVR Comercio</t>
  </si>
  <si>
    <t>GV - Compras para Loft (capacho, colcha de casal) - Arthur Lundgren Tecidos</t>
  </si>
  <si>
    <t>JLP - Pagamento serviços prestados por Patrick de 21 a 24/12</t>
  </si>
  <si>
    <t xml:space="preserve">JLP - Adiantamento dias de trabalho Patrick </t>
  </si>
  <si>
    <t>GV - Pagamento serv. de limpeza  por Vânia no prédio dias 14,17,21 e 24 dez</t>
  </si>
  <si>
    <t>JLP - Serviço de limpeza nos escritorios e Vila meio exped. dias 15 e 18 - Vânia</t>
  </si>
  <si>
    <t>JLP - Compra de cola adesivo - Locminas - NF 030.251</t>
  </si>
  <si>
    <t xml:space="preserve">GV - Aluguel Loja JP 607 - Dez 20 - Anderson  A1464 </t>
  </si>
  <si>
    <t>GV - Pagamento laje loja 1040 - Lajes Mucury</t>
  </si>
  <si>
    <t>GV - Pagamento Serviços prestados por Patricko nos dias 28 a 31/12</t>
  </si>
  <si>
    <t>GV - Areal do Noé - 1040</t>
  </si>
  <si>
    <t>GV - Aluguel Apt 104 - Nov 20 - Andressa (A1010+C90) - Pg Nubank Carol</t>
  </si>
  <si>
    <t>GV - Toninho Eletricista - Loja GV 1052 - novo padrão 220 V</t>
  </si>
  <si>
    <t>GV - Malhas para o Terraço</t>
  </si>
  <si>
    <t>GV - Aluguel Apt 103 - Nov 20 - Tairiny (R$1300 A + R$90 C)  - Pg Nubank Irv</t>
  </si>
  <si>
    <t>GV - Aluguel V 13 DJA - Dez 20 - Jorge Roberto (A100)  - Pg Nubank Irv</t>
  </si>
  <si>
    <t>GV - Aluguel V 05 DJA - Dez 20 - Carla Martin (A250)  - Pg Nubank Irv</t>
  </si>
  <si>
    <t>GV - Aluguel Apt 105 - Out  20 - Gilmenia (A1020+C90-D Covid 102) -  - Pg Nubank Irv</t>
  </si>
  <si>
    <t>GV - Aluguel Apt 201 -  Out 20  - Liudimila (1550+90cond+150vaga)  - Pg Nubank Irv</t>
  </si>
  <si>
    <t>GV - Aluguel V 06 DJA - Dez 20 - Lucas Barreiros (A200) - Pg Nubank Irv</t>
  </si>
  <si>
    <t>GV - Ret Naz - Pagamento Bianca (30 outubro  até 30 novembro inclusive) - Pg Nubank Irv</t>
  </si>
  <si>
    <t>GV - Ret Naz - Sabrina (01 de dezembro até 25 dezembro inclusive) - Pg Nubank Irv</t>
  </si>
  <si>
    <t>GV - Aluguel Loja GV 1052 - Nov 20 - Andre Batista A2900 - Desc.contratual 700 - Pg Nubank Irv</t>
  </si>
  <si>
    <t>GV - Aluguel loja 1060 Rafik - Nov 20 - (A 6500 - D 3000) - Pg Nubank Irv</t>
  </si>
  <si>
    <t>GV - Aluguel Apt 203 -  Nov 20  - MSA / Jaime (1550+90cond+150vaga)  - Pg Nubank Irv</t>
  </si>
  <si>
    <t>GV - Transferência CXD p cc Hon (Via Nub Irv)</t>
  </si>
  <si>
    <t>GV - Aluguel Apt 204 - Nov 20 - Lindomar (A1500+C90+V150) - Pg Nubank Irv</t>
  </si>
  <si>
    <t>GV - Aluguel Apt 101 - Nov  20 - Amanda (A 1150+C90+115acordo caução-Dcovid 115) - Pg Nubank Carol</t>
  </si>
  <si>
    <t>GV - Ret Naz - Consulta Dr. Richard - Geriatra - Recibo no IR</t>
  </si>
  <si>
    <t>GV - Taxa ART projeto elétrico GV 1040</t>
  </si>
  <si>
    <t>GV - Aluguel V 04 DJA - Jan 20 - Isabela</t>
  </si>
  <si>
    <t>JLP - Live Banda Moov</t>
  </si>
  <si>
    <t>GV - Tachas para piso da garagem</t>
  </si>
  <si>
    <t>GV e JLP - Vivo GV 7.12</t>
  </si>
  <si>
    <t xml:space="preserve">GV - Mobly  06.12 - Móveis ap 103 e outros </t>
  </si>
  <si>
    <t>JLP - Cimento</t>
  </si>
  <si>
    <t>GV - Transferencia para o Caixa Rafaela</t>
  </si>
  <si>
    <t>GV - Parcela 1.5 Antônio Eustáquio - Adm. Obra GV 1040</t>
  </si>
  <si>
    <t>GV - Restante - 50% cortinas cafôfo (Via Nubank Irv)</t>
  </si>
  <si>
    <t xml:space="preserve">GV e JLP - Ferragens Mineira - Carrinho de mão </t>
  </si>
  <si>
    <t>GV - Honorários Thiago Luz - AVCB</t>
  </si>
  <si>
    <t>JLP - Live Cesar Porto</t>
  </si>
  <si>
    <t>GV - Aluguel V 22 DJA - Jan 20  - Joao Paulo  - Via boleto Carol</t>
  </si>
  <si>
    <t>GV - Aluguel Apt 102 - Nov 2020  - Amaury (A950-D95+Cond90) - Via boleto Carol</t>
  </si>
  <si>
    <t>GV - Aluguel Apt 105 - Nov  20 - Gilmenia (A1020+C90-D Covid 10) - Via boleto Carol</t>
  </si>
  <si>
    <t>JLP - Equipamentos seguranaça portão laranja - anti-esmagamento, bloqueio de abertura e alarme</t>
  </si>
  <si>
    <t>GV - Sanduicheira cafôfo</t>
  </si>
  <si>
    <t>GV - Liquidificador cafôfo</t>
  </si>
  <si>
    <t>GV - Ponto das Chaves - Troca Fechadura despensa</t>
  </si>
  <si>
    <t>GV - SPE Park - caçambas GV 1040</t>
  </si>
  <si>
    <t xml:space="preserve">02/12/2020 </t>
  </si>
  <si>
    <t xml:space="preserve">04/12/2020 </t>
  </si>
  <si>
    <t>GV - Salário Marcos Pedreiro 1040</t>
  </si>
  <si>
    <t>000167</t>
  </si>
  <si>
    <t>GV - Salário  Valdemar ajudante 1040</t>
  </si>
  <si>
    <t>000168</t>
  </si>
  <si>
    <t xml:space="preserve">07/12/2020 </t>
  </si>
  <si>
    <t>015967</t>
  </si>
  <si>
    <t xml:space="preserve">10/12/2020 </t>
  </si>
  <si>
    <t>017829</t>
  </si>
  <si>
    <t>945839</t>
  </si>
  <si>
    <t xml:space="preserve">14/12/2020 </t>
  </si>
  <si>
    <t>GV - Ret Irv - Ventilador Britânia em reposição ao levado para casa da Aninha</t>
  </si>
  <si>
    <t>016957</t>
  </si>
  <si>
    <t>GV - BR Extintores - Material AVCB e recargas extintores</t>
  </si>
  <si>
    <t>018546</t>
  </si>
  <si>
    <t xml:space="preserve">15/12/2020 </t>
  </si>
  <si>
    <t>GV - Dáblius Contabilidade 1040</t>
  </si>
  <si>
    <t>018098</t>
  </si>
  <si>
    <t xml:space="preserve">16/12/2020 </t>
  </si>
  <si>
    <t>GV - 13o Marcos Pedreiro 1040</t>
  </si>
  <si>
    <t>000171</t>
  </si>
  <si>
    <t>GV - 13o  Valdemar ajudante 1040</t>
  </si>
  <si>
    <t>000172</t>
  </si>
  <si>
    <t xml:space="preserve">17/12/2020 </t>
  </si>
  <si>
    <t xml:space="preserve">18/12/2020 </t>
  </si>
  <si>
    <t>GV - GPS 1040</t>
  </si>
  <si>
    <t>029699</t>
  </si>
  <si>
    <t>GV - GPS 1040 13o</t>
  </si>
  <si>
    <t>029205</t>
  </si>
  <si>
    <t xml:space="preserve">21/12/2020 </t>
  </si>
  <si>
    <t>018234</t>
  </si>
  <si>
    <t xml:space="preserve">22/12/2020 </t>
  </si>
  <si>
    <t xml:space="preserve">23/12/2020 </t>
  </si>
  <si>
    <t>02/12/2020</t>
  </si>
  <si>
    <t>JLP - Dablius Contabilidade - Nov - Erro no pagamento - atraso</t>
  </si>
  <si>
    <t>03/12/2020</t>
  </si>
  <si>
    <t>000586</t>
  </si>
  <si>
    <t>000587</t>
  </si>
  <si>
    <t>07/12/2020</t>
  </si>
  <si>
    <t>10/12/2020</t>
  </si>
  <si>
    <t>JLP - HSR - Aluguel Nov 20 (A 4980,50 - 5% Desc = 4731,47) Desconto não autorizado, ajuste negociação</t>
  </si>
  <si>
    <t>11/12/2020</t>
  </si>
  <si>
    <t>GV - Continental - loja 1040 - Compra de tubo esgoto, joelho, curva</t>
  </si>
  <si>
    <t>15/12/2020</t>
  </si>
  <si>
    <t>JLP - Dablius Contabilidade - Dez</t>
  </si>
  <si>
    <t>021705</t>
  </si>
  <si>
    <t>JLP - Dablius Contabilidade - 13º</t>
  </si>
  <si>
    <t>020917</t>
  </si>
  <si>
    <t>JLP - Locminas - Conserto martelete, compra de eixo</t>
  </si>
  <si>
    <t>000588</t>
  </si>
  <si>
    <t>16/12/2020</t>
  </si>
  <si>
    <t>000589</t>
  </si>
  <si>
    <t>JLP - 13º 2A - Juaniz</t>
  </si>
  <si>
    <t>000590</t>
  </si>
  <si>
    <t>JLP - Adiantamento - Roberto</t>
  </si>
  <si>
    <t>000591</t>
  </si>
  <si>
    <t>GV - 13º 2A - Roberto</t>
  </si>
  <si>
    <t>000592</t>
  </si>
  <si>
    <t>18/12/2020</t>
  </si>
  <si>
    <t>034343</t>
  </si>
  <si>
    <t xml:space="preserve">GV - GPS 13o            </t>
  </si>
  <si>
    <t>034093</t>
  </si>
  <si>
    <t xml:space="preserve">GV - Delevy - loja 1052 - Compra de caixa polifasica </t>
  </si>
  <si>
    <t>021685</t>
  </si>
  <si>
    <t>945840</t>
  </si>
  <si>
    <t>21/12/2020</t>
  </si>
  <si>
    <t>24/12/2020</t>
  </si>
  <si>
    <t>015170</t>
  </si>
  <si>
    <t>015236</t>
  </si>
  <si>
    <t>28/12/2020</t>
  </si>
  <si>
    <t>JLP - Fortlev 2.3 - Caixa d'água 15.000 litros</t>
  </si>
  <si>
    <t>021344</t>
  </si>
  <si>
    <t>30/12/2020</t>
  </si>
  <si>
    <t>019786</t>
  </si>
  <si>
    <t>GV - Apt 105 - Gilmenia (multa aluguel)</t>
  </si>
  <si>
    <t>GV - Studio (luz)</t>
  </si>
  <si>
    <t>GV - Pagamento faxina Vania NE</t>
  </si>
  <si>
    <t xml:space="preserve">outros iptu </t>
  </si>
  <si>
    <t>recebido</t>
  </si>
  <si>
    <t>aluguel</t>
  </si>
  <si>
    <t>GV - Pagamento - Faxina Edifício Nova Era - Vania</t>
  </si>
  <si>
    <t>JLP - GV -Irv - Compra de material de limpeza e lanche Escritório - DMA Distr.EPA</t>
  </si>
  <si>
    <t>ESC</t>
  </si>
  <si>
    <t xml:space="preserve">GV - Pagamento serviços prestados por Vânia </t>
  </si>
  <si>
    <t>Set 2017</t>
  </si>
  <si>
    <t>01/08/2017 </t>
  </si>
  <si>
    <t xml:space="preserve">105,86 </t>
  </si>
  <si>
    <t>GV - Aluguel V 9 DJA - Agosto 17 - Sergio Rachid (A200)</t>
  </si>
  <si>
    <t xml:space="preserve">GV - IOF </t>
  </si>
  <si>
    <t xml:space="preserve">GV - IOF ADICIONAL </t>
  </si>
  <si>
    <t xml:space="preserve">-10,06 </t>
  </si>
  <si>
    <t xml:space="preserve">95,01 </t>
  </si>
  <si>
    <t>GV - padaria despedida Isleide (28/07)</t>
  </si>
  <si>
    <t>GV - fort supermercados (café)</t>
  </si>
  <si>
    <t>GV e JLP - Compra de pão para escritorio 17/07 a 24/07</t>
  </si>
  <si>
    <t>JLP - Compra de pão para obra 17/07 a 24/07</t>
  </si>
  <si>
    <t>GV e JLp - compra supermercado</t>
  </si>
  <si>
    <t>Gv e JLP -  presente Cissa - ajuda custo óculos</t>
  </si>
  <si>
    <t>GV - Aluguel Apt 202 - Julho 17 -  Sônia do Carmo Pereira</t>
  </si>
  <si>
    <t>GV - Depósito conta Santander HON</t>
  </si>
  <si>
    <t xml:space="preserve">774198 </t>
  </si>
  <si>
    <t xml:space="preserve">435,40 </t>
  </si>
  <si>
    <t>GV e JLP - Fechaduras cafôfo e portão escritório Fsa</t>
  </si>
  <si>
    <t xml:space="preserve">-215,74 </t>
  </si>
  <si>
    <t>GV - Porteiro eletrônico cafôfo</t>
  </si>
  <si>
    <t xml:space="preserve">-641,60 </t>
  </si>
  <si>
    <t>GV - Emily</t>
  </si>
  <si>
    <t xml:space="preserve">000108 </t>
  </si>
  <si>
    <t xml:space="preserve">-400,00 </t>
  </si>
  <si>
    <t>GV - JUROS</t>
  </si>
  <si>
    <t xml:space="preserve">0,02 </t>
  </si>
  <si>
    <t xml:space="preserve">-726,91 </t>
  </si>
  <si>
    <t>GV e JLP - gasolina Irving (sem nota/retirada móvel casa Ivana - cafofo)</t>
  </si>
  <si>
    <t>GV - Aluguel V 3 DJA - Agosto 17 - Fernando Henrique (A180)</t>
  </si>
  <si>
    <t>JLP - Cópia de chave SS04 e fita dupla face</t>
  </si>
  <si>
    <t xml:space="preserve">254965 </t>
  </si>
  <si>
    <t xml:space="preserve">-13,00 </t>
  </si>
  <si>
    <t>GV - Receptor antena cafôfo</t>
  </si>
  <si>
    <t xml:space="preserve">-128,63 </t>
  </si>
  <si>
    <t xml:space="preserve">-868,54 </t>
  </si>
  <si>
    <t xml:space="preserve">GV - Pagamento - Faxina Edifício Nova Era - Vania </t>
  </si>
  <si>
    <t xml:space="preserve">GV - Pagamento - Faxina Apt 205 Irving - Vania </t>
  </si>
  <si>
    <t>GV - Pagamento de pedreiro Otávio (D120)</t>
  </si>
  <si>
    <t>GV - Pagamento servente de pedreiro Deivid (D50)</t>
  </si>
  <si>
    <t>GV - Pagamento Alexandre (D60)</t>
  </si>
  <si>
    <t>GV - Pagamento extra Jorgiano</t>
  </si>
  <si>
    <t>GV - Aluguel ESP DJA - Agosto 17 - Mario Monteiro (A60)</t>
  </si>
  <si>
    <t>GV e JLP - retirada Irving</t>
  </si>
  <si>
    <t>GV - Aluguel V 7 DJA - Mês 17 - Luciana LA Boutique (A170)</t>
  </si>
  <si>
    <t>GV - cheque caução Sônia apto 202</t>
  </si>
  <si>
    <t>GV - Aluguel Apt 101 - Mês 17 - Lohanny (A940+C80+IPTU49,80,D20)</t>
  </si>
  <si>
    <t>GV e JLP - Gasolina Cissa</t>
  </si>
  <si>
    <t>GV e JLP - Compra de pão para escritorio 08/07</t>
  </si>
  <si>
    <t>GV - Compra de pão para obra 31/07</t>
  </si>
  <si>
    <t>GV - Aluguel V M DJA - Agosto 17 - Bruno Ricardo (A60)</t>
  </si>
  <si>
    <t>GV - Aluguel GP JP 605 - Julho 17 - Fatima Cristina (A1971,41+IPTU176,42)</t>
  </si>
  <si>
    <t>GV - exame médico demissional Janaílson</t>
  </si>
  <si>
    <t>GV - Joelho soldável e luva de correr</t>
  </si>
  <si>
    <t>GV - COPASA JP 603</t>
  </si>
  <si>
    <t xml:space="preserve">-57,75 </t>
  </si>
  <si>
    <t>GV - COPASA NE</t>
  </si>
  <si>
    <t xml:space="preserve">-435,59 </t>
  </si>
  <si>
    <t>GV e JLP - Viagem Irv BH - Gontijo</t>
  </si>
  <si>
    <t xml:space="preserve">501765 </t>
  </si>
  <si>
    <t xml:space="preserve">-270,10 </t>
  </si>
  <si>
    <t xml:space="preserve">774352 </t>
  </si>
  <si>
    <t xml:space="preserve">3.170,00 </t>
  </si>
  <si>
    <t xml:space="preserve">1.538,02 </t>
  </si>
  <si>
    <t>GV - Aluguel Apt 103 - Julho 17 - Arlete (A940+C80)</t>
  </si>
  <si>
    <t>GV - Luso Brasil (NF JLP 000.025.841)</t>
  </si>
  <si>
    <t>GV e JLP - Pagamento Ivana Bracks</t>
  </si>
  <si>
    <t>GV e JLP - Pagamento estagiária - Julho 17 - Iracy</t>
  </si>
  <si>
    <t>GV - Aluguel V M DJA - Agosto 17 - Sergio (A50)</t>
  </si>
  <si>
    <t>GV - Aluguel Loja GV 1052  -Julho 17 - Irmas Figueiredo (A2050-D50+IPTU51,87)</t>
  </si>
  <si>
    <t>GV - retirada Irving</t>
  </si>
  <si>
    <t>GV - Aluguel apt 102 - Jul17 - Jorge (A860+C80)</t>
  </si>
  <si>
    <t xml:space="preserve">110009 </t>
  </si>
  <si>
    <t xml:space="preserve">940,00 </t>
  </si>
  <si>
    <t>GV - Transferência CXD</t>
  </si>
  <si>
    <t xml:space="preserve">121156 </t>
  </si>
  <si>
    <t xml:space="preserve">-3.000,00 </t>
  </si>
  <si>
    <t>GV - Ferragens Mineira</t>
  </si>
  <si>
    <t xml:space="preserve">384665 </t>
  </si>
  <si>
    <t xml:space="preserve">-158,00 </t>
  </si>
  <si>
    <t xml:space="preserve">774330 </t>
  </si>
  <si>
    <t xml:space="preserve">1.020,00 </t>
  </si>
  <si>
    <t>GV - Padaria</t>
  </si>
  <si>
    <t xml:space="preserve">223865 </t>
  </si>
  <si>
    <t xml:space="preserve">-7,83 </t>
  </si>
  <si>
    <t xml:space="preserve">272365 </t>
  </si>
  <si>
    <t xml:space="preserve">-8,00 </t>
  </si>
  <si>
    <t xml:space="preserve">0,01 </t>
  </si>
  <si>
    <t xml:space="preserve">324,20 </t>
  </si>
  <si>
    <t>GV - Aluguel V 5 DJA - Agosto 17 - Gustavo (A185)</t>
  </si>
  <si>
    <t>GV - Aluguel Loja GV 1050 - Julho 17 - By Fiapo (A3640-D140+IPTU85,14)</t>
  </si>
  <si>
    <t>GV - Aluguel V 2 DJA - Agosto 17 - Lucas Barreiros (A185)</t>
  </si>
  <si>
    <t>JLP - cópia chaves portãozinho Francisco Sá</t>
  </si>
  <si>
    <t xml:space="preserve">GV - Aluguel Apt 203 - Julho 17 - Marina (A1200+C80+IPTU34,27) </t>
  </si>
  <si>
    <t>GV - Luminárias Tok e Stok - 202 e Std</t>
  </si>
  <si>
    <t xml:space="preserve">043365 </t>
  </si>
  <si>
    <t xml:space="preserve">-301,40 </t>
  </si>
  <si>
    <t>GV - Ret Irv - Etna - Criado Paula</t>
  </si>
  <si>
    <t xml:space="preserve">242065 </t>
  </si>
  <si>
    <t xml:space="preserve">-379,88 </t>
  </si>
  <si>
    <t xml:space="preserve">774286 </t>
  </si>
  <si>
    <t xml:space="preserve">2.051,90 </t>
  </si>
  <si>
    <t xml:space="preserve">1.694,82 </t>
  </si>
  <si>
    <t>GV - Aluguel V 1 DJA - Agosto 17 - Maria Goretti (A170)</t>
  </si>
  <si>
    <t>GV - Aluguel V 4 DJA - Mês 17 - Sergio (A190)</t>
  </si>
  <si>
    <t>GV e JLP - Compra de pão para escritorio até dia 14/08</t>
  </si>
  <si>
    <t>GV - Compra de pão para obra até dia 14/08</t>
  </si>
  <si>
    <t>GV e JLP - Despesas com padaria (escritório)</t>
  </si>
  <si>
    <t>GV - Bacias (queimadores) fogão cafofo</t>
  </si>
  <si>
    <t>GV - Aluguel Apt 105 - Julho 17 - Jéssicka (A862+C80)</t>
  </si>
  <si>
    <t>JLP - chaves portão</t>
  </si>
  <si>
    <t>GV - Ret Irv - Seguro ap Ouro 5.6</t>
  </si>
  <si>
    <t xml:space="preserve">-34,22 </t>
  </si>
  <si>
    <t>GV - Ret Naz - Seguro Resid H Marx 5.6</t>
  </si>
  <si>
    <t xml:space="preserve">-35,28 </t>
  </si>
  <si>
    <t>GV - Material de limpeza - Tia Teca</t>
  </si>
  <si>
    <t xml:space="preserve">353265 </t>
  </si>
  <si>
    <t xml:space="preserve">-93,00 </t>
  </si>
  <si>
    <t xml:space="preserve">774275 </t>
  </si>
  <si>
    <t xml:space="preserve">185,00 </t>
  </si>
  <si>
    <t xml:space="preserve">1.717,32 </t>
  </si>
  <si>
    <t>GV - Aluguel Apt 104 - Julho 17 - Evanilde (A960+C80) </t>
  </si>
  <si>
    <t>GV - Aluguel Apt 201 - Julho 17 - Ana Luiza Matos (A1500+C80) </t>
  </si>
  <si>
    <t>GV - Aluguel Apt 204 - Julho 17 - Michelle (A1150+C80+IPTU40,27)</t>
  </si>
  <si>
    <t>100 Cissa</t>
  </si>
  <si>
    <t>GV e JLP - misturador tintas - NF 2.972 MD Tintas LTDA</t>
  </si>
  <si>
    <t xml:space="preserve">GV - TARIFA </t>
  </si>
  <si>
    <t xml:space="preserve">-69,00 </t>
  </si>
  <si>
    <t>GV e JLP - Cinta abdominal Jorgiano</t>
  </si>
  <si>
    <t xml:space="preserve">582965 </t>
  </si>
  <si>
    <t xml:space="preserve">-75,90 </t>
  </si>
  <si>
    <t>GV - Charles Dantas - Padrão Cemig GV 1060</t>
  </si>
  <si>
    <t xml:space="preserve">000111 </t>
  </si>
  <si>
    <t xml:space="preserve">-300,00 </t>
  </si>
  <si>
    <t xml:space="preserve">774253 </t>
  </si>
  <si>
    <t xml:space="preserve">1.580,00 </t>
  </si>
  <si>
    <t>GV e JLP - Farmácia Indiana - Kit primeiros socorros</t>
  </si>
  <si>
    <t xml:space="preserve">552565 </t>
  </si>
  <si>
    <t xml:space="preserve">-39,45 </t>
  </si>
  <si>
    <t>GV e JLP - Tapetes borracha GV e JLP</t>
  </si>
  <si>
    <t xml:space="preserve">000110 </t>
  </si>
  <si>
    <t xml:space="preserve">-85,00 </t>
  </si>
  <si>
    <t xml:space="preserve">2.727,97 </t>
  </si>
  <si>
    <t>JLP - arruela ferro lisa</t>
  </si>
  <si>
    <t>GV - luva esgoto</t>
  </si>
  <si>
    <t>GV - curva esgoto curta</t>
  </si>
  <si>
    <t>GV - Ret Irv - Bionatural</t>
  </si>
  <si>
    <t xml:space="preserve">122365 </t>
  </si>
  <si>
    <t xml:space="preserve">-165,00 </t>
  </si>
  <si>
    <t>GV - Copasa Loja GV 1060</t>
  </si>
  <si>
    <t xml:space="preserve">-51,62 </t>
  </si>
  <si>
    <t>GV e JLP - Ivana Projetos Antigos (Dep. 2100, sendo 1600 consult Ago17 e 500 projs antgs)</t>
  </si>
  <si>
    <t xml:space="preserve">-2.100,00 </t>
  </si>
  <si>
    <t>JLP - Pharmácia 4.4</t>
  </si>
  <si>
    <t xml:space="preserve">-7.500,00 </t>
  </si>
  <si>
    <t>GV - RESGATE</t>
  </si>
  <si>
    <t xml:space="preserve">7.500,00 </t>
  </si>
  <si>
    <t xml:space="preserve">774264 </t>
  </si>
  <si>
    <t xml:space="preserve">1.600,00 </t>
  </si>
  <si>
    <t xml:space="preserve">2.011,37 </t>
  </si>
  <si>
    <t>GV - Copasa Loja 1060</t>
  </si>
  <si>
    <t xml:space="preserve">-240,49 </t>
  </si>
  <si>
    <t xml:space="preserve">1.770,88 </t>
  </si>
  <si>
    <t>GV e JLP - retirada agosto D. Nazinha</t>
  </si>
  <si>
    <t xml:space="preserve">GV - curva longa esgoto </t>
  </si>
  <si>
    <t xml:space="preserve">-1.500,00 </t>
  </si>
  <si>
    <t>GV - Terra e Entulho GV 1060</t>
  </si>
  <si>
    <t xml:space="preserve">000112 </t>
  </si>
  <si>
    <t xml:space="preserve">-480,00 </t>
  </si>
  <si>
    <t xml:space="preserve">0,06 </t>
  </si>
  <si>
    <t xml:space="preserve">-209,06 </t>
  </si>
  <si>
    <t>GV - aporte caixa Irving</t>
  </si>
  <si>
    <t>JLP - Adiantamento - Agosto 17 - Jorgiano</t>
  </si>
  <si>
    <t>GV - Cemig JP 601</t>
  </si>
  <si>
    <t xml:space="preserve">-16,06 </t>
  </si>
  <si>
    <t xml:space="preserve">-23,34 </t>
  </si>
  <si>
    <t xml:space="preserve">-32,55 </t>
  </si>
  <si>
    <t>GV - Cemig AP 205 (Ret Irv)</t>
  </si>
  <si>
    <t xml:space="preserve">-105,27 </t>
  </si>
  <si>
    <t>GV - Cemig ESCRT GV1056</t>
  </si>
  <si>
    <t xml:space="preserve">-106,04 </t>
  </si>
  <si>
    <t>GV e JLP - Assinatura Abril</t>
  </si>
  <si>
    <t xml:space="preserve">551000 </t>
  </si>
  <si>
    <t xml:space="preserve">-187,45 </t>
  </si>
  <si>
    <t>GV e JLP - Chave Inglesa - Ferragens Mineira</t>
  </si>
  <si>
    <t xml:space="preserve">592165 </t>
  </si>
  <si>
    <t xml:space="preserve">-80,00 </t>
  </si>
  <si>
    <t xml:space="preserve">-783,11 </t>
  </si>
  <si>
    <t xml:space="preserve">23/08/2017 </t>
  </si>
  <si>
    <t>GV - Ret Irv - Transf STD</t>
  </si>
  <si>
    <t xml:space="preserve">264755 </t>
  </si>
  <si>
    <t xml:space="preserve">-900,00 </t>
  </si>
  <si>
    <t xml:space="preserve">2.000,00 </t>
  </si>
  <si>
    <t xml:space="preserve">316,89 </t>
  </si>
  <si>
    <t>GV - Aluguel Loja JP 607 - Agosto 17 - Antonio Celso (A1360)</t>
  </si>
  <si>
    <t>GV e JLP - Compra de pão para escritorio 14/08</t>
  </si>
  <si>
    <t>JLP - Compra de pão para obra 14/08</t>
  </si>
  <si>
    <t>JLP - Compra salgados obra</t>
  </si>
  <si>
    <t>GV - compra cera líquida para o Ed. Nova Era</t>
  </si>
  <si>
    <t>GV e JLP - gasolina Irving</t>
  </si>
  <si>
    <t>GV e JLP - Rei das Bombonas - Tonel para água e tambor</t>
  </si>
  <si>
    <t xml:space="preserve">020065 </t>
  </si>
  <si>
    <t xml:space="preserve">-240,00 </t>
  </si>
  <si>
    <t xml:space="preserve">76,90 </t>
  </si>
  <si>
    <t>GV - ferragens mineira (cola PVC, joelho e luva)</t>
  </si>
  <si>
    <t>GV - Beira Rio (cap 40 esgoto)</t>
  </si>
  <si>
    <t>GV e JLP - Compra de pão para escritorio 21/08</t>
  </si>
  <si>
    <t>JLP - Compra de pão para obra 21/08</t>
  </si>
  <si>
    <t>GV - ferragens mineira (luva )</t>
  </si>
  <si>
    <t>GV - Ferragens Mineira ( tarraxa e serrote)</t>
  </si>
  <si>
    <t>GV e JLP - remendo pneu carrinho David - Bike Center</t>
  </si>
  <si>
    <t>JLP - registro de domínio - reembolso Marcio Evangelista</t>
  </si>
  <si>
    <t>GV - curva em S de eletroduto 3/4</t>
  </si>
  <si>
    <t xml:space="preserve">31/08/2017 </t>
  </si>
  <si>
    <t>GV - Almoço Teófilos Ivana</t>
  </si>
  <si>
    <t xml:space="preserve">585465 </t>
  </si>
  <si>
    <t xml:space="preserve">-58,91 </t>
  </si>
  <si>
    <t xml:space="preserve">17,99 </t>
  </si>
  <si>
    <t>JLP - Salário Jun Jorgiano</t>
  </si>
  <si>
    <t>000252  </t>
  </si>
  <si>
    <t xml:space="preserve">JLP - Salário Jun Juaniz </t>
  </si>
  <si>
    <t>000253  </t>
  </si>
  <si>
    <t>GV - Supermercado Universal</t>
  </si>
  <si>
    <t>GV - MD Tintas cafofo</t>
  </si>
  <si>
    <t>000255  </t>
  </si>
  <si>
    <t>JLP - FGTS acerto Janailson</t>
  </si>
  <si>
    <t>000256  </t>
  </si>
  <si>
    <t>JLP - FGTS rescição Janailson</t>
  </si>
  <si>
    <t>JLP - Aluguel GP 03 - Julho 17 - Juliana (A2250+IPTU 46,13) cheque</t>
  </si>
  <si>
    <t>JLP - Copasa CD Fsa</t>
  </si>
  <si>
    <t>GV - Othon de Carvalho - Material GV 1060</t>
  </si>
  <si>
    <t>JLP - Acerto Janailson</t>
  </si>
  <si>
    <t>JLP - Locminas - Loja GV 1060</t>
  </si>
  <si>
    <t>000258  </t>
  </si>
  <si>
    <t>GV - APLICACAO</t>
  </si>
  <si>
    <t>JLP - DP Aluguel glp FSA 152 B - Jul 17 - Souza Cruz (A2200)</t>
  </si>
  <si>
    <t>JLP - CONTABILIDADE</t>
  </si>
  <si>
    <t>JLP - Ret Irv - CC Sant - Pgto Dívidas sócios</t>
  </si>
  <si>
    <t>JLP - HSR - Aluguel Abr 17 (A 4980,50 + M 498,05)</t>
  </si>
  <si>
    <t>JLP - Safra - Loja GV 1060</t>
  </si>
  <si>
    <t>000259  </t>
  </si>
  <si>
    <t>JLP - Pagamento adiantamento Jorgiano</t>
  </si>
  <si>
    <t>000260  </t>
  </si>
  <si>
    <t>JLP - Pagamento adiantamento Juaniz</t>
  </si>
  <si>
    <t>000261  </t>
  </si>
  <si>
    <t>GV - TARIFA</t>
  </si>
  <si>
    <t>JLP - MD Tintas - Silicone e outras</t>
  </si>
  <si>
    <t>GV - APLICACAO CDB</t>
  </si>
  <si>
    <t>GV e JLP - MHE Consultoria</t>
  </si>
  <si>
    <t>JLP - Terra e Entulho GV 1060</t>
  </si>
  <si>
    <t>000262  </t>
  </si>
  <si>
    <t>JLP - Aluguel loja FSA 152  Junho 17 - Alex Couy (A7500+A500+IPTU 464,00)</t>
  </si>
  <si>
    <t>JLP - Locminas  - Loja GV 1060</t>
  </si>
  <si>
    <t>JLP - Serralheria N S Aparecida - Bida - Portão de correr</t>
  </si>
  <si>
    <t>JLP - Salário Jul Jorgiano</t>
  </si>
  <si>
    <t xml:space="preserve">JLP - Salário Jul Juaniz </t>
  </si>
  <si>
    <t>CDB DI Empresas</t>
  </si>
  <si>
    <t>Total Aplicações</t>
  </si>
  <si>
    <t>JLP - Bolsa estágio Iracy</t>
  </si>
  <si>
    <t>JLP - Aluguel Box C SS02 - Ago 2017 - kone (A323)</t>
  </si>
  <si>
    <t>JLP - Pagamento sócio Irving</t>
  </si>
  <si>
    <t>JLP - Pagamento sócios</t>
  </si>
  <si>
    <t>GV e JLP - Coador de café</t>
  </si>
  <si>
    <t>GV - Locminas</t>
  </si>
  <si>
    <t>GV e JLP - Filta dupla face</t>
  </si>
  <si>
    <t>GV - Sapólio Cond</t>
  </si>
  <si>
    <t>GV - Condulete cafôfo</t>
  </si>
  <si>
    <t>GV - Jájá Motores</t>
  </si>
  <si>
    <t>GV - Luva</t>
  </si>
  <si>
    <t>GV - Veda rosca</t>
  </si>
  <si>
    <t>GV - Plugue</t>
  </si>
  <si>
    <t>GV e JLP - Transformador</t>
  </si>
  <si>
    <t>GV - Vela carvão</t>
  </si>
  <si>
    <t>GV - aporte caixa Irving (Bracks)</t>
  </si>
  <si>
    <t>JLP - Rec Firma</t>
  </si>
  <si>
    <t>GV e JLP - Paisagismo</t>
  </si>
  <si>
    <t>Parcelas</t>
  </si>
  <si>
    <t>Ivana - Plano de pagamentos</t>
  </si>
  <si>
    <t>Projetos Prédios e reformas JLP / GV</t>
  </si>
  <si>
    <t xml:space="preserve">JLP - Ivana </t>
  </si>
  <si>
    <t xml:space="preserve">GV - Ivana </t>
  </si>
  <si>
    <t>GV e JLP - Ivana</t>
  </si>
  <si>
    <t>GV e JLP - Ivana Projetos Antigos</t>
  </si>
  <si>
    <t>GV e JLP - Ivana Projetos Antigos (Dep. 3500, sendo 1500 consultoria e 2000 projetos antigos)</t>
  </si>
  <si>
    <t>GV e JLP - Ivana Projetos Antigos (Dep. 2000, sendo 1500 consultoria e 500 projetos antigos)</t>
  </si>
  <si>
    <t>GV e JLP - Ivana Projetos Antigos (Dep. 1720, sendo 1500 consultoria, 500 projetos antigos - 280 ventilador)</t>
  </si>
  <si>
    <t>GV e JLP - Ivana Projetos Antigos (Dep. 2000, sendo 1500 consultoria Mar 17 e 500 projetos antigos)</t>
  </si>
  <si>
    <t>GV e JLP - Ivana Projetos Antigos (Dep. 1950, sendo 1600 consult Mai17 e 500 projs antgs - 150 pssg)</t>
  </si>
  <si>
    <t>GV e JLP - Ivana Projetos Antigos (Dep. 2100, sendo 1600 consult Jun17 e 500 projs antgs)</t>
  </si>
  <si>
    <t>GV e JLP - Ivana Projetos Antigos (Dep. 2100, sendo 1600 consult Jul17 e 500 projs antgs)</t>
  </si>
  <si>
    <t>Toninho Eletricista - Plano de pagamentos</t>
  </si>
  <si>
    <t>JLP - Toninho - instalação elétrica 1a</t>
  </si>
  <si>
    <t>JLP - Toninho - instalação elétrica 2a</t>
  </si>
  <si>
    <t>TV Som - Plano de crédito</t>
  </si>
  <si>
    <t>Conserto portão DJA</t>
  </si>
  <si>
    <t>03 controles remotos</t>
  </si>
  <si>
    <t>Receptor antena ap 203</t>
  </si>
  <si>
    <t>Suporte TV 203</t>
  </si>
  <si>
    <t>Cabos e extensão TV 203</t>
  </si>
  <si>
    <t>Suporte TV 204</t>
  </si>
  <si>
    <t>Baterias controle</t>
  </si>
  <si>
    <t>Receptor antena ap 204</t>
  </si>
  <si>
    <t>Bateria controle Naza</t>
  </si>
  <si>
    <t>Cilindro portão ed Nova Era</t>
  </si>
  <si>
    <t xml:space="preserve">Baterias equipamentos </t>
  </si>
  <si>
    <t>Bateria equipamentos e cabo p2</t>
  </si>
  <si>
    <t>Pilhas</t>
  </si>
  <si>
    <t>Conector</t>
  </si>
  <si>
    <t>Religação interna painel e reparo interfone ap 103</t>
  </si>
  <si>
    <t>Fios e cabos computador e TV para o cafôfo</t>
  </si>
  <si>
    <t>GV - GV 1060</t>
  </si>
  <si>
    <t>-</t>
  </si>
  <si>
    <t>GV - cheque caução Sônia apt 202</t>
  </si>
  <si>
    <t>JLP - Aluguel v 1 a 5 FSA 152 -  Jul 17- Alex Couy (A110*5=550-DS50)</t>
  </si>
  <si>
    <t>JLP - Aluguel Box C SS02 - Julho 17 - Maxuell (A323)</t>
  </si>
  <si>
    <t xml:space="preserve">GV - Faxina Edifício Nova Era - Vania </t>
  </si>
  <si>
    <t>GV - Diversas divididas com JLP</t>
  </si>
  <si>
    <t xml:space="preserve">JLP - Faxina Edifício Nova Era - Vania </t>
  </si>
  <si>
    <t>Kequip</t>
  </si>
  <si>
    <t>GV - Acerto Janailson</t>
  </si>
  <si>
    <t>GV - Adiantamento - Agosto 17 - Jorgiano</t>
  </si>
  <si>
    <t>GV - Compra de pão para obra 14/08</t>
  </si>
  <si>
    <t>GV - Compra de pão para obra 17/07 a 24/07</t>
  </si>
  <si>
    <t>GV - Compra de pão para obra 21/08</t>
  </si>
  <si>
    <t>GV - Compra salgados obra</t>
  </si>
  <si>
    <t>GV - Pagamento adiantamento Jorgiano</t>
  </si>
  <si>
    <t>GV - Pagamento adiantamento Juaniz</t>
  </si>
  <si>
    <t>GV - Salário Jul Jorgiano</t>
  </si>
  <si>
    <t xml:space="preserve">GV - Salário Jul Juaniz </t>
  </si>
  <si>
    <t>GV - Salário Jun Jorgiano</t>
  </si>
  <si>
    <t xml:space="preserve">GV - Salário Jun Juaniz </t>
  </si>
  <si>
    <t>GV - Locminas  - Loja GV 1060</t>
  </si>
  <si>
    <t>GV - Locminas - Loja GV 1060</t>
  </si>
  <si>
    <t>GV - Safra - Loja GV 1060</t>
  </si>
  <si>
    <t>GV - JLP - retirada Irving</t>
  </si>
  <si>
    <t>GV - Ret Irv - CC Sant - Pgto Dívidas sócios</t>
  </si>
  <si>
    <t>comissões (variável)</t>
  </si>
  <si>
    <t>GV - retirada agosto D. Nazinha</t>
  </si>
  <si>
    <t>01/09/2017 </t>
  </si>
  <si>
    <t>GV - Aluguel V 9 DJA - Setembro 17 - Sergio Rachid (A200)</t>
  </si>
  <si>
    <t>GV - rolo linha - Ferragens Mineira</t>
  </si>
  <si>
    <t>GV - Aporte caixa Hon</t>
  </si>
  <si>
    <t>JLP - Aluguel Box C SS02 - Agosto 17 - Maxuell (A323+32multa)</t>
  </si>
  <si>
    <t>GV - Ferragens Mineira - Junta para piso GV 1060</t>
  </si>
  <si>
    <t xml:space="preserve">552465 </t>
  </si>
  <si>
    <t>GV - pagamento Jorgiano (domingo)</t>
  </si>
  <si>
    <t>GV - pagamento Otávio (domingo)</t>
  </si>
  <si>
    <t>GV - pagamento Juaniz (domingo)</t>
  </si>
  <si>
    <t>GV - pagamento Daivid (domingo)</t>
  </si>
  <si>
    <t>GV - Aluguel Apt 202 - Agosto 17 -  Sônia do Carmo Pereira</t>
  </si>
  <si>
    <t>GV - Aluguel V M DJA - Setembro 17 - Bruno Ricardo (A60)</t>
  </si>
  <si>
    <t>JLP - Aluguel GP 03 - Agosto 17 - Juliana (A2250+IPTU 46,13)</t>
  </si>
  <si>
    <t>GV - Emily Paisagismo - GV, JLP e Hon</t>
  </si>
  <si>
    <t xml:space="preserve">000113 </t>
  </si>
  <si>
    <t xml:space="preserve">JLP - Depósito conta Santander JLP (cheque Juliana Salazar) </t>
  </si>
  <si>
    <t>GV - Aluguel JP 609 - Agosto 17 - Pedro Emílio Amador Salomão</t>
  </si>
  <si>
    <t xml:space="preserve">GV - Aluguel V 8 - Setembro 17 - Pedro Emílio Amador Salomão </t>
  </si>
  <si>
    <t>GV - Aluguel V 3 DJA - Setembro 17 - Fernando Henrique (A190)</t>
  </si>
  <si>
    <t>GV - rateio conta água loft 609 Pedro Emilio Amador Salomão</t>
  </si>
  <si>
    <t>JLP - Compra de pão para obra 05/09</t>
  </si>
  <si>
    <t>GV e JLP - Compra de pão para escritorio 05/09</t>
  </si>
  <si>
    <t>GV - Despesas com padaria (obra - café + açúcar)</t>
  </si>
  <si>
    <t>GV - Ret Irv - STD</t>
  </si>
  <si>
    <t xml:space="preserve">305330 </t>
  </si>
  <si>
    <t>GV - Ret Irv - BB</t>
  </si>
  <si>
    <t xml:space="preserve">132,90 </t>
  </si>
  <si>
    <t>GV - Depósito conta Santander HON - cheque Sônia</t>
  </si>
  <si>
    <t>GV - reconhecimento firma/cartório</t>
  </si>
  <si>
    <t>GV - Sedex CEP: 30360-380</t>
  </si>
  <si>
    <t>GV - Aluguel Apt 101 - Agosto 17 - Lohanny (A940+C80)</t>
  </si>
  <si>
    <t>GV - Aluguel GP JP 605 - Agosto 17 - Fatima Cristina (A1971,41)</t>
  </si>
  <si>
    <t>GV e JLP - Pagamento estagiária - Agosto 17 - Iracy</t>
  </si>
  <si>
    <t xml:space="preserve">175006 </t>
  </si>
  <si>
    <t xml:space="preserve">1.562,90 </t>
  </si>
  <si>
    <t>GV - Aluguel ESP DJA - Setembro 17 - Mario Monteiro (A80)</t>
  </si>
  <si>
    <t>GV e JLP - Compra de pão para escritorio 04/09</t>
  </si>
  <si>
    <t>GV - Compra de pão para obra 04/09</t>
  </si>
  <si>
    <t>GV - instalação porteiro eletronico cafofo - Roberto Raimundo</t>
  </si>
  <si>
    <t>GV e JLP - Café Escritório</t>
  </si>
  <si>
    <t>GV - Aluguel Loja GV 1052  -Agosto 17 - Irmas Figueiredo (A2050)</t>
  </si>
  <si>
    <t>GV e JLP - pagamento Ivana Bracks</t>
  </si>
  <si>
    <t>100 Alexandre</t>
  </si>
  <si>
    <t>GV - Copasa GV 1060</t>
  </si>
  <si>
    <t xml:space="preserve">451000 </t>
  </si>
  <si>
    <t>GV - Cia do Gesso - GV 1060</t>
  </si>
  <si>
    <t xml:space="preserve">221365 </t>
  </si>
  <si>
    <t xml:space="preserve">-27,85 </t>
  </si>
  <si>
    <t>GV - Aluguel Apt 103 - Agosto 17 - Arlete (A940+C80)</t>
  </si>
  <si>
    <t>GV - Aluguel Apt 201 - Agosto 17 - Ana Luiza Matos (A1500+C80) </t>
  </si>
  <si>
    <t>GV - Aluguel V 7 DJA - Setembro 17 - Luciana LA Boutique (A190)</t>
  </si>
  <si>
    <t>GV - reconhecimento firma/cartório 1º oficio de notas</t>
  </si>
  <si>
    <t>GV - argamassa ac-11 20kg - Continental</t>
  </si>
  <si>
    <t>Gv - plug 3 saida 2P - Delevy</t>
  </si>
  <si>
    <t>GV - Aluguel V 2 DJA - Setembro 17 - Lucas Barreiros (A185)</t>
  </si>
  <si>
    <t>GV - Depósito conta Santander HON - transferência bancária Arlete Avelino Jorge</t>
  </si>
  <si>
    <t>GV - Depósito conta Santander HON - cheque Lucas Barreiro  nº0146</t>
  </si>
  <si>
    <t>GV - Aluguel V 4 DJA - Setembro 17 - Sergio (A190)</t>
  </si>
  <si>
    <t>GV - Aluguel V M DJA - Setembro 17 - Sergio (A50)</t>
  </si>
  <si>
    <t>GV - Ret Irv - Seguro ap Ouro 6.6</t>
  </si>
  <si>
    <t>GV - Mat limpeza Cond NE</t>
  </si>
  <si>
    <t xml:space="preserve">231165 </t>
  </si>
  <si>
    <t>GV - Aluguel apt 102 - ago17 - Jorge (A860+C80)</t>
  </si>
  <si>
    <t xml:space="preserve">744365 </t>
  </si>
  <si>
    <t>GV - Depósito conta Santander HON (cheque Arlete )</t>
  </si>
  <si>
    <t xml:space="preserve">655594 </t>
  </si>
  <si>
    <t>GV - Depósito conta Santander HON (cheque Irmãs Figueiredo)</t>
  </si>
  <si>
    <t xml:space="preserve">164628 </t>
  </si>
  <si>
    <t xml:space="preserve">3.619,31 </t>
  </si>
  <si>
    <t>GV - curva sold. 25mm - Delevy</t>
  </si>
  <si>
    <t>GV - mangueira preta - Luso Brasil</t>
  </si>
  <si>
    <t>GV - Almoço com Tales Colombi</t>
  </si>
  <si>
    <t xml:space="preserve">422165 </t>
  </si>
  <si>
    <t>GV - Ret Irv - Saque Cx Elet</t>
  </si>
  <si>
    <t xml:space="preserve">657816 </t>
  </si>
  <si>
    <t xml:space="preserve">737,48 </t>
  </si>
  <si>
    <t>GV - Aluguel Apt 105 - Agosto 17 - Jéssicka (A862+C80)</t>
  </si>
  <si>
    <t>GV - Aluguel Apt 104 - Mês 17 - Evanilde (A960+C80) </t>
  </si>
  <si>
    <t>GV - Aluguel V 5 DJA - Mês 17 - Gustavo (A185)</t>
  </si>
  <si>
    <t xml:space="preserve">GV - Aluguel Apt 203 - Agosto 17 - Marina (A1200+C80) </t>
  </si>
  <si>
    <t>GV - contas Cemig D. Marina (Agosto e Setembro)</t>
  </si>
  <si>
    <t>GV - Gasolina Irv</t>
  </si>
  <si>
    <t xml:space="preserve">043465 </t>
  </si>
  <si>
    <t xml:space="preserve">633,35 </t>
  </si>
  <si>
    <t>GV - Pagamento - Faxina Edifício Nova Era - Vania (140)</t>
  </si>
  <si>
    <t>GV - Pagamento - Faxina Apt 205 Irving - Vania (70)</t>
  </si>
  <si>
    <t>GV - luva tigre - Delevy</t>
  </si>
  <si>
    <t>JLP - Aluguel Loja FSA 152 - Agosto 17 - Alexandre Couy (A7500)</t>
  </si>
  <si>
    <t>JLP - Aluguel V 1 a V 5 - Setembro 17 - Alexandre Couy (A500)</t>
  </si>
  <si>
    <t>GV - Pagamento 4.5 e 5.5 parcelas IPTU 2017 - Felipe 102</t>
  </si>
  <si>
    <t xml:space="preserve">564,35 </t>
  </si>
  <si>
    <t>GV - Despesas com padaria (obra) - compra de café</t>
  </si>
  <si>
    <t>GV e JLP - Compra de pão para escritorio 11/09</t>
  </si>
  <si>
    <t>GV - Compra de pão para obra 11/09</t>
  </si>
  <si>
    <t>GV - compra sabão em pó liquido Ariel</t>
  </si>
  <si>
    <t>GV - Aluguel Apt 204 - Mês 17 - Michelle (A1150+C80)</t>
  </si>
  <si>
    <t>JLP - Despesas com padaria (obra) - compra de açúcar</t>
  </si>
  <si>
    <t>GV - isopor 1cm - Teixeira e Chaves LTDA</t>
  </si>
  <si>
    <t xml:space="preserve">GV e JLP - OI RJ-TNL PCS S.A </t>
  </si>
  <si>
    <t xml:space="preserve">324,57 </t>
  </si>
  <si>
    <t xml:space="preserve">20/09/2017 </t>
  </si>
  <si>
    <t xml:space="preserve">573324 </t>
  </si>
  <si>
    <t xml:space="preserve">22/09/2017 </t>
  </si>
  <si>
    <t>JLP - Depósito conta Santander JLP</t>
  </si>
  <si>
    <t>GV - Aluguel Loja GV 1050 - Mês 17 - By Fiapo (A3500)</t>
  </si>
  <si>
    <t>GV - Aluguel V 1 DJA - Mês 17 - Maria Goretti (A190)</t>
  </si>
  <si>
    <t>GV - pagamento nota Delevy - NF 000.035.608</t>
  </si>
  <si>
    <t>GV - espanador pó - ferragens mineira</t>
  </si>
  <si>
    <t>GV - massa oleo para madeira - ferragens mineira</t>
  </si>
  <si>
    <t>GV - postagem carta não comercial</t>
  </si>
  <si>
    <t>GV e JLP - Despesas com padaria (escritório) - manteiga</t>
  </si>
  <si>
    <t>GV e JLP - Compra de pão para escritorio 25/09</t>
  </si>
  <si>
    <t>GV - Compra de pão para obra 25/09</t>
  </si>
  <si>
    <t>GV - cap. Solda, joelho, luva, curva, plug rosca - Delevy</t>
  </si>
  <si>
    <t>GV - retirada D. Nazinha</t>
  </si>
  <si>
    <t>GV - adiantamento Alexandre</t>
  </si>
  <si>
    <t xml:space="preserve">26/09/2017 </t>
  </si>
  <si>
    <t xml:space="preserve">-49,26 </t>
  </si>
  <si>
    <t>GV - despesas supermercado obra</t>
  </si>
  <si>
    <t xml:space="preserve">28/09/2017 </t>
  </si>
  <si>
    <t>GV - Ret Irv  - transf BB</t>
  </si>
  <si>
    <t>GV e JLP - Ivana Projetos Antigos (Dep. 2100, sendo 1600 consult Set 17 e 500 projs antgs)</t>
  </si>
  <si>
    <t>GV e JLP - Pagamento MHE</t>
  </si>
  <si>
    <t>GV - Ret Naz - Cemitério primeiro semestre 2017</t>
  </si>
  <si>
    <t xml:space="preserve">130,18 </t>
  </si>
  <si>
    <t>JLP - Aluguel Box C SS02 - Setembro 17 - Maxuell (A323)</t>
  </si>
  <si>
    <t>GV e JLP - pagamento Emily - paisagismo</t>
  </si>
  <si>
    <t xml:space="preserve">172742 </t>
  </si>
  <si>
    <t>GV e JLP - Curso informática Alexandre</t>
  </si>
  <si>
    <t xml:space="preserve">000121 </t>
  </si>
  <si>
    <t>GV e JLP - Pag Seguro - Cano em compra Internet geladeira studio</t>
  </si>
  <si>
    <t>GV - Supermercado Universal - Cestas básicas</t>
  </si>
  <si>
    <t>GV - Cama Baú Studio GV</t>
  </si>
  <si>
    <t>04/09/2017</t>
  </si>
  <si>
    <t>GV - Extintol - extintores</t>
  </si>
  <si>
    <t>971000</t>
  </si>
  <si>
    <t>05/09/2017</t>
  </si>
  <si>
    <t>GV - Delevy loja GV 1060</t>
  </si>
  <si>
    <t>501000</t>
  </si>
  <si>
    <t>774341</t>
  </si>
  <si>
    <t>06/09/2017</t>
  </si>
  <si>
    <t>GV - Delevy - Material loja GV 1060</t>
  </si>
  <si>
    <t>004560</t>
  </si>
  <si>
    <t>13/09/2017</t>
  </si>
  <si>
    <t>GV - Smart TV Studio</t>
  </si>
  <si>
    <t>GV - Othon Carvalho - Loja GV 1060</t>
  </si>
  <si>
    <t>15/09/2017</t>
  </si>
  <si>
    <t>18/09/2017</t>
  </si>
  <si>
    <t>JLP - Locminas GV 1060</t>
  </si>
  <si>
    <t>000267</t>
  </si>
  <si>
    <t>19/09/2017</t>
  </si>
  <si>
    <t>000268</t>
  </si>
  <si>
    <t>000269</t>
  </si>
  <si>
    <t>20/09/2017</t>
  </si>
  <si>
    <t>657959</t>
  </si>
  <si>
    <t>JLP - Safra Cimentos GV 1060</t>
  </si>
  <si>
    <t>000270</t>
  </si>
  <si>
    <t>21/09/2017</t>
  </si>
  <si>
    <t>22/09/2017</t>
  </si>
  <si>
    <t>GV - Sofá e cômoda Studio</t>
  </si>
  <si>
    <t>657827</t>
  </si>
  <si>
    <t>25/09/2017</t>
  </si>
  <si>
    <t>000158</t>
  </si>
  <si>
    <t>000266</t>
  </si>
  <si>
    <t>JLP - Marmoraria Poligram - GV 1060 soleiras</t>
  </si>
  <si>
    <t>000271</t>
  </si>
  <si>
    <t>26/09/2017</t>
  </si>
  <si>
    <t>GV - Luminária Studio</t>
  </si>
  <si>
    <t>27/09/2017</t>
  </si>
  <si>
    <t>683063</t>
  </si>
  <si>
    <t>JLP - GV copiadora - GV e JLP</t>
  </si>
  <si>
    <t>000272</t>
  </si>
  <si>
    <t>JLP - Luso Brasil GV 1060</t>
  </si>
  <si>
    <t>000281</t>
  </si>
  <si>
    <t>28/09/2017</t>
  </si>
  <si>
    <t>GV - Rack Studio GV NE</t>
  </si>
  <si>
    <t>29/09/2017</t>
  </si>
  <si>
    <t>JLP - Passos e Gouveia - Imperio dos Azulejos - Cerâmicas GV 1060</t>
  </si>
  <si>
    <t>000273</t>
  </si>
  <si>
    <t>Othon de Carvalho</t>
  </si>
  <si>
    <t>JLP - Aluguel Box C SS02 - Set 2017 - kone (A323)</t>
  </si>
  <si>
    <t>GV - Refeição</t>
  </si>
  <si>
    <t>GV - Microondas STD GV</t>
  </si>
  <si>
    <t>GV - Minaspiso</t>
  </si>
  <si>
    <t>GV e JLP - Restaurante viagem</t>
  </si>
  <si>
    <t>GV - Mangueira corrugada NF JLP contab</t>
  </si>
  <si>
    <t>GV - Eletricista GV 1060 - parte</t>
  </si>
  <si>
    <t>GV - Aluguel Apt 205 - Irving</t>
  </si>
  <si>
    <t>GV - Aluguel 1060</t>
  </si>
  <si>
    <t>JLP - IPTU e Outros</t>
  </si>
  <si>
    <t>estava em MO</t>
  </si>
  <si>
    <t>diversas dividida</t>
  </si>
  <si>
    <t xml:space="preserve">emiky paisagismo </t>
  </si>
  <si>
    <t>gasolina Irving</t>
  </si>
  <si>
    <t>GV - Diversas dividido com a JLP</t>
  </si>
  <si>
    <t>GV copiadora</t>
  </si>
  <si>
    <t>JLP - Diversas dividido com a GV</t>
  </si>
  <si>
    <t>GV e JLP - Aluguel Apt 205 - Irving</t>
  </si>
  <si>
    <t>GV e JLP - Cemig ESCRT GV1056</t>
  </si>
  <si>
    <t>valor correto</t>
  </si>
  <si>
    <t>GV - Compra de pão para obra 05/09</t>
  </si>
  <si>
    <t>GV - Despesas com padaria (obra) - compra de açúcar</t>
  </si>
  <si>
    <t>GV - Locminas GV 1060</t>
  </si>
  <si>
    <t>GV - Luso Brasil GV 1060</t>
  </si>
  <si>
    <t>GV - Marmoraria Poligram - GV 1060 soleiras</t>
  </si>
  <si>
    <t>GV - Passos e Gouveia - Imperio dos Azulejos - Cerâmicas GV 1060</t>
  </si>
  <si>
    <t>GV - Safra Cimentos GV 1060</t>
  </si>
  <si>
    <t>GV - Pag Seguro - Cano em compra Internet geladeira studio</t>
  </si>
  <si>
    <t>Out 2017</t>
  </si>
  <si>
    <t>01/10/2017 </t>
  </si>
  <si>
    <t>GV - Aluguel Loja JP 607 - Setembro 17 - Antonio Celso (A1360)</t>
  </si>
  <si>
    <t>GV - Cemig GV 1060</t>
  </si>
  <si>
    <t xml:space="preserve">000122 </t>
  </si>
  <si>
    <t>GV - Aluguel V 9 DJA - Outubro 17 - Sergio Rachid (A200)</t>
  </si>
  <si>
    <t>JLP - Aluguel GP 03 - Setembro 17 - Juliana (A2250+IPTU46,13)</t>
  </si>
  <si>
    <t>GV - Aluguel V M DJA - Outubro 17 - Bruno Ricardo (A60)</t>
  </si>
  <si>
    <t>GV - Aluguel Apt 101 - Setembro 17 - Lohanny (A940+C80)</t>
  </si>
  <si>
    <t>GV e JLP - Despesas com padaria (escritório) - café</t>
  </si>
  <si>
    <t>GV e JLP - Despesas com padaria (escritório) - bisoito água e gergelim</t>
  </si>
  <si>
    <t>GV - Compra de pão para obra 03/10/2017</t>
  </si>
  <si>
    <t>GV e JLP - Compra de pão para escritorio 03/10/2017</t>
  </si>
  <si>
    <t>GV - fita crepe - Teixeira Chaves</t>
  </si>
  <si>
    <t>GV - rejunte quartz. Flex. - Luso Brasil</t>
  </si>
  <si>
    <t>GV - ralo sifonado - Ferragens Minieira</t>
  </si>
  <si>
    <t>GV - broca videa - Locminas</t>
  </si>
  <si>
    <t>JLP - Depósito conta Santander JLP - cheque Juliana Salazar</t>
  </si>
  <si>
    <t>GV - luva soldável Ferragens Mineira</t>
  </si>
  <si>
    <t>GV e JLP - Pagamento estagiária - Setembro 17 - Iracy</t>
  </si>
  <si>
    <t>GV - Ret Irv (Pgto Fabíola)</t>
  </si>
  <si>
    <t>GV - Resgate</t>
  </si>
  <si>
    <t>GV - Aluguel Mes JP 609 - Setembro 17 - Pedro Emílio Amador Salomão (1200)</t>
  </si>
  <si>
    <t>GV - Aluguel V 8 DJA - Outubro 17 - Pedro Emílio Amador Salomão (150)</t>
  </si>
  <si>
    <t>GV - pagamento conta Cemig JP 609 ago 2017 - cafôfo</t>
  </si>
  <si>
    <t>GV - extra Jorgiano</t>
  </si>
  <si>
    <t>GV - Aluguel GP JP 605 - Setembro 17 - Fatima Cristina (A1971,41)</t>
  </si>
  <si>
    <t>GV - pagamento conta agua Pedro AGO 2017 - cafôfo</t>
  </si>
  <si>
    <t>GV -  04 tetra chaves - Ponto das Chaves</t>
  </si>
  <si>
    <t>GV - broca widia curta - Ferragens Mineira</t>
  </si>
  <si>
    <t>GV - fita veda rosca e anel vedação - Ferragens Mineira</t>
  </si>
  <si>
    <t>GV - espude - Continental</t>
  </si>
  <si>
    <t>GV - Aluguel Apt 103 - Setembro 17 - Arlete (A940+C80) cheque 850035 BB</t>
  </si>
  <si>
    <t>GV - Pagamento zelador José Antônio(D50)</t>
  </si>
  <si>
    <t xml:space="preserve">GV - Aluguel Apt 203 - Setembro 17 - Marina (A1200+C80+L24,00) </t>
  </si>
  <si>
    <t>GV e JLP - retirada D. Nazinha</t>
  </si>
  <si>
    <t xml:space="preserve">723,40 </t>
  </si>
  <si>
    <t>GV - Aluguel Apt 202 - Setembro 17 -  Sônia do Carmo Pereira</t>
  </si>
  <si>
    <t>GV e JLP - Compra de pão para escritorio 02/10/2017</t>
  </si>
  <si>
    <t>GV - Compra de pão para obra 02/10/2017</t>
  </si>
  <si>
    <t>GV - Aluguel Apt 201 - Setembro 17 - Ana Luiza Matos (A1500+C80) </t>
  </si>
  <si>
    <t>GV Copasa JP 603</t>
  </si>
  <si>
    <t>GV - Copasa JP 615 (GV 1060)</t>
  </si>
  <si>
    <t xml:space="preserve">22,25 </t>
  </si>
  <si>
    <t>GV - Aluguel V 2 DJA - Outubro 17 - Lucas Barreiros (A185)</t>
  </si>
  <si>
    <t>GV - torneira plastica - Ferragens Mineira</t>
  </si>
  <si>
    <t>GV - escapula zincada - Ferragens Mineira</t>
  </si>
  <si>
    <t>GV - bucha fixação nylon - Ferragens Mineira</t>
  </si>
  <si>
    <t>GV - curva PVC - Delevy</t>
  </si>
  <si>
    <t>GV - Mat Limpeza Cond NE</t>
  </si>
  <si>
    <t xml:space="preserve">591665 </t>
  </si>
  <si>
    <t xml:space="preserve">657948 </t>
  </si>
  <si>
    <t xml:space="preserve">657850 </t>
  </si>
  <si>
    <t>GV - Pagamento Cemig JP 609 20170906</t>
  </si>
  <si>
    <t>GV e JLP - almoço meninos - Oficina da Pizza</t>
  </si>
  <si>
    <t>GV e JLP - lanche da manhã - Padaria Nova Delicia</t>
  </si>
  <si>
    <t xml:space="preserve">GV e JLP - almoço Irving, Xandão e Ivana - Sabor da Terra </t>
  </si>
  <si>
    <t xml:space="preserve">GV e JLP - lanche da tarde - Padaria </t>
  </si>
  <si>
    <t>GV e JLP - Pagamento zelador José Antônio(D50)</t>
  </si>
  <si>
    <t>JLP - Pagamento Alexandre (D60)</t>
  </si>
  <si>
    <t>GV - Aluguel V 1 DJA - Outubro 17 - Maria Goretti (A190)</t>
  </si>
  <si>
    <t>GV - Aluguel V 4 DJA - Outubro 17 - Sergio (A190)</t>
  </si>
  <si>
    <t>GV - Aluguel V M DJA - Outubro 17 - Sergio (A50)</t>
  </si>
  <si>
    <t>GV - Aluguel ESP DJA - Outubro 17 - Mario Monteiro (A80)</t>
  </si>
  <si>
    <t>GV - Aluguel V 5 DJA - Outubro 17 - Gustavo (A185)</t>
  </si>
  <si>
    <t>GV - Aluguel Loja GV 1050 - Setembro 17 - By Fiapo (A3500)</t>
  </si>
  <si>
    <t>GV - Aluguel Apt 105 - Setembro 17 - Jéssicka (A862+C80)</t>
  </si>
  <si>
    <t>GV - Depósito conta Santander HON - depósito cheque Ana Luiza Matos</t>
  </si>
  <si>
    <t xml:space="preserve">GV e JLP - aporte caixa Irving dia 13/10 </t>
  </si>
  <si>
    <t>JLP - Despesas com padaria (obra) - café e açúcar - DMA Distribuidora</t>
  </si>
  <si>
    <t>JLP - arruela e bucha - Ferragens Mineira</t>
  </si>
  <si>
    <t>JLP - curva - Delevy</t>
  </si>
  <si>
    <t>GV - Compra de pão para obra 11/10</t>
  </si>
  <si>
    <t>GV - Compra de pão para obra 13/10</t>
  </si>
  <si>
    <t>GV - Compra de pão para obra 16/10</t>
  </si>
  <si>
    <t>JLP - 03 cópias chaves Ivana</t>
  </si>
  <si>
    <t>GV - Aluguel V 3 DJA - Outubro 17 - Fernando Henrique (A190)</t>
  </si>
  <si>
    <t>JLP - Aluguel Loja FSA 152 - Setembro 17 - Alexandre Couy (A7500)</t>
  </si>
  <si>
    <t>JLP - Aluguel V 1 a V 5 - Outubro 17 - Alexandre Couy (A500)</t>
  </si>
  <si>
    <t xml:space="preserve">657860 </t>
  </si>
  <si>
    <t xml:space="preserve">4.100,77 </t>
  </si>
  <si>
    <t>GV - Aluguel V 7 DJA - Outubro e Novembro 17 - Luciana LA Boutique (A190)</t>
  </si>
  <si>
    <t>GV - Aluguel Apt 204 - Setembro 17 - Michelle (A1150+C80-D200,00)</t>
  </si>
  <si>
    <t>GV - Aluguel Apt 104 - Setembro 17 - Evanilde (A960+C80) </t>
  </si>
  <si>
    <t>GV e JLP - conserto computador Irving NF: 972/1</t>
  </si>
  <si>
    <t>GV e JLP - Compra de pão para escritorio 17/10/2017</t>
  </si>
  <si>
    <t>JLP - Depósito conta Santander JLP - cheque Tendecia (4750) e Helbert Lopes de Paula (3250)</t>
  </si>
  <si>
    <t>GV - Depósito conta Santander HON - cheque L &amp; A Boutique LTDA</t>
  </si>
  <si>
    <t>GV - CCM Parafusos - GV 1060</t>
  </si>
  <si>
    <t xml:space="preserve">424165 </t>
  </si>
  <si>
    <t>GV e JLP - Ferragens Mineira - Ferramentas</t>
  </si>
  <si>
    <t xml:space="preserve">501065 </t>
  </si>
  <si>
    <t>GV - CCM Parafusos - Marquise</t>
  </si>
  <si>
    <t xml:space="preserve">321065 </t>
  </si>
  <si>
    <t>GV e JLP - Quase 2 - Placas decorativas e caixas</t>
  </si>
  <si>
    <t xml:space="preserve">290565 </t>
  </si>
  <si>
    <t>GV e JLP - Quase 2 - Caixa Multiuso</t>
  </si>
  <si>
    <t xml:space="preserve">331565 </t>
  </si>
  <si>
    <t xml:space="preserve">18/10/2017 </t>
  </si>
  <si>
    <t>GV - Oi NE</t>
  </si>
  <si>
    <t>GV e JLP - OICT Esc</t>
  </si>
  <si>
    <t>GV - Gasolina Limpeza portas</t>
  </si>
  <si>
    <t xml:space="preserve">054565 </t>
  </si>
  <si>
    <t>GV - Sabão Cond NE</t>
  </si>
  <si>
    <t xml:space="preserve">111265 </t>
  </si>
  <si>
    <t>GV e JLP - Locminas - Bota Alexandre</t>
  </si>
  <si>
    <t xml:space="preserve">094565 </t>
  </si>
  <si>
    <t>GV - Depósito conta Santander HON - cheque irmãs figueiredo</t>
  </si>
  <si>
    <t xml:space="preserve">572270 </t>
  </si>
  <si>
    <t xml:space="preserve">657871 </t>
  </si>
  <si>
    <t xml:space="preserve">4.930,06 </t>
  </si>
  <si>
    <t>GV - Aluguel Loja GV 1052  -Setembro 17 - Irmas Figueiredo (A2050)</t>
  </si>
  <si>
    <t xml:space="preserve">19/10/2017 </t>
  </si>
  <si>
    <t>GV  - Ferragens Mineira - Acido muriatico GV 1060</t>
  </si>
  <si>
    <t xml:space="preserve">514965 </t>
  </si>
  <si>
    <t>GV - Epa - Material limpeza</t>
  </si>
  <si>
    <t xml:space="preserve">053565 </t>
  </si>
  <si>
    <t>GV  - Ferragens Mineira - Convertedor</t>
  </si>
  <si>
    <t xml:space="preserve">241765 </t>
  </si>
  <si>
    <t>GV e JLP - Quase 2 - Baldes</t>
  </si>
  <si>
    <t xml:space="preserve">301865 </t>
  </si>
  <si>
    <t>JLP - cobrança HSR - Correios</t>
  </si>
  <si>
    <t xml:space="preserve">GV - Despesas com padaria (obra) - café </t>
  </si>
  <si>
    <t>GV - Compra de pão para obra 19/10</t>
  </si>
  <si>
    <t>GV e JLP - Compra de pão para escritorio 20/10 - manhã</t>
  </si>
  <si>
    <t>GV - prego com cabeça - Ferragens Mineira</t>
  </si>
  <si>
    <t>GV e JLP - conector e fios p/ rede escritório - TV Som</t>
  </si>
  <si>
    <t>GV e JLP - Compra de pão para escritorio 20/10 - tarde</t>
  </si>
  <si>
    <t xml:space="preserve">20/10/2017 </t>
  </si>
  <si>
    <t>GV  - Ferragens Mineira - Espatulas e estopas marquise</t>
  </si>
  <si>
    <t xml:space="preserve">581665 </t>
  </si>
  <si>
    <t xml:space="preserve">23/10/2017 </t>
  </si>
  <si>
    <t>GV - Depósito conta Santander HON - cheque By Fiapo deposito dia 23/10</t>
  </si>
  <si>
    <t xml:space="preserve">572071 </t>
  </si>
  <si>
    <t>GV - Ret Irv - Cortina Paula</t>
  </si>
  <si>
    <t xml:space="preserve">000114 </t>
  </si>
  <si>
    <t>GV e JLP - Compra de pão para escritorio 24/10</t>
  </si>
  <si>
    <t>GV - Compra de pão para obra 24/10</t>
  </si>
  <si>
    <t>GV - lixa e removedor tinta - Luso Brasil</t>
  </si>
  <si>
    <t>GV - Ret Irv (Paula)</t>
  </si>
  <si>
    <t xml:space="preserve">25/10/2017 </t>
  </si>
  <si>
    <t>JLP - Taxa de Registro</t>
  </si>
  <si>
    <t>GV - Depósito conta Santander HON - cheque Santana e Santos Comércio - By Fiapo</t>
  </si>
  <si>
    <t>GV - Pagamento - Faxina Edifício Nova Era - Vania (70) (duas semanas)</t>
  </si>
  <si>
    <t>GV - Pagamento - Faxina Apt 205 Irving - Vania (70) (duas semanas)</t>
  </si>
  <si>
    <t>GV - Ret Irv (Irving)</t>
  </si>
  <si>
    <t>GV - Aluguel apt 102 - set17 - Jorge (A860+C80)</t>
  </si>
  <si>
    <t xml:space="preserve">121830 </t>
  </si>
  <si>
    <t>GV - Despesas com padaria (obra) - café e açúcar - DMA Distribuidora</t>
  </si>
  <si>
    <t>GV - Aluguel Loja JP 607 - Outubro 17 - Antonio Celso (A1360)</t>
  </si>
  <si>
    <t>GV - parafusos - Ponto das Chaves</t>
  </si>
  <si>
    <t>GV - conector - TV Som</t>
  </si>
  <si>
    <t>GV e JLP - estilete - Teixeira e Chaves</t>
  </si>
  <si>
    <t>GV - parafusos - CCM</t>
  </si>
  <si>
    <t xml:space="preserve">572082 </t>
  </si>
  <si>
    <t>JLP - Tia Teca - Bebidas e comidas Happy Hour</t>
  </si>
  <si>
    <t xml:space="preserve">535165 </t>
  </si>
  <si>
    <t>GV - Aluguel Apt 103 - Outubro 17 - Arlete (A940+C80)- cheque para dia 10/11</t>
  </si>
  <si>
    <t>GV e JLP - xerox</t>
  </si>
  <si>
    <t>GV  - Ferragens Mineira - Brocas</t>
  </si>
  <si>
    <t>GV - Continental - Argamassa</t>
  </si>
  <si>
    <t xml:space="preserve">580165 </t>
  </si>
  <si>
    <t xml:space="preserve">31/10/2017 </t>
  </si>
  <si>
    <t>GV e JLP - Curso Office Alexandre</t>
  </si>
  <si>
    <t xml:space="preserve">000123 </t>
  </si>
  <si>
    <t>GV e JLP - Compra de pão para escritorio 23/10</t>
  </si>
  <si>
    <t>JLP - Compra de pão para obra 23/10</t>
  </si>
  <si>
    <t>02/10/2017</t>
  </si>
  <si>
    <t>GV - Delevy (1060 e Std)</t>
  </si>
  <si>
    <t>03/10/2017</t>
  </si>
  <si>
    <t>000275</t>
  </si>
  <si>
    <t>000276</t>
  </si>
  <si>
    <t>04/10/2017</t>
  </si>
  <si>
    <t>05/10/2017</t>
  </si>
  <si>
    <t>06/10/2017</t>
  </si>
  <si>
    <t>657838</t>
  </si>
  <si>
    <t>09/10/2017</t>
  </si>
  <si>
    <t>10/10/2017</t>
  </si>
  <si>
    <t>GV - Galama - furos pedras GV 1060</t>
  </si>
  <si>
    <t>000274</t>
  </si>
  <si>
    <t>000277</t>
  </si>
  <si>
    <t>GV - Galama - Pedras rodapé soleiras GV 1060</t>
  </si>
  <si>
    <t>000278</t>
  </si>
  <si>
    <t>16/10/2017</t>
  </si>
  <si>
    <t>JLP - Contabilidade</t>
  </si>
  <si>
    <t>18/10/2017</t>
  </si>
  <si>
    <t>657882</t>
  </si>
  <si>
    <t>GV - Adiantamento Juaniz</t>
  </si>
  <si>
    <t>000282</t>
  </si>
  <si>
    <t>GV - Adiantamento Jorgiano</t>
  </si>
  <si>
    <t>000283</t>
  </si>
  <si>
    <t>19/10/2017</t>
  </si>
  <si>
    <t>GV - Sada</t>
  </si>
  <si>
    <t>000279</t>
  </si>
  <si>
    <t>GV - Bida - Conserto portas GV 1060 e nova JP 603</t>
  </si>
  <si>
    <t>000280</t>
  </si>
  <si>
    <t>20/10/2017</t>
  </si>
  <si>
    <t>23/10/2017</t>
  </si>
  <si>
    <t>GV - Locminas - Material GV</t>
  </si>
  <si>
    <t>000284</t>
  </si>
  <si>
    <t>25/10/2017</t>
  </si>
  <si>
    <t>26/10/2017</t>
  </si>
  <si>
    <t>GV - Areal do Noé - GV 1060</t>
  </si>
  <si>
    <t>000285</t>
  </si>
  <si>
    <t>27/10/2017</t>
  </si>
  <si>
    <t>JLP - Safra - Material GV</t>
  </si>
  <si>
    <t>000287</t>
  </si>
  <si>
    <t>30/10/2017</t>
  </si>
  <si>
    <t>000286</t>
  </si>
  <si>
    <t>31/10/2017</t>
  </si>
  <si>
    <t>GV - Venda de vidros antigos da Vivo</t>
  </si>
  <si>
    <t>GV - Compra de Rack para TV (usado Irv)</t>
  </si>
  <si>
    <t>GV - Compra de banco para Studio (usado Irv)</t>
  </si>
  <si>
    <t>GV - Delevy redução</t>
  </si>
  <si>
    <t>GV - Ferragens Mineira luvas</t>
  </si>
  <si>
    <t>GV - Delevy - Condulete cafôfo</t>
  </si>
  <si>
    <t>GV - Limpa Baú</t>
  </si>
  <si>
    <t>GV - Diesel</t>
  </si>
  <si>
    <t>GV - Gasolina Cissa</t>
  </si>
  <si>
    <t>GV - Torneira 1060</t>
  </si>
  <si>
    <t>GV - Material limpeza 1060</t>
  </si>
  <si>
    <t>GV - Happy Hour</t>
  </si>
  <si>
    <t>GV - Mat limp cond</t>
  </si>
  <si>
    <t>GV - Limpeza marquise</t>
  </si>
  <si>
    <t>GV - Assentamento porta Studio GV</t>
  </si>
  <si>
    <t>GV - Parafuso 1060</t>
  </si>
  <si>
    <t>GV e JLP - Viagem BH - Gasolina</t>
  </si>
  <si>
    <t>GV - Rebite e veda calha</t>
  </si>
  <si>
    <t>GV e JLP - Ivana Projetos Antigos (Dep. 0, sendo 0 consult Mes17 e 0 projs antgs)</t>
  </si>
  <si>
    <t>GV e JLP - Ivana Projetos Antigos (Cash 3.100, sendo 1600 consult Nov17 e 1500 projs antgs)</t>
  </si>
  <si>
    <t>GV - Aluguel Loja GV 1060</t>
  </si>
  <si>
    <t>GV - Copasa JP 603</t>
  </si>
  <si>
    <t>GV - Diversas dividida com JLP</t>
  </si>
  <si>
    <t>GV - Compra de pão para obra 23/10</t>
  </si>
  <si>
    <t>GV - 04 tetra chaves - Ponto das Chaves</t>
  </si>
  <si>
    <t>GV - Ferragens Mineira - Acido muriatico GV 1060</t>
  </si>
  <si>
    <t>GV - Ferragens Mineira - Brocas</t>
  </si>
  <si>
    <t>GV - Ferragens Mineira - Convertedor</t>
  </si>
  <si>
    <t>GV - Ferragens Mineira - Espatulas e estopas marquise</t>
  </si>
  <si>
    <t>GV - Limpeza portas</t>
  </si>
  <si>
    <t>GV - Materiais dividido com JLP</t>
  </si>
  <si>
    <t>GV - Serviços divididos com JLP</t>
  </si>
  <si>
    <t>Nov 2017</t>
  </si>
  <si>
    <t>01/11/2017 </t>
  </si>
  <si>
    <t>GV - bateria controle garagem - TV Som</t>
  </si>
  <si>
    <t>GV - Aluguel Apt 101 - Outubro 17 - Lohanny (A940+C80)</t>
  </si>
  <si>
    <t>GV - Aluguel V 9 DJA - Novembro 17 - Sergio Rachid (A220)</t>
  </si>
  <si>
    <t>GV - Material pintura Studio</t>
  </si>
  <si>
    <t xml:space="preserve">553665 </t>
  </si>
  <si>
    <t>GV - Aluguel Loja GV 1060 e JP 615 - Outubro 17 - Tales Colombi (A5000)</t>
  </si>
  <si>
    <t>GV - Pagamento Toninho Elericista - 2 parte loja GV 1060</t>
  </si>
  <si>
    <t>GV e JLP - CXD Irv</t>
  </si>
  <si>
    <t>JLP - espelhos banheiros - V. Guanabara NF: 000.001.690</t>
  </si>
  <si>
    <t>GV e JLP - Padaria</t>
  </si>
  <si>
    <t xml:space="preserve">441565 </t>
  </si>
  <si>
    <t>GV - Gesso Studio GV</t>
  </si>
  <si>
    <t xml:space="preserve">591765 </t>
  </si>
  <si>
    <t>GV - Aluguel Mes JP 609 - Outubro 17 - Pedro Emílio Amador Salomão (1200)</t>
  </si>
  <si>
    <t>GV - Aluguel V 8 DJA - Novembro 17 - Pedro Emílio Amador Salomão (150)</t>
  </si>
  <si>
    <t>GV - pagamento conta agua Pedro referente ao mês de Outubro 2017 - cafôfo venc.07/11</t>
  </si>
  <si>
    <t>JLP - Aluguel GP 03 - Outubro 17 - Juliana Salazar (A2250+IPTU+AG27)</t>
  </si>
  <si>
    <t>GV - Aluguel V 3 DJA - Novembro 17 - Fernando Henrique (A190)</t>
  </si>
  <si>
    <t>GV e JLP - repasse caixa Irving</t>
  </si>
  <si>
    <t>GV - Paraná Ferragens - Cantoneiras varanda marquise GV</t>
  </si>
  <si>
    <t xml:space="preserve">542365 </t>
  </si>
  <si>
    <t>JLP - Aluguel Box C SS02 - Outubro 17 - Maxuell (A323)</t>
  </si>
  <si>
    <t>GV e JLP - leite Irving - DMA Distribuidora</t>
  </si>
  <si>
    <t>GV - Aluguel Apt 202 - Outubro 17 -  Sônia do Carmo Pereira</t>
  </si>
  <si>
    <t>GV e JLP - Compra de pão para escritorio 30/10</t>
  </si>
  <si>
    <t>GV - Compra de pão para obra 30/10</t>
  </si>
  <si>
    <t>GV e JLP - Pagamento estagiária - Outubro 17 - Iracy</t>
  </si>
  <si>
    <t>GV e JLP - Despesa com supermercado  escritório - fósforos</t>
  </si>
  <si>
    <t>GV - Aluguel GP JP 605 - Outubro 17 - Fatima Cristina (A1971)</t>
  </si>
  <si>
    <t>GV - Ferragens Mineira - Material pintura Studio GV</t>
  </si>
  <si>
    <t xml:space="preserve">270165 </t>
  </si>
  <si>
    <t xml:space="preserve">657893 </t>
  </si>
  <si>
    <t xml:space="preserve">GV - Aluguel Apt 203 - Outubro 17 - Marina (A1200+C80) </t>
  </si>
  <si>
    <t>GV - Pintoff marquises - Sada - NF: 000.003.342</t>
  </si>
  <si>
    <t>Gv - massa plástica preta marquises - Marcan NF: 000.038.140</t>
  </si>
  <si>
    <t>GV - Aluguel Apt 105 - Outubro 17 - Jéssicka (A862+C80)</t>
  </si>
  <si>
    <t>GV e JLP - extra Jorgiano</t>
  </si>
  <si>
    <t>GV - lixa d'água - Ferragens Mineira</t>
  </si>
  <si>
    <t>GV - selador madeira - Luso Brasil</t>
  </si>
  <si>
    <t>GV - Pagamento - Faxina Apt 205 Irving - Vania (105)</t>
  </si>
  <si>
    <t>GV e JLP - Compra de pão para escritorio 09/11</t>
  </si>
  <si>
    <t>GV - Aluguel V 2 DJA - Novembro 17 - Lucas Barreiros (A185)</t>
  </si>
  <si>
    <t>GV e JLP - lona plastica preta</t>
  </si>
  <si>
    <t>GV e JLP - Fita dupla face - Ferragens Mineira</t>
  </si>
  <si>
    <t xml:space="preserve">351665 </t>
  </si>
  <si>
    <t>GV e JLP - Compra de pão para escritorio 13/11</t>
  </si>
  <si>
    <t>GV - Compra de pão para obra 13/11</t>
  </si>
  <si>
    <t>GV - Aluguel Loja GV 1050 - Outubro 17 - By Fiapo (A3500)</t>
  </si>
  <si>
    <t>GV - Aluguel V 5 DJA - Novembro 17 - Gustavo (A185)</t>
  </si>
  <si>
    <t>GV - Aluguel V 1 DJA - Novembro 17 - Maria Goretti (A190)</t>
  </si>
  <si>
    <t>GV - Aluguel Apt 201 - Outubro 17 - Ana Luiza Matos (A1500+C80) </t>
  </si>
  <si>
    <t>GV - Aluguel V M DJA - Novembro 17 - Bruno Ricardo (A60)</t>
  </si>
  <si>
    <t>GV - Aluguel V 4 DJA - Novembro 17 - Sergio (A190)</t>
  </si>
  <si>
    <t>GV - Aluguel V M DJA - Novembro 17 - Sergio (A50)</t>
  </si>
  <si>
    <t>GV e JLP - adaptadores escritorio - Ponto das Chaves</t>
  </si>
  <si>
    <t>GV e JLP - adaptador plugue</t>
  </si>
  <si>
    <t>GV - Aluguel ESP DJA - Novembro 17 - Mario Monteiro (A80)</t>
  </si>
  <si>
    <t>GV e JLP - cópia chaves - Ponto das Chaves</t>
  </si>
  <si>
    <t>GV - trincha condor e rolo de espuma - Ferragens Mineira</t>
  </si>
  <si>
    <t>GV - lona plástica - Ferragens Mineira</t>
  </si>
  <si>
    <t xml:space="preserve">572335 </t>
  </si>
  <si>
    <t xml:space="preserve">657926 </t>
  </si>
  <si>
    <t>GV - Despesas com padaria (obra) - café - DMA Distribuidora</t>
  </si>
  <si>
    <t>GV - fita crepe - Ferragens Mineira</t>
  </si>
  <si>
    <t>GV - tinta seca rapido esm. acet. Branco - MD Tintas</t>
  </si>
  <si>
    <t>GV - Pagamento - Faxina Edifício Nova Era - Vania (70)</t>
  </si>
  <si>
    <t>GV - Ret Irv - Mesada Paula</t>
  </si>
  <si>
    <t xml:space="preserve">000115 </t>
  </si>
  <si>
    <t>GV - Aluguel Loja GV 1052  -Outubro 17 - Irmas Figueiredo (A2050)</t>
  </si>
  <si>
    <t>JLP - Aluguel Loja FSA 152 - Outubro 17 - Alexandre Couy (A7500)</t>
  </si>
  <si>
    <t>JLP - inseticida troffeu - Super Safra</t>
  </si>
  <si>
    <t>GV e JLP - OICT Escritório</t>
  </si>
  <si>
    <t>GV - OINE Internet</t>
  </si>
  <si>
    <t xml:space="preserve">21/11/2017 </t>
  </si>
  <si>
    <t>GV - Aluguel apt 102 - out17 - Jorge (A860+C80)</t>
  </si>
  <si>
    <t xml:space="preserve">160447 </t>
  </si>
  <si>
    <t>GV - Ret Naz - Taxa cemiterio 2s 20171127</t>
  </si>
  <si>
    <t>GV - Aluguel Apt 204 - Outubro 17 - Michelle (A1150+C80+L62,13-P200,00)</t>
  </si>
  <si>
    <t>JLP - Compra de pão para obra 13/11</t>
  </si>
  <si>
    <t xml:space="preserve">JLP - cópia chave </t>
  </si>
  <si>
    <t>GV e JLP - Compra de pão para escritorio 21/11</t>
  </si>
  <si>
    <t>GV e JLP - Despesas com supermercado (escritório)</t>
  </si>
  <si>
    <t>GV - CXD Irv</t>
  </si>
  <si>
    <t>JLP - Pagamento de pedreiro (100,00) - dois dias trabalhados</t>
  </si>
  <si>
    <t>GV - Pagamento de pedreiro (100,00) - dois dias trabalhados</t>
  </si>
  <si>
    <t>GV - Gasolina viagem BH / Ibituruna</t>
  </si>
  <si>
    <t xml:space="preserve">182965 </t>
  </si>
  <si>
    <t>GV - Aluguel Apt 104 - outubro 17 - Evanilde (A960+C80+J96) </t>
  </si>
  <si>
    <t xml:space="preserve">657937 </t>
  </si>
  <si>
    <t xml:space="preserve">JLP - cópia chave Zé - Chavão </t>
  </si>
  <si>
    <t>GV e JLP - palestra CDL Irving</t>
  </si>
  <si>
    <t>GV - Ret Irv (Auto Escola Alexandre)</t>
  </si>
  <si>
    <t xml:space="preserve">000125 </t>
  </si>
  <si>
    <t>GV - Aluguel Loja JP 607 - Novembro 17 - Antonio Celso (A1360)</t>
  </si>
  <si>
    <t xml:space="preserve">000126 </t>
  </si>
  <si>
    <t>GV - Miolo - Vinhos confraternizações</t>
  </si>
  <si>
    <t xml:space="preserve">572093 </t>
  </si>
  <si>
    <t xml:space="preserve">JLP e GV - exame admissional Zé </t>
  </si>
  <si>
    <t>JLP e GV - reconhecimentos firma Irving procurações</t>
  </si>
  <si>
    <t>GV - Pagamento geladeiras (Studio GV e JP) - TED conta Hon Itau</t>
  </si>
  <si>
    <t>GV e JLP - xerox escritorio - Gráfica e Bordados</t>
  </si>
  <si>
    <t>JLP - broxa quadrada - Ferragens Mineira</t>
  </si>
  <si>
    <t>JLP - estopa - Locminas</t>
  </si>
  <si>
    <t>JLP - lampada fluorescente - Continental</t>
  </si>
  <si>
    <t>GV - luva soldavel - Ferragens Mineira</t>
  </si>
  <si>
    <t>GV - argamassa - Continental</t>
  </si>
  <si>
    <t>GV - parafuso fenda zinco - Ferragens Mineira</t>
  </si>
  <si>
    <t>01/11/2017</t>
  </si>
  <si>
    <t>03/11/2017</t>
  </si>
  <si>
    <t>000288</t>
  </si>
  <si>
    <t>000289</t>
  </si>
  <si>
    <t>06/11/2017</t>
  </si>
  <si>
    <t>GV - Locminas - Material GV JP 603</t>
  </si>
  <si>
    <t>000292</t>
  </si>
  <si>
    <t>GV - Luso Brasil - Tintas GV marquises e Studio</t>
  </si>
  <si>
    <t>000293</t>
  </si>
  <si>
    <t>07/11/2017</t>
  </si>
  <si>
    <t>657904</t>
  </si>
  <si>
    <t>08/11/2017</t>
  </si>
  <si>
    <t>GV - Delevy JP 603</t>
  </si>
  <si>
    <t>941000</t>
  </si>
  <si>
    <t>GV - Comercial Loesch - GV Porta Studio + thinner</t>
  </si>
  <si>
    <t>000291</t>
  </si>
  <si>
    <t>GV - Aplicação</t>
  </si>
  <si>
    <t>16/11/2017</t>
  </si>
  <si>
    <t>JLP - Vale Cissa (pagto boleto Mercado Livre) - Pagamento de Conta errada - Estornado no caixa</t>
  </si>
  <si>
    <t>GV - Resina para tapete Studio - Pagamento de Conta errada - Estornado no caixa</t>
  </si>
  <si>
    <t>20/11/2017</t>
  </si>
  <si>
    <t>572324</t>
  </si>
  <si>
    <t>GV - 13º Jorgiano - Primeira parte</t>
  </si>
  <si>
    <t>000294</t>
  </si>
  <si>
    <t>000295</t>
  </si>
  <si>
    <t>GV - 13º Juaniz - Primeira parte</t>
  </si>
  <si>
    <t>000296</t>
  </si>
  <si>
    <t>000298</t>
  </si>
  <si>
    <t>21/11/2017</t>
  </si>
  <si>
    <t>GV e JLP - Certificado Digital</t>
  </si>
  <si>
    <t>JLP - Cheque Habitat devolvido</t>
  </si>
  <si>
    <t>000136</t>
  </si>
  <si>
    <t>22/11/2017</t>
  </si>
  <si>
    <t>592366</t>
  </si>
  <si>
    <t>23/11/2017</t>
  </si>
  <si>
    <t>27/11/2017</t>
  </si>
  <si>
    <t>GV - Sofá (diferença) e mesa Mobly</t>
  </si>
  <si>
    <t>29/11/2017</t>
  </si>
  <si>
    <t>30/11/2017</t>
  </si>
  <si>
    <t>GV - MD Tintas (marquise e studio gv)</t>
  </si>
  <si>
    <t>Vidraçaria Guanabara</t>
  </si>
  <si>
    <t>Bolsa estágio Iracy</t>
  </si>
  <si>
    <t>Paraná Ferragens</t>
  </si>
  <si>
    <t>Aluguel Box C SS02 - Out 2017 - kone (A323)</t>
  </si>
  <si>
    <t>Saga</t>
  </si>
  <si>
    <t>Pagamento de Conta errada - Estornado no caixa</t>
  </si>
  <si>
    <t>Estopa</t>
  </si>
  <si>
    <t>GV - Trinchas para pinturas</t>
  </si>
  <si>
    <t>GV - Plalha de aço</t>
  </si>
  <si>
    <t>GV - Colas e convertedor</t>
  </si>
  <si>
    <t>GV - Gesso</t>
  </si>
  <si>
    <t>GV - Cera ingleza  - condomínio</t>
  </si>
  <si>
    <t>GV - Pincel</t>
  </si>
  <si>
    <t>GV - Convertedor ferrugem</t>
  </si>
  <si>
    <t>GV - Lona</t>
  </si>
  <si>
    <t>GV - PVC</t>
  </si>
  <si>
    <t>GV e JLP - Despesas viagens</t>
  </si>
  <si>
    <t>JLP - Tela viveiro para Resedá</t>
  </si>
  <si>
    <t>GV e JLP - Pilhas</t>
  </si>
  <si>
    <t>GV - Estopa</t>
  </si>
  <si>
    <t>GV - Entulhos - almoço</t>
  </si>
  <si>
    <t>GV e JLP - Cabo de ferramentas</t>
  </si>
  <si>
    <t>GV e JLP - Refeição</t>
  </si>
  <si>
    <t>GV e JLP - Gasolina</t>
  </si>
  <si>
    <t>GV e JLP - Pedágios Ibituruna</t>
  </si>
  <si>
    <t>GV - Ladrilho ferradura esquina JP DJA</t>
  </si>
  <si>
    <t>??</t>
  </si>
  <si>
    <r>
      <t>JLP - Aluguel GP 03 - Outubro 17 - Juliana Salazar (A2250+IPTU+</t>
    </r>
    <r>
      <rPr>
        <b/>
        <sz val="10"/>
        <color theme="1"/>
        <rFont val="Verdana"/>
        <family val="2"/>
      </rPr>
      <t>AG27</t>
    </r>
    <r>
      <rPr>
        <sz val="10"/>
        <color theme="1"/>
        <rFont val="Verdana"/>
        <family val="2"/>
      </rPr>
      <t>)</t>
    </r>
  </si>
  <si>
    <t>GV - Pagamento - Faxina - Vania</t>
  </si>
  <si>
    <t>GV e JLP - Diversas dividido com JLP</t>
  </si>
  <si>
    <t>GV e JLP - Diversas dividido com GV</t>
  </si>
  <si>
    <t>GV e JLP - reconhecimentos firma Irving procurações</t>
  </si>
  <si>
    <t>?</t>
  </si>
  <si>
    <t xml:space="preserve">GV - Pagamento - Faxina - Vania </t>
  </si>
  <si>
    <t>GV e JLP - MO dividido com JLP</t>
  </si>
  <si>
    <t>GV e JLP - MO dividido com GV</t>
  </si>
  <si>
    <t>GV e JLP - Nmateriais dividido com JLP</t>
  </si>
  <si>
    <t>GV e JLP - Nmateriais dividido com GV</t>
  </si>
  <si>
    <t>GV e JLP - Gasolina viagem BH / Ibituruna</t>
  </si>
  <si>
    <t>Dez 2017</t>
  </si>
  <si>
    <t>01/12/2017 </t>
  </si>
  <si>
    <t>JLP - Aluguel Box C SS02 - Novembro 17 - Maxuell (A323+ 32multa)</t>
  </si>
  <si>
    <t>GV - Aluguel V 9 DJA - Dezembro 17 - Sergio Rachid (A220)</t>
  </si>
  <si>
    <t>GV e JLP - café e produtos limpeza escritorio - DMA Distribuidora</t>
  </si>
  <si>
    <t>GV e JLP - Compra de pão para escritorio 20 a 27/11</t>
  </si>
  <si>
    <t>JLP - Compra de pão para obra 20 a 27/11</t>
  </si>
  <si>
    <t>GV - luva eletrica - Delevy</t>
  </si>
  <si>
    <t>GV - Aluguel Apt 103 - Novembro 17 - Arlete (A940+C80)</t>
  </si>
  <si>
    <t>GV - vidros - Vidraçaria Oliveira - Luminárias Studio GV</t>
  </si>
  <si>
    <t>GV - Aluguel Apt 101 - Novembro 17 - Lohanny (A940+C80)</t>
  </si>
  <si>
    <t>GV - Aluguel Loja GV 1060 e JP 615 - Novembro 17 - Tales Colombi (A5000)</t>
  </si>
  <si>
    <t>GV - cabinho flexível - delevy NF: 000.036.405</t>
  </si>
  <si>
    <t>GV - Aluguel GP JP 605 - Novembro 17 - Fatima Cristina (A1971,40)</t>
  </si>
  <si>
    <t>GV - Aluguel apt 102 - nov17 - Jorge (A860+C80)</t>
  </si>
  <si>
    <t xml:space="preserve">200169 </t>
  </si>
  <si>
    <t>GV - Aluguel Apt 201 - Novembro 17 - Ana Luiza Matos (A1500+C80) </t>
  </si>
  <si>
    <t>GV - Aluguel V M DJA - Dezembro 17 - Bruno Ricardo (A60)</t>
  </si>
  <si>
    <t>GV - Aluguel Mes JP 609 - Novembro 17 - Pedro Emílio Amador Salomão (1200)</t>
  </si>
  <si>
    <t>GV e JLP - cadernos e canetas - papel e arte papelaria</t>
  </si>
  <si>
    <t>GV - tomada vermelha - Delevy</t>
  </si>
  <si>
    <t>GV - forquilha - Delevy</t>
  </si>
  <si>
    <t>JLP - esponja, veja, vassoura - Comercial Teixeira Damasceno</t>
  </si>
  <si>
    <t>JLP - pano chão, detergente e escova - Comercial Teixeira Damasceno</t>
  </si>
  <si>
    <t>JLP - pá de lixo e saco alvejado - Quase 2</t>
  </si>
  <si>
    <t>JLP - espátula de aço - Ferragens Mineira</t>
  </si>
  <si>
    <t>JLP - balde - K legal</t>
  </si>
  <si>
    <t>GV - Aluguel Apt 202 - Novembro 17 -  Sônia do Carmo Pereira</t>
  </si>
  <si>
    <t>GV e JLP - Pagamento estagiário - Novembro 17 - Leonardo</t>
  </si>
  <si>
    <t>GV e JLP - Gasolina Leo</t>
  </si>
  <si>
    <t xml:space="preserve">572115 </t>
  </si>
  <si>
    <t>GV - Depósito conta Santander HON - cheque Arlete</t>
  </si>
  <si>
    <t>JLP - Aluguel GP 03 - Novembro 17 - Juliana (A2250+IPTU+AG27)</t>
  </si>
  <si>
    <t>GV - Aluguel Apt 105 - Novembro 17 - Jéssicka (A862+C80)</t>
  </si>
  <si>
    <t>GV - Aluguel V 2 DJA - Dezembro 17 - Lucas Barreiros (A185)</t>
  </si>
  <si>
    <t>GV - Ret Irv (transf. CC BB)</t>
  </si>
  <si>
    <t xml:space="preserve">572302 </t>
  </si>
  <si>
    <t>GV - Depósito conta Santander HON (Ana Luiza + Lucas Barreiros)</t>
  </si>
  <si>
    <t>JLP - Cola e remedos pneu - Duas Rodas Bicicletas</t>
  </si>
  <si>
    <t>GV e JLP - Compra de pão para escritorio 11/12</t>
  </si>
  <si>
    <t>JLP - Compra de pão para obra  11/12</t>
  </si>
  <si>
    <t>JLP - Despesas com supermercado(obra) café e açucar EPA DMa DISTRIBUIDORA</t>
  </si>
  <si>
    <t>GV - pagamento conta agua Pedro referente ao mês de novembro 2017 - cafôfo venc.09/12</t>
  </si>
  <si>
    <t>GV - Aluguel Loja GV 1050 - Novembro 17 - By Fiapo (A3500)</t>
  </si>
  <si>
    <t>GV - joelho, luva - Luso Brasil</t>
  </si>
  <si>
    <t xml:space="preserve">572137 </t>
  </si>
  <si>
    <t xml:space="preserve">850051 </t>
  </si>
  <si>
    <t>GV - Aluguel V M DJA - Dezembro 17 - Sergio (A50)</t>
  </si>
  <si>
    <t>GV - Aluguel V 4 DJA - Dezembro 17 - Sergio (A190)</t>
  </si>
  <si>
    <t>GV - Aluguel V 5 DJA - Dezembro 17 - Gustavo (A185)</t>
  </si>
  <si>
    <t>GV - placa cega - Delevy</t>
  </si>
  <si>
    <t>GV - curva eletrica - Delevy</t>
  </si>
  <si>
    <t>GV - kit suporte para lustre - Lumiere</t>
  </si>
  <si>
    <t>GV - massa corrida - Luso Brasil</t>
  </si>
  <si>
    <t>GV - conserto fechadura terraço - Ponto das Chaves</t>
  </si>
  <si>
    <t xml:space="preserve">GV - Aluguel Apt 203 - Novembro 17 - Marina (A1200+C80+L26,41) </t>
  </si>
  <si>
    <t>JLP - Aluguel Loja FSA 152 - Novembro 17 - Alexandre Couy (A7500)</t>
  </si>
  <si>
    <t>JLP - Aluguel V 1 a V 5 - Dezembro 17 - Alexandre Couy (A500)</t>
  </si>
  <si>
    <t xml:space="preserve">000116 </t>
  </si>
  <si>
    <t xml:space="preserve">164437 </t>
  </si>
  <si>
    <t>GV - Aluguel Apt 201 - Dezembro 17 - Ana Luiza Matos (A1500+C80) + Recisão </t>
  </si>
  <si>
    <t>JLP - Despesas com supermercado(obra) café EPA DMA DISTRIBUIDORA</t>
  </si>
  <si>
    <t>JLP - Compra de pão para obra  18/12</t>
  </si>
  <si>
    <t>GV e JLP - Compra de pão para escritorio  18/12</t>
  </si>
  <si>
    <t>GV e JLP - Pagamento Toninho Eletricista</t>
  </si>
  <si>
    <t>GV - Conta OINE dados</t>
  </si>
  <si>
    <t>GV e JLP - Presentes de Natal Toninho e Valdirene</t>
  </si>
  <si>
    <t xml:space="preserve">003165 </t>
  </si>
  <si>
    <t>JLP - Compra kit limpeza escritório Comercial Teixeira e Dmasceno Ltda.</t>
  </si>
  <si>
    <t>GV - Aluguel V 1 DJA - Dezembro 17 - Maria Goretti (A190)</t>
  </si>
  <si>
    <t>GV - Aluguel Loja GV 1052 - Novembro 17 - Irmas Figueiredo (A2050)</t>
  </si>
  <si>
    <t>GV - Aluguel V 3 DJA - Dezembro 17 - Fernando Henrique (A190)</t>
  </si>
  <si>
    <t>GV - Aluguel V 7 DJA - Dezembro 17 - Luciana LA Boutique (A190)</t>
  </si>
  <si>
    <t>GV - Ret Irv - Cartão Porto Seguro</t>
  </si>
  <si>
    <t>JLP - Compra pano de saco, sabao po, escova de roupa, baygon - supermercado fort</t>
  </si>
  <si>
    <t>JLP - Compra trincha, acido muriatico, palha aço - Ferragens Mineira</t>
  </si>
  <si>
    <t>JLP - Compra removedor tinta pintoff - Luso Brasil</t>
  </si>
  <si>
    <t>JLP - Compra fita adesiva e durex</t>
  </si>
  <si>
    <t>GV - Aluguel ESP DJA - Dezembro 17 - Mario Monteiro (A80)</t>
  </si>
  <si>
    <t>GV e JLP - Pagamento extra Jorgiano</t>
  </si>
  <si>
    <t>GV e JLP - Acerto caixa Xandão</t>
  </si>
  <si>
    <t>GV - Aluguel Apt 204 - Novembro 17 - Michelle (A1150+C80-D200)</t>
  </si>
  <si>
    <t>GV - Compra Veneno Escorpião, Formiga - Bio Boi</t>
  </si>
  <si>
    <t>JLP - Compra Veneno Roundup e Veneno Formiga para FSA152 - Loja do Campo</t>
  </si>
  <si>
    <t>JLP - Compra Estopa - Continental</t>
  </si>
  <si>
    <t>JLP - Doação caixinha de natal Dablius Contabilidade</t>
  </si>
  <si>
    <t>GV - Ret Irv - Wilson Teixeira Bastos (Roger Waters)</t>
  </si>
  <si>
    <t xml:space="preserve">284000 </t>
  </si>
  <si>
    <t>JLP - Compra pão de queijo - Padaria Nova Delicia</t>
  </si>
  <si>
    <t>JLP - Compra 3x cimento Liz - Safra Mat. Contrução Ltda.</t>
  </si>
  <si>
    <t>GV- Compra tecido - Casa do Capoteiro</t>
  </si>
  <si>
    <t>GV e JLP - Pagamento estagiário - Dezembro 17 - Leonardo</t>
  </si>
  <si>
    <t>GV e JLP - Reembolso gasolina Irv</t>
  </si>
  <si>
    <t xml:space="preserve">025965 </t>
  </si>
  <si>
    <t xml:space="preserve">572159 </t>
  </si>
  <si>
    <t>JLP - Aluguel Box C SS02 - Dezembro 17 - Maxuell (A323)</t>
  </si>
  <si>
    <t>28/12/2017 </t>
  </si>
  <si>
    <t>GV - Ret Irv - Copasa Talita</t>
  </si>
  <si>
    <t>04/12/2017</t>
  </si>
  <si>
    <t>GV - Antonio Duque - Armário microondas studio GV</t>
  </si>
  <si>
    <t>000299</t>
  </si>
  <si>
    <t>000301</t>
  </si>
  <si>
    <t>000302</t>
  </si>
  <si>
    <t>05/12/2017</t>
  </si>
  <si>
    <t>GV - MD Tintas - Studio GV</t>
  </si>
  <si>
    <t>000300</t>
  </si>
  <si>
    <t>06/12/2017</t>
  </si>
  <si>
    <t>GV - Cadeiras Studio GV</t>
  </si>
  <si>
    <t>GV - Ret Irv - Pagamento aos sócios</t>
  </si>
  <si>
    <t>07/12/2017</t>
  </si>
  <si>
    <t>351,58</t>
  </si>
  <si>
    <t>08/12/2017</t>
  </si>
  <si>
    <t>GV - MD Tintas - Studio GV e JP 603</t>
  </si>
  <si>
    <t>GV - Locminas - Mat Studio GV, JP 603 e marquises</t>
  </si>
  <si>
    <t>000303</t>
  </si>
  <si>
    <t>431,15</t>
  </si>
  <si>
    <t>11/12/2017</t>
  </si>
  <si>
    <t>572160</t>
  </si>
  <si>
    <t>12/12/2017</t>
  </si>
  <si>
    <t>14/12/2017</t>
  </si>
  <si>
    <t xml:space="preserve">GV - MD Tintas </t>
  </si>
  <si>
    <t>JLP - HSR - Aluguel Mai, Jun, Jul, Nov 17 (A 5000,00 +5000,00 + 5000,00+ 4731,47)</t>
  </si>
  <si>
    <t>15/12/2017</t>
  </si>
  <si>
    <t>JLP - Dablius Contabilidde Dez + 13º</t>
  </si>
  <si>
    <t>651000</t>
  </si>
  <si>
    <t>JLP - Pagamento motor portão Fsa</t>
  </si>
  <si>
    <t>GV - Saga</t>
  </si>
  <si>
    <t>000304</t>
  </si>
  <si>
    <t>2.757,49</t>
  </si>
  <si>
    <t>18/12/2017</t>
  </si>
  <si>
    <t>572148</t>
  </si>
  <si>
    <t>GV e JLP - Rescisão Cissa estagiária</t>
  </si>
  <si>
    <t>000306</t>
  </si>
  <si>
    <t>GV e JLP - 13º e férias Juaniz</t>
  </si>
  <si>
    <t>000307</t>
  </si>
  <si>
    <t>GV e JLP - 13º e férias Jorgiano</t>
  </si>
  <si>
    <t>000308</t>
  </si>
  <si>
    <t>5.405,66</t>
  </si>
  <si>
    <t>19/12/2017</t>
  </si>
  <si>
    <t>GV e JLP - Cestas de Natal e festa (Deb Epa)</t>
  </si>
  <si>
    <t>283970</t>
  </si>
  <si>
    <t>20/12/2017</t>
  </si>
  <si>
    <t>JLP - GPS 13º</t>
  </si>
  <si>
    <t>204000</t>
  </si>
  <si>
    <t>JLP - Casa da Borracha (tapetes borracha rede dutos)</t>
  </si>
  <si>
    <t>000310</t>
  </si>
  <si>
    <t>4.386,72</t>
  </si>
  <si>
    <t>21/12/2017</t>
  </si>
  <si>
    <t>GV - Locminas - GV</t>
  </si>
  <si>
    <t>000309</t>
  </si>
  <si>
    <t>190,70</t>
  </si>
  <si>
    <t>22/12/2017</t>
  </si>
  <si>
    <t>113,76</t>
  </si>
  <si>
    <t>28/12/2017</t>
  </si>
  <si>
    <t>GV - Delevy - materiais elétricos JP 601 e 603 (NF 795,55 - 606,51 banco = 189,04)</t>
  </si>
  <si>
    <t>616,41</t>
  </si>
  <si>
    <t>Bolsa estágio Iracy - Adiantamento</t>
  </si>
  <si>
    <t>Aluguel Box C SS02 - Nov 2017 - kone (A323)</t>
  </si>
  <si>
    <t>Delevy (NF 795,55 - 606,51 banco = 189,04)</t>
  </si>
  <si>
    <t>Pagamento Sócios</t>
  </si>
  <si>
    <t>GV - Jornal velho</t>
  </si>
  <si>
    <t>GV - Criado mudo plástico BH - Sem recibo, comprado por Paula</t>
  </si>
  <si>
    <t>GV e JLP - Ivana Projetos Antigos (Cash 4.700, sendo 3.200 consult Nov e Dez17 e 1.500 projs antgs)</t>
  </si>
  <si>
    <t>GV e JLP - Pães para o escritório</t>
  </si>
  <si>
    <t>GV - Sabão em pó CD NE</t>
  </si>
  <si>
    <t>GV e JLP - Comidas e bebidas para festa do escritório</t>
  </si>
  <si>
    <t>GV - Material limpeza CD NE</t>
  </si>
  <si>
    <t>GV e JLP - Consertos mecânicos em função curto na carretinha</t>
  </si>
  <si>
    <t>GV e JLP - Bebidas - brindes e presentes</t>
  </si>
  <si>
    <t>GV - Material limpeza Escritorio</t>
  </si>
  <si>
    <t>GV e JLP - papéis de presentes</t>
  </si>
  <si>
    <t>GV e JLP - vasos para plantas</t>
  </si>
  <si>
    <t>JLP - Locminas - arame</t>
  </si>
  <si>
    <t>JLP - Pregos</t>
  </si>
  <si>
    <t>GV e JLP - Açucar</t>
  </si>
  <si>
    <t>GV - Silicone marquise</t>
  </si>
  <si>
    <t>GV - Massa plástica</t>
  </si>
  <si>
    <t>GV e JLP - José Antônio</t>
  </si>
  <si>
    <t>Conta MAX</t>
  </si>
  <si>
    <r>
      <t>JLP - Aluguel GP 03 - Novembro 17 - Juliana (A2250+IPTU+</t>
    </r>
    <r>
      <rPr>
        <b/>
        <sz val="10"/>
        <color theme="1"/>
        <rFont val="Verdana"/>
        <family val="2"/>
      </rPr>
      <t>AG27)</t>
    </r>
  </si>
  <si>
    <t>GV - Pagamento - Faxina Vânia</t>
  </si>
  <si>
    <t>GV e JLP - Doação caixinha de natal Dablius Contabilidade</t>
  </si>
  <si>
    <t>GV - Recisão de contrato Ana Luiza Matos Apt 201</t>
  </si>
  <si>
    <t>Diversos</t>
  </si>
  <si>
    <t>GV - Aluguel Apto 205</t>
  </si>
  <si>
    <t>GV - MO divididos com  JLP</t>
  </si>
  <si>
    <t xml:space="preserve"> 13º e férias Jorgiano</t>
  </si>
  <si>
    <t xml:space="preserve"> 13º e férias Juaniz</t>
  </si>
  <si>
    <t xml:space="preserve"> Compra de pão para obra  11/12</t>
  </si>
  <si>
    <t>JLP - MO divididos com  GV</t>
  </si>
  <si>
    <t xml:space="preserve"> Compra de pão para obra  18/12</t>
  </si>
  <si>
    <t xml:space="preserve"> Compra de pão para obra 20 a 27/11</t>
  </si>
  <si>
    <t xml:space="preserve"> Despesas com supermercado(obra) café e açucar EPA DMa DISTRIBUIDORA</t>
  </si>
  <si>
    <t xml:space="preserve"> Despesas com supermercado(obra) café EPA DMA DISTRIBUIDORA</t>
  </si>
  <si>
    <t xml:space="preserve"> extra Jorgiano</t>
  </si>
  <si>
    <t xml:space="preserve"> José Antônio</t>
  </si>
  <si>
    <t xml:space="preserve"> Pagamento Alexandre (D60)</t>
  </si>
  <si>
    <t xml:space="preserve"> Pagamento extra Jorgiano</t>
  </si>
  <si>
    <t xml:space="preserve"> Pagamento zelador José Antônio(D50)</t>
  </si>
  <si>
    <t xml:space="preserve"> Cestas básicas - Supermercado Universal</t>
  </si>
  <si>
    <t>Jan 2018</t>
  </si>
  <si>
    <t>GV - Ajuste caixa Leo</t>
  </si>
  <si>
    <t>GV e JLP - Despesa com supermercado escritório café EPA DMa DISTRIBUIDORA</t>
  </si>
  <si>
    <t>GV - Aluguel Loja GV 1060 e JP 615 - Dezembro 17 - Tales Colombi (A5000) obs: pg em 28/12</t>
  </si>
  <si>
    <t>JLP - Compra de pão para obra 02/01</t>
  </si>
  <si>
    <t>GV e JLP - Compra de pão para escritorio  02/01</t>
  </si>
  <si>
    <t>GV - Aluguel V 9 DJA - Janeiro 17 - Sergio Rachid (A220)</t>
  </si>
  <si>
    <t>JLP - Compra Aguarras 900ml - Locminas</t>
  </si>
  <si>
    <t>JLP - Compra Câmara Carrinho de Mão - Locminas</t>
  </si>
  <si>
    <t>JLP - Compra nível aluminio, estopa, thinner - Locminas</t>
  </si>
  <si>
    <t>GV - Compra Cabo 16mm verde, terminal tubular 16mm - Delevy</t>
  </si>
  <si>
    <t>GV - Ret Naz - Repasse Honorina em espécie ( Irving em mãos)</t>
  </si>
  <si>
    <t>GV - Aluguel Loja JP 607 - Dezembro 17 - Antonio Celso (A1360)</t>
  </si>
  <si>
    <t>GV - Aluguel Apt 103 - Mês 17 - Arlete (A940+C80-D30) Desconto Autoriz. Irv - Questão Cissa</t>
  </si>
  <si>
    <t>GV - Depósito conta Santander HON (Ana Luiza Matos Ap. 201)</t>
  </si>
  <si>
    <t>GV - Emprestimo Irv.</t>
  </si>
  <si>
    <t>GV - Ret Irv - Depósito BB</t>
  </si>
  <si>
    <t>GV - Aluguel GP JP 605 - Dezembro 17 - Fatima Cristina (A1971,41)</t>
  </si>
  <si>
    <t>GV - Aluguel Apt 104 - Novembro 17 - Evanilde (A960+C80+M104) </t>
  </si>
  <si>
    <t>GV - Aluguel Apt 101 - Dezembro 17 - Lohanny (A940+C80)</t>
  </si>
  <si>
    <t>GV - Aluguel V 7 DJA - Janeiro 17 - Luciana LA Boutique (A190)</t>
  </si>
  <si>
    <t>GV - Aluguel V 7 DJA - Fevereiro 17 - Luciana LA Boutique (A190)</t>
  </si>
  <si>
    <t>GV - Aluguel V 7 DJA - Março 17 - Luciana LA Boutique (A190)</t>
  </si>
  <si>
    <t>GV - Acerto empréstimo Irv.</t>
  </si>
  <si>
    <t>GV - Aluguel Mes JP 609 - Mês 18 - Pedro Emílio Amador Salomão (A1200+Ag32,70)</t>
  </si>
  <si>
    <t>GV - Aluguel V 8 DJA - Janeiro 18 - Pedro Emílio Amador Salomão (150)</t>
  </si>
  <si>
    <t>GV - Acerto Juaniz dias trabalhados 30,31 dezembro e 01 de janeiro</t>
  </si>
  <si>
    <t>GV - Acerto Jorgiano dias trabalhos 06 e 07 de janeiro</t>
  </si>
  <si>
    <t>GV - Diferenças caixa Bracks</t>
  </si>
  <si>
    <t>GV - Aluguel Apt 202 - Dezembro 17 -  Sônia do Carmo Pereira (A1430)</t>
  </si>
  <si>
    <t>GV - Aluguel Loja GV 1052  - Dezembro 17- Irmas Figueiredo (A2050)</t>
  </si>
  <si>
    <t>JLP - Compra de pão para obra 09/01</t>
  </si>
  <si>
    <t>GV e JLP - Compra de pão para escritorio  09/01</t>
  </si>
  <si>
    <t>GV e JLP - Despesa com supermercado escritório manteiga EPA DMa DISTRIBUIDORA</t>
  </si>
  <si>
    <t>JLP - Limp. Veja, Desinfetante, Detergente, Água Sanitária, Café, Sabão Pó - EPA DMa DISTRIBUIDORA</t>
  </si>
  <si>
    <t>GV - Aluguel V 3 DJA - Mês 18 - Fernando Henrique (A190)</t>
  </si>
  <si>
    <t>GV - Depósito conta Santander HON (Sônia)</t>
  </si>
  <si>
    <t>09/01/2018 </t>
  </si>
  <si>
    <t>JLP - Aluguel GP 03 - Dezembro 17 - Juliana (A2250+IPTU46,13)</t>
  </si>
  <si>
    <t>GV e JLP - Acerto conta xerox 10/01</t>
  </si>
  <si>
    <t>GV - Compra manteiga obra - DMA Distribuidora</t>
  </si>
  <si>
    <t>JLP - Compra Tubo Silicone, Ralo de Ferro 40x40 - Ferragens Mineira</t>
  </si>
  <si>
    <t>JLP - Compra 1sc cimento - Luso Brasil</t>
  </si>
  <si>
    <t>GV - Ret Irv BB</t>
  </si>
  <si>
    <t>GV - Dream Informática</t>
  </si>
  <si>
    <t>JLP - Compra madeirites x2 - Madereira Univale</t>
  </si>
  <si>
    <t>JLP - Compra pregos - Comercial Loesch</t>
  </si>
  <si>
    <t>GV - Ret Naz - Pagamento Carla Faxina</t>
  </si>
  <si>
    <t>JLP - Compra silicone cinza, concerto parafusadeira - LocMinas</t>
  </si>
  <si>
    <t>JLP - Compra Lixa Dágua - Ferragens Mineira</t>
  </si>
  <si>
    <t>JLP - Compra estilete Zé - PapéToni</t>
  </si>
  <si>
    <t>GV - Aluguel V M DJA - Janeiro 18 - Sergio (A50)</t>
  </si>
  <si>
    <t>GV - Depósito conta Santander HON (Arlete Ap.103)</t>
  </si>
  <si>
    <t>GV - Aluguel Loja GV 1050 - Dezembro 17 - By Fiapo (A3500)</t>
  </si>
  <si>
    <t>JLP - Despesa com obra ( refrigerante)</t>
  </si>
  <si>
    <t>GV - Aluguel V 4 DJA - Janeiro 18 - Sergio (A190)</t>
  </si>
  <si>
    <t>JLP - Compra pães - Padaria Nova Delicia</t>
  </si>
  <si>
    <t>JLP - Compra 3x - Gelo 6kg - Teó Tele-cerveja</t>
  </si>
  <si>
    <t>GV - Transferência Conta Corrente Hon - Lançar cx contabil</t>
  </si>
  <si>
    <t>GV - Lucianne Radespiel - (600 Ret Naz Odonto + 600 frete Farmácia)</t>
  </si>
  <si>
    <t>GV - Ret Naz - Extra cobrir cheques presentes</t>
  </si>
  <si>
    <t>JLP - Transporte mobiliário farmácia</t>
  </si>
  <si>
    <t>JLP - Compra de pão para obra 15/01</t>
  </si>
  <si>
    <t>GV e JLP - Compra de pão para escritorio  15/01</t>
  </si>
  <si>
    <t>GV - Aluguel V 5 DJA - Janeiro 18 - Gustavo (A185)</t>
  </si>
  <si>
    <t>GV - Aluguel ESP DJA - Janeiro 18 - Mario Monteiro (A80)</t>
  </si>
  <si>
    <t>GV - Aluguel V 1 DJA - Janeiro 18 - Maria Goretti (A190)</t>
  </si>
  <si>
    <t>GV - Ret Irv Vivo GVT</t>
  </si>
  <si>
    <t>GV - Ret Irv Tx Licença HD</t>
  </si>
  <si>
    <t>GV e JLP - Tx Licença carretinha</t>
  </si>
  <si>
    <t>GV - Aluguel V M DJA - Janeiro 18 - Bruno Ricardo (A60)</t>
  </si>
  <si>
    <t xml:space="preserve">GV - Aluguel Apt 203 - Dezembro 17 - Marina (A1200+C80+L23,78) </t>
  </si>
  <si>
    <t>GV - Ret Irv - DPVAT HD</t>
  </si>
  <si>
    <t>JLP - Despesas com supermercado(obra) café e açúcar EPA DMa DISTRIBUIDORA</t>
  </si>
  <si>
    <t>JLP - Aluguel Loja FSA 152 - Dezembro 17 - Alexandre Couy (A7500)</t>
  </si>
  <si>
    <t>JLP - Aluguel V 1 a V 5 - Janeiro 18 - Alexandre Couy (A500)</t>
  </si>
  <si>
    <t>GV - Aluguel Apt 105 - Dezembro 17 - Jéssicka (A862+C80)</t>
  </si>
  <si>
    <t>GV - Aluguel Apt 104 - Dezembro 17 - Evanilde (A960+C80) </t>
  </si>
  <si>
    <t>GV - Ret Irv Vivo Família</t>
  </si>
  <si>
    <t>GV e JLP - Pagamento zelador José Antônio (D60)</t>
  </si>
  <si>
    <t>JLP - Pagamento serviço Patrick Victor (D60)</t>
  </si>
  <si>
    <t>JLP - Pagamento serviço Júlio César (D60)</t>
  </si>
  <si>
    <t>JLP - Acerto horas extras Juaniz (31H)</t>
  </si>
  <si>
    <t>JLP - Compra Cola Instantanea - Comercial Loesch</t>
  </si>
  <si>
    <t>GV - Compra tomada s/ placa - Delevy</t>
  </si>
  <si>
    <t>JLP - Compra trincha - Continental</t>
  </si>
  <si>
    <t>JLP - Compra contact - PapéToni</t>
  </si>
  <si>
    <t>JLP - Compra estilete  - PapéToni</t>
  </si>
  <si>
    <t>JLP - Compra luva e joelhos JLP  - Marcan</t>
  </si>
  <si>
    <t>GV e JLP - Acerto conta xerox 22/01</t>
  </si>
  <si>
    <t>JLP - Compra Targeta ferro - Ferragens Mineira</t>
  </si>
  <si>
    <t>JLP - Compra 20 parafusos - Ponto das Chaves</t>
  </si>
  <si>
    <t>JLP - Compra Espelho - Vidraçaria Guanabara</t>
  </si>
  <si>
    <t>GV - Aluguel apt 102 - dez17 - Jorge (A860+C80)</t>
  </si>
  <si>
    <t>JLP - Compra 4x blocos de recibos - Graffite (Teixeira e Chaves ltda.)</t>
  </si>
  <si>
    <t>GV - Frete sofá stúdio</t>
  </si>
  <si>
    <t>GV - Compra parafusos e arruela - CCM</t>
  </si>
  <si>
    <t>JLP - Exame admissional Zé Antônio</t>
  </si>
  <si>
    <t>GV e JLP - Despesa com supermercado escritório manteiga EPA DMA DISTRIBUIDORA</t>
  </si>
  <si>
    <t>GV - Ret Irv - Taxa Licenciamento Intruder</t>
  </si>
  <si>
    <t>GV - Ret Irv - IPVA Intruder</t>
  </si>
  <si>
    <t>JLP - Aluguel Box C SS02 - Janeiro 18 - Maxuell (A323)</t>
  </si>
  <si>
    <t>JLP- Compra lixa p/ madeira - Ferragens Mineira</t>
  </si>
  <si>
    <t>JLP - Compra flanela - Comercial Teixeira e Damasceno</t>
  </si>
  <si>
    <t>JLP - Comrpa Espat. 04cm Atlas - Luso Brasil</t>
  </si>
  <si>
    <t>GV - Compra EVA bege - Graffite (Teixeira e Chaves ltda.)</t>
  </si>
  <si>
    <t>GV - Compra EVA marrom - Graffite (Teixeira e Chaves ltda.)</t>
  </si>
  <si>
    <t>GV - Compra pratileira vidro - Vidraçaria Guanabara</t>
  </si>
  <si>
    <t xml:space="preserve">JLP - Compra Det, Pano, Esponja, Esc.Dente, LimpVidro - EPA DMA DISTRIBUIDORA </t>
  </si>
  <si>
    <t>GV - Pagamento - Faxina Edifício Nova Era - Vania (75)</t>
  </si>
  <si>
    <t>GV - Pagamento - Faxina Apt 205 Irving - Vania (75)</t>
  </si>
  <si>
    <t>JLP - Compra emenda mangueira, abraçadeira, silicone - Ferragens Mineira</t>
  </si>
  <si>
    <t>JLP - Compra de côcos - sem NF</t>
  </si>
  <si>
    <t>GV - Ret Irv - DPVAT Intruder</t>
  </si>
  <si>
    <t>GV e JLP - Pagamento zelador José Antônio(D60)</t>
  </si>
  <si>
    <t>JLP - Compra Torneiras 3x - Continental</t>
  </si>
  <si>
    <t>JLP - Adiantamento - Janeiro 18 - Juaniz</t>
  </si>
  <si>
    <t>JLP - Diferenças anteriores</t>
  </si>
  <si>
    <t>JLP - Compra abridor de côco - sem NF</t>
  </si>
  <si>
    <t>GV - Gasolina Irv - serviços</t>
  </si>
  <si>
    <t>JLP - Compra estilete - Teixeira e Chaves ltda</t>
  </si>
  <si>
    <t>JLP - Compra Luvas latex - Comercial Teixeira e Damasceno ltda</t>
  </si>
  <si>
    <t>JLP - Compra estopa - LocMinas</t>
  </si>
  <si>
    <t>GV - Compra Luva Eletr. - Delevy</t>
  </si>
  <si>
    <t>GV - Compra Verniz - Comercial Loesch</t>
  </si>
  <si>
    <t>GV - Compra Cola - Comercial Loesch</t>
  </si>
  <si>
    <t>GV - Retirada Nazinha - Pagamento Carla Faxina - Semana 22/01 a 26/01</t>
  </si>
  <si>
    <t>GV - Retirada Nazinha - Pagamento Carla Faxina - Semana 29/01 e 31/01</t>
  </si>
  <si>
    <t>GV - Aluguel Loja JP 607 - Fevereiro 18 - Antonio Celso (A1360)</t>
  </si>
  <si>
    <t>GV - Solda Portão Garagem DJA16</t>
  </si>
  <si>
    <t>GV e JLP - Compra livro Teófilo Otoni</t>
  </si>
  <si>
    <t>01/01/2018 </t>
  </si>
  <si>
    <t>02/01/2018</t>
  </si>
  <si>
    <t>-0,05</t>
  </si>
  <si>
    <t>-4,85</t>
  </si>
  <si>
    <t>4,90</t>
  </si>
  <si>
    <t>0,00</t>
  </si>
  <si>
    <t>03/01/2018</t>
  </si>
  <si>
    <t>-100,00</t>
  </si>
  <si>
    <t>100,00</t>
  </si>
  <si>
    <t>04/01/2018</t>
  </si>
  <si>
    <t>JLP - HSR - Aluguel Ago, Set, Out 17 (A 5000,00 +5000,00 + 5000,00)</t>
  </si>
  <si>
    <t>15.000,00</t>
  </si>
  <si>
    <t>-15.000,00</t>
  </si>
  <si>
    <t>05/01/2018</t>
  </si>
  <si>
    <t>-358,12</t>
  </si>
  <si>
    <t>358,12</t>
  </si>
  <si>
    <t>08/01/2018</t>
  </si>
  <si>
    <t>-232,33</t>
  </si>
  <si>
    <t>000312</t>
  </si>
  <si>
    <t>-1.359,37</t>
  </si>
  <si>
    <t>000313</t>
  </si>
  <si>
    <t>-781,37</t>
  </si>
  <si>
    <t>2.373,07</t>
  </si>
  <si>
    <t>10/01/2018</t>
  </si>
  <si>
    <t>JLP - HSR - Aluguel Dez 17 (A 4980,50 - 5% Desc = 4731,47)</t>
  </si>
  <si>
    <t>4.731,47</t>
  </si>
  <si>
    <t>572236</t>
  </si>
  <si>
    <t>2.296,13</t>
  </si>
  <si>
    <t>-4.731,47</t>
  </si>
  <si>
    <t>11/01/2018</t>
  </si>
  <si>
    <t>004577</t>
  </si>
  <si>
    <t>-2.296,13</t>
  </si>
  <si>
    <t>12/01/2018</t>
  </si>
  <si>
    <t>364548</t>
  </si>
  <si>
    <t>-5.000,00</t>
  </si>
  <si>
    <t>15/01/2018</t>
  </si>
  <si>
    <t>JLP - Dablius Contabilidade Jan18</t>
  </si>
  <si>
    <t>16/01/2018</t>
  </si>
  <si>
    <t>669654</t>
  </si>
  <si>
    <t>JLP - Ar Condicionado GV Ap 202</t>
  </si>
  <si>
    <t>17/01/2018</t>
  </si>
  <si>
    <t>18/01/2018</t>
  </si>
  <si>
    <t>19/01/2018</t>
  </si>
  <si>
    <t>572247</t>
  </si>
  <si>
    <t>22/01/2018</t>
  </si>
  <si>
    <t>23/01/2018</t>
  </si>
  <si>
    <t>000316</t>
  </si>
  <si>
    <t>24/01/2018</t>
  </si>
  <si>
    <t>000317</t>
  </si>
  <si>
    <t>Safra - GV e JLP</t>
  </si>
  <si>
    <t>000318</t>
  </si>
  <si>
    <t>25/01/2018</t>
  </si>
  <si>
    <t>GV - Luso Brasil</t>
  </si>
  <si>
    <t>29/01/2018</t>
  </si>
  <si>
    <t>GV - MD Titas - 201, Std, Marquise e portas lojas</t>
  </si>
  <si>
    <t>000315</t>
  </si>
  <si>
    <t>31/01/2018</t>
  </si>
  <si>
    <t>JLP - CSLL</t>
  </si>
  <si>
    <t>JLP - IRPJ</t>
  </si>
  <si>
    <t>Aluguel Box C SS02 - Dez 2017 - kone (A323)</t>
  </si>
  <si>
    <t>GV - Rolo pintura</t>
  </si>
  <si>
    <t>GV - Empréstimo Leo</t>
  </si>
  <si>
    <t>GV - Jorgiano - dias extras ap 201 e studio</t>
  </si>
  <si>
    <t>GV - José Antonio - 4 das GV 20 e std (4 x 50,00)</t>
  </si>
  <si>
    <t>GV - Retirada Naz (pagamento Faxineira = 3 x 60,00)</t>
  </si>
  <si>
    <t>GV - Material ap 205</t>
  </si>
  <si>
    <t>GV - Ret Naz - Pagamento Carla Faxineira</t>
  </si>
  <si>
    <t>GV - Fita crepe</t>
  </si>
  <si>
    <t>GV - Silicone vidros corredor</t>
  </si>
  <si>
    <t>GV - Lanche Jorgiano pintura marqiuse</t>
  </si>
  <si>
    <t>GV - Fita Isolante</t>
  </si>
  <si>
    <t>GV - Pincéis - Mundo da Arte</t>
  </si>
  <si>
    <t>JLP - Coca Cola e Ovos - abertura valeta pluvial</t>
  </si>
  <si>
    <t>JLP - Happy Hour Promoção Eventos</t>
  </si>
  <si>
    <t>GV e JLP - Afiamento ponteiras e compra picareta</t>
  </si>
  <si>
    <t>GV - Roupas de cama (3 jogos casal e 1 travisseiro) STD e 201</t>
  </si>
  <si>
    <t>GV e JLP - Gasolina Irv</t>
  </si>
  <si>
    <t>GV - Reforma Puff 202</t>
  </si>
  <si>
    <t>GV - Sabão em pó - Condomínio</t>
  </si>
  <si>
    <t>GV e JLP - Bangeijas plásticas</t>
  </si>
  <si>
    <t xml:space="preserve">GV - Compra sofá Irv para Studio </t>
  </si>
  <si>
    <t xml:space="preserve">GV - Compra puff Irv para Studio </t>
  </si>
  <si>
    <t>GV - Compra criado mudo Irv para Ap 201</t>
  </si>
  <si>
    <t>GV - Placas decorativas Uai Brasil - Studio e ap 202</t>
  </si>
  <si>
    <t>GV - Colcha Studio</t>
  </si>
  <si>
    <t>GV - Colcha e travesseiros ap 201</t>
  </si>
  <si>
    <t>JLP - Esguicho e adaptadores de mangueira</t>
  </si>
  <si>
    <t>GV e JLP - Ponteiras e picareta</t>
  </si>
  <si>
    <t>GV e JLP - Vasos Minas Piso</t>
  </si>
  <si>
    <t>GV e JLP -  Conserto Carretinha - Zé do Brejo</t>
  </si>
  <si>
    <t>GV - Faxina - Vânia</t>
  </si>
  <si>
    <t>GV - Conta de luz Apt 203</t>
  </si>
  <si>
    <t>GV - Conta de água 609</t>
  </si>
  <si>
    <t>GV  - Compra manteiga obra - DMA Distribuidora</t>
  </si>
  <si>
    <t>GV e JLP - Compra de pão para obra 02/01</t>
  </si>
  <si>
    <t>GV e JLP - Compra de pão para obra 09/01</t>
  </si>
  <si>
    <t>GV e JLP - Compra de pão para obra 15/01</t>
  </si>
  <si>
    <t>GV e JLP - Compra pães - Padaria Nova Delicia</t>
  </si>
  <si>
    <t>GV e JLP - Despesas com supermercado(obra) café e açúcar EPA DMa DISTRIBUIDORA</t>
  </si>
  <si>
    <t>GV e JLP - Despesas com supermercado(obra) café EPA DMa DISTRIBUIDORA</t>
  </si>
  <si>
    <t>GV e JLP - Pagamento Alexandre (D60)</t>
  </si>
  <si>
    <t>GV e JLP - Pagamento serviço Júlio César (D60)</t>
  </si>
  <si>
    <t>GV e JLP - Pagamento serviço Patrick Victor (D60)</t>
  </si>
  <si>
    <t>GV - MD Tintas - 201, Std, Marquise e portas lojas</t>
  </si>
  <si>
    <t>GV - Compra Espelho - Vidraçaria Guanabara</t>
  </si>
  <si>
    <t>GV e JLP - Safra</t>
  </si>
  <si>
    <t>GV - Serviço dividido com JLP</t>
  </si>
  <si>
    <t>JLP - Serviço dividido com GV</t>
  </si>
  <si>
    <t>GV - Ar Condicionado GV Ap 202</t>
  </si>
  <si>
    <t>GV - Transporte mobiliário farmácia</t>
  </si>
  <si>
    <t>Fev 2018</t>
  </si>
  <si>
    <t>GV - Aluguel V 9 DJA - Fevereiro 18 - Sergio Rachid (A220)</t>
  </si>
  <si>
    <t>GV e JLP - Acerto conta xerox 01/02</t>
  </si>
  <si>
    <t>JLP - Compra de pão para obra 19/01 a 23/01</t>
  </si>
  <si>
    <t>GV e JLP - Compra de pão para escritorio  19/01 a 23/01</t>
  </si>
  <si>
    <t>GV - Aluguel Apt 204 - Mês 18 - Michelle (A1150+C80-P200,00)</t>
  </si>
  <si>
    <t>GV e JLP - Retirada IRV - Procuração Fabíola</t>
  </si>
  <si>
    <t>JLP - Compra Anel Ved. p/ Esg - Delevy</t>
  </si>
  <si>
    <t>JLP - Compra Joelhos, Luvas, TE - Delevy</t>
  </si>
  <si>
    <t>JLP - Compra Tomada Univ - Delevy</t>
  </si>
  <si>
    <t>JLP - Compra Rebite Repuxo - Ferragens Mineira</t>
  </si>
  <si>
    <t>JLP - Compra Cola - Papel e Arte</t>
  </si>
  <si>
    <t>JLP - Compra Limpa Aluminio - Comercial Teixeira e Damasceno</t>
  </si>
  <si>
    <t>JLP - Compra Luva, Anel Borr - LusoBrasil</t>
  </si>
  <si>
    <t>JLP - Compra Pilha - Ferragens Mineira</t>
  </si>
  <si>
    <t>JLP - Compra Régua Aluminio - PapéToni</t>
  </si>
  <si>
    <t>GV - Pagamento Alexandre (D70)</t>
  </si>
  <si>
    <t>JLP - Compra Cinta - Badu Armações</t>
  </si>
  <si>
    <t>GV - Aluguel ESP DJA - Fevereiro 18 - Mario Monteiro (A80)</t>
  </si>
  <si>
    <t>GV - Movimentação Materiais - Mario Monteiro</t>
  </si>
  <si>
    <t>GV e JLP - Pagamento Oict  venc 19/12/18 em discussão</t>
  </si>
  <si>
    <t>GV e JLP - Pagamento Oict  venc 17/01/18 em discussão</t>
  </si>
  <si>
    <t>GV - Ret Irv - Cleria</t>
  </si>
  <si>
    <t>GV - Aluguel Apt 101 - Janeiro 18 - Lohanny (A940+C80)</t>
  </si>
  <si>
    <t>GV - Compra interfone studio GV - TvSom</t>
  </si>
  <si>
    <t>GV - Aluguel GP JP 605 - Janeiro 18 - Fatima Cristina (A1971,41)</t>
  </si>
  <si>
    <t>GV e JLP - Acerto conta xerox 07/02</t>
  </si>
  <si>
    <t>JLP - Compra de pão para obra 29/01 a 02/02</t>
  </si>
  <si>
    <t>GV e JLP - Compra de pão para escritorio  29/01 a 02/02</t>
  </si>
  <si>
    <t>GV - Aluguel Apt 202 - Janeiro 18 -  Sônia do Carmo Pereira</t>
  </si>
  <si>
    <t>GV - Aluguel Loja GV 1060 e JP 615 - Janeiro 18 - Tales Colombi (A5000)</t>
  </si>
  <si>
    <t>GV e JLP - Pagamento estagiário - Janeiro 18 - Leonardo</t>
  </si>
  <si>
    <t>GV - Compra Joelho e Luvas - Delevy</t>
  </si>
  <si>
    <t>JLP - Compra Fone de Ouvido Xandão - TvSom</t>
  </si>
  <si>
    <t>GV - Aluguel Mes JP 609 - Janeiro 18 - Pedro Emílio Amador Salomão (A1200+Agua26,85)</t>
  </si>
  <si>
    <t>GV - Aluguel V 8 DJA - Fevereiro 18 - Pedro Emílio Amador Salomão (150)</t>
  </si>
  <si>
    <t>GV - Pagamento - Faxina Edifício Nova Era - Vania (75) Dias 29/01 e 01/02</t>
  </si>
  <si>
    <t>GV - Pagamento - Faxina Apt 205 Irving - Vania (75) Dias 29/01 e 01/02</t>
  </si>
  <si>
    <t>GV - Pagamento - Faxina Edifício Nova Era - Vania (75) Dias 05/02 e 08/02</t>
  </si>
  <si>
    <t>GV - Pagamento - Faxina Apt 205 Irving - Vania (75) Dias 05/02 e 08/02</t>
  </si>
  <si>
    <t>GV - Cópias de chaves - Ponto das Chaves</t>
  </si>
  <si>
    <t>GV - Aluguel V M DJA - Fevereiro 18 - Bruno Ricardo (A60)</t>
  </si>
  <si>
    <t>GV - Aluguel Apt 103 - Janeiro 18 - Arlete (A940+C80)</t>
  </si>
  <si>
    <t>JLP - Compra Plug Fame 20A Extensão - Delevy</t>
  </si>
  <si>
    <t>GV - Aluguel V 2 DJA - Fevereiro 18 - Lucas Barreiros (A185)</t>
  </si>
  <si>
    <t>GV - Depósito conta Santander HON (Arlete + Lucas)</t>
  </si>
  <si>
    <t xml:space="preserve">GV - Aluguel Apt 203 - Janeiro 18 - Marina (A1200+C80+L22,43) </t>
  </si>
  <si>
    <t>GV - Compra persiana - Só forro PVC - 1ª Metade</t>
  </si>
  <si>
    <t>GV - Aluguel V 4 DJA - Fevereiro 18 - Sergio (A190)</t>
  </si>
  <si>
    <t>GV - Aluguel V M DJA - Fevereiro 18 - Sergio (A60)</t>
  </si>
  <si>
    <t>GV - Compra Lixa d'água - Ferragens Mineira</t>
  </si>
  <si>
    <t>GV - Aluguel Loja GV 1052  - Janeiro 18 - Irmas Figueiredo (A2050)</t>
  </si>
  <si>
    <t>JLP - Aluguel Loja FSA 152 - Janeiro 18 - Alexandre Couy (A7500)</t>
  </si>
  <si>
    <t>JLP - Aluguel V 1 a V 5 - Fevereiro 18 - Alexandre Couy (A500)</t>
  </si>
  <si>
    <t>15/02/2018 </t>
  </si>
  <si>
    <t>GV - Ret Irv - IPTU complementar</t>
  </si>
  <si>
    <t>GV - Móveis e acessórios Studio GV NE</t>
  </si>
  <si>
    <t>JLP - Aluguel GP 03 - Fevereiro 18 - Juliana (A2250+IPTU+AG27)</t>
  </si>
  <si>
    <t>GV - Despesas produtos limpezas Vânia - DMA DISTRIBUIDORA S/A</t>
  </si>
  <si>
    <t>GV e JLP - Despesa com supermercado escritório EPA DMa DISTRIBUIDORA</t>
  </si>
  <si>
    <t>GV - Despesas irving - DMA DISTRIBUIDORA</t>
  </si>
  <si>
    <t>GV - Depósito conta Santander HON (Irmãs Figueiredo)</t>
  </si>
  <si>
    <t>JLP - Compra Óleo Desengripante - Locminas</t>
  </si>
  <si>
    <t>GV - Aluguel V 1 DJA - Fevereiro 18 - Maria Goretti (A190)</t>
  </si>
  <si>
    <t>GV - Aluguel V 3 DJA - Fevereiro 18 - Fernando Henrique (A190)</t>
  </si>
  <si>
    <t>GV - Compra Lixa - Ferragens Mineira</t>
  </si>
  <si>
    <t>JLP - Depósito conta Santander JLP (Juliana Salazar)</t>
  </si>
  <si>
    <t>GV - Ret Irv - Fatura Cartão Porto</t>
  </si>
  <si>
    <t>GV - Resina tapete studio NE</t>
  </si>
  <si>
    <t>16/02/2018 </t>
  </si>
  <si>
    <t>GV - Ret Irv - Bike 1.3</t>
  </si>
  <si>
    <t>GV - Aluguel Loja GV 1050 - Janeiro 18 - By Fiapo (A3500)</t>
  </si>
  <si>
    <t>GV - Serviço de Marceneiro - Antônio Duque</t>
  </si>
  <si>
    <t>JLP - Solda carrinho de mão - Fer Box</t>
  </si>
  <si>
    <t>JLP - Compra Thinner 900ml - Locminas</t>
  </si>
  <si>
    <t>GV - Luminárias e acessórios Studio GV NE</t>
  </si>
  <si>
    <t>GV - Estacionamento Tok e Stock</t>
  </si>
  <si>
    <t>GV - Ret Irv - Móveis Paula</t>
  </si>
  <si>
    <t>GV - Aluguel Apt 104 - Mês 18 - Evanilde (A960+C80) </t>
  </si>
  <si>
    <t>JLP - Compra de pão para obra 05/02 a 16/02</t>
  </si>
  <si>
    <t>GV e JLP - Compra de pão para escritorio  05/02 a 16/02</t>
  </si>
  <si>
    <t>GV - Aluguel apt 102 - Jan18 - Jorge (A860+C80)</t>
  </si>
  <si>
    <t>GV - Compra Plug e Fita isolante - Delevy NF: 37.350</t>
  </si>
  <si>
    <t>JLP - Compra estopa - Ferragens Mineira</t>
  </si>
  <si>
    <t>JLP - Compra remendos - Duas Rodas Bicicletas</t>
  </si>
  <si>
    <t>GV - Aluguel temporada Ap 201 + Cemig e Cond - João Capela</t>
  </si>
  <si>
    <t>GV - Pagamento - Faxina Edifício Nova Era - Vania (75) Dias 19/02 a 23/02</t>
  </si>
  <si>
    <t>GV - Pagamento - Faxina Apt 205 Irving - Vania (75) Dias 19/02 a 23/02</t>
  </si>
  <si>
    <t>GV - Pagamento - Faxina Edifício Nova Era - Vania (75) Dias 12/02 a 16/02</t>
  </si>
  <si>
    <t>GV - Pagamento - Faxina Apt 205 Irving - Vania (75) Dias 12/02 a 16/02</t>
  </si>
  <si>
    <t>JLP - Cópia de chaves - Casa das Chaves</t>
  </si>
  <si>
    <t>GV - Compra Bico Adaptador - Ferragens Mineira</t>
  </si>
  <si>
    <t>JLP - Compra Bandaid, esparadrapo, sulf de neo - Famárcia Popular</t>
  </si>
  <si>
    <t>22/02/2018 </t>
  </si>
  <si>
    <t>GV - Ret Irv - Seguro Tracker 1.5</t>
  </si>
  <si>
    <t>GV - Cemig Ap 202 - Sonia - abatida no acerto</t>
  </si>
  <si>
    <t>GV - Ret Irv - Paula</t>
  </si>
  <si>
    <t>JLP - Pagamento Lustres, balança, champanheira - Lucianne Radespiel</t>
  </si>
  <si>
    <t>GV - Compra rolamentos 2x - Léo Pneus e Rolamentos</t>
  </si>
  <si>
    <t>GV - Compra rolamento - Jolupe</t>
  </si>
  <si>
    <t>GV - Compra conduite e placa cega - Delevy</t>
  </si>
  <si>
    <t>JLP - Compra Det, Desinf, Limp. Veja, Alcool Gél, Sabão Pó - EPA DMA DISTRIBUIDORA</t>
  </si>
  <si>
    <t>01/02/2018 </t>
  </si>
  <si>
    <t>02/02/2018</t>
  </si>
  <si>
    <t>GV - Locminas GV</t>
  </si>
  <si>
    <t>000319</t>
  </si>
  <si>
    <t>05/02/2018</t>
  </si>
  <si>
    <t>000322</t>
  </si>
  <si>
    <t>000323</t>
  </si>
  <si>
    <t>06/02/2018</t>
  </si>
  <si>
    <t>JLP - Luso Brasil - material ralo</t>
  </si>
  <si>
    <t>000321</t>
  </si>
  <si>
    <t>07/02/2018</t>
  </si>
  <si>
    <t>001000</t>
  </si>
  <si>
    <t>GV e JLP - Terra e entulho</t>
  </si>
  <si>
    <t>GV - Adiantamento antecipado Juaniz</t>
  </si>
  <si>
    <t>000326</t>
  </si>
  <si>
    <t>GV - Adiantamento antecipado José Antônio</t>
  </si>
  <si>
    <t>000328</t>
  </si>
  <si>
    <t>08/02/2018</t>
  </si>
  <si>
    <t>GV - Adiantamento antecipado Jorgiano</t>
  </si>
  <si>
    <t>000331</t>
  </si>
  <si>
    <t>09/02/2018</t>
  </si>
  <si>
    <t>GV - Marmoraria Galama</t>
  </si>
  <si>
    <t>000320</t>
  </si>
  <si>
    <t>14/02/2018</t>
  </si>
  <si>
    <t>JLP - HSR - Aluguel Jan 18 (A 4980,50 - 5% Desc = 4731,47)</t>
  </si>
  <si>
    <t>15/02/2018</t>
  </si>
  <si>
    <t>JLP - Dablius Contabilidade Fev18</t>
  </si>
  <si>
    <t>JLP - Supermercado Universal - Cestas Básicas</t>
  </si>
  <si>
    <t>16/02/2018</t>
  </si>
  <si>
    <t>674021</t>
  </si>
  <si>
    <t>19/02/2018</t>
  </si>
  <si>
    <t>674054</t>
  </si>
  <si>
    <t>303306</t>
  </si>
  <si>
    <t>000234</t>
  </si>
  <si>
    <t>20/02/2018</t>
  </si>
  <si>
    <t>21/02/2018</t>
  </si>
  <si>
    <t>22/02/2018</t>
  </si>
  <si>
    <t>23/02/2018</t>
  </si>
  <si>
    <t>27/02/2018</t>
  </si>
  <si>
    <t>000332</t>
  </si>
  <si>
    <t>28/02/2018</t>
  </si>
  <si>
    <t>110237</t>
  </si>
  <si>
    <t>Valdenir Vergalhoes</t>
  </si>
  <si>
    <t>Etna</t>
  </si>
  <si>
    <t>Origem Conta Corrente</t>
  </si>
  <si>
    <t>TV Som</t>
  </si>
  <si>
    <t>GV - Copos Studio Lojas Americanas</t>
  </si>
  <si>
    <t>GV - Cortina box ap 205</t>
  </si>
  <si>
    <t>GV e JLP - Lanche Ipatinga</t>
  </si>
  <si>
    <t>GV e JLP - Lanche G Valadares</t>
  </si>
  <si>
    <t>GV e JLP - Lanche Itabira</t>
  </si>
  <si>
    <t>GV - Barra de Ferro</t>
  </si>
  <si>
    <t xml:space="preserve">GV e JLP - Gasolina </t>
  </si>
  <si>
    <t>GV - Impressão contrato Ap 201 João Capela</t>
  </si>
  <si>
    <t>GV e JLP - Gasolina viagem BH</t>
  </si>
  <si>
    <t>GV - Lâmpada 201</t>
  </si>
  <si>
    <t>GV e JLP - Lanche viagem BH</t>
  </si>
  <si>
    <t>GV - Etna - Almofadas e acessórios Studio GV</t>
  </si>
  <si>
    <t>GV - Aluguel Loja GV 1060 - Acerto Tales aluguel Set 2017 - 15 dias</t>
  </si>
  <si>
    <t>Alicate de antenas</t>
  </si>
  <si>
    <t>Receptor antena parabólica ap 204</t>
  </si>
  <si>
    <t>Fio de rede 20 m</t>
  </si>
  <si>
    <t>Receptor antena ap 202</t>
  </si>
  <si>
    <t>JLP - Aluguel GP 03 - Fevereiro 18 - Juliana (A2250+IPTU)</t>
  </si>
  <si>
    <t>GV - taxa cemig aluguel por temporada 201</t>
  </si>
  <si>
    <t>GV - Conta de luz 203</t>
  </si>
  <si>
    <t>GV e JLP  - Adiantamento antecipado Jorgiano</t>
  </si>
  <si>
    <t>GV e JLP  - Adiantamento antecipado José Antônio</t>
  </si>
  <si>
    <t>GV e JLP  - Adiantamento antecipado Juaniz</t>
  </si>
  <si>
    <t>GV e JLP - Compra de pão para obra 05/02 a 16/02</t>
  </si>
  <si>
    <t>GV e JLP - Compra de pão para obra 19/01 a 23/01</t>
  </si>
  <si>
    <t>GV e JLP - Compra de pão para obra 29/01 a 02/02</t>
  </si>
  <si>
    <t>GV e JLP - Despesas com supermercado(obra) açúcar EPA DMa DISTRIBUIDORA</t>
  </si>
  <si>
    <t>GV e JLP - Serviço de Marceneiro - Antônio Duque</t>
  </si>
  <si>
    <t>GV e JLP - Supermercado Universal - Cestas Básicas</t>
  </si>
  <si>
    <t>Mar 2018</t>
  </si>
  <si>
    <t>GV - Aluguel V 9 DJA - Março 18 - Sergio Rachid (A220)</t>
  </si>
  <si>
    <t>GV - Aluguel Apt 105 - Janeiro 18 - Jéssicka (A862+C80)</t>
  </si>
  <si>
    <t>GV - Pagamento - Faxina Edifício Nova Era - Vania (75) Dias 26/02 a 02/03</t>
  </si>
  <si>
    <t>GV - Pagamento - Faxina Apt 205 Irving - Vania (75) Dias 26/02 a 02/03</t>
  </si>
  <si>
    <t>JLP - Pagamento - Faxina Escritório JLP - Vania (75)</t>
  </si>
  <si>
    <t>GV - Cheque devolvido</t>
  </si>
  <si>
    <t>JLP - Compra Cerveja - Tele Cerveja Portugal</t>
  </si>
  <si>
    <t>JLP - Compra Pizza - Tunnel</t>
  </si>
  <si>
    <t>GV - Aluguel Apt 101 - Fevereiro 18 - Lohanny (A940+C80+IPTU232,46)</t>
  </si>
  <si>
    <t>GV - Ret Irv - Tia Teca</t>
  </si>
  <si>
    <t>GV - Pagamento serviço SKY - Ricardo Lopes</t>
  </si>
  <si>
    <t>GV - Aluguel V 3 DJA - Março 18 - Fernando Henrique (A190)</t>
  </si>
  <si>
    <t>JLP - Despesas com supermercado(obra) açúcar coca cola EPA DMa DISTRIBUIDORA</t>
  </si>
  <si>
    <t>JLP - Plotagem de projeto - Engenharty</t>
  </si>
  <si>
    <t>JLP - Compra Envelopes pardos x40 - PapéToni</t>
  </si>
  <si>
    <t>GV e JLP - Pagamento estagiário - Fevereiro 18 - Leonardo</t>
  </si>
  <si>
    <t>GV - Aluguel Mes JP 609 - Fevereiro 18 - Pedro Emílio Amador Salomão (A1200+Ag32,95)</t>
  </si>
  <si>
    <t>GV - Aluguel V 8 DJA - Março 18 - Pedro Emílio Amador Salomão (150)</t>
  </si>
  <si>
    <t>GV - Aluguel GP JP 605 - Fevereiro 18 - Fatima Cristina (A1971,41+IPTU177,25)</t>
  </si>
  <si>
    <t>JLP - Gastos com materiais e frete para o portão da FSA152 (obs: troco não devolvido) - 196,50 inst motor</t>
  </si>
  <si>
    <t>JLP - Pagamento funcionário - Izac</t>
  </si>
  <si>
    <t>GV - Compra Metalasse - Casa do Capoteiro</t>
  </si>
  <si>
    <t>GV - Comp pgto copasa dja 16 20180112</t>
  </si>
  <si>
    <t>GV - Comp pgto copasa dja 16 20180212</t>
  </si>
  <si>
    <t>GV - Comp pgto copasa dja 16 20180312</t>
  </si>
  <si>
    <t>GV - Comp pgto cemig 601 20180114 - Cogumelo Erro Leo</t>
  </si>
  <si>
    <t>GV - Comp pgto cemig 601 20180214 - Cogumelo Erro Leo</t>
  </si>
  <si>
    <t>GV - Comp pgto cemig 601 20180314 - Cogumelo Erro Leo</t>
  </si>
  <si>
    <t>GV - Compra Lixa p/ Madeira - Ferragens Mineira</t>
  </si>
  <si>
    <t>GV - Compra parafusos - Ponto das Chaves</t>
  </si>
  <si>
    <t>GV - Compra Parafusos phillips - Comercial Loesch</t>
  </si>
  <si>
    <t>GV - Compra Cap. Solda, TE - Delevy</t>
  </si>
  <si>
    <t>GV - Compra Espude Plast. Cipla p/ vaso - Ferragens Mineira</t>
  </si>
  <si>
    <t>GV - Compra Arrebity - Ponto das Chaves</t>
  </si>
  <si>
    <t>GV - Compra pés 12cm cr - Mundo da Arte</t>
  </si>
  <si>
    <t>JLP - Compra Apontador - PapéToni</t>
  </si>
  <si>
    <t>JLP - Compra remédio para dor - Drogaria Lages</t>
  </si>
  <si>
    <t>JLP - Aluguel GP 03 - Mês 18 - Juliana (A2250+IPTU+AG27+IPTU2018:92,07)</t>
  </si>
  <si>
    <t>GV - Aluguel Loja GV 1060 e JP 615 - Mês 18 - Tales Colombi (A5000+IPTU72,82)</t>
  </si>
  <si>
    <t>GV - Aluguel Loja JP 607 - Fevereiro 18 - Antonio Celso (A1360+IPTU128,22)</t>
  </si>
  <si>
    <t>JLP - Compra Metalon Chapa 6m - Comercial Ferro e Aço</t>
  </si>
  <si>
    <t>GV e JLP - Ivana - Consultoria fevereiro 2018</t>
  </si>
  <si>
    <t>GV e JLP - Acerto conta xerox 09/03</t>
  </si>
  <si>
    <t>GV - Aluguel Apt 104 - Mês 18 - Evanilde (Acerto Final) </t>
  </si>
  <si>
    <t>09/03/2018 </t>
  </si>
  <si>
    <t>GV - Aluguel Apt 204 - Janeiro 18 - Michelle (A1150+C80+M10%+IPTU41,34)</t>
  </si>
  <si>
    <t>GV - Aluguel Loja GV 1052  - Feveirero 18 - Irmas Figueiredo (A2050)</t>
  </si>
  <si>
    <t>12/03/2018 </t>
  </si>
  <si>
    <t>GV - Casas Pernanbucanas 1.5 - Roupas de cama e banho - ap 201 e studio</t>
  </si>
  <si>
    <t>GV - Ret Irv - Bike 2.3</t>
  </si>
  <si>
    <t>GV - Aluguel V 2 DJA - Março 18 - Lucas Barreiros (A185)</t>
  </si>
  <si>
    <t>GV - Compra Águarraz - Ferragens Mineira</t>
  </si>
  <si>
    <t>GV - Depósito conta Santander HON (Lucas185+Irmas Figueiredo1.200)</t>
  </si>
  <si>
    <t>GV - Aluguel V 4 DJA - Março 18 - Sergio (A190)</t>
  </si>
  <si>
    <t>GV - Aluguel V M DJA - Março 18 - Sergio (A60)</t>
  </si>
  <si>
    <t>GV - Aluguel V M DJA - Março 18 - Bruno Ricardo (A60)</t>
  </si>
  <si>
    <t>GV - Compra Canton. Azul. "L" - Luso Brasil</t>
  </si>
  <si>
    <t>JLP - Compra rolo de espuma - Ferragens Mineira</t>
  </si>
  <si>
    <t xml:space="preserve">GV - Aluguel Apt 203 - Fevereiro 18 - Marina (A1200+C80+L23,45+IPTU35,18) </t>
  </si>
  <si>
    <t>GV - Aluguel V 5 DJA - Março 18 - Gustavo (A185)</t>
  </si>
  <si>
    <t>GV - Aluguel Apt 103 - Fevereiro 18 - Arlete (A940+C80+IPTU236)</t>
  </si>
  <si>
    <t>GV - Depósito conta Santander HON (Arlete)</t>
  </si>
  <si>
    <t>JLP - Despesas com supermercado(obra) café sabão em pó EPA DMa DISTRIBUIDORA</t>
  </si>
  <si>
    <t>JLP - Compra de pão para obra 05/03 a 09/03</t>
  </si>
  <si>
    <t>GV e JLP - Compra de pão para escritorio  05/03 a 09/03</t>
  </si>
  <si>
    <t>GV - Aluguel Loja GV 1050 - Fevereiro 18 - By Fiapo (A3500+IPTU87,45)</t>
  </si>
  <si>
    <t>JLP- Compra Lamp. Halogena - Lumiere</t>
  </si>
  <si>
    <t>JLP - Compra Lamp. Halogena - Lumiere</t>
  </si>
  <si>
    <t>JLP - Compra Rolo p/ pintura - Ferragens Mineira</t>
  </si>
  <si>
    <t>GV - Pagamento - Faxina Edifício Nova Era - Vania (75) Dias 05/03 a 09/03</t>
  </si>
  <si>
    <t>GV - Pagamento - Faxina Apt 205 Irving - Vania (75) Dias 05/03 a 09/03</t>
  </si>
  <si>
    <t>GV - Pagamento - Faxina Edifício Nova Era - Vania (75) Dias 12/03 a 15/03</t>
  </si>
  <si>
    <t>GV - Pagamento - Faxina Apt 205 Irving - Vania (75) Dias 12/03 a 15/03</t>
  </si>
  <si>
    <t>JLP - Aluguel Loja FSA 152 - Fevereiro 18 - Alexandre Couy (A7500+IPTU477,70)</t>
  </si>
  <si>
    <t>15/03/2018 </t>
  </si>
  <si>
    <t>GV - Coletivo AU BH - Cadeiras ap 105 - quatro unidades</t>
  </si>
  <si>
    <t>JLP - Pagamento serviços Serralheria - Felipe</t>
  </si>
  <si>
    <t>GV - Compra Aguarraz - Ferragens Mineira</t>
  </si>
  <si>
    <t>GV - Compra Argamassa - Continental</t>
  </si>
  <si>
    <t>JLP - Compra Arame recozido - LocMinas</t>
  </si>
  <si>
    <t>JLP - Pagamento serviços - (Parente de Juaniz)</t>
  </si>
  <si>
    <t>GV - Ret Irv - Pousada Cumuru</t>
  </si>
  <si>
    <t>20/03/2018 </t>
  </si>
  <si>
    <t>GV - Devolução caução Sonia Ap 202 - abatimento (3000-A 1430 - DIV 454,49)</t>
  </si>
  <si>
    <t>GV - Aluguel apt 102 - Fev18 - Jorge (A860+C80+IPTU195,98)</t>
  </si>
  <si>
    <t>GV - Transferência CXD para Hon</t>
  </si>
  <si>
    <t>21/03/2018 </t>
  </si>
  <si>
    <t>GV - Compra Lampadas - Delevy e Lumiere</t>
  </si>
  <si>
    <t>JLP - Despesas com supermercado(obra) café açucar EPA DMa DISTRIBUIDORA</t>
  </si>
  <si>
    <t>GV - Compra Veja MultiUso, Detergente, Amaciante - EPA DMA DISTRIBUIDORA</t>
  </si>
  <si>
    <t>JLP - Compra Água Sanitária - EPA DMA DISTRIBUIDORA</t>
  </si>
  <si>
    <t>JLP - Xerox ( sem nota )</t>
  </si>
  <si>
    <t>JLP - Compra 1 Caçamba Areia Grossa - Areal do Noé</t>
  </si>
  <si>
    <t>GV - Cópia de chave - Casa das Chaves - Garagem DJA para Bruno</t>
  </si>
  <si>
    <t>JLP - Despesas com supermercado(obra) coca cola espon. aço EPA DMa DISTRIBUIDORA</t>
  </si>
  <si>
    <t>JLP - Pagamento serviços - Isac</t>
  </si>
  <si>
    <t>JLP - Transporte Manilha - Geronimo</t>
  </si>
  <si>
    <t>JLP - Compra remendo estrela grande, pequena - Garagem Popular</t>
  </si>
  <si>
    <t>JLP - Compra  cola remedno - Garagem Popular</t>
  </si>
  <si>
    <t>GV - Ret Irv - Seguro Tracker 2.5</t>
  </si>
  <si>
    <t>JLP - Compra de pão para obra 12/03 a 23/03</t>
  </si>
  <si>
    <t>GV e JLP - Compra de pão para escritorio  12/03 a 23/03</t>
  </si>
  <si>
    <t>GV e JLP - Transferência para caixa IRV (Cheques)</t>
  </si>
  <si>
    <t>GV e JLP - Transferência para caixa IRV (Dinheiro)</t>
  </si>
  <si>
    <t>JLP - Compra Plug macho/femea - Delevy</t>
  </si>
  <si>
    <t>GV e JLP - Acerto Horas Extras Jorgiano</t>
  </si>
  <si>
    <t>27/03/2018 </t>
  </si>
  <si>
    <t>JLP - Pagamento Lustres, balança, champanheira - Lucianne Radespiel (1500) + Ret Irv (350)</t>
  </si>
  <si>
    <t>GV - Ret Naz - Extra</t>
  </si>
  <si>
    <t>GV - Ret Irv - Treinador Carol</t>
  </si>
  <si>
    <t>GV - Compra Grampo p/ Cabo Coaxial - Ferragens Mineira</t>
  </si>
  <si>
    <t>GV - Compra valvula americana overtime ab - Ferragens Mineira</t>
  </si>
  <si>
    <t>GV - Compra Cimento branco, kaol - Ferragens Mineira</t>
  </si>
  <si>
    <t>GV - Troca de Vidro - Mundo da Arte</t>
  </si>
  <si>
    <t>JLP - Compra Escova retangular, acido muriatico - Ferragens Mineira</t>
  </si>
  <si>
    <t>JLP - Compra 2x Chapéu de Palha - Panelão Torres</t>
  </si>
  <si>
    <t>GV - Pagamento - Faxina Edifício Nova Era - Vania (75) Dias 19/03 a 23/03 Ap 104 e Studio</t>
  </si>
  <si>
    <t>GV - Pagamento - Faxina Apt 205 Irving - Vania (75) Dias 19/03 a 23/03</t>
  </si>
  <si>
    <t>GV - Pagamento - Faxina Edifício Nova Era - Vania (75) Dias 26/03 a 28/03</t>
  </si>
  <si>
    <t>GV - Pagamento - Faxina Apt 205 Irving - Vania (75) Dias 26/03 a 28/03</t>
  </si>
  <si>
    <t>JLP - Pagamento serviços - Izac</t>
  </si>
  <si>
    <t>GV - Aluguel Loja JP 607 - Março 18 - Antonio Celso (A1360)</t>
  </si>
  <si>
    <t>GV - Ret Irv - Mesa Aninha</t>
  </si>
  <si>
    <t>01/03/2018 </t>
  </si>
  <si>
    <t>000336</t>
  </si>
  <si>
    <t>000337</t>
  </si>
  <si>
    <t>02/03/2018</t>
  </si>
  <si>
    <t>000338</t>
  </si>
  <si>
    <t>07/03/2018</t>
  </si>
  <si>
    <t>JLP - Instalação motor portão eletrônico Fsa</t>
  </si>
  <si>
    <t>000341</t>
  </si>
  <si>
    <t>08/03/2018</t>
  </si>
  <si>
    <t>JLP - Taxa registro INPI</t>
  </si>
  <si>
    <t>09/03/2018</t>
  </si>
  <si>
    <t>GV - Projeto Elétrico Charles Dantas - Aumento carga NE para 220V</t>
  </si>
  <si>
    <t>000339</t>
  </si>
  <si>
    <t>672778</t>
  </si>
  <si>
    <t>125762</t>
  </si>
  <si>
    <t>12/03/2018</t>
  </si>
  <si>
    <t>JLP - HSR - Aluguel Fev 18 (A 4980,50 - 5% Desc = 4731,47)</t>
  </si>
  <si>
    <t>13/03/2018</t>
  </si>
  <si>
    <t>GV e JLP - Locminas - brocas</t>
  </si>
  <si>
    <t>000342</t>
  </si>
  <si>
    <t>14/03/2018</t>
  </si>
  <si>
    <t>GV - Só Forro e PVC - Persianas ap 201 1.2 - Entrega e segunda parcela em maio</t>
  </si>
  <si>
    <t>000343</t>
  </si>
  <si>
    <t>15/03/2018</t>
  </si>
  <si>
    <t>JLP - Dablius Contabilidade Mar18</t>
  </si>
  <si>
    <t>20/03/2018</t>
  </si>
  <si>
    <t>GV - TV Som - sintonizadores TV e cabos</t>
  </si>
  <si>
    <t>JLP - Registro INPI - MHE</t>
  </si>
  <si>
    <t>JLP - Registro INPI - MAS</t>
  </si>
  <si>
    <t>JLP - Adiantamento - Março 18 - Jorgiano</t>
  </si>
  <si>
    <t>000349</t>
  </si>
  <si>
    <t>JLP - Adiantamento - Março 18 - José Antonio</t>
  </si>
  <si>
    <t>000350</t>
  </si>
  <si>
    <t>JLP - Adiantamento - Março 18 - Juaniz</t>
  </si>
  <si>
    <t>000351</t>
  </si>
  <si>
    <t>22/03/2018</t>
  </si>
  <si>
    <t>GV - Galama - Soleira GV Copiadora</t>
  </si>
  <si>
    <t>26/03/2018</t>
  </si>
  <si>
    <t>GV - Tok &amp; Stock - Mesa jantar ap 205</t>
  </si>
  <si>
    <t>GV - Locminas - Material ap 104</t>
  </si>
  <si>
    <t>000347</t>
  </si>
  <si>
    <t>GV - Luso Brasil - Matrial ap 104</t>
  </si>
  <si>
    <t>000348</t>
  </si>
  <si>
    <t>27/03/2018</t>
  </si>
  <si>
    <t>GV - Vidraçaria Guanabara - Box Studio - Entregue em maio e pago restante em 21/05/18</t>
  </si>
  <si>
    <t>000344</t>
  </si>
  <si>
    <t>GV - GPS (pago adiantado por erro)</t>
  </si>
  <si>
    <t>28/03/2018</t>
  </si>
  <si>
    <t>JLP - Transferência para Caixa - pagamento IPTUs</t>
  </si>
  <si>
    <t>29/03/2018</t>
  </si>
  <si>
    <t>JLP - Quadro de Chaves - Estornado pelo fornecedor em 02/05/2018</t>
  </si>
  <si>
    <t>JLP - Torneiras Jardins Mercado Livre - Estorno compra cancelada pelo vendedor</t>
  </si>
  <si>
    <t>JLP - Lajes Wolf - Manilha árvore jardim</t>
  </si>
  <si>
    <t>000354</t>
  </si>
  <si>
    <t>JLP - Badu Armações - Muro tijolinhos</t>
  </si>
  <si>
    <t>000353</t>
  </si>
  <si>
    <t>Juliana Salazar</t>
  </si>
  <si>
    <t>Etna mesa</t>
  </si>
  <si>
    <t>GV e JLP - Refeição viagem BH</t>
  </si>
  <si>
    <t>GV - Lâmpadas NE</t>
  </si>
  <si>
    <t>GV - Compra quadros Irv Rua do Ouro (HD modelos, HD Moto, Jack Daniel's, Cachaças 4)</t>
  </si>
  <si>
    <t>JLP - Ttransf cx cc irv pgto iptus 20180328</t>
  </si>
  <si>
    <t xml:space="preserve">GV - IPTU GV 1040 </t>
  </si>
  <si>
    <t xml:space="preserve">GV - IPTU GV 1050 </t>
  </si>
  <si>
    <t>GV - IPTU GV 1052</t>
  </si>
  <si>
    <t xml:space="preserve">GV - IPTU GV 1056 - Andares 1 e 2 </t>
  </si>
  <si>
    <t xml:space="preserve">GV - IPTU GV 1060 </t>
  </si>
  <si>
    <t xml:space="preserve">GV - IPTU JP 615 </t>
  </si>
  <si>
    <t xml:space="preserve">GV - IPTU JP 607 </t>
  </si>
  <si>
    <t xml:space="preserve">GV - IPTU JP 605 </t>
  </si>
  <si>
    <t>GV - IPTU JP 603</t>
  </si>
  <si>
    <t>GV - IPTU DJA 16</t>
  </si>
  <si>
    <t>JLP - IPTU FSA 152 loja e 152 studios</t>
  </si>
  <si>
    <t>JLP - IPTU FSA 152 B</t>
  </si>
  <si>
    <t>JLP - IPTU FSA 152 C</t>
  </si>
  <si>
    <t>JLP - IPTU FSA 152 D</t>
  </si>
  <si>
    <t>JLP - IPTU FSA 152 E</t>
  </si>
  <si>
    <t>JLP - IPTU MC 217</t>
  </si>
  <si>
    <t>GV - Cópiadora GV - Contratos Studio</t>
  </si>
  <si>
    <t>Pagamento de saldo devedor</t>
  </si>
  <si>
    <t>GV - Pagamento Faxina - Vânia</t>
  </si>
  <si>
    <t>GV - Conta de Luz Apt 203 - Fevereiro 18 - Marina</t>
  </si>
  <si>
    <t>GV Conta de água 609 - Fevereiro 18 - Pedro Emílio Amador Salomão</t>
  </si>
  <si>
    <t>Iptu</t>
  </si>
  <si>
    <t>GV e JLP - Compra de pão para obra 05/03 a 09/03</t>
  </si>
  <si>
    <t>GV e JLP - Compra de pão para obra 12/03 a 23/03</t>
  </si>
  <si>
    <t>GV e JLP - Despesas com supermercado(obra) açúcar coca cola EPA DMa DISTRIBUIDORA</t>
  </si>
  <si>
    <t>GV e JLP - Despesas com supermercado(obra) café açucar EPA DMa DISTRIBUIDORA</t>
  </si>
  <si>
    <t>GV e JLP - Despesas com supermercado(obra) café sabão em pó EPA DMa DISTRIBUIDORA</t>
  </si>
  <si>
    <t>GV e JLP - Despesas com supermercado(obra) coca cola espon. aço EPA DMa DISTRIBUIDORA</t>
  </si>
  <si>
    <t>GV - Locminas - brocas</t>
  </si>
  <si>
    <t>zbiliário</t>
  </si>
  <si>
    <t>Abr 2018</t>
  </si>
  <si>
    <t>GV - Aluguel V 9 DJA - Abril 18 - Sergio Rachid (A220)</t>
  </si>
  <si>
    <t>JLP - Despesas com supermercado(obra) café açucar + mat. Limpeza - EPA DMa DISTRIBUIDORA</t>
  </si>
  <si>
    <t>JLP - Despesas com supermercado(obra) café - Padaria Flor do Trigo</t>
  </si>
  <si>
    <t>a</t>
  </si>
  <si>
    <t>GV - Complementação Caução Studio 01 NE (Din 1500 cxd + Doc 1800 CCHon)</t>
  </si>
  <si>
    <t>GV e JLP - Pgto oi ct combo 20180222</t>
  </si>
  <si>
    <t>GV e JLP - Pgto oi ct combo 20180404</t>
  </si>
  <si>
    <t>GV e JLP - Pgto oi ct fixo 20180301</t>
  </si>
  <si>
    <t>GV e JLP - Pgto oi ct fixo 20180308</t>
  </si>
  <si>
    <t>GV e JLP - Acerto Horas Extras Juaniz</t>
  </si>
  <si>
    <t>GV e JLP - Acerto Horas Extras José Antonio</t>
  </si>
  <si>
    <t>JLP - Compra Envelopes pardos x5 - PapéToni</t>
  </si>
  <si>
    <t>GV - Aluguel ESP DJA - Março 18 - Mario Monteiro (A80)</t>
  </si>
  <si>
    <t>GV - Aluguel ESP DJA - Abril 18 - Mario Monteiro (A80)</t>
  </si>
  <si>
    <t>06/04/2018 </t>
  </si>
  <si>
    <t>GV - Aluguel e rescição contratual ap 202 a</t>
  </si>
  <si>
    <t>GV - Aluguel e rescição contratual ap 202 b</t>
  </si>
  <si>
    <t>GV - Aluguel Apt 101 - Março 18 - Lohanny (A940+C80)</t>
  </si>
  <si>
    <t>GV e JLP - Pagamento estagiário - Março 18 - Leonardo + (GÁS15,50)</t>
  </si>
  <si>
    <t xml:space="preserve">GV - Aluguel Apt 203 - Março 18 - Marina (A1200+C80+L24,96) </t>
  </si>
  <si>
    <t>GV - Aluguel Mes JP 609 - Março 18 - Pedro Emílio Amador Salomão (A1200+ÁGUA32,41)</t>
  </si>
  <si>
    <t>GV - Aluguel V 8 DJA - Abril 18 - Pedro Emílio Amador Salomão (150)</t>
  </si>
  <si>
    <t>GV - Aluguel V 1 DJA - Março 18 - Maria Goretti (A190)</t>
  </si>
  <si>
    <t>GV - Aluguel V 1 DJA - Abril 18 - Maria Goretti (A190)</t>
  </si>
  <si>
    <t>GV - Aluguel GP JP 605 - Março 18 - Fatima Cristina (A1971,41+IPTU177,25)</t>
  </si>
  <si>
    <t>GV - Compra Agua Sanitaria, Alvejante, Sabão Pó - EPA DMA DISTRIBUIDORA</t>
  </si>
  <si>
    <t>JLP - Compra Multiuso, Desinfetante, Esponja de aço - EPA DMA DISTRIBUIDORA</t>
  </si>
  <si>
    <t>JLP - Compra ancinho tramontina (ratelo) - Ferragens Mineira</t>
  </si>
  <si>
    <t>GV - Aluguel V 3 DJA - Abril 18 - Fernando Henrique (A190)</t>
  </si>
  <si>
    <t>GV - Ret Irv - Rua das Flores</t>
  </si>
  <si>
    <t>09/04/2018 </t>
  </si>
  <si>
    <t>JLP - Compra broxa retangular - LocMinas</t>
  </si>
  <si>
    <t>GV - Aluguel V 4 DJA - Abril 18 - Sergio (A190)</t>
  </si>
  <si>
    <t>GV - Aluguel V M DJA - Abril 18 - Sergio (A60)</t>
  </si>
  <si>
    <t>JLP - Compra Buscopam (Jorgiano) - Drogaria Lages</t>
  </si>
  <si>
    <t>GV - Aluguel V 2 DJA - Abril 18 - Lucas Barreiros (A185)</t>
  </si>
  <si>
    <t>GV - Aluguel Apt 103 - Março 18 - Arlete (A940+C80)</t>
  </si>
  <si>
    <t>GV - Ret Irv - Bike 3.3</t>
  </si>
  <si>
    <t>GV - Aluguel Loja GV 1052  - Março 18 - Irmas Figueiredo (A2050+IPTU53,28)</t>
  </si>
  <si>
    <t>JLP - Compra de pão para obra 26/03 a 06/04</t>
  </si>
  <si>
    <t>GV e JLP - Compra de pão para escritorio  26/03 a 06/04</t>
  </si>
  <si>
    <t>GV e JLP - Despesa com padaria - Padaria Nova Delicia</t>
  </si>
  <si>
    <t>GV - Depósito conta Santander HON (Arlete Ap. 103)</t>
  </si>
  <si>
    <t>GV - Casas Pernanbucanas 2.5 - Roupas de cama e banho - ap 201 e studio</t>
  </si>
  <si>
    <t>JLP - Compra Banana - Ponto dos Biscoitos Novo Cruzeiro</t>
  </si>
  <si>
    <t>JLP - Compra Parafusos p/ martelete + porca - CCM Parafusos e Ferramentas</t>
  </si>
  <si>
    <t>GV - Pagamento - Faxina Edifício Nova Era - Vania (75) Dias 02/04 a 05/04</t>
  </si>
  <si>
    <t>GV - Pagamento - Faxina Apt 205 Irving - Vania (75) Dias 02/04 a 05/04</t>
  </si>
  <si>
    <t>GV - Pagamento - Faxina Edifício Nova Era - Vania (75) Dias 09/04 a 12/04</t>
  </si>
  <si>
    <t>GV - Pagamento - Faxina Apt 202 e 205 Irving - Vania (75) Dias 09/04 a 12/04</t>
  </si>
  <si>
    <t>GV - Ret Irv - Seguro residencial 1.4</t>
  </si>
  <si>
    <t>GV - Ret Naz - Seguro residencial 1.4</t>
  </si>
  <si>
    <t>GV - Aluguel V 7 DJA - Abril 18 - Luciana LA Boutique (A190)</t>
  </si>
  <si>
    <t>GV - Aluguel V 7 DJA - Maio 18 - Luciana LA Boutique (A190)</t>
  </si>
  <si>
    <t>GV - Aluguel V 7 DJA - Junho 18 - Luciana LA Boutique (A190)</t>
  </si>
  <si>
    <t>GV - Aluguel V 7 DJA - Julho 18 - Luciana LA Boutique (A190)</t>
  </si>
  <si>
    <t>GV - Aluguel Loja GV 1050 - Março 18 - By Fiapo (A3500+IPTU87,45)</t>
  </si>
  <si>
    <t>GV - Aluguel V M DJA - Abril 18 - Bruno Ricardo (A60)</t>
  </si>
  <si>
    <t>GV - Cópia de chaves - Bruno Ricardo</t>
  </si>
  <si>
    <t>GV - Ret Irv - Transf Paula</t>
  </si>
  <si>
    <t>JLP - Pagamento Lustres, balança, champanheira - Lucianne Radespiel - Pagamento Final</t>
  </si>
  <si>
    <t>GV - Cemig jp 601 20171123</t>
  </si>
  <si>
    <t>GV - Compra Obturador (Ap. 204) - Ferragens Mineira</t>
  </si>
  <si>
    <t>JLP - Compra mat. Limpezas, café e açúcar(obras), RAID - EPA DMA DISTRIBUIDORA</t>
  </si>
  <si>
    <t>GV - Compra respiros - Mundo da Arte</t>
  </si>
  <si>
    <t>JLP - Compra Detergente x2 - EPA DMA DISTRIBUIDORA</t>
  </si>
  <si>
    <t>JLP - Compra Abraçadeira plastica - Ferragens Mineira</t>
  </si>
  <si>
    <t>GV e JLP - Compra Ferro solda, Sola em tubo - Ferragens Mineira</t>
  </si>
  <si>
    <t>JLP - Compra solda no carrinho - Fer Box</t>
  </si>
  <si>
    <t>JLP - Despesa com padaria - Padaria Nova Delícia</t>
  </si>
  <si>
    <t>GV - OI Esc RJ-TNL PCS S.</t>
  </si>
  <si>
    <t>JLP - Desenhos Iara</t>
  </si>
  <si>
    <t>GV - Aluguel apt 102 - Mar18 - Jorge (A860+C80)</t>
  </si>
  <si>
    <t>GV - Caixa Leo</t>
  </si>
  <si>
    <t>GV - Transferência para CC Hon</t>
  </si>
  <si>
    <t>GV - Aluguel Apt 204 - Fevereiro 18 - Michelle (A1150+C80+M10%+IPTU41,34)</t>
  </si>
  <si>
    <t>JLP - Pagamento de serviços - Izac</t>
  </si>
  <si>
    <t>JLP - Pagamento de serviços - Edimar Campos</t>
  </si>
  <si>
    <t>JLP - Compra de pão para obra 09/04 a 20/04</t>
  </si>
  <si>
    <t>GV e JLP - Compra de pão para escritorio  09/04 a 20/04</t>
  </si>
  <si>
    <t>JLP - Aluguel Loja FSA 152 - Março 18 - Alexandre Couy (A7500+IPTU477,69)</t>
  </si>
  <si>
    <t>JLP - Aluguel V 1 a V 5 - Abril 18 - Alexandre Couy (A500)</t>
  </si>
  <si>
    <t>JLP - Compra Inseticida Troféu40 - Agropecuaria Super Safra</t>
  </si>
  <si>
    <t>JLP - Compra Neosaldina Cx - Drogaria Lages</t>
  </si>
  <si>
    <t>GV e JLP - Despesa com supermercado escritório (café) EPA DMa DISTRIBUIDORA</t>
  </si>
  <si>
    <t>GV - Ret Irv - pagamento boleto Talita</t>
  </si>
  <si>
    <t>JLP - Compra prego c/ cabeça - Ferragens Mineira</t>
  </si>
  <si>
    <t>JLP - Compra 3x Borrifadores - Nimak Variedades</t>
  </si>
  <si>
    <t>JLP - Reparo Betoneira - K.M Máquinas LTDA</t>
  </si>
  <si>
    <t>JLP - Compra Gasolina - Posto Getúlio Vargas</t>
  </si>
  <si>
    <t>GV - Ret Irv - Seguro Tracker 3.5</t>
  </si>
  <si>
    <t>GV - Transferência Caixa Leo</t>
  </si>
  <si>
    <t>GV - Pagamento - Faxina Edifício Nova Era - Vania (75) Dias 16/04 a 19/04</t>
  </si>
  <si>
    <t>GV - Pagamento - Faxina Apt 205 Irving - Vania (75) Dias 16/04 a 19/04</t>
  </si>
  <si>
    <t>GV - Pagamento - Faxina Edifício Nova Era - Vania (75) Dias 23/04 a 26/04</t>
  </si>
  <si>
    <t>GV - Pagamento - Faxina Apt 202 e 205 Irving - Vania (75) Dias 23/04 a 26/04</t>
  </si>
  <si>
    <t>GV - Aluguel temporário 27/04/18 a 04/05/18</t>
  </si>
  <si>
    <t>GV e JLP - Despesa c/ supermercado escritório (presunto guardanapo) EPA DMa DISTRIBUIDORA</t>
  </si>
  <si>
    <t>JLP - Compra pão, mortadela, refri (obra) - EPA DMA DISTRIBUIDORA</t>
  </si>
  <si>
    <t>JLP - Compra trinchar e esticador - Ferragens Mineira - Fsa</t>
  </si>
  <si>
    <t>JLP - Xerox - Copiadora GV</t>
  </si>
  <si>
    <t>JLP - Compra Suporte mang, esguicho, engate - Ferragens Mineira</t>
  </si>
  <si>
    <t>GV - Aluguel Apt Studio - Abril 18 - José Alberto Fernandes (A1100+C80+IPTU25)</t>
  </si>
  <si>
    <t>GV - Ret Naz - Pagamento IRPF</t>
  </si>
  <si>
    <t>GV - Ret Irv - Pagamento IRPF</t>
  </si>
  <si>
    <t>01/04/2018 </t>
  </si>
  <si>
    <t>02/04/2018</t>
  </si>
  <si>
    <t>GV - MD Tintas - Ap 104</t>
  </si>
  <si>
    <t>000356</t>
  </si>
  <si>
    <t>000357</t>
  </si>
  <si>
    <t>000358</t>
  </si>
  <si>
    <t>03/04/2018</t>
  </si>
  <si>
    <t>JLP - Carvalho e Santos Ltda - Interfones FSA</t>
  </si>
  <si>
    <t>JLP - Terra e Entulho Fsa jardim</t>
  </si>
  <si>
    <t>000355</t>
  </si>
  <si>
    <t>06/04/2018</t>
  </si>
  <si>
    <t>JLP - Safra - cimento muro tijolinhos fsa - Erro. Correto = 608,50</t>
  </si>
  <si>
    <t>000359</t>
  </si>
  <si>
    <t>09/04/2018</t>
  </si>
  <si>
    <t>JLP - Julimar Retro Escavadeira</t>
  </si>
  <si>
    <t>000361</t>
  </si>
  <si>
    <t>12/04/2018</t>
  </si>
  <si>
    <t>JLP - HSR - Aluguel Mar 18 (A 4980,50 - 5% Desc = 4731,47)</t>
  </si>
  <si>
    <t>16/04/2018</t>
  </si>
  <si>
    <t>JLP - Dablius Contabilidade Abr18</t>
  </si>
  <si>
    <t>JLP - Locminas Fsa</t>
  </si>
  <si>
    <t>000362</t>
  </si>
  <si>
    <t>17/04/2018</t>
  </si>
  <si>
    <t>010417</t>
  </si>
  <si>
    <t>18/04/2018</t>
  </si>
  <si>
    <t>GV - Depósito errado</t>
  </si>
  <si>
    <t>345824</t>
  </si>
  <si>
    <t>551781</t>
  </si>
  <si>
    <t>19/04/2018</t>
  </si>
  <si>
    <t>JLP - Adiantamento - Abril 18 - Jorgiano</t>
  </si>
  <si>
    <t>000365</t>
  </si>
  <si>
    <t>JLP - Adiantamento - Abril 18 - Juaniz</t>
  </si>
  <si>
    <t>000366</t>
  </si>
  <si>
    <t>JLP - Adiantamento - Abril 18 - José Antonio</t>
  </si>
  <si>
    <t>000367</t>
  </si>
  <si>
    <t>JLP - Torneiras Jardins Mercado Livre nova compra</t>
  </si>
  <si>
    <t>JLP - Locminas - Dsicos corte Fsa</t>
  </si>
  <si>
    <t>000370</t>
  </si>
  <si>
    <t>23/04/2018</t>
  </si>
  <si>
    <t>24/04/2018</t>
  </si>
  <si>
    <t>673350</t>
  </si>
  <si>
    <t>JLP - Safra - cimento muro tijolinhos fsa - Erro. Correto = 608,50  - Estorno cliente</t>
  </si>
  <si>
    <t>345857</t>
  </si>
  <si>
    <t>JLP - Lajes Wolf - Manilha rolo compressor jardim Fsa</t>
  </si>
  <si>
    <t>000364</t>
  </si>
  <si>
    <t>25/04/2018</t>
  </si>
  <si>
    <t>27/04/2018</t>
  </si>
  <si>
    <t>Super Safra</t>
  </si>
  <si>
    <t>GV - Caução aluguel Ap 104</t>
  </si>
  <si>
    <t>GV - Primeira parte Caução Studio 01 NE (Din 1500 cxd + Doc 1800 CCHon)</t>
  </si>
  <si>
    <t>JLP - Compra prateleiras Jolupe</t>
  </si>
  <si>
    <t>GV e JLP - Almoço Irv, Pat, Iva</t>
  </si>
  <si>
    <t>JLP - Ferragens Mineira - Aro e eixo carrinho de mão</t>
  </si>
  <si>
    <t>GV e JLP - Almoço Irv, Pat</t>
  </si>
  <si>
    <t>GV e JLP - Consultoria Ivana Abr18</t>
  </si>
  <si>
    <t>GV e JLP - Almoço Irv, Pat + estacionamento</t>
  </si>
  <si>
    <t>GV - Porta filtro e saca rolhas Studio</t>
  </si>
  <si>
    <t>GV - Quase 2 - Potes, escorredor, faca, jarras, etc. Studio</t>
  </si>
  <si>
    <t>JLP - Alfinetes de cabeça para cama G1</t>
  </si>
  <si>
    <t>GV e JLP - Almoço Alex, Pat</t>
  </si>
  <si>
    <t>GV e JLP - Flanelas e borrifadores para mesas escritório</t>
  </si>
  <si>
    <t>JLP - Gasolina para estercos, terra, carretinha, etc,</t>
  </si>
  <si>
    <t>GV - Protetor colchão Studio</t>
  </si>
  <si>
    <t>JLP - Cerveja pra turma - Jardim e mudanças</t>
  </si>
  <si>
    <t>GV e JLP - Raquete mosquitos escritório</t>
  </si>
  <si>
    <t>GV - Chave Correios</t>
  </si>
  <si>
    <t>GV - Férias trabalhadas Jogiano</t>
  </si>
  <si>
    <t>GV - Férias trabalhadas Juaniz</t>
  </si>
  <si>
    <t>JLP - Lanche extra obra</t>
  </si>
  <si>
    <t>GV - Venda de móvel a Jorgiano (Rack feio studio)</t>
  </si>
  <si>
    <t>GV e JLP - Gasolina Viagem Irv</t>
  </si>
  <si>
    <t>GV e JLP - Lanche Viagem Irv</t>
  </si>
  <si>
    <t>GV - Estacionamento Ponteio - mesa 205 Tok Stok</t>
  </si>
  <si>
    <t>GV - Luminária de pé com lampada led - ap 205</t>
  </si>
  <si>
    <r>
      <t xml:space="preserve">GV - Aluguel Apt 203 - Março 18 - Marina (A1200+C80+L24,96) </t>
    </r>
    <r>
      <rPr>
        <b/>
        <sz val="10"/>
        <color theme="1"/>
        <rFont val="Verdana"/>
        <family val="2"/>
      </rPr>
      <t>+ IPTU</t>
    </r>
  </si>
  <si>
    <r>
      <t xml:space="preserve">GV - Aluguel Loja GV 1060 e JP 615 - Mês 18 - Tales Colombi (A5000) </t>
    </r>
    <r>
      <rPr>
        <b/>
        <sz val="10"/>
        <color theme="1"/>
        <rFont val="Verdana"/>
        <family val="2"/>
      </rPr>
      <t>+ IPTU</t>
    </r>
  </si>
  <si>
    <t>GV - Conta de Luz Apt 203 - Março 18 - Marina</t>
  </si>
  <si>
    <t>GV Conta de água 609 - Março 18 - Pedro Emílio Amador Salomão</t>
  </si>
  <si>
    <t>Aluguel Apt 205 - Irving</t>
  </si>
  <si>
    <t>GV e JLP - Compra mat. Limpezas, café e açúcar(obras), RAID - EPA DMA DISTRIBUIDORA</t>
  </si>
  <si>
    <t>GV e JLP - Compra de pão para obra 09/04 a 20/04</t>
  </si>
  <si>
    <t>GV e JLP - Compra de pão para obra 26/03 a 06/04</t>
  </si>
  <si>
    <t>GV e JLP - Compra pão, mortadela, refri (obra) - EPA DMA DISTRIBUIDORA</t>
  </si>
  <si>
    <t>GV e JLP - Despesa com padaria - Padaria Nova Delícia</t>
  </si>
  <si>
    <t>GV e JLP - Despesas com supermercado(obra) café - Padaria Flor do Trigo</t>
  </si>
  <si>
    <t>GV e JLP - Despesas com supermercado(obra) café açucar + mat. Limpeza - EPA DMa DISTRIBUIDORA</t>
  </si>
  <si>
    <t>GV e JLP - Lanche extra obra</t>
  </si>
  <si>
    <t>GV - Compra Ferro solda, Sola em tubo - Ferragens Mineira</t>
  </si>
  <si>
    <t>JLP - Locminas - Dicos corte Fsa</t>
  </si>
  <si>
    <t>GV e JLP - Compra Gasolina - Posto Getúlio Vargas</t>
  </si>
  <si>
    <t>GV e JLP - Gasolina para estercos, terra, carretinha, etc,</t>
  </si>
  <si>
    <t>Mai 2018</t>
  </si>
  <si>
    <t>GV - Compra tubo redondo, suporte cabideiro - Comercial Loesch - Studio GV</t>
  </si>
  <si>
    <t>JLP - Compra Remov. Pint. - Luso Brasil - JP 603</t>
  </si>
  <si>
    <t>JLP - Compra Rolo espuma, rolo microfibra - Continental - JP 603</t>
  </si>
  <si>
    <t>GV - Aluguel Apt 104 - Abril 18 - Andressa (A990+C80) </t>
  </si>
  <si>
    <t>GV - Aluguel V 9 DJA - Maio 18 - Rachid Sergio (A220)</t>
  </si>
  <si>
    <t>GV - Aluguel Apt 202 - Abril 18 -  Sergio Bartilotti (A1075)</t>
  </si>
  <si>
    <t>JLP - Compra Sabão Pó 2kg, Açucar 5kg (obra) - EPA DMA DISTRIBUIDORA</t>
  </si>
  <si>
    <t>GV - Aluguel Loja GV 1060 e JP 615 - Abril 18 - Tales Colombi (A5000)</t>
  </si>
  <si>
    <t>GV - Aluguel Loja JP 607 - Abril 18 - Antonio Celso (A1360)</t>
  </si>
  <si>
    <t>GV - Compra controle portão dja p/ João Capela - TV Som</t>
  </si>
  <si>
    <t>JLP - Serviço serralheiro - Felipe serralheiro</t>
  </si>
  <si>
    <t>GV e JLP - Pagamento estagiário - Abril 18 - Leonardo</t>
  </si>
  <si>
    <t>GV e JLP - Gasolina estagiário - Abril 18 - Leonardo</t>
  </si>
  <si>
    <t>JLP - Compra de pão para obra 30/04 a 04/05</t>
  </si>
  <si>
    <t>GV e JLP - Compra de pão para escritorio  30/04 a 04/05</t>
  </si>
  <si>
    <t>GV - Aluguel Apt 101 - Abril 18 - Lohanny (A940+C80)</t>
  </si>
  <si>
    <t>GV - Aluguel Mes JP 609 - Abril 18 - Pedro Emílio Amador Salomão (A1200+ÁGUA26,46)</t>
  </si>
  <si>
    <t>GV - Aluguel V 8 DJA - Maio 18 - Pedro Emílio Amador Salomão (150)</t>
  </si>
  <si>
    <t>GV - Aluguel V 1 DJA - Maio 18 - Maria Goretti (A190)</t>
  </si>
  <si>
    <t>GV e JLP - Pgto oi ct combo 20180508</t>
  </si>
  <si>
    <t>GV - Aluguel V 3 DJA - Maio 18 - Fernando Henrique (A190)</t>
  </si>
  <si>
    <t>GV - Aluguel GP JP 605 - Abril 18 - Fatima Cristina (A1971,41+IPTU177,25)</t>
  </si>
  <si>
    <t>GV - Aluguel ESP DJA - Maio 18 - Mario Monteiro (A80)</t>
  </si>
  <si>
    <t>GV - Aluguel V 2 DJA - Maio 18 - Lucas Barreiros (A185)</t>
  </si>
  <si>
    <t>GV - Depósito conta Santander HON (Lucas)</t>
  </si>
  <si>
    <t>GV - Despesas com mat. Limpeza - EPA DMA DISTRIBUIDORA</t>
  </si>
  <si>
    <t>GV - Pagamento - Faxina Edifício Nova Era - Vania (75) Dias 30/04 a 03/05</t>
  </si>
  <si>
    <t>GV - Pagamento - Faxina Apt 205 Irving - Vania (75) Dias 30/04 a 03/05</t>
  </si>
  <si>
    <t>GV - Pagamento - Faxina Edifício Nova Era - Vania (75) Dias 07/04 a 10/05</t>
  </si>
  <si>
    <t>GV - Pagamento - Faxina Apt 202 e 205 Irving - Vania (75) Dias 07/04 a 10/05</t>
  </si>
  <si>
    <t>JLP - Pagamento serviço - Juaniz Pereira 01/05/2018 (Feriado Dia do Trabalhador)</t>
  </si>
  <si>
    <t>GV - Aluguel Apt 103 - Abril 18 - Arlete (A940+C80)</t>
  </si>
  <si>
    <t>JLP - Pagamento Alexandre (D70) - 07/05 a 11/05</t>
  </si>
  <si>
    <t>GV - Aluguel Loja GV 1052 - Abril 18 - Irmas Figueiredo (A2050+IPTU2103,28)</t>
  </si>
  <si>
    <t xml:space="preserve">GV - Aluguel Apt 203 - Abril 18 - Marina (A1200+C80+L22,31+IPTU35,18) </t>
  </si>
  <si>
    <t>GV - Casas Pernanbucanas 3.5 - Roupas de cama e banho - ap 201 e studio</t>
  </si>
  <si>
    <t>GV - Cemig AP 202</t>
  </si>
  <si>
    <t>14/05/2018 </t>
  </si>
  <si>
    <t>GV - Aluguel V M DJA - Maio 18 - Bruno Ricardo (A60)</t>
  </si>
  <si>
    <t>GV - Aluguel Apt 105 - Fevereiro 18 - Jéssicka (A862+C80+IPTU217,94)</t>
  </si>
  <si>
    <t>GV - Aluguel Loja GV 1050 - Abril 18 - By Fiapo (A3500+IPTU87,45)</t>
  </si>
  <si>
    <t>GV - Aluguel V 4 DJA - Maio 18 - Sergio (A190)</t>
  </si>
  <si>
    <t>GV - Aluguel V M DJA - Maio 18 - Sergio (A60)</t>
  </si>
  <si>
    <t>GV - Pagamento Zé Antônio horas extras</t>
  </si>
  <si>
    <t>JLP - Pagamento do empréstimo Zé Antonio (Falta R$40,00)</t>
  </si>
  <si>
    <t>GV - Ret Irv - Seguro residencial 2.4</t>
  </si>
  <si>
    <t>GV - Ret Naz - Seguro residencial 2.4</t>
  </si>
  <si>
    <t>JLP - Compra de pão para obra 07/05 a 11/05</t>
  </si>
  <si>
    <t>GV e JLP - Compra de pão para escritorio 07/05 a 11/05</t>
  </si>
  <si>
    <t>GV - Recebimento controle portão garagem DJA16 - João Capela</t>
  </si>
  <si>
    <t>GV - Aluguel V 5 DJA - Abril 18 - Gustavo (A185+M18,50)</t>
  </si>
  <si>
    <t>GV - Aluguel V 5 DJA - Maio 18 - Gustavo (A185)</t>
  </si>
  <si>
    <t>GV - Aluguel apt 102 - Abr18 - Jorge (A860+C80)</t>
  </si>
  <si>
    <t>JLP - Aluguel Loja FSA 152 - Abril 18 - Alexandre Couy (A7500+IPTU477,69)</t>
  </si>
  <si>
    <t>JLP - Aluguel V 1 a V 5 - Maio 18 - Alexandre Couy (A500)</t>
  </si>
  <si>
    <t>GV - Ret Irv - Uptime Carol</t>
  </si>
  <si>
    <t>GV - Compra massa corrida - Ferragens Mineira</t>
  </si>
  <si>
    <t>JLP - Compra Lixa ferro, lixa p/ madeira - Ferragens Mineira</t>
  </si>
  <si>
    <t xml:space="preserve">JLP - Compra Manteiga - EPA DMA DISTRIBUIDORA </t>
  </si>
  <si>
    <t>JLP - Compra vasilha plastica - Quase2</t>
  </si>
  <si>
    <t>JLP - Compra buchas fixação nylon - Ferragens Mineira</t>
  </si>
  <si>
    <t>JLP - Compra raquete - Paraíso dos Importados</t>
  </si>
  <si>
    <t>GV - Aluguel V 1 DJA - Jun 18 - Maria Goretti (A190)</t>
  </si>
  <si>
    <t>JLP - Aluguel Box C SS02 - Fevereiro 18 - Maxuell (A323) - DISTRATO</t>
  </si>
  <si>
    <t>JLP - Compra Trófeu40 e Roundup - Agropecuário Super Safra</t>
  </si>
  <si>
    <t>18/05/2018 </t>
  </si>
  <si>
    <t>GV - Pagamento Inet NE</t>
  </si>
  <si>
    <t>21/05/2018 </t>
  </si>
  <si>
    <t>GV - Ret Naz - Cemitério 1º Semestre 2018</t>
  </si>
  <si>
    <t>GV - Compra Aguarras - LocMinas</t>
  </si>
  <si>
    <t>GV - Aluguel Apt 204 - Março 18 - Michelle (A1150+C80+IPTU41,34)</t>
  </si>
  <si>
    <t>JLP - Despesas com supermercado(obra) café, alcool gel EPA DMa DISTRIBUIDORA</t>
  </si>
  <si>
    <t>GV - Cheque sem fundos</t>
  </si>
  <si>
    <t>JLP - Compra de pão para obra 14/05 a 18/05</t>
  </si>
  <si>
    <t>GV e JLP - Compra de pão para escritorio 14/05 a 18/05</t>
  </si>
  <si>
    <t>GV - Pagamento - Faxina Edifício Nova Era - Vania (75) Dias 14/05 a 17/05</t>
  </si>
  <si>
    <t>GV - Pagamento - Faxina Apt 205 Irving - Vania (75) Dias 14/05 a 17/05</t>
  </si>
  <si>
    <t>GV - Pagamento - Faxina Edifício Nova Era - Vania (75) Dias 21/05 a 24/05</t>
  </si>
  <si>
    <t>GV - Pagamento - Faxina Apt 202 e 205 Irving - Vania (75) Dias 21/05 a 24/05</t>
  </si>
  <si>
    <t>GV - Ret Irv - Seguro Tracker 4.5</t>
  </si>
  <si>
    <t>JLP - Despesas com supermercado(obra) café, açúcar bom brill EPA DMa DISTRIBUIDORA</t>
  </si>
  <si>
    <t>GV - Pagamento Advogadas - Lila e Cleide</t>
  </si>
  <si>
    <t>01/05/2018 </t>
  </si>
  <si>
    <t>02/05/2018</t>
  </si>
  <si>
    <t>JLP - Estorno Quadro de Chaves - Pago ao fornecedor em 29/03/2018</t>
  </si>
  <si>
    <t>JLP - Safra - Cimento Fsa (NF enviada na documentação contábil de abril)</t>
  </si>
  <si>
    <t>000369</t>
  </si>
  <si>
    <t>000371</t>
  </si>
  <si>
    <t>000372</t>
  </si>
  <si>
    <t>000373</t>
  </si>
  <si>
    <t>07/05/2018</t>
  </si>
  <si>
    <t>JLP - Badu Armações - Vergalhão Fsa (NF enviada mov Abril)</t>
  </si>
  <si>
    <t>000360</t>
  </si>
  <si>
    <t>08/05/2018</t>
  </si>
  <si>
    <t>JLP - Comercial Loesch - Tábuas para concretar cinta jardim Fsa (NF enviada mov Abril)</t>
  </si>
  <si>
    <t>000368</t>
  </si>
  <si>
    <t>11/05/2018</t>
  </si>
  <si>
    <t>GV e JLP - Locminas - Ferramentas</t>
  </si>
  <si>
    <t>000374</t>
  </si>
  <si>
    <t>14/05/2018</t>
  </si>
  <si>
    <t>JLP - Paraná Ferragens - Material Fsa</t>
  </si>
  <si>
    <t>GV - MD Tintas - JP 603</t>
  </si>
  <si>
    <t>000376</t>
  </si>
  <si>
    <t>15/05/2018</t>
  </si>
  <si>
    <t>JLP - Dablius Contabilidade Mai18</t>
  </si>
  <si>
    <t>16/05/2018</t>
  </si>
  <si>
    <t>JLP - HSR - Aluguel Abr 18 (A 4980,50 - Não abatido - 5% Desc = 4731,47)</t>
  </si>
  <si>
    <t>JLP - Adiantamento - Maio 18 - Jorgiano</t>
  </si>
  <si>
    <t>000377</t>
  </si>
  <si>
    <t>GV - Adiantamento - Maio 18 - José Antonio</t>
  </si>
  <si>
    <t>000378</t>
  </si>
  <si>
    <t>JLP - Adiantamento - Maio 18 - Juaniz</t>
  </si>
  <si>
    <t>000379</t>
  </si>
  <si>
    <t>18/05/2018</t>
  </si>
  <si>
    <t>JLP - Luso Brasil - Material para galeria e escoamento pluvial</t>
  </si>
  <si>
    <t>174000</t>
  </si>
  <si>
    <t>064996</t>
  </si>
  <si>
    <t>21/05/2018</t>
  </si>
  <si>
    <t>JLP - Cheque depositado e devolvido</t>
  </si>
  <si>
    <t>JLP - Badu Armações - Cinta Jardim Fsa</t>
  </si>
  <si>
    <t>000375</t>
  </si>
  <si>
    <t>22/05/2018</t>
  </si>
  <si>
    <t>23/05/2018</t>
  </si>
  <si>
    <t>104735</t>
  </si>
  <si>
    <t>JLP - Motor portão externo Fsa</t>
  </si>
  <si>
    <t>24/05/2018</t>
  </si>
  <si>
    <t>JLP - Smart TV Extra</t>
  </si>
  <si>
    <t>25/05/2018</t>
  </si>
  <si>
    <t>GV e JLP - Impressora para o escritório</t>
  </si>
  <si>
    <t>000380</t>
  </si>
  <si>
    <t>28/05/2018</t>
  </si>
  <si>
    <t>JLP - Spray Sofá Cafôfo GV - NF extraviada e não obtida)</t>
  </si>
  <si>
    <t>GV - Só Forro e PVC - Persianas ap 201 2.2 - Primeira paga em 27/03/18</t>
  </si>
  <si>
    <t>GV e JLP - Almoço Viagem Irv</t>
  </si>
  <si>
    <t>JLP - Happy Hour e Recepção Naz domingo - Tia Teca</t>
  </si>
  <si>
    <t>GV - Ret Irv - Transferência Paula</t>
  </si>
  <si>
    <t>GV - Rescição Pedro Emílio - JP 609</t>
  </si>
  <si>
    <t>GV - Cópias Chaves e adaptadores JP 609</t>
  </si>
  <si>
    <t>GV e JLP - Empréstimo feito por Irving a Roberto Serralheiro e não pago</t>
  </si>
  <si>
    <t>GV e JLP - Limas</t>
  </si>
  <si>
    <t>GV - Rolo espuma JP 603</t>
  </si>
  <si>
    <t>GV - Resistência e conector porcelana Studio GV</t>
  </si>
  <si>
    <t>GV - Diafragmas dos chuveiros studio e 205</t>
  </si>
  <si>
    <t>JLP - Beto portaria evento</t>
  </si>
  <si>
    <t>GV - Horas Jorgiano JP 603 e faixa DJA 16</t>
  </si>
  <si>
    <t>GV - Vale Jorgiano</t>
  </si>
  <si>
    <t>GV - Auxílio exame risco cirúrgico Jorgiano</t>
  </si>
  <si>
    <t>GV - Ret Naz - cobertura Itau</t>
  </si>
  <si>
    <t>GV - Ret Irv - Pagamento a Fabíola</t>
  </si>
  <si>
    <t>GV - Pagamento conta de água 609</t>
  </si>
  <si>
    <t>GV - Pagamento conta de luz 203</t>
  </si>
  <si>
    <t>GV - Rescisão Pedro Emílio - JP 609</t>
  </si>
  <si>
    <t>GV e JLP - Compra Sabão Pó 2kg, Açucar 5kg (obra) - EPA DMA DISTRIBUIDORA</t>
  </si>
  <si>
    <t>GV e JLP - Compra de pão para obra 07/05 a 11/05</t>
  </si>
  <si>
    <t>GV e JLP - Compra de pão para obra 14/05 a 18/05</t>
  </si>
  <si>
    <t>GV e JLP - Compra de pão para obra 30/04 a 04/05</t>
  </si>
  <si>
    <t xml:space="preserve">GV e JLP - Compra Manteiga - EPA DMA DISTRIBUIDORA </t>
  </si>
  <si>
    <t>GV e JLP - Despesas com supermercado(obra) café, açúcar bom brill EPA DMa DISTRIBUIDORA</t>
  </si>
  <si>
    <t>GV e JLP - Despesas com supermercado(obra) café, alcool gel EPA DMa DISTRIBUIDORA</t>
  </si>
  <si>
    <t>GV e JLP - Pagamento Alexandre (D70) - 07/05 a 11/05</t>
  </si>
  <si>
    <t>GV - Limas</t>
  </si>
  <si>
    <t>JLP - Limas</t>
  </si>
  <si>
    <t>Jun 2018</t>
  </si>
  <si>
    <t>GV - Aluguel Apt 104 - Maio 18 - Andressa (A990+C80) </t>
  </si>
  <si>
    <t>GV - Aluguel V 9 DJA - Junho 18 - Rachid Sergio (A220)</t>
  </si>
  <si>
    <t>GV - Aluguel V M DJA - Junho 18 - Sergio (A60)</t>
  </si>
  <si>
    <t>GV - Aluguel Apt 105 - Março 18 - Jéssicka (A862+C80)</t>
  </si>
  <si>
    <t>GV - Aluguel Apt Studio - Maio 18 - José Alberto Fernandes (A1100+C80+IPTU25)</t>
  </si>
  <si>
    <t>GV - Pagamento de serviços eletricista - Robertinho da TvSom</t>
  </si>
  <si>
    <t>JLP - Compra cotovelo galvanizado - Ferragens Mineira</t>
  </si>
  <si>
    <t>GV e JLP - Pagamento estagiário - Maio 18 - Leonardo</t>
  </si>
  <si>
    <t>GV e JLP - Gasolina estagiário - Maio 18 - Leonardo</t>
  </si>
  <si>
    <t>GV - Aluguel GP JP 605 - Maio 18 - Fatima Cristina (A1971,41+IPTU2148,66)</t>
  </si>
  <si>
    <t>JLP - Despesas com supermercado(obra) café, prod limpeza EPA DMa DISTRIBUIDORA</t>
  </si>
  <si>
    <t>GV e JLP - Despesa c/ supermercado escritório café chá alcool mant. EPA DMa DISTRIBUIDORA</t>
  </si>
  <si>
    <t xml:space="preserve">GV - Despesa com Mat. Limpeza - EPA DMA DISTRIBUIDORA </t>
  </si>
  <si>
    <t>GV - Aluguel Apt 105 - Abril 18 - Jéssicka (A862+C80)</t>
  </si>
  <si>
    <t>GV - Aluguel Apt 201 - Maio 18 - João Capela (A+CD 21/05 a 31/05)</t>
  </si>
  <si>
    <t>GV - Aluguel Loja JP 607 - Mês 18 - Antonio Celso (A1360)</t>
  </si>
  <si>
    <t>JLP - Compra Fechadura Stam Bico Papagaio - Comercial Loesch</t>
  </si>
  <si>
    <t>GV - Pagamento - Faxina Edifício Nova Era - Vania (75) Dias 28/05 e 01/06</t>
  </si>
  <si>
    <t>GV - Pagamento - Faxina Apt 205 Irving - Vania (75) Dias 28/05 e 01/06</t>
  </si>
  <si>
    <t>GV - Pagamento - Faxina Edifício Nova Era - Vania (75) Dias 04/06 e 07/06</t>
  </si>
  <si>
    <t>GV - Pagamento - Faxina Apt 202 e 205 Irving - Vania (75) Dias 04/06 e 07/06</t>
  </si>
  <si>
    <t>JLP - Compra Alicate "8" e Estopa - LocMinas</t>
  </si>
  <si>
    <t>GV - Aluguel V 3 DJA - Junho 18 - Fernando Henrique (A190)</t>
  </si>
  <si>
    <t xml:space="preserve">JLP - Compra de pão para obra </t>
  </si>
  <si>
    <t xml:space="preserve">GV e JLP - Compra de pão para escritorio </t>
  </si>
  <si>
    <t>JLP - Pagamento serviço bombeiro - José Otacílio</t>
  </si>
  <si>
    <t>GV - Aluguel Apt 101 - Maio 18 - Lohanny (A940+C80)</t>
  </si>
  <si>
    <t>GV - Aluguel JP 609 - Junho 18 - Lucas Lopes - Antecipado (A1200+vaga grátis)</t>
  </si>
  <si>
    <t>GV - Aluguel V M DJA - Junho 18 - Bruno Ricardo (A60)</t>
  </si>
  <si>
    <t>GV - Aluguel V 2 DJA - Junho 18 - Lucas Barreiros (A185)</t>
  </si>
  <si>
    <t>GV - Aluguel Apt 103 - Maio 18 - Arlete (A940+C80)</t>
  </si>
  <si>
    <t>GV - Aluguel ESP DJA - Junho 18 - Mario Monteiro (A80)</t>
  </si>
  <si>
    <t>GV - Casas Pernanbucanas 4.5 - Roupas de cama e banho - ap 201 e studio</t>
  </si>
  <si>
    <t>GV - Ressarcimento contas Cemig Cogumelo erradas</t>
  </si>
  <si>
    <t>GV - Aluguel V 5 DJA - Junho 18 - Gustavo (A185)</t>
  </si>
  <si>
    <t>GV e JLP - Xerox - Copiadora GV</t>
  </si>
  <si>
    <t>GV - Aluguel Loja GV 1050 - Maio 18 - By Fiapo (A3500+IPTU87,45+D130) - Motivo: COPASA</t>
  </si>
  <si>
    <t>GV - Compra Sab Líquido Hidraderm - Aladim Perfumaria</t>
  </si>
  <si>
    <t>JLP - Compra pregos - Ferragens Mineira</t>
  </si>
  <si>
    <t>JLP - Compra garfo c/ buchas - Continental</t>
  </si>
  <si>
    <t>JLP - Compra cupinicida ultra inset aerosol - Ferragens Mineira</t>
  </si>
  <si>
    <t>JLP - Compra Escova sanitária - Quase2</t>
  </si>
  <si>
    <t>JLP - Compra escova limpeza 55cm - Otoni Utilidades</t>
  </si>
  <si>
    <t>JLP - Compra borrifador - Nimak Variedades</t>
  </si>
  <si>
    <t>12/06/2018 </t>
  </si>
  <si>
    <t>GV - Ret Irv - Seguro residencial 3.4</t>
  </si>
  <si>
    <t>GV - Ret Naz - Seguro residencial 3.4</t>
  </si>
  <si>
    <t>JLP - Compra removedor ferrugem - Ferragens Mineira</t>
  </si>
  <si>
    <t>JLP - Compra suco e queijo - EPA DMA DISTRIBUIDORA</t>
  </si>
  <si>
    <t>JLP - Compra pães e pão de queijo - Padaria Nova Delicia</t>
  </si>
  <si>
    <t>JLP - Aluguel esmerilhadeira - LocMinas</t>
  </si>
  <si>
    <t>GV e JLP - Compra carvão, refri, pao de alho, queijo coalho - EPA DMA DISTRIBUIDORA</t>
  </si>
  <si>
    <t>GV e JLP - Compra cerveja - Tele Cerveja Portugal</t>
  </si>
  <si>
    <t>GV e JLP - Compra espeto churrasco - Bar Baycon</t>
  </si>
  <si>
    <t>GV - Aluguel antecipado 5 meses ap 202 + cond. (5*1260+5*80)</t>
  </si>
  <si>
    <t>GV - Ret Irv Cemig Talita</t>
  </si>
  <si>
    <t>GV - Ret Irv Net Sabrina Talita</t>
  </si>
  <si>
    <t xml:space="preserve">JLP - Compra de banco - Victor </t>
  </si>
  <si>
    <t>GV - Ret Irv - Acerto contas Fabíola</t>
  </si>
  <si>
    <t>GV - Aluguel apt 102 - Mai18 - Jorge (A860+C80)</t>
  </si>
  <si>
    <t>JLP - Compra escovas de aço - Ferragens Mineira</t>
  </si>
  <si>
    <t>GV - Aluguel Loja GV 1052 - Maio 18 - Irmas Figueiredo (A2050+IPTU53,28)</t>
  </si>
  <si>
    <t>JLP - Aluguel Loja FSA 152 - Maio 18 - Alexandre Couy (A7500+IPTU477,69)</t>
  </si>
  <si>
    <t>GV - reconhecimento firma Lucas Francisco - 3º Tabelionato de Notas</t>
  </si>
  <si>
    <t>GV e JLP - Despesa c/ supermercado escritório café mant. EPA DMa DISTRIBUIDORA</t>
  </si>
  <si>
    <t>JLP - Compra durepox - Ferragens Mineira</t>
  </si>
  <si>
    <t>GV - reconhecimento firma João Mario Silva Santos - 3º Tabelionato de Notas</t>
  </si>
  <si>
    <t>GV - reconhecimento firma Irving Otoni Pereira - 3º Tabelionato de Notas</t>
  </si>
  <si>
    <t xml:space="preserve">GV - Aluguel Apt 203 - Maio 18 - Marina (A1200+C80+L23,28+IPTU35,18) </t>
  </si>
  <si>
    <t>GV - Compra gás p/ apt. 205 - SuperGasBras</t>
  </si>
  <si>
    <t>GV - Depósito conta Santander HON (By Fiapo R$1000 + Irmãs Figueiredo R$1600)</t>
  </si>
  <si>
    <t>JLP - Pagamento contrato escora (Jorgiano) - LocMinas</t>
  </si>
  <si>
    <t>GV e JLP - Despesa c/ supermercado escritório pão de alho EPA DMa DISTRIBUIDORA</t>
  </si>
  <si>
    <t>JLP - Despesas com supermercado(obra) café, sabão em pó EPA DMa DISTRIBUIDORA</t>
  </si>
  <si>
    <t>22/06/2018 </t>
  </si>
  <si>
    <t>JLP - Compra de pão para obra 11/06 a 22/06</t>
  </si>
  <si>
    <t>GV e JLP - Compra de pão para escritorio 11/06 a 22/06</t>
  </si>
  <si>
    <t>JLP - Compra 2x gás - SuperGásBras</t>
  </si>
  <si>
    <t>JLP - Transporte manilha - José Calisto</t>
  </si>
  <si>
    <t>JLP - Compra conduletes, curva eletrica - Delevy</t>
  </si>
  <si>
    <t>GV - Ret Irv - Seguro Tracker 5.5</t>
  </si>
  <si>
    <t>JLP - reconhecimento firma Irving Otoni Pereira - 3º Tabelionato de Notas</t>
  </si>
  <si>
    <t>JLP - Táxi p/ Copasa - Alexandre e Leonardo</t>
  </si>
  <si>
    <t>GV - Aluguel Apt 204 - Abril 18 - Michelle (A1150+C80+IPTU41,34+M123) - Restam 194,34</t>
  </si>
  <si>
    <t>JLP - Compra veda rosca - LocMinas (NF Contabilidade)</t>
  </si>
  <si>
    <t>JLP - Compra disco corte - LocMinas (NF Contabilidade)</t>
  </si>
  <si>
    <t>JLP - Compra silicone - LocMinas (NF Contabilidade)</t>
  </si>
  <si>
    <t>JLP - Despesas com supermercado(obra) café, sabão barra detergente EPA DMa DISTRIBUIDORA</t>
  </si>
  <si>
    <t>GV - Pagamento - Faxina Edifício Nova Era - Vania (75) Dias 11/06 e 14/06</t>
  </si>
  <si>
    <t>GV - Pagamento - Faxina Apt 205 Irving - Vania (75) Dias 11/06 e 14/06</t>
  </si>
  <si>
    <t>GV - Pagamento - Faxina Edifício Nova Era - Vania (75) Dias 18/06 e 21/06</t>
  </si>
  <si>
    <t>GV - Pagamento - Faxina Apt 202 e 205 Irving - Vania (75) Dias 18/06 e 21/06</t>
  </si>
  <si>
    <t>JLP - Pagamento horas extras Zé Antonio</t>
  </si>
  <si>
    <t>JLP - Pagamento horas extras Juaniz</t>
  </si>
  <si>
    <t>01/06/2018 </t>
  </si>
  <si>
    <t>04/06/2018</t>
  </si>
  <si>
    <t>JLP - Flora e Vida - compensação de mudas - NF extraviada</t>
  </si>
  <si>
    <t>000381</t>
  </si>
  <si>
    <t>14/06/2018</t>
  </si>
  <si>
    <t>GV - Faixa Garagem GV - Silk 4</t>
  </si>
  <si>
    <t>000386</t>
  </si>
  <si>
    <t>15/06/2018</t>
  </si>
  <si>
    <t>JLP - Dablius Contabilidade Jun 18</t>
  </si>
  <si>
    <t>JLP - Vidraçaria Guanabara - prateleiras banheiros</t>
  </si>
  <si>
    <t>000389</t>
  </si>
  <si>
    <t>JLP - Adiantamento - Junho 18 - Juaniz</t>
  </si>
  <si>
    <t>000387</t>
  </si>
  <si>
    <t>GV - Adiantamento - Junho 18 - José Antonio</t>
  </si>
  <si>
    <t>000388</t>
  </si>
  <si>
    <t>20/06/2018</t>
  </si>
  <si>
    <t>21/06/2018</t>
  </si>
  <si>
    <t>22/06/2018</t>
  </si>
  <si>
    <t>162217</t>
  </si>
  <si>
    <t>162242</t>
  </si>
  <si>
    <t>162318</t>
  </si>
  <si>
    <t>162348</t>
  </si>
  <si>
    <t>25/06/2018</t>
  </si>
  <si>
    <t>JLP - HSR - Aluguel Mai 18 (A 4980,50 - 5% Desc = 4731,47)</t>
  </si>
  <si>
    <t>000055</t>
  </si>
  <si>
    <t>27/06/2018</t>
  </si>
  <si>
    <t>29/06/2018</t>
  </si>
  <si>
    <t>JLP - Mercado Livre Cabo Óptico TV</t>
  </si>
  <si>
    <t>JLP - Bancada de pia G1 - Tem boleto mas falta a NF</t>
  </si>
  <si>
    <t>JLP - Fogão Semi Industrial G1</t>
  </si>
  <si>
    <t>JLP - Caixa para central de interfone</t>
  </si>
  <si>
    <t>Fechadura Comercial Loesch</t>
  </si>
  <si>
    <t>Locminas - Estopa e alicate</t>
  </si>
  <si>
    <t>Locminas - Aluguel esmerilhadeira</t>
  </si>
  <si>
    <t>Locminas - Escoras</t>
  </si>
  <si>
    <t>Locminas - Silicone</t>
  </si>
  <si>
    <t>Locminas - Veda Rosca</t>
  </si>
  <si>
    <t>Locminas - Disco corte</t>
  </si>
  <si>
    <t>GV e JLP - Vela de 7 dias</t>
  </si>
  <si>
    <t>GV e JLP - Almoço consultoria Ivana e Pat</t>
  </si>
  <si>
    <t>GV e JLP - Consultoria Ivana</t>
  </si>
  <si>
    <t>JLP - Imagens de Santos</t>
  </si>
  <si>
    <t>GV - Serviços Pat (dois dias)</t>
  </si>
  <si>
    <t>JLP - Cervejas, velas, álcool, churrasqueira e outros - precauções e festas</t>
  </si>
  <si>
    <t>JLP - Tambores - Rei das Bombonas</t>
  </si>
  <si>
    <t>GV - Roteador usado para cafôfo</t>
  </si>
  <si>
    <t>GV - Aluguel GP JP 605 - Maio 18 - Fatima Cristina (A1971,41+IPTU177,25)</t>
  </si>
  <si>
    <t>GV -  Pagamento Faxina Vânia</t>
  </si>
  <si>
    <t>GV - Pagamento Cemig AP 203</t>
  </si>
  <si>
    <t>GV - Pagamento Faxina Vânia</t>
  </si>
  <si>
    <t xml:space="preserve">GV e JLP - Compra de pão para obra </t>
  </si>
  <si>
    <t>GV e JLP - Compra de pão para obra 11/06 a 22/06</t>
  </si>
  <si>
    <t>GV e JLP - Despesas com supermercado(obra) café, prod limpeza EPA DMa DISTRIBUIDORA</t>
  </si>
  <si>
    <t>GV e JLP - Despesas com supermercado(obra) café, sabão barra detergente EPA DMa DISTRIBUIDORA</t>
  </si>
  <si>
    <t>GV e JLP - Despesas com supermercado(obra) café, sabão em pó EPA DMa DISTRIBUIDORA</t>
  </si>
  <si>
    <t>Jul 2018</t>
  </si>
  <si>
    <t>GV - Aluguel V 9 DJA - Julho 18 - Rachid Sergio (A220)</t>
  </si>
  <si>
    <t>GV - Procuração Irving - 2º Ofício de Notas de Teófilo Otoni</t>
  </si>
  <si>
    <t>JLP - Aluguel V 1 a V 5 - Junho 18 - Alexandre Couy (A500)</t>
  </si>
  <si>
    <t>02/07/2018 </t>
  </si>
  <si>
    <t>JLP - Primeira parcela pagamento Thiago Luz</t>
  </si>
  <si>
    <t>GV - Encerramento OINE</t>
  </si>
  <si>
    <t>JLP - Compra gesso, arruela - Ferragens Mineira</t>
  </si>
  <si>
    <t>JLP - Compra escova sanitaria - Otoni Utilidades</t>
  </si>
  <si>
    <t>JLP - Compra Parafusos - Ferragens Mineira</t>
  </si>
  <si>
    <t>JLP - Compra Joelha e luva - Continental</t>
  </si>
  <si>
    <t>JLP - Compra lanches - Padaria Saborosa</t>
  </si>
  <si>
    <t>GV - Compra resistencia lorenz. - Ferragens Mineira</t>
  </si>
  <si>
    <t>JLP - Compra serra aço, bucha 6 - Ferragens Mineira</t>
  </si>
  <si>
    <t>GV - Aluguel Apt 104 - Mês 18 - Andressa (A990+C80+IPTU115,29) </t>
  </si>
  <si>
    <t>04/07/2018 </t>
  </si>
  <si>
    <t>GV - Aluguel Apt 201 - Jun, jul, ago 18 - João Capela + C 3*80 + E 3*70 = 5250</t>
  </si>
  <si>
    <t>GV - Aluguel Apt 101 - Junho 18 - Lohanny (A940+C80)</t>
  </si>
  <si>
    <t>GV - Aluguel Loja JP 607 - Junho 18 - Antonio Celso (A1360)</t>
  </si>
  <si>
    <t>GV - Aluguel V M DJA - Julho 18 - Sergio (A60)</t>
  </si>
  <si>
    <t>GV - Pagamento - Faxina Edifício Nova Era - Vania (75) Dias 02/07 e 05/07</t>
  </si>
  <si>
    <t>GV - Pagamento - Faxina Apt 202 e 205 Irving - Vania (75) Dias 25/06 e 28/06</t>
  </si>
  <si>
    <t>GV e JLP - Pagamento estagiário - Junho 18 - Leonardo</t>
  </si>
  <si>
    <t>GV e JLP - Gasolina estagiário - Junho 18 - Leonardo</t>
  </si>
  <si>
    <t>GV - Casas Pernanbucanas 5.5 - Roupas de cama e banho - ap 201 e studio</t>
  </si>
  <si>
    <t xml:space="preserve">9.663,02 </t>
  </si>
  <si>
    <t>JLP - Compra de pão para obra 25/06 a 06/07</t>
  </si>
  <si>
    <t>GV e JLP - Compra de pão para escritorio 25/06 a 06/07</t>
  </si>
  <si>
    <t>JLP - Despesas com supermercado(obra) café,açucar EPA DMa DISTRIBUIDORA</t>
  </si>
  <si>
    <t>JLP - Compra de café - Café Tia Dete</t>
  </si>
  <si>
    <t>GV - Aluguel GP JP 605 - Junho 18 - Fatima Cristina (A1975,42+IPTU177,25)</t>
  </si>
  <si>
    <t>GV - Aluguel Loja GV 1060 e JP 615 - Junho 18 - Tales Colombi (A5000)</t>
  </si>
  <si>
    <t>GV - Aluguel Junho JP 609 - Mês 18 - Lucas Francisco (A1200+L38,73)</t>
  </si>
  <si>
    <t>GV - Aluguel V 3 DJA - Julho 18 - Fernando Henrique (A190)</t>
  </si>
  <si>
    <t xml:space="preserve">09/07/2018 </t>
  </si>
  <si>
    <t>GV - Devolução caução ação Cristina</t>
  </si>
  <si>
    <t xml:space="preserve">6.059,86 </t>
  </si>
  <si>
    <t xml:space="preserve">15.722,88 </t>
  </si>
  <si>
    <t>JLP - Compra bloco de recibos - Graffite (Teixeira e Chaves LTDA)</t>
  </si>
  <si>
    <t>JLP - Moto Taxi p/ Jorgiano</t>
  </si>
  <si>
    <t xml:space="preserve">-60,65 </t>
  </si>
  <si>
    <t xml:space="preserve">-416,73 </t>
  </si>
  <si>
    <t xml:space="preserve">-325,88 </t>
  </si>
  <si>
    <t xml:space="preserve">-177,53 </t>
  </si>
  <si>
    <t xml:space="preserve">284057 </t>
  </si>
  <si>
    <t xml:space="preserve">190,00 </t>
  </si>
  <si>
    <t xml:space="preserve">0,12 </t>
  </si>
  <si>
    <t xml:space="preserve">14.932,21 </t>
  </si>
  <si>
    <t>GV - Aluguel V 2 DJA - Julho 18 - Lucas Barreiros (A185)</t>
  </si>
  <si>
    <t>GV - Aluguel Apt 103 - Junho 18 - Arlete (A940+C80)</t>
  </si>
  <si>
    <t xml:space="preserve">-61,34 </t>
  </si>
  <si>
    <t>GV - Cemig AP 201 - Duplicidade</t>
  </si>
  <si>
    <t xml:space="preserve">14.809,55 </t>
  </si>
  <si>
    <t xml:space="preserve">12/07/2018 </t>
  </si>
  <si>
    <t xml:space="preserve">-37,33 </t>
  </si>
  <si>
    <t>GV - Ret Irv - Seguro residencial 4.4</t>
  </si>
  <si>
    <t xml:space="preserve">-46,07 </t>
  </si>
  <si>
    <t>GV - Ret Naz - Seguro residencial 4.4</t>
  </si>
  <si>
    <t xml:space="preserve">-51,42 </t>
  </si>
  <si>
    <t xml:space="preserve">14.674,75 </t>
  </si>
  <si>
    <t>GV - Aluguel V 5 DJA - Julho 18 - Gustavo (A185)</t>
  </si>
  <si>
    <t>GV - Aluguel Loja GV 1050 - Junho 18 - By Fiapo (A3500+IPTU87,45)</t>
  </si>
  <si>
    <t>JLP - Despesas com supermercado(obra) mat. limpeza EPA DMa DISTRIBUIDORA</t>
  </si>
  <si>
    <t>GV e JLP - Despesa c/ supermercado escritório banana leite manteiga EPA DMa DISTRIBUIDORA</t>
  </si>
  <si>
    <t>GV - Aluguel ESP DJA - Julho 18 - Mario Monteiro (A80)</t>
  </si>
  <si>
    <t xml:space="preserve">13/07/2018 </t>
  </si>
  <si>
    <t xml:space="preserve">284079 </t>
  </si>
  <si>
    <t xml:space="preserve">284068 </t>
  </si>
  <si>
    <t xml:space="preserve">15.879,75 </t>
  </si>
  <si>
    <t>GV - Aluguel V M DJA - Julho 18 - Bruno Ricardo (A60)</t>
  </si>
  <si>
    <t>GV - Compra mat. Limpeza Vânia - Comercial Damasceno Costa Eireli</t>
  </si>
  <si>
    <t>JLP - Pagamento seguro de vida estagiário Leonardo - Mapfre Seguros</t>
  </si>
  <si>
    <t>GV e JLP - Despesa c/ supermercado escritório água EPA DMa DISTRIBUIDORA</t>
  </si>
  <si>
    <t xml:space="preserve">450365 </t>
  </si>
  <si>
    <t xml:space="preserve">-152,16 </t>
  </si>
  <si>
    <t xml:space="preserve">-72,90 </t>
  </si>
  <si>
    <t xml:space="preserve">-213,84 </t>
  </si>
  <si>
    <t xml:space="preserve">0,31 </t>
  </si>
  <si>
    <t xml:space="preserve">15.441,16 </t>
  </si>
  <si>
    <t>JLP - Compra Curva solid, lampada fog/gel - Delevy</t>
  </si>
  <si>
    <t>JLP - Compra mangueira - Ferragens Mineira</t>
  </si>
  <si>
    <t>JLP - Compra água, limp. Inox - EPA DMA DISTRIBUIDORA</t>
  </si>
  <si>
    <t xml:space="preserve">17/07/2018 </t>
  </si>
  <si>
    <t>GV - Aluguel apt 102 - Jun18 - Jorge (A860+C80)</t>
  </si>
  <si>
    <t xml:space="preserve">135504 </t>
  </si>
  <si>
    <t xml:space="preserve">340,00 </t>
  </si>
  <si>
    <t xml:space="preserve">135551 </t>
  </si>
  <si>
    <t xml:space="preserve">600,00 </t>
  </si>
  <si>
    <t xml:space="preserve">-375,15 </t>
  </si>
  <si>
    <t>GV - Ret Irv Oi Talita</t>
  </si>
  <si>
    <t xml:space="preserve">-144,31 </t>
  </si>
  <si>
    <t xml:space="preserve">15.861,70 </t>
  </si>
  <si>
    <t>GV - Aluguel Apt 204 - Maio 18 - Michelle (A1150+C80+IPTU41,34+M123)</t>
  </si>
  <si>
    <t>GV - Ret Irv - Pagamento Dr. Ricardo Soares</t>
  </si>
  <si>
    <t xml:space="preserve">-377,10 </t>
  </si>
  <si>
    <t xml:space="preserve">-153,30 </t>
  </si>
  <si>
    <t xml:space="preserve">15.331,32 </t>
  </si>
  <si>
    <t>JLP - Compra Nitrosin (mata formiga) - Super Safra</t>
  </si>
  <si>
    <t>GV - Ret Irv Acerto Fabíola</t>
  </si>
  <si>
    <t xml:space="preserve">654000 </t>
  </si>
  <si>
    <t xml:space="preserve">-5.400,00 </t>
  </si>
  <si>
    <t>GV - Ret Irv Mesada Paula</t>
  </si>
  <si>
    <t xml:space="preserve">-1.000,00 </t>
  </si>
  <si>
    <t xml:space="preserve">0,58 </t>
  </si>
  <si>
    <t xml:space="preserve">8.931,90 </t>
  </si>
  <si>
    <t>JLP - Compra Tela viveiro - Comércio e Industria de Telas CITAL</t>
  </si>
  <si>
    <t>GV - Pagamento - Faxina Edifício Nova Era - Vania (75) Dias 12/07 e 19/07</t>
  </si>
  <si>
    <t>GV - Pagamento - Faxina Apt 202 e 205 Irving - Vania (75) Dias 09/07 e 16/07</t>
  </si>
  <si>
    <t>GV - Aluguel Loja GV 1052 - Junho 18 - Irmas Figueiredo (A2050)</t>
  </si>
  <si>
    <t>JLP - Compra cumbuca - Comercial Damiani LTDA</t>
  </si>
  <si>
    <t>JLP - Compra pratos e copos plástico - Barranco LTDA</t>
  </si>
  <si>
    <t>JLP - Gratificação Zé Antonio</t>
  </si>
  <si>
    <t>JLP - Compra colher descartavel - Comercial Damiani LTDA</t>
  </si>
  <si>
    <t xml:space="preserve">20/07/2018 </t>
  </si>
  <si>
    <t xml:space="preserve">-660,23 </t>
  </si>
  <si>
    <t>JLP - Equipamentos cozinha G1</t>
  </si>
  <si>
    <t xml:space="preserve">143965 </t>
  </si>
  <si>
    <t xml:space="preserve">-146,19 </t>
  </si>
  <si>
    <t>JLP - Compra resina e fibra de vidro - Rei das Tintas</t>
  </si>
  <si>
    <t>JLP - Compra cola madeira - Lucmar</t>
  </si>
  <si>
    <t>JLP - Compra vidro - Vidraçaria Guanabara</t>
  </si>
  <si>
    <t>JLP - Compra joelho - Continental</t>
  </si>
  <si>
    <t>JLP - Compra curva - Continental</t>
  </si>
  <si>
    <t>JLP - Compra curva, joelho - Cotinental</t>
  </si>
  <si>
    <t>JLP - Compra curva eletroduto - Ferragens Mineira</t>
  </si>
  <si>
    <t>JLP - Compra tela galinh. - Luso Brasil</t>
  </si>
  <si>
    <t>JLP - Compra plug adaptador - TV Som</t>
  </si>
  <si>
    <t>JLP - Pagamento de serviço - Célio Prates</t>
  </si>
  <si>
    <t xml:space="preserve">-30,41 </t>
  </si>
  <si>
    <t xml:space="preserve">-42,25 </t>
  </si>
  <si>
    <t xml:space="preserve">-46,96 </t>
  </si>
  <si>
    <t xml:space="preserve">-50,70 </t>
  </si>
  <si>
    <t xml:space="preserve">-147,11 </t>
  </si>
  <si>
    <t xml:space="preserve">-904,47 </t>
  </si>
  <si>
    <t>GV - Ret Irv Presente Carol + viagem</t>
  </si>
  <si>
    <t xml:space="preserve">23/07/2018 </t>
  </si>
  <si>
    <t xml:space="preserve">0,13 </t>
  </si>
  <si>
    <t xml:space="preserve">5.403,76 </t>
  </si>
  <si>
    <t>JLP - Compra flanelas e pano de chão - Valdir Pereira</t>
  </si>
  <si>
    <t>JLP - Aluguel Loja FSA 152 - Junho 18 - Alexandre Couy (A7500+IPTU477,69)</t>
  </si>
  <si>
    <t>JLP - Aluguel V 1 a V 5 - Julho 18 - Alexandre Couy (A500)</t>
  </si>
  <si>
    <t>GV - Aluguel Loja JP 607 - Julho 18 - Antonio Celso (A1360)</t>
  </si>
  <si>
    <t xml:space="preserve">-37,90 </t>
  </si>
  <si>
    <t xml:space="preserve">284080 </t>
  </si>
  <si>
    <t xml:space="preserve">1.250,00 </t>
  </si>
  <si>
    <t xml:space="preserve">6.615,86 </t>
  </si>
  <si>
    <t>JLP - Reconhecimento firma Tim - 1º Ofício de Notas de T.O</t>
  </si>
  <si>
    <t>JLP - Aluguel andaime - Locminas (NF Contabilidade)</t>
  </si>
  <si>
    <t>JLP - Compra de pão para obra 09/07 a 27/07</t>
  </si>
  <si>
    <t>GV e JLP - Compra de pão para escritorio 09/07 a 27/07</t>
  </si>
  <si>
    <t>JLP - Despesas com supermercado(obra) café açucar mat limpeza EPA DMa DISTRIBUIDORA</t>
  </si>
  <si>
    <t>GV e JLP - Despesa c/ supermercado escritório café manteiga leite EPA DMa DISTRIBUIDORA</t>
  </si>
  <si>
    <t>GV - Aluguel Apt 103 - Julho, Agosto, Setembro, Outubro, Novembro 18 - Arlete (A940+C80)</t>
  </si>
  <si>
    <t>01/07/2018 </t>
  </si>
  <si>
    <t>02/07/2018</t>
  </si>
  <si>
    <t>JLP - Dominio publico INPI</t>
  </si>
  <si>
    <t>JLP - Luso Brasil - JLP 287,15 + GV 155,20 (NF enviada no movimento de junho 19)</t>
  </si>
  <si>
    <t>000391</t>
  </si>
  <si>
    <t>03/07/2018</t>
  </si>
  <si>
    <t>JLP - Cheque devolvido Alex Couy + 500 Empréstimo Sócios</t>
  </si>
  <si>
    <t>111616</t>
  </si>
  <si>
    <t>000392</t>
  </si>
  <si>
    <t>04/07/2018</t>
  </si>
  <si>
    <t>JLP - Paraná Ferragens - chapa de piso</t>
  </si>
  <si>
    <t>JLP - Cofermeta - Tarraxa e torno</t>
  </si>
  <si>
    <t xml:space="preserve">JLP - Cheque devolvido </t>
  </si>
  <si>
    <t>000013</t>
  </si>
  <si>
    <t>000393</t>
  </si>
  <si>
    <t>000394</t>
  </si>
  <si>
    <t>05/07/2018</t>
  </si>
  <si>
    <t>JLP - Pagamento inicial Lourdes Flora e Vida</t>
  </si>
  <si>
    <t>JLP - Pagamento inicial JS Irrigação (NF emitida em 09/08/18, paga em 15/08/18)</t>
  </si>
  <si>
    <t>JLP - Dablius Contabilidade Jul 18</t>
  </si>
  <si>
    <t>JLP - HSR - Aluguel Jun 18 (A 4980,50 - 5% Desc = 4731,47)</t>
  </si>
  <si>
    <t>25/07/2018</t>
  </si>
  <si>
    <t>26/07/2018</t>
  </si>
  <si>
    <t>JLP - Caixa da Central de Interfone</t>
  </si>
  <si>
    <t>284090</t>
  </si>
  <si>
    <t>27/07/2018</t>
  </si>
  <si>
    <t>GV e JLP - Safra - Cimento</t>
  </si>
  <si>
    <t>000398</t>
  </si>
  <si>
    <t>Super Safra - Formicida</t>
  </si>
  <si>
    <t>Locminas - Andaime</t>
  </si>
  <si>
    <t>Recista Crusoé</t>
  </si>
  <si>
    <t>GV - Ressarcimento caução e acerto distrato Studio GV 01</t>
  </si>
  <si>
    <t>GV - Aluguel Loja JP 60 - Jun 18 - Pollyana  (A1500 até dez e 1700 até jun19, depois 1900) proporcional</t>
  </si>
  <si>
    <t>GV - Coca Cola jogo Brasil 22/06/18</t>
  </si>
  <si>
    <t>JLP - Taças, relogio e pilhas e cinzeiro</t>
  </si>
  <si>
    <t>JLP - Almofadas Arte Persa</t>
  </si>
  <si>
    <t>JLP - Tapete banho 2</t>
  </si>
  <si>
    <t>JLP - Estacionamento Ponteio</t>
  </si>
  <si>
    <t>GV e JLP - Desenhos para quadros</t>
  </si>
  <si>
    <t>JLP - Serviços Beto porteiro</t>
  </si>
  <si>
    <t>GV - Aluguel Loja GV 1052 - Junho 18 - Irmas Figueiredo (A2050) + IPTU(53,28)</t>
  </si>
  <si>
    <t>GV - Aluguel Loja JP 603 - Jun 18 - Pollyana  (A1500 até dez e 1700 até jun19, depois 1900) proporcional</t>
  </si>
  <si>
    <t>GV - Encerramento OI NE</t>
  </si>
  <si>
    <t>GV - Pagamento Luz 201</t>
  </si>
  <si>
    <t>GV - Pagamento Cemig 609</t>
  </si>
  <si>
    <t xml:space="preserve">GV - Diversas dividido com JLP </t>
  </si>
  <si>
    <t>JLP - MO dividido com JLP</t>
  </si>
  <si>
    <t>GV e JLP - Compra de pão para obra 09/07 a 27/07</t>
  </si>
  <si>
    <t>GV e JLP - Compra de pão para obra 25/06 a 06/07</t>
  </si>
  <si>
    <t>GV e JLP - Despesas com supermercado(obra) café açucar mat limpeza EPA DMa DISTRIBUIDORA</t>
  </si>
  <si>
    <t>GV e JLP - Despesas com supermercado(obra) café,açucar EPA DMa DISTRIBUIDORA</t>
  </si>
  <si>
    <t>GV e JLP - Despesas com supermercado(obra) mat. limpeza EPA DMa DISTRIBUIDORA</t>
  </si>
  <si>
    <t>GV - Safra - Cimento</t>
  </si>
  <si>
    <t>Viagem</t>
  </si>
  <si>
    <t>GV - Parte garagem Juliana Ap 201</t>
  </si>
  <si>
    <t>somatório saldo inicial</t>
  </si>
  <si>
    <t>somatório saldo final</t>
  </si>
  <si>
    <t>inicial + déb e créd - saldo final = 0</t>
  </si>
  <si>
    <t>somatório déb + cre</t>
  </si>
  <si>
    <t>Set 24</t>
  </si>
  <si>
    <t>Classifica</t>
  </si>
  <si>
    <t>Caixa Escritório</t>
  </si>
  <si>
    <t xml:space="preserve">GV - Aluguel V 12  - Set 24 - Samuel Balarini (A270) </t>
  </si>
  <si>
    <t xml:space="preserve">GV - Aluguel V 11 DJA - Set 24 - Rachid Sergio (A330) </t>
  </si>
  <si>
    <t>JLP - Super Safra (mata cupim)</t>
  </si>
  <si>
    <t>GV - Ret Irv  placa cega casa (Irving)</t>
  </si>
  <si>
    <t>GV - Ret Naz -  RV Lustres - Fios para decoração g1 (festa Naz)</t>
  </si>
  <si>
    <t xml:space="preserve">GV e JLP - recarga de créditos Zefa e Vitor </t>
  </si>
  <si>
    <t>GV - Ret Naz - Serviço prestado de músico - Jose Geraldo (festa Naz)</t>
  </si>
  <si>
    <t>JLP - Continental - (tekbond)</t>
  </si>
  <si>
    <t>GV - Aluguel V 03 - Set 24 - Gildásio A270</t>
  </si>
  <si>
    <t>GV - Aluguel V 25 - Set 24 - Gildásio A270</t>
  </si>
  <si>
    <t>GV - Aluguel JP 601 - Ago 24 - Gildásio (A1350)</t>
  </si>
  <si>
    <t>GV - Aluguel JP 601 - Copasa Ago 24</t>
  </si>
  <si>
    <t>GV e JLP - gratificação Juaniz ref. Agos 2024</t>
  </si>
  <si>
    <t>GV e JLP - Serviço de irrigação de jardins  Juaniz</t>
  </si>
  <si>
    <t>GV - Pagamento serviço Hudson 02/09/2024</t>
  </si>
  <si>
    <t>GV - Pagamento serviço Hudson dias 03/09/2024 e 05/09/2024</t>
  </si>
  <si>
    <t>JPL - Pagamento serviço Hudson dias 04/09/2024 e 06/09/2024</t>
  </si>
  <si>
    <t>GV - Pagamento serviço Tomaz dias e 02/09/2024</t>
  </si>
  <si>
    <t>JLP - Pagamento serviço Tomaz dias 03/09 e 05/09/2024</t>
  </si>
  <si>
    <t>GV - Pagamento serviço Tomaz dias 04/09  e 06/09/2024</t>
  </si>
  <si>
    <t>GV - Ret Naz - Serviço de garçon festa Naz (João Paulo)</t>
  </si>
  <si>
    <t>GV - Ret Naz - Serviço de garçon festa Naz (João Tomaz)</t>
  </si>
  <si>
    <t>JLP- Super Safra (mata cupim)</t>
  </si>
  <si>
    <t xml:space="preserve">GV - Silk4  adesivo de divulgaçôes do prédio </t>
  </si>
  <si>
    <t>JLP - Locminas - Diversos (todas JLP)</t>
  </si>
  <si>
    <t>GV - Pagamento serviço Tomaz dias 09/09  e 13/09/2024</t>
  </si>
  <si>
    <t>GV - cópia de chaves (lavanderia e terraço) - ponto das chaves</t>
  </si>
  <si>
    <t>GV - Transferência CXE P CC NUB IRV</t>
  </si>
  <si>
    <t>GV - Ret Naz - Mercearia coelho (pilhas controle casa Naz)</t>
  </si>
  <si>
    <t xml:space="preserve">GV e JLP - prestação serviço faxina Vânia  02/09 (m), 05/09/24(dia), 09/09/24(m) e 12/09/2024(m) </t>
  </si>
  <si>
    <t>GV - Ret Naz - Gás Ideal - compra de 3 botijas de gás</t>
  </si>
  <si>
    <t>GV - Ret Naz - Serviço prestado de músico - Jose Geraldo 14/09</t>
  </si>
  <si>
    <t>GV - Pagamento serviço Hudson dias 10/09/2024 e 12/09/2024</t>
  </si>
  <si>
    <t>JPL - Pagamento serviço Hudson dias 11 /09/2024 e 13/09/2024</t>
  </si>
  <si>
    <t>GV - Pagamento serviço Tomaz dias e 13/09/2024</t>
  </si>
  <si>
    <t>JLP - Pagamento serviço Tomaz dias 10/09 e 12/09/2024</t>
  </si>
  <si>
    <t>GV - Uai Brasil porta retratos para os quadros do apt 104</t>
  </si>
  <si>
    <t xml:space="preserve">GV - EPA materias de limpeza para o NE e os aptos </t>
  </si>
  <si>
    <t>GV - Ret Irving</t>
  </si>
  <si>
    <t>GV - Ferragens Mineira pino adptador e termostato para microondas</t>
  </si>
  <si>
    <t>GV - Aluguel Lj 1052 - Ago 24 - La Luz - (A3250)</t>
  </si>
  <si>
    <t>GV - Pagamento serviço Tomaz dias  16/09/2024</t>
  </si>
  <si>
    <t>JLP - Pagamento serviço Tomaz dias  17/09 e 19/09/2024</t>
  </si>
  <si>
    <t>GV - Pagamento serviço Tomaz dias 18/09  e 20/09/2024</t>
  </si>
  <si>
    <t>GV - Pagamento serviço Hudson 16/09/2024</t>
  </si>
  <si>
    <t>GV - Pagamento serviço Hudson dias 17/09/2024 e 19/09/2024</t>
  </si>
  <si>
    <t>JPL - Pagamento serviço Hudson dias 18/09/2024 e 20/09/2024</t>
  </si>
  <si>
    <t>GV - TV Som - Conserto controle ar condicionado</t>
  </si>
  <si>
    <t>GV - Casa das Chaves - Cópia de chave do gás apto 204</t>
  </si>
  <si>
    <t>GV -TV Som antena para tv apto 104</t>
  </si>
  <si>
    <t>GV - Ret Naz - taxa e xerox (avaliação Prefeitura)</t>
  </si>
  <si>
    <t>JLP - DMA Compras café, açucar, banana, maça,coador, margarina, adoçante e porta filtro</t>
  </si>
  <si>
    <t>GV - Delevy plug femea (cafôfo)</t>
  </si>
  <si>
    <t>GV e JLP - prestação serviço faxina Vânia  16/09 (dia), 19/09/24(dia), 20/09/24(m) 23/09/2024(m) 26/09/2024(m)</t>
  </si>
  <si>
    <t>JLP - DMA Compras aniversário (Tomaz)</t>
  </si>
  <si>
    <t>GV - Ret Naz - Serviço prestado de músico - Jose Geraldo dia 23/08/2024</t>
  </si>
  <si>
    <t>GV e JLP - Serviço de irrigação de jardins  Juaniz dia 07/09/,14/09/ e 15/09/2024</t>
  </si>
  <si>
    <t>GV - Pagamento serviço Hudson 23/09/2024</t>
  </si>
  <si>
    <t>GV - Pagamento serviço Hudson dias 24/09/2024 e 26/09/2024</t>
  </si>
  <si>
    <t>JPL - Pagamento serviço Hudson dias 25/09/2024 e 27/09/2024</t>
  </si>
  <si>
    <t>GV - Pagamento serviço Tomaz dias  27/09/2024</t>
  </si>
  <si>
    <t>JLP - Pagamento serviço Tomaz dias  23/09 e 25/09/2024</t>
  </si>
  <si>
    <t>GV - Pagamento serviço Tomaz dias 24/09  e 26/09/2024</t>
  </si>
  <si>
    <t>JLP - DMA -  cesta basica Juaniz</t>
  </si>
  <si>
    <t>GV - DMA - cesta basica Tomaz e Hudson</t>
  </si>
  <si>
    <t xml:space="preserve">GV - Ret Naz - serviço de zeladora (Polyana) 27/09/2024 </t>
  </si>
  <si>
    <t>GV - Ret Naz - Academia do Peixe - Jantar Roberto Seresteiro</t>
  </si>
  <si>
    <t>GV e JLP - Viagem Irv 18/09/24 - Lanche rodov GV</t>
  </si>
  <si>
    <t>GV e JLP - Viagem Irv 18/09/24 - Taxi  rodov &gt; res BH</t>
  </si>
  <si>
    <t>JLP - MD Tintas - Verniz - 1.6</t>
  </si>
  <si>
    <t>GV - Meta - Anúncio ap 103</t>
  </si>
  <si>
    <t>JLP - Colchoart - Cama casa - R$ 1.540,00 1.10</t>
  </si>
  <si>
    <t>GV - Roupas de cama Aps - R$ 859,98 - 1.10</t>
  </si>
  <si>
    <t>GV - Protetores de colchão apartamentos - R$ 254,88 - 1.4</t>
  </si>
  <si>
    <t>GV - Colchão Ap 104 - R$ 1.690,00 - 1.10</t>
  </si>
  <si>
    <t>GV - Ret Naz - Tia Teca - Bebidas festa - R$ 3.219,20 - 1.3</t>
  </si>
  <si>
    <t>GV - Ret Naz - FarmaUsa 09.12</t>
  </si>
  <si>
    <t>GV - Mercado Livre - caixa acoplada p/ Ap104 + petrolux para pedras pretas 7.10</t>
  </si>
  <si>
    <t>GV - Ret Naz - Hand Shop - Cadeira de Rodas - 6.12</t>
  </si>
  <si>
    <t>GV - Ret Naz - Azul - Passagens Roberto Seresteiro 2.5</t>
  </si>
  <si>
    <t>GV - Mercado Livre - Pressurizador de Água Pl12 - R$ 596,00 - 1.10</t>
  </si>
  <si>
    <t>GV e JLP - GONTIJO 01/03 - Passagens BH Irv 18/09 a 07/10</t>
  </si>
  <si>
    <t>JLP - Aluguel Cs  04 - Ago 24 - NAZ A 4000</t>
  </si>
  <si>
    <t>JLP - Reembolso Naz (Copasa 200 + IPTU 50 + Tomas Jardim manuts 200)</t>
  </si>
  <si>
    <t>GV - Ret Naz - Aluguel (4000) + Copasa (200) + IPTU (50) + Tomas Jadim manut. (200)</t>
  </si>
  <si>
    <t>GV - Ret Irv - Netflix incluída plano Irving - Abr 24</t>
  </si>
  <si>
    <t>GV - Ret Irv - Vivo NE - conta Irv</t>
  </si>
  <si>
    <t>GV - Ret Naz - Vivo e Netflix</t>
  </si>
  <si>
    <t>JLP - Aluguel Cs  03 - Ago 24 - Esc A 1500</t>
  </si>
  <si>
    <t>GV e JLP - Aluguel Casa Irv</t>
  </si>
  <si>
    <t>GV - Ret Irv - Empréstimo ao Caixa</t>
  </si>
  <si>
    <t>GV Nubank - Histórico</t>
  </si>
  <si>
    <t xml:space="preserve">GV - Aluguel V 07 - Set  24 - Denise Khoury A270 </t>
  </si>
  <si>
    <t>GV - Silk 4 - Adesivos varanda Studio</t>
  </si>
  <si>
    <t>GV - Aluguel M 02 - Set 24 - Christian A70</t>
  </si>
  <si>
    <t>GV - Aluguel V 19 - Set 24 - Gabriela A270</t>
  </si>
  <si>
    <t>GV - Aluguel Apt 102 - Ago 24 - Ederlandio (A1550+C105+IPTU 5.9 27,85)</t>
  </si>
  <si>
    <t>GV - Aluguel V 09 - Set 24 - Gean A170</t>
  </si>
  <si>
    <t>GV - Aluguel E Tp - Set 24 - Mario Monteiro A120</t>
  </si>
  <si>
    <t>GV - Aluguel Apt 202 - Ago 24 -Fernando (A1790+C105)</t>
  </si>
  <si>
    <t>GV - Aluguel M 04 - Set 24 - Tatiane A70</t>
  </si>
  <si>
    <t xml:space="preserve">GV - Aluguel V 21 - Set 24 - Gustavo A270 </t>
  </si>
  <si>
    <t>GV - Aluguel Ap 204 - Ago 24 - Gean - (A1750+C105+IPTU 4.8 24,04+Roupas 2.2 213,50)</t>
  </si>
  <si>
    <t>GV - Aluguel M 03 - Set 24 - Paulo Mendes A70</t>
  </si>
  <si>
    <t xml:space="preserve">GV - Ret Ibs </t>
  </si>
  <si>
    <t>GV - Ret Igo</t>
  </si>
  <si>
    <t>GV - Transferência CC NUB IRV p CC SANT HON</t>
  </si>
  <si>
    <t>GV - Transferência CC NUB IRV p CC SANT JLP</t>
  </si>
  <si>
    <t>GV - Aluguel V 04 - Set 24 - Lauy Martins A270</t>
  </si>
  <si>
    <t>GV - Aluguel - Pagamento de resição + Compra Mobília 1.2</t>
  </si>
  <si>
    <t>GV - Aluguel V 02 - Set 24 - Fabio Pereira A270</t>
  </si>
  <si>
    <t>GV - Aluguel V 05 - Set 24 - Carla Martin A250</t>
  </si>
  <si>
    <t>GV - Aluguel V 13 - Set 24 - Jorge Roberto A250</t>
  </si>
  <si>
    <t>GV - Aluguel V 20 - Set 24 - Renaud A270 - Faltou 20 pagar próximo aluguel</t>
  </si>
  <si>
    <t xml:space="preserve">GV - Aluguel V 09 - Set 24 - Graça A270 </t>
  </si>
  <si>
    <t>GV - Aluguel M 01 - Set 24 - Patrícia A70</t>
  </si>
  <si>
    <t>GV - Ret Naz - Transf Itaú - Pagar pessoal</t>
  </si>
  <si>
    <t>GV - Aluguel V 16 - Set 24 - Simone A270 - Pagou 10 a mais - descontar próximo aluguel0</t>
  </si>
  <si>
    <t>GV - Aluguel Apt 203 - Ago 24 - Cláudio (A1750+C105-D 6.6 100+IPTU 5.9 22,73)</t>
  </si>
  <si>
    <t>GV - Aluguel M 06 - Set 24 - Gabriel Oliveira A70</t>
  </si>
  <si>
    <t>GV - Aluguel ST 01 - Jul 24 - João Bosco - (A1450+C105+IPTU 3.9 23,84) + M157,88</t>
  </si>
  <si>
    <t>GV - Aluguel Ap 105 - Ago 24 - Maurício (A1489,04+G150+C105)</t>
  </si>
  <si>
    <t>GV - Aluguel V 17 - Set 24 - Andreia Couy A270</t>
  </si>
  <si>
    <t xml:space="preserve">GV - Aluguel V 15 - Set 24 - Caroline A270 </t>
  </si>
  <si>
    <t>GV - Aluguel Apt 201 - Ago 24 - Caetano (A1700+C90+IPTU 5.9 25,36)</t>
  </si>
  <si>
    <t>GV - Aluguel Apt 101 - Caução 1.1 - Roberto (A1650x3)</t>
  </si>
  <si>
    <t>GV - Aluguel Lj 1040 - Ago 24 - Vinícius (A5900)</t>
  </si>
  <si>
    <t>GV - Aluguel V 22 - Set 24 - Luis Felipe A270</t>
  </si>
  <si>
    <t>GV - Aluguel V 06 - Set 24 - Lucas Barreiros A270</t>
  </si>
  <si>
    <t>GV - Ret Naz - Transf Itaú - Festa</t>
  </si>
  <si>
    <t>GV - Aluguel V 03 - Set 24 - Claudiosdey A250</t>
  </si>
  <si>
    <t>GV - Aluguel Lj 1042 - Ago 24 - Manu (A5000)</t>
  </si>
  <si>
    <t>GV - Aluguel Ap 205 - Ago 24 - Jocielito (A2150+C105+G150)</t>
  </si>
  <si>
    <t>GV - Aluguel Lj 1050 - Ago 24 - By Fiapo (A5200+IPTU 4.7 87,74)</t>
  </si>
  <si>
    <t>GV - Aluguel Apt 104 - Jul 24 - Andressa (A1250+C105) Pagamento de rescição + Compra Mobília 2.2</t>
  </si>
  <si>
    <t>GV - Aluguel Apt 101 - Caução 1.1 - Pietro (A1890x3)</t>
  </si>
  <si>
    <t>GV e JLP - Tchau sujeira - Colchão Irv</t>
  </si>
  <si>
    <t>GV - Aluguel Ap 204 - Set 24 - Gean - (A1750+C105+IPTU 5.8 24,04+Resc 2998,34)</t>
  </si>
  <si>
    <t>JLP - Aluguel GM 05 - Set 24 - Rádio Teófilo Otoni A122</t>
  </si>
  <si>
    <t>GV - Ret Irv - Cartão Visa</t>
  </si>
  <si>
    <t>GV - Aluguel Lj 1044 - Ago 24 - Dali A4950</t>
  </si>
  <si>
    <t>JLP - Aluguel Habitat</t>
  </si>
  <si>
    <t xml:space="preserve">GV - Aluguel Lj 1060 - Ago 24 - Delair  - (A6391,02) </t>
  </si>
  <si>
    <t>GV - Ret Irv - Euros</t>
  </si>
  <si>
    <t xml:space="preserve">GV e JLP - Viagem Irv 18/09/24 - Taxi  res &gt; rodov Teo </t>
  </si>
  <si>
    <t>GV e JLP - Ilmar capoteiro - Sofás Sinal 50%</t>
  </si>
  <si>
    <t>GV - Mendes - CBH GV 1.4</t>
  </si>
  <si>
    <t>GV - Aluguel M 06 -Set 24 - Warlen A70</t>
  </si>
  <si>
    <t>GV - Aluguel Apt 103 - Caução 1.1 - Diogo - Maurício (A1650x3)</t>
  </si>
  <si>
    <t>GV - Aluguel Apt 104 - Caução 1.1 - Igor (A1650x3)</t>
  </si>
  <si>
    <t>GV - Aluguel JP 609 - Caução 1.1 - Bárbara (A1930x3)</t>
  </si>
  <si>
    <t>JLP - Elizeu - Elétrica bomba d'água</t>
  </si>
  <si>
    <t>JLP - Aurênio - pergolado casanaz</t>
  </si>
  <si>
    <t>GV - Aluguel Lj 603 - Ago 24 - Lidiane A1770</t>
  </si>
  <si>
    <t>GV - Juros do extrato - Aplicação incluída na conta</t>
  </si>
  <si>
    <t>GV - Juros do CDB - Rentabilidade Agosto</t>
  </si>
  <si>
    <t>GV - Juros do CDB - Rentabilidade Setembro</t>
  </si>
  <si>
    <t>CDB - Saldo</t>
  </si>
  <si>
    <t xml:space="preserve">04/09/2024 </t>
  </si>
  <si>
    <t>GV e JLP - MEI Vitor Rocha</t>
  </si>
  <si>
    <t>GV e JLP - MEI Josefa Fernandes</t>
  </si>
  <si>
    <t>GV e JLP - MEI Rafaelle Mendes</t>
  </si>
  <si>
    <t xml:space="preserve">09/09/2024 </t>
  </si>
  <si>
    <t>GV - Aluguel JP 609 - Airbnb - Pietro</t>
  </si>
  <si>
    <t xml:space="preserve">10/09/2024 </t>
  </si>
  <si>
    <t>GV - Copasa JP 609</t>
  </si>
  <si>
    <t>GV - Copasa JP 615 - Garagem</t>
  </si>
  <si>
    <t>GV - Copasa CD 1056 NE</t>
  </si>
  <si>
    <t xml:space="preserve">11/09/2024 </t>
  </si>
  <si>
    <t>GV - Cemig CD 1056 NE</t>
  </si>
  <si>
    <t>GV - Cemig DJA 16 - Garagem</t>
  </si>
  <si>
    <t xml:space="preserve">12/09/2024 </t>
  </si>
  <si>
    <t>GV - Copasa JP 601 - Gildásio - Alterar titularidade</t>
  </si>
  <si>
    <t>GV e JLP  Continental (63,00 JLP)  (10,60 GV) venc. 10/09/2024</t>
  </si>
  <si>
    <t xml:space="preserve">GV e JLP - TIM Escritório </t>
  </si>
  <si>
    <t xml:space="preserve">13/09/2024 </t>
  </si>
  <si>
    <t>JLP - Loja Elétrica Escritório 3.3</t>
  </si>
  <si>
    <t>018067</t>
  </si>
  <si>
    <t xml:space="preserve">16/09/2024 </t>
  </si>
  <si>
    <t xml:space="preserve">GV - Transferência JLP p CC SANT HON </t>
  </si>
  <si>
    <t>285010</t>
  </si>
  <si>
    <t>02/09/2024</t>
  </si>
  <si>
    <t>04/09/2024</t>
  </si>
  <si>
    <t>JLP - Luso</t>
  </si>
  <si>
    <t>001015</t>
  </si>
  <si>
    <t>09/09/2024</t>
  </si>
  <si>
    <t>JLP - Aluguel Gp  06 - Ago 24 - HSR  A 6000</t>
  </si>
  <si>
    <t>12/09/2024</t>
  </si>
  <si>
    <t>JLP - Continental (180,75 GV)  (1130,85 JLP)</t>
  </si>
  <si>
    <t>GV - Ret Naz - Delevy (fios ornamentação festa Naz)</t>
  </si>
  <si>
    <t>13/09/2024</t>
  </si>
  <si>
    <t>GV e JLP - Adiantamento Juaniz</t>
  </si>
  <si>
    <t>001016</t>
  </si>
  <si>
    <t>16/09/2024</t>
  </si>
  <si>
    <t>JLP - Dablius Contabilidade</t>
  </si>
  <si>
    <t>021020</t>
  </si>
  <si>
    <t>GV e JLP - CDL - Julho</t>
  </si>
  <si>
    <t>020969</t>
  </si>
  <si>
    <t>18/09/2024</t>
  </si>
  <si>
    <t>19/09/2024</t>
  </si>
  <si>
    <t>JLP - Aluguel Loja Fsa 152 - Habitat - Ago 24 - Habitat (10360A+690V+IPTU 5.9 365,17)</t>
  </si>
  <si>
    <t xml:space="preserve">GV - Transferência JLP p CC ITAU HON </t>
  </si>
  <si>
    <t>20/09/2024</t>
  </si>
  <si>
    <t xml:space="preserve">GV e JLP - FGTS </t>
  </si>
  <si>
    <t xml:space="preserve">GV e JLP - GPS </t>
  </si>
  <si>
    <t>015707</t>
  </si>
  <si>
    <t>23/09/2024</t>
  </si>
  <si>
    <t>JLP - Endurence Hostgator - Domínio Vila Deco</t>
  </si>
  <si>
    <t>021559</t>
  </si>
  <si>
    <t>Empréstimo Irving à JLP</t>
  </si>
  <si>
    <t>GV - Delevy ??? - Saída para o caixa</t>
  </si>
  <si>
    <t>Pagamento Empréstimo Honorina</t>
  </si>
  <si>
    <t>PREVISÃO</t>
  </si>
  <si>
    <t>RECEITAS</t>
  </si>
  <si>
    <t>Setembro</t>
  </si>
  <si>
    <t>Saldo Inicial</t>
  </si>
  <si>
    <t>Atrasados</t>
  </si>
  <si>
    <t>DESPESAS FIXAS</t>
  </si>
  <si>
    <t>Cemig JLP</t>
  </si>
  <si>
    <t>Salários pessoal Obra</t>
  </si>
  <si>
    <t>Vânia</t>
  </si>
  <si>
    <t>Rafaelle</t>
  </si>
  <si>
    <t>Zefa</t>
  </si>
  <si>
    <t>Vitor</t>
  </si>
  <si>
    <t>Tomas / Hudson</t>
  </si>
  <si>
    <t>Copasa JLP</t>
  </si>
  <si>
    <t>Inet NE</t>
  </si>
  <si>
    <t>Retiradas Igor e Ibsen</t>
  </si>
  <si>
    <t>Copasa NE</t>
  </si>
  <si>
    <t>Cemig 202 e outros</t>
  </si>
  <si>
    <t>Copasa Loft JP 601 + Garagem</t>
  </si>
  <si>
    <t>TIM</t>
  </si>
  <si>
    <t>Adiantamento</t>
  </si>
  <si>
    <t>Dablius</t>
  </si>
  <si>
    <t>FGTS</t>
  </si>
  <si>
    <t>GPS</t>
  </si>
  <si>
    <t>Tarifas Bancárias</t>
  </si>
  <si>
    <t>IR JLP</t>
  </si>
  <si>
    <t>Inet Esc</t>
  </si>
  <si>
    <t>Cemig Loft JP 601 + Garagem</t>
  </si>
  <si>
    <t>Cemig CD GV1056</t>
  </si>
  <si>
    <t>Cestas básicas</t>
  </si>
  <si>
    <t>PIS / COFINS</t>
  </si>
  <si>
    <t>Pasi</t>
  </si>
  <si>
    <t>IRLP e CSLP (2400+1400) ou Décimo Terceiro</t>
  </si>
  <si>
    <t>Pessoal Naz e Etc.</t>
  </si>
  <si>
    <t>DESPESAS VARIÁVEIS</t>
  </si>
  <si>
    <t>Cartão</t>
  </si>
  <si>
    <t>Tonhão - Venezianas, Breeze, Forro ripado, Janelas escritório</t>
  </si>
  <si>
    <t>Aurênio Serralheiro</t>
  </si>
  <si>
    <t>Loja Elétrica GV</t>
  </si>
  <si>
    <t>M.O. + cobre - ar condicionado escritório + studios 2.2</t>
  </si>
  <si>
    <t>Piso escritório</t>
  </si>
  <si>
    <t>M.O. troca da bomba de incêndio</t>
  </si>
  <si>
    <t>Bomba e alarme incêndio</t>
  </si>
  <si>
    <t xml:space="preserve">M.O. + material Rufo pergolado </t>
  </si>
  <si>
    <t>TOTAL DESPESAS</t>
  </si>
  <si>
    <t>SALDO FINAL PROJETADO</t>
  </si>
  <si>
    <t>SALDO FINAL REALIZADO</t>
  </si>
  <si>
    <t>INVESTIMENTOS</t>
  </si>
  <si>
    <t>Outubro</t>
  </si>
  <si>
    <t>Guarda corpo escada studio/escritório + sala Irving</t>
  </si>
  <si>
    <t>Proteção e pintura da estrutura da escada</t>
  </si>
  <si>
    <t>Máquinas ar condicionado escritório</t>
  </si>
  <si>
    <t>Armários, acabamentos escritório</t>
  </si>
  <si>
    <t>Pintura escritório (material e M.O.)</t>
  </si>
  <si>
    <t>Material sinalização (placas, tinta marcação, extintores)</t>
  </si>
  <si>
    <t>Telhado entrada</t>
  </si>
  <si>
    <t>Vidros janelas escritório</t>
  </si>
  <si>
    <t>M.O. instalação sistema de alarme AVCB</t>
  </si>
  <si>
    <t>Material para alarme (central + sirenes + acionadores)</t>
  </si>
  <si>
    <t>GV e JLP - Ilmar capoteiro - Sofás 2.2</t>
  </si>
  <si>
    <t>GV - Mendes - CBH GV 2.4</t>
  </si>
  <si>
    <t>Novembro</t>
  </si>
  <si>
    <t>Camas, colchões</t>
  </si>
  <si>
    <t>Pintura Escada Casairv</t>
  </si>
  <si>
    <t>GV - Mendes - CBH GV 3.4</t>
  </si>
  <si>
    <t>Dezembro</t>
  </si>
  <si>
    <t xml:space="preserve">M.O. + cobre - ar condicionado escritório + studios </t>
  </si>
  <si>
    <t>Máquinas ar condicionado studios superiores</t>
  </si>
  <si>
    <t>Máquinas ar condicionado studios térreo</t>
  </si>
  <si>
    <t>Pergolados Térreo</t>
  </si>
  <si>
    <t>Studios Cima</t>
  </si>
  <si>
    <t>Studios Baixo</t>
  </si>
  <si>
    <t>Galpão 5</t>
  </si>
  <si>
    <t>Circuito TV</t>
  </si>
  <si>
    <t>GV - Mendes - CBH GV 4.4</t>
  </si>
  <si>
    <t>OUTROS</t>
  </si>
  <si>
    <t>Loja JP 605</t>
  </si>
  <si>
    <t>Pintura e ajustes galpão Garagem</t>
  </si>
  <si>
    <t>Regularizações de Imóveis</t>
  </si>
  <si>
    <t>ITBI</t>
  </si>
  <si>
    <t>Total Investimentos</t>
  </si>
  <si>
    <t>Total Investimentos descontado o Saldo</t>
  </si>
  <si>
    <r>
      <t xml:space="preserve">Com investimento de </t>
    </r>
    <r>
      <rPr>
        <b/>
        <sz val="10"/>
        <color theme="1"/>
        <rFont val="Verdana"/>
        <family val="2"/>
      </rPr>
      <t>30</t>
    </r>
    <r>
      <rPr>
        <sz val="10"/>
        <color theme="1"/>
        <rFont val="Verdana"/>
        <family val="2"/>
      </rPr>
      <t xml:space="preserve"> mil por mês</t>
    </r>
  </si>
  <si>
    <t>Meses</t>
  </si>
  <si>
    <r>
      <t xml:space="preserve">Com investimento de </t>
    </r>
    <r>
      <rPr>
        <b/>
        <sz val="10"/>
        <color theme="1"/>
        <rFont val="Verdana"/>
        <family val="2"/>
      </rPr>
      <t>50</t>
    </r>
    <r>
      <rPr>
        <sz val="10"/>
        <color theme="1"/>
        <rFont val="Verdana"/>
        <family val="2"/>
      </rPr>
      <t xml:space="preserve"> mil por mês &gt; Fazer + 20 mil na </t>
    </r>
  </si>
  <si>
    <t>RECEITAS ADICIONAIS JLP</t>
  </si>
  <si>
    <t>Studios - 6 unidades a 1200</t>
  </si>
  <si>
    <t>Galpão 2</t>
  </si>
  <si>
    <t>Galpão 3</t>
  </si>
  <si>
    <t>Galpão 4</t>
  </si>
  <si>
    <t>Todos os valores em negativo devem ter seus sinais eliminados (passados para positivo)</t>
  </si>
  <si>
    <t>Os valores de condomínio e IPTU devem ser extraídos dos aluguéis e colocados em separado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</si>
</sst>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2" formatCode="_-&quot;R$&quot;\ * #,##0_-;\-&quot;R$&quot;\ * #,##0_-;_-&quot;R$&quot;\ * &quot;-&quot;_-;_-@_-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000000"/>
    <numFmt numFmtId="165" formatCode="_(&quot;R$ &quot;* #,##0.00_);_(&quot;R$ &quot;* \(#,##0.00\);_(&quot;R$ &quot;* &quot;-&quot;??_);_(@_)"/>
    <numFmt numFmtId="166" formatCode="_(* #,##0.00_);_(* \(#,##0.00\);_(* &quot;-&quot;??_);_(@_)"/>
    <numFmt numFmtId="167" formatCode="##,##0.00"/>
    <numFmt numFmtId="168" formatCode="0.0%"/>
    <numFmt numFmtId="169" formatCode="#,##0.00000"/>
    <numFmt numFmtId="170" formatCode="0.0000%"/>
  </numFmts>
  <fonts count="33" x14ac:knownFonts="1">
    <font>
      <sz val="10"/>
      <color theme="1"/>
      <name val="Verdana"/>
      <family val="2"/>
    </font>
    <font>
      <sz val="11"/>
      <color theme="1"/>
      <name val="Calibri"/>
      <family val="2"/>
      <scheme val="minor"/>
    </font>
    <font>
      <sz val="10"/>
      <color theme="1"/>
      <name val="Verdana"/>
      <family val="2"/>
    </font>
    <font>
      <b/>
      <sz val="10"/>
      <color indexed="8"/>
      <name val="Verdana"/>
      <family val="2"/>
    </font>
    <font>
      <b/>
      <sz val="10"/>
      <color rgb="FF000000"/>
      <name val="Verdana"/>
      <family val="2"/>
    </font>
    <font>
      <b/>
      <sz val="10"/>
      <color theme="1"/>
      <name val="Verdana"/>
      <family val="2"/>
    </font>
    <font>
      <sz val="10"/>
      <color indexed="8"/>
      <name val="Verdana"/>
      <family val="2"/>
    </font>
    <font>
      <sz val="10"/>
      <name val="Verdana"/>
      <family val="2"/>
    </font>
    <font>
      <sz val="10"/>
      <color rgb="FF000000"/>
      <name val="Verdana"/>
      <family val="2"/>
    </font>
    <font>
      <b/>
      <sz val="10"/>
      <color indexed="50"/>
      <name val="Verdana"/>
      <family val="2"/>
    </font>
    <font>
      <sz val="10"/>
      <name val="Arial"/>
      <family val="2"/>
    </font>
    <font>
      <sz val="9"/>
      <color indexed="8"/>
      <name val="Verdana"/>
      <family val="2"/>
    </font>
    <font>
      <sz val="8"/>
      <color indexed="8"/>
      <name val="Verdana"/>
      <family val="2"/>
    </font>
    <font>
      <b/>
      <sz val="10"/>
      <name val="Verdana"/>
      <family val="2"/>
    </font>
    <font>
      <sz val="12"/>
      <color theme="1"/>
      <name val="Verdana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2"/>
      <color indexed="56"/>
      <name val="Arial"/>
      <family val="2"/>
    </font>
    <font>
      <b/>
      <sz val="14"/>
      <color indexed="56"/>
      <name val="Arial"/>
      <family val="2"/>
    </font>
    <font>
      <sz val="12"/>
      <name val="Arial"/>
      <family val="2"/>
    </font>
    <font>
      <sz val="10"/>
      <color indexed="10"/>
      <name val="Arial"/>
      <family val="2"/>
    </font>
    <font>
      <b/>
      <sz val="14"/>
      <name val="Arial"/>
      <family val="2"/>
    </font>
    <font>
      <i/>
      <sz val="10"/>
      <name val="Arial"/>
      <family val="2"/>
    </font>
    <font>
      <sz val="10"/>
      <color indexed="50"/>
      <name val="Verdana"/>
      <family val="2"/>
    </font>
    <font>
      <i/>
      <sz val="10"/>
      <color theme="1"/>
      <name val="Verdana"/>
      <family val="2"/>
    </font>
    <font>
      <sz val="8"/>
      <name val="Verdana"/>
      <family val="2"/>
    </font>
    <font>
      <sz val="12"/>
      <name val="Verdana"/>
      <family val="2"/>
    </font>
    <font>
      <sz val="9"/>
      <name val="Verdana"/>
      <family val="2"/>
    </font>
    <font>
      <b/>
      <sz val="10"/>
      <color rgb="FFFF0000"/>
      <name val="Verdana"/>
      <family val="2"/>
    </font>
    <font>
      <b/>
      <sz val="10"/>
      <color rgb="FFFF0000"/>
      <name val="Arial"/>
      <family val="2"/>
    </font>
    <font>
      <sz val="10"/>
      <color rgb="FFFF0000"/>
      <name val="Verdana"/>
      <family val="2"/>
    </font>
    <font>
      <sz val="10"/>
      <color rgb="FFFF0000"/>
      <name val="Arial"/>
      <family val="2"/>
    </font>
    <font>
      <sz val="10"/>
      <color rgb="FFC00000"/>
      <name val="Verdana"/>
      <family val="2"/>
    </font>
  </fonts>
  <fills count="3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C33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C00FF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99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6699"/>
        <bgColor indexed="64"/>
      </patternFill>
    </fill>
    <fill>
      <patternFill patternType="solid">
        <fgColor rgb="FF0070C0"/>
        <bgColor indexed="64"/>
      </patternFill>
    </fill>
  </fills>
  <borders count="36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7">
    <xf numFmtId="0" fontId="0" fillId="0" borderId="0"/>
    <xf numFmtId="166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6" fillId="0" borderId="0"/>
    <xf numFmtId="0" fontId="10" fillId="0" borderId="0"/>
    <xf numFmtId="0" fontId="2" fillId="0" borderId="0"/>
    <xf numFmtId="166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0" fillId="0" borderId="0"/>
    <xf numFmtId="9" fontId="2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72">
    <xf numFmtId="0" fontId="0" fillId="0" borderId="0" xfId="0"/>
    <xf numFmtId="0" fontId="2" fillId="0" borderId="0" xfId="0" applyFont="1"/>
    <xf numFmtId="0" fontId="3" fillId="0" borderId="2" xfId="0" applyFont="1" applyBorder="1" applyAlignment="1">
      <alignment horizontal="center" wrapText="1"/>
    </xf>
    <xf numFmtId="0" fontId="3" fillId="0" borderId="3" xfId="0" applyFont="1" applyBorder="1" applyAlignment="1">
      <alignment horizontal="center" wrapText="1"/>
    </xf>
    <xf numFmtId="4" fontId="3" fillId="0" borderId="3" xfId="0" applyNumberFormat="1" applyFont="1" applyBorder="1" applyAlignment="1">
      <alignment horizontal="center" wrapText="1"/>
    </xf>
    <xf numFmtId="0" fontId="3" fillId="0" borderId="4" xfId="0" applyFont="1" applyBorder="1" applyAlignment="1">
      <alignment horizontal="center" wrapText="1"/>
    </xf>
    <xf numFmtId="4" fontId="3" fillId="0" borderId="5" xfId="0" applyNumberFormat="1" applyFont="1" applyBorder="1" applyAlignment="1">
      <alignment horizontal="center" wrapText="1"/>
    </xf>
    <xf numFmtId="4" fontId="3" fillId="2" borderId="4" xfId="0" applyNumberFormat="1" applyFont="1" applyFill="1" applyBorder="1" applyAlignment="1">
      <alignment horizontal="center" wrapText="1"/>
    </xf>
    <xf numFmtId="14" fontId="4" fillId="0" borderId="6" xfId="0" applyNumberFormat="1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wrapText="1"/>
    </xf>
    <xf numFmtId="0" fontId="5" fillId="0" borderId="6" xfId="0" applyFont="1" applyBorder="1" applyAlignment="1">
      <alignment horizontal="left" wrapText="1"/>
    </xf>
    <xf numFmtId="164" fontId="2" fillId="0" borderId="6" xfId="0" applyNumberFormat="1" applyFont="1" applyBorder="1" applyAlignment="1">
      <alignment horizontal="center" wrapText="1"/>
    </xf>
    <xf numFmtId="4" fontId="2" fillId="0" borderId="6" xfId="0" applyNumberFormat="1" applyFont="1" applyBorder="1" applyAlignment="1">
      <alignment horizontal="right" wrapText="1"/>
    </xf>
    <xf numFmtId="4" fontId="2" fillId="2" borderId="6" xfId="0" applyNumberFormat="1" applyFont="1" applyFill="1" applyBorder="1" applyAlignment="1">
      <alignment horizontal="right" wrapText="1"/>
    </xf>
    <xf numFmtId="4" fontId="5" fillId="2" borderId="7" xfId="0" applyNumberFormat="1" applyFont="1" applyFill="1" applyBorder="1" applyAlignment="1">
      <alignment horizontal="right" wrapText="1"/>
    </xf>
    <xf numFmtId="4" fontId="6" fillId="2" borderId="8" xfId="2" applyNumberFormat="1" applyFont="1" applyFill="1" applyBorder="1" applyAlignment="1">
      <alignment wrapText="1"/>
    </xf>
    <xf numFmtId="4" fontId="7" fillId="2" borderId="9" xfId="0" applyNumberFormat="1" applyFont="1" applyFill="1" applyBorder="1" applyAlignment="1">
      <alignment wrapText="1"/>
    </xf>
    <xf numFmtId="4" fontId="4" fillId="2" borderId="10" xfId="0" applyNumberFormat="1" applyFont="1" applyFill="1" applyBorder="1" applyAlignment="1">
      <alignment horizontal="right" vertical="center" wrapText="1"/>
    </xf>
    <xf numFmtId="4" fontId="2" fillId="0" borderId="0" xfId="0" applyNumberFormat="1" applyFont="1"/>
    <xf numFmtId="14" fontId="8" fillId="0" borderId="10" xfId="0" applyNumberFormat="1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wrapText="1"/>
    </xf>
    <xf numFmtId="0" fontId="2" fillId="0" borderId="10" xfId="0" applyFont="1" applyBorder="1" applyAlignment="1">
      <alignment horizontal="left" wrapText="1"/>
    </xf>
    <xf numFmtId="4" fontId="6" fillId="0" borderId="8" xfId="2" applyNumberFormat="1" applyFont="1" applyBorder="1" applyAlignment="1">
      <alignment horizontal="right" wrapText="1"/>
    </xf>
    <xf numFmtId="4" fontId="2" fillId="0" borderId="7" xfId="0" applyNumberFormat="1" applyFont="1" applyBorder="1" applyAlignment="1">
      <alignment horizontal="right" wrapText="1"/>
    </xf>
    <xf numFmtId="4" fontId="6" fillId="0" borderId="8" xfId="2" applyNumberFormat="1" applyFont="1" applyBorder="1" applyAlignment="1">
      <alignment wrapText="1"/>
    </xf>
    <xf numFmtId="4" fontId="7" fillId="0" borderId="9" xfId="0" applyNumberFormat="1" applyFont="1" applyBorder="1" applyAlignment="1">
      <alignment wrapText="1"/>
    </xf>
    <xf numFmtId="4" fontId="8" fillId="0" borderId="6" xfId="0" applyNumberFormat="1" applyFont="1" applyBorder="1" applyAlignment="1">
      <alignment horizontal="right" vertical="center" wrapText="1"/>
    </xf>
    <xf numFmtId="0" fontId="2" fillId="0" borderId="6" xfId="0" applyFont="1" applyBorder="1"/>
    <xf numFmtId="0" fontId="0" fillId="0" borderId="6" xfId="0" applyBorder="1" applyAlignment="1">
      <alignment wrapText="1"/>
    </xf>
    <xf numFmtId="0" fontId="2" fillId="0" borderId="6" xfId="0" applyFont="1" applyBorder="1" applyAlignment="1">
      <alignment horizontal="center"/>
    </xf>
    <xf numFmtId="4" fontId="2" fillId="0" borderId="6" xfId="0" applyNumberFormat="1" applyFont="1" applyBorder="1"/>
    <xf numFmtId="43" fontId="2" fillId="0" borderId="6" xfId="3" applyBorder="1"/>
    <xf numFmtId="0" fontId="0" fillId="2" borderId="6" xfId="0" applyFill="1" applyBorder="1" applyAlignment="1">
      <alignment horizontal="left" wrapText="1"/>
    </xf>
    <xf numFmtId="0" fontId="0" fillId="0" borderId="6" xfId="0" applyBorder="1"/>
    <xf numFmtId="0" fontId="0" fillId="0" borderId="10" xfId="0" applyBorder="1" applyAlignment="1">
      <alignment horizontal="left" wrapText="1"/>
    </xf>
    <xf numFmtId="0" fontId="0" fillId="3" borderId="6" xfId="0" applyFill="1" applyBorder="1"/>
    <xf numFmtId="0" fontId="0" fillId="0" borderId="6" xfId="0" applyBorder="1" applyAlignment="1">
      <alignment horizontal="left" wrapText="1"/>
    </xf>
    <xf numFmtId="0" fontId="0" fillId="3" borderId="6" xfId="0" applyFill="1" applyBorder="1" applyAlignment="1">
      <alignment wrapText="1"/>
    </xf>
    <xf numFmtId="43" fontId="2" fillId="0" borderId="6" xfId="4" applyBorder="1"/>
    <xf numFmtId="43" fontId="8" fillId="0" borderId="6" xfId="4" applyFont="1" applyBorder="1" applyAlignment="1">
      <alignment horizontal="right" vertical="center" wrapText="1"/>
    </xf>
    <xf numFmtId="166" fontId="2" fillId="0" borderId="0" xfId="1" applyFont="1"/>
    <xf numFmtId="0" fontId="0" fillId="3" borderId="6" xfId="0" applyFill="1" applyBorder="1" applyAlignment="1">
      <alignment horizontal="left" wrapText="1"/>
    </xf>
    <xf numFmtId="164" fontId="0" fillId="0" borderId="6" xfId="0" applyNumberFormat="1" applyBorder="1" applyAlignment="1">
      <alignment horizontal="center" wrapText="1"/>
    </xf>
    <xf numFmtId="4" fontId="0" fillId="0" borderId="6" xfId="0" applyNumberFormat="1" applyBorder="1" applyAlignment="1">
      <alignment horizontal="right" wrapText="1"/>
    </xf>
    <xf numFmtId="4" fontId="6" fillId="4" borderId="8" xfId="2" applyNumberFormat="1" applyFont="1" applyFill="1" applyBorder="1" applyAlignment="1">
      <alignment wrapText="1"/>
    </xf>
    <xf numFmtId="0" fontId="0" fillId="3" borderId="10" xfId="0" applyFill="1" applyBorder="1" applyAlignment="1">
      <alignment horizontal="left" wrapText="1"/>
    </xf>
    <xf numFmtId="0" fontId="0" fillId="0" borderId="6" xfId="0" applyBorder="1" applyAlignment="1">
      <alignment horizontal="center" wrapText="1"/>
    </xf>
    <xf numFmtId="14" fontId="2" fillId="2" borderId="10" xfId="0" applyNumberFormat="1" applyFont="1" applyFill="1" applyBorder="1" applyAlignment="1">
      <alignment horizontal="center" wrapText="1"/>
    </xf>
    <xf numFmtId="0" fontId="2" fillId="2" borderId="10" xfId="0" applyFont="1" applyFill="1" applyBorder="1" applyAlignment="1">
      <alignment horizontal="center" wrapText="1"/>
    </xf>
    <xf numFmtId="0" fontId="9" fillId="2" borderId="10" xfId="0" applyFont="1" applyFill="1" applyBorder="1" applyAlignment="1">
      <alignment horizontal="left" wrapText="1"/>
    </xf>
    <xf numFmtId="164" fontId="2" fillId="2" borderId="6" xfId="0" applyNumberFormat="1" applyFont="1" applyFill="1" applyBorder="1" applyAlignment="1">
      <alignment horizontal="center" wrapText="1"/>
    </xf>
    <xf numFmtId="4" fontId="2" fillId="2" borderId="6" xfId="0" applyNumberFormat="1" applyFont="1" applyFill="1" applyBorder="1"/>
    <xf numFmtId="4" fontId="2" fillId="2" borderId="10" xfId="0" applyNumberFormat="1" applyFont="1" applyFill="1" applyBorder="1" applyAlignment="1">
      <alignment wrapText="1"/>
    </xf>
    <xf numFmtId="4" fontId="2" fillId="2" borderId="7" xfId="0" applyNumberFormat="1" applyFont="1" applyFill="1" applyBorder="1" applyAlignment="1">
      <alignment wrapText="1"/>
    </xf>
    <xf numFmtId="4" fontId="2" fillId="2" borderId="1" xfId="0" applyNumberFormat="1" applyFont="1" applyFill="1" applyBorder="1" applyAlignment="1">
      <alignment wrapText="1"/>
    </xf>
    <xf numFmtId="4" fontId="7" fillId="2" borderId="10" xfId="0" applyNumberFormat="1" applyFont="1" applyFill="1" applyBorder="1" applyAlignment="1">
      <alignment wrapText="1"/>
    </xf>
    <xf numFmtId="0" fontId="2" fillId="0" borderId="6" xfId="0" applyFont="1" applyBorder="1" applyAlignment="1">
      <alignment horizontal="left" wrapText="1"/>
    </xf>
    <xf numFmtId="4" fontId="7" fillId="2" borderId="6" xfId="0" applyNumberFormat="1" applyFont="1" applyFill="1" applyBorder="1" applyAlignment="1">
      <alignment wrapText="1"/>
    </xf>
    <xf numFmtId="4" fontId="5" fillId="2" borderId="6" xfId="0" applyNumberFormat="1" applyFont="1" applyFill="1" applyBorder="1" applyAlignment="1">
      <alignment wrapText="1"/>
    </xf>
    <xf numFmtId="4" fontId="2" fillId="0" borderId="11" xfId="0" applyNumberFormat="1" applyFont="1" applyBorder="1" applyAlignment="1">
      <alignment wrapText="1"/>
    </xf>
    <xf numFmtId="4" fontId="7" fillId="0" borderId="6" xfId="0" applyNumberFormat="1" applyFont="1" applyBorder="1" applyAlignment="1">
      <alignment wrapText="1"/>
    </xf>
    <xf numFmtId="4" fontId="2" fillId="0" borderId="6" xfId="0" applyNumberFormat="1" applyFont="1" applyBorder="1" applyAlignment="1">
      <alignment wrapText="1"/>
    </xf>
    <xf numFmtId="0" fontId="0" fillId="6" borderId="6" xfId="0" applyFill="1" applyBorder="1" applyAlignment="1">
      <alignment horizontal="left" wrapText="1"/>
    </xf>
    <xf numFmtId="0" fontId="2" fillId="2" borderId="6" xfId="0" applyFont="1" applyFill="1" applyBorder="1" applyAlignment="1">
      <alignment horizontal="left" wrapText="1"/>
    </xf>
    <xf numFmtId="0" fontId="2" fillId="2" borderId="0" xfId="0" applyFont="1" applyFill="1"/>
    <xf numFmtId="166" fontId="2" fillId="2" borderId="0" xfId="1" applyFont="1" applyFill="1"/>
    <xf numFmtId="4" fontId="2" fillId="2" borderId="0" xfId="0" applyNumberFormat="1" applyFont="1" applyFill="1"/>
    <xf numFmtId="4" fontId="2" fillId="2" borderId="6" xfId="0" applyNumberFormat="1" applyFont="1" applyFill="1" applyBorder="1" applyAlignment="1">
      <alignment wrapText="1"/>
    </xf>
    <xf numFmtId="4" fontId="0" fillId="0" borderId="11" xfId="0" applyNumberFormat="1" applyBorder="1" applyAlignment="1">
      <alignment wrapText="1"/>
    </xf>
    <xf numFmtId="4" fontId="0" fillId="0" borderId="6" xfId="0" applyNumberFormat="1" applyBorder="1" applyAlignment="1">
      <alignment wrapText="1"/>
    </xf>
    <xf numFmtId="0" fontId="2" fillId="2" borderId="6" xfId="0" applyFont="1" applyFill="1" applyBorder="1" applyAlignment="1">
      <alignment horizontal="center" wrapText="1"/>
    </xf>
    <xf numFmtId="4" fontId="7" fillId="0" borderId="11" xfId="0" applyNumberFormat="1" applyFont="1" applyBorder="1" applyAlignment="1">
      <alignment wrapText="1"/>
    </xf>
    <xf numFmtId="4" fontId="0" fillId="0" borderId="0" xfId="0" applyNumberFormat="1"/>
    <xf numFmtId="4" fontId="7" fillId="4" borderId="11" xfId="0" applyNumberFormat="1" applyFont="1" applyFill="1" applyBorder="1" applyAlignment="1">
      <alignment wrapText="1"/>
    </xf>
    <xf numFmtId="0" fontId="2" fillId="2" borderId="9" xfId="0" applyFont="1" applyFill="1" applyBorder="1" applyAlignment="1">
      <alignment horizontal="center" wrapText="1"/>
    </xf>
    <xf numFmtId="4" fontId="2" fillId="2" borderId="7" xfId="0" applyNumberFormat="1" applyFont="1" applyFill="1" applyBorder="1" applyAlignment="1">
      <alignment horizontal="right" wrapText="1"/>
    </xf>
    <xf numFmtId="0" fontId="6" fillId="2" borderId="6" xfId="5" applyFill="1" applyBorder="1" applyAlignment="1">
      <alignment horizontal="center" wrapText="1"/>
    </xf>
    <xf numFmtId="4" fontId="10" fillId="2" borderId="6" xfId="6" applyNumberFormat="1" applyFill="1" applyBorder="1"/>
    <xf numFmtId="0" fontId="6" fillId="2" borderId="6" xfId="5" applyFill="1" applyBorder="1" applyAlignment="1">
      <alignment horizontal="left" wrapText="1"/>
    </xf>
    <xf numFmtId="14" fontId="6" fillId="2" borderId="6" xfId="5" applyNumberFormat="1" applyFill="1" applyBorder="1" applyAlignment="1">
      <alignment horizontal="center" wrapText="1"/>
    </xf>
    <xf numFmtId="0" fontId="2" fillId="2" borderId="8" xfId="0" applyFont="1" applyFill="1" applyBorder="1" applyAlignment="1">
      <alignment horizontal="center" wrapText="1"/>
    </xf>
    <xf numFmtId="0" fontId="2" fillId="2" borderId="8" xfId="0" applyFont="1" applyFill="1" applyBorder="1" applyAlignment="1">
      <alignment horizontal="left" wrapText="1"/>
    </xf>
    <xf numFmtId="4" fontId="2" fillId="2" borderId="11" xfId="0" applyNumberFormat="1" applyFont="1" applyFill="1" applyBorder="1" applyAlignment="1">
      <alignment horizontal="right" wrapText="1"/>
    </xf>
    <xf numFmtId="4" fontId="2" fillId="2" borderId="11" xfId="0" applyNumberFormat="1" applyFont="1" applyFill="1" applyBorder="1" applyAlignment="1">
      <alignment horizontal="center" wrapText="1"/>
    </xf>
    <xf numFmtId="4" fontId="2" fillId="2" borderId="11" xfId="1" applyNumberFormat="1" applyFont="1" applyFill="1" applyBorder="1" applyAlignment="1">
      <alignment horizontal="center" wrapText="1"/>
    </xf>
    <xf numFmtId="0" fontId="2" fillId="2" borderId="6" xfId="0" applyFont="1" applyFill="1" applyBorder="1"/>
    <xf numFmtId="0" fontId="11" fillId="2" borderId="6" xfId="0" applyFont="1" applyFill="1" applyBorder="1"/>
    <xf numFmtId="0" fontId="12" fillId="2" borderId="6" xfId="0" applyFont="1" applyFill="1" applyBorder="1"/>
    <xf numFmtId="0" fontId="12" fillId="2" borderId="0" xfId="0" applyFont="1" applyFill="1"/>
    <xf numFmtId="4" fontId="2" fillId="0" borderId="11" xfId="0" applyNumberFormat="1" applyFont="1" applyBorder="1" applyAlignment="1">
      <alignment horizontal="right" wrapText="1"/>
    </xf>
    <xf numFmtId="4" fontId="2" fillId="0" borderId="11" xfId="0" applyNumberFormat="1" applyFont="1" applyBorder="1" applyAlignment="1">
      <alignment horizontal="center" wrapText="1"/>
    </xf>
    <xf numFmtId="14" fontId="2" fillId="0" borderId="6" xfId="0" applyNumberFormat="1" applyFont="1" applyBorder="1" applyAlignment="1">
      <alignment horizontal="center" wrapText="1"/>
    </xf>
    <xf numFmtId="4" fontId="2" fillId="0" borderId="11" xfId="1" applyNumberFormat="1" applyFont="1" applyBorder="1" applyAlignment="1">
      <alignment horizontal="center" wrapText="1"/>
    </xf>
    <xf numFmtId="0" fontId="2" fillId="0" borderId="12" xfId="0" applyFont="1" applyBorder="1"/>
    <xf numFmtId="0" fontId="2" fillId="0" borderId="11" xfId="0" applyFont="1" applyBorder="1"/>
    <xf numFmtId="4" fontId="2" fillId="0" borderId="6" xfId="1" applyNumberFormat="1" applyFont="1" applyBorder="1"/>
    <xf numFmtId="0" fontId="2" fillId="0" borderId="0" xfId="0" applyFont="1" applyAlignment="1">
      <alignment horizontal="center"/>
    </xf>
    <xf numFmtId="0" fontId="2" fillId="0" borderId="0" xfId="7"/>
    <xf numFmtId="43" fontId="2" fillId="0" borderId="8" xfId="3" applyBorder="1"/>
    <xf numFmtId="43" fontId="2" fillId="0" borderId="9" xfId="3" applyBorder="1"/>
    <xf numFmtId="4" fontId="6" fillId="5" borderId="6" xfId="2" applyNumberFormat="1" applyFont="1" applyFill="1" applyBorder="1" applyAlignment="1">
      <alignment wrapText="1"/>
    </xf>
    <xf numFmtId="166" fontId="7" fillId="0" borderId="6" xfId="8" applyFont="1" applyFill="1" applyBorder="1" applyAlignment="1">
      <alignment wrapText="1"/>
    </xf>
    <xf numFmtId="166" fontId="7" fillId="0" borderId="6" xfId="8" applyFont="1" applyFill="1" applyBorder="1" applyAlignment="1">
      <alignment horizontal="right" wrapText="1"/>
    </xf>
    <xf numFmtId="4" fontId="6" fillId="0" borderId="6" xfId="2" applyNumberFormat="1" applyFont="1" applyBorder="1" applyAlignment="1">
      <alignment wrapText="1"/>
    </xf>
    <xf numFmtId="166" fontId="0" fillId="5" borderId="13" xfId="8" applyFont="1" applyFill="1" applyBorder="1"/>
    <xf numFmtId="0" fontId="0" fillId="3" borderId="11" xfId="0" applyFill="1" applyBorder="1" applyAlignment="1">
      <alignment horizontal="left" wrapText="1"/>
    </xf>
    <xf numFmtId="43" fontId="2" fillId="0" borderId="8" xfId="3" applyFill="1" applyBorder="1"/>
    <xf numFmtId="166" fontId="2" fillId="0" borderId="0" xfId="0" applyNumberFormat="1" applyFont="1"/>
    <xf numFmtId="4" fontId="7" fillId="7" borderId="6" xfId="0" applyNumberFormat="1" applyFont="1" applyFill="1" applyBorder="1" applyAlignment="1">
      <alignment wrapText="1"/>
    </xf>
    <xf numFmtId="166" fontId="7" fillId="5" borderId="6" xfId="8" applyFont="1" applyFill="1" applyBorder="1" applyAlignment="1">
      <alignment wrapText="1"/>
    </xf>
    <xf numFmtId="4" fontId="2" fillId="0" borderId="8" xfId="0" applyNumberFormat="1" applyFont="1" applyBorder="1" applyAlignment="1">
      <alignment wrapText="1"/>
    </xf>
    <xf numFmtId="4" fontId="2" fillId="2" borderId="8" xfId="0" applyNumberFormat="1" applyFont="1" applyFill="1" applyBorder="1" applyAlignment="1">
      <alignment wrapText="1"/>
    </xf>
    <xf numFmtId="4" fontId="5" fillId="4" borderId="8" xfId="0" applyNumberFormat="1" applyFont="1" applyFill="1" applyBorder="1" applyAlignment="1">
      <alignment wrapText="1"/>
    </xf>
    <xf numFmtId="4" fontId="0" fillId="0" borderId="8" xfId="0" applyNumberFormat="1" applyBorder="1" applyAlignment="1">
      <alignment wrapText="1"/>
    </xf>
    <xf numFmtId="4" fontId="5" fillId="4" borderId="6" xfId="0" applyNumberFormat="1" applyFont="1" applyFill="1" applyBorder="1" applyAlignment="1">
      <alignment wrapText="1"/>
    </xf>
    <xf numFmtId="4" fontId="3" fillId="4" borderId="8" xfId="2" applyNumberFormat="1" applyFont="1" applyFill="1" applyBorder="1" applyAlignment="1">
      <alignment wrapText="1"/>
    </xf>
    <xf numFmtId="43" fontId="2" fillId="0" borderId="9" xfId="4" applyBorder="1"/>
    <xf numFmtId="4" fontId="5" fillId="0" borderId="8" xfId="0" applyNumberFormat="1" applyFont="1" applyBorder="1" applyAlignment="1">
      <alignment wrapText="1"/>
    </xf>
    <xf numFmtId="43" fontId="2" fillId="0" borderId="11" xfId="3" applyBorder="1"/>
    <xf numFmtId="4" fontId="6" fillId="0" borderId="11" xfId="2" applyNumberFormat="1" applyFont="1" applyBorder="1" applyAlignment="1">
      <alignment wrapText="1"/>
    </xf>
    <xf numFmtId="4" fontId="5" fillId="4" borderId="11" xfId="0" applyNumberFormat="1" applyFont="1" applyFill="1" applyBorder="1" applyAlignment="1">
      <alignment wrapText="1"/>
    </xf>
    <xf numFmtId="43" fontId="2" fillId="0" borderId="11" xfId="4" applyBorder="1"/>
    <xf numFmtId="4" fontId="7" fillId="2" borderId="11" xfId="0" applyNumberFormat="1" applyFont="1" applyFill="1" applyBorder="1" applyAlignment="1">
      <alignment wrapText="1"/>
    </xf>
    <xf numFmtId="4" fontId="5" fillId="0" borderId="11" xfId="0" applyNumberFormat="1" applyFont="1" applyBorder="1" applyAlignment="1">
      <alignment wrapText="1"/>
    </xf>
    <xf numFmtId="4" fontId="5" fillId="0" borderId="0" xfId="0" applyNumberFormat="1" applyFont="1"/>
    <xf numFmtId="0" fontId="9" fillId="2" borderId="6" xfId="0" applyFont="1" applyFill="1" applyBorder="1" applyAlignment="1">
      <alignment horizontal="left" wrapText="1"/>
    </xf>
    <xf numFmtId="0" fontId="14" fillId="0" borderId="0" xfId="0" applyFont="1"/>
    <xf numFmtId="43" fontId="8" fillId="0" borderId="6" xfId="9" applyFont="1" applyBorder="1" applyAlignment="1">
      <alignment horizontal="right" vertical="center" wrapText="1"/>
    </xf>
    <xf numFmtId="4" fontId="5" fillId="8" borderId="7" xfId="0" applyNumberFormat="1" applyFont="1" applyFill="1" applyBorder="1" applyAlignment="1">
      <alignment horizontal="right" wrapText="1"/>
    </xf>
    <xf numFmtId="4" fontId="4" fillId="9" borderId="6" xfId="0" applyNumberFormat="1" applyFont="1" applyFill="1" applyBorder="1" applyAlignment="1">
      <alignment horizontal="right" vertical="center" wrapText="1"/>
    </xf>
    <xf numFmtId="4" fontId="5" fillId="2" borderId="6" xfId="0" applyNumberFormat="1" applyFont="1" applyFill="1" applyBorder="1" applyAlignment="1">
      <alignment horizontal="right" wrapText="1"/>
    </xf>
    <xf numFmtId="14" fontId="2" fillId="2" borderId="6" xfId="0" applyNumberFormat="1" applyFont="1" applyFill="1" applyBorder="1" applyAlignment="1">
      <alignment horizontal="center" wrapText="1"/>
    </xf>
    <xf numFmtId="14" fontId="2" fillId="0" borderId="11" xfId="0" applyNumberFormat="1" applyFont="1" applyBorder="1"/>
    <xf numFmtId="43" fontId="2" fillId="0" borderId="8" xfId="4" applyBorder="1"/>
    <xf numFmtId="4" fontId="13" fillId="3" borderId="9" xfId="0" applyNumberFormat="1" applyFont="1" applyFill="1" applyBorder="1" applyAlignment="1">
      <alignment wrapText="1"/>
    </xf>
    <xf numFmtId="4" fontId="5" fillId="3" borderId="8" xfId="0" applyNumberFormat="1" applyFont="1" applyFill="1" applyBorder="1" applyAlignment="1">
      <alignment wrapText="1"/>
    </xf>
    <xf numFmtId="4" fontId="3" fillId="3" borderId="8" xfId="2" applyNumberFormat="1" applyFont="1" applyFill="1" applyBorder="1" applyAlignment="1">
      <alignment wrapText="1"/>
    </xf>
    <xf numFmtId="0" fontId="0" fillId="0" borderId="0" xfId="0" applyAlignment="1">
      <alignment horizontal="center"/>
    </xf>
    <xf numFmtId="0" fontId="0" fillId="2" borderId="10" xfId="0" applyFill="1" applyBorder="1" applyAlignment="1">
      <alignment horizontal="left" wrapText="1"/>
    </xf>
    <xf numFmtId="4" fontId="5" fillId="3" borderId="11" xfId="0" applyNumberFormat="1" applyFont="1" applyFill="1" applyBorder="1" applyAlignment="1">
      <alignment wrapText="1"/>
    </xf>
    <xf numFmtId="4" fontId="15" fillId="0" borderId="0" xfId="0" applyNumberFormat="1" applyFont="1"/>
    <xf numFmtId="2" fontId="0" fillId="0" borderId="0" xfId="0" applyNumberFormat="1"/>
    <xf numFmtId="0" fontId="10" fillId="0" borderId="0" xfId="0" applyFont="1"/>
    <xf numFmtId="4" fontId="10" fillId="0" borderId="0" xfId="0" applyNumberFormat="1" applyFont="1" applyAlignment="1">
      <alignment horizontal="right"/>
    </xf>
    <xf numFmtId="4" fontId="16" fillId="0" borderId="0" xfId="0" applyNumberFormat="1" applyFont="1"/>
    <xf numFmtId="4" fontId="17" fillId="0" borderId="0" xfId="0" applyNumberFormat="1" applyFont="1"/>
    <xf numFmtId="0" fontId="17" fillId="0" borderId="0" xfId="0" applyFont="1"/>
    <xf numFmtId="4" fontId="10" fillId="0" borderId="0" xfId="0" applyNumberFormat="1" applyFont="1"/>
    <xf numFmtId="4" fontId="18" fillId="0" borderId="0" xfId="0" applyNumberFormat="1" applyFont="1"/>
    <xf numFmtId="0" fontId="18" fillId="0" borderId="0" xfId="0" applyFont="1"/>
    <xf numFmtId="4" fontId="19" fillId="0" borderId="0" xfId="0" applyNumberFormat="1" applyFont="1"/>
    <xf numFmtId="0" fontId="19" fillId="0" borderId="0" xfId="0" applyFont="1"/>
    <xf numFmtId="4" fontId="20" fillId="0" borderId="0" xfId="0" applyNumberFormat="1" applyFont="1"/>
    <xf numFmtId="0" fontId="20" fillId="0" borderId="0" xfId="0" applyFont="1"/>
    <xf numFmtId="4" fontId="21" fillId="0" borderId="0" xfId="0" applyNumberFormat="1" applyFont="1"/>
    <xf numFmtId="0" fontId="21" fillId="0" borderId="0" xfId="0" applyFont="1"/>
    <xf numFmtId="4" fontId="22" fillId="0" borderId="0" xfId="0" applyNumberFormat="1" applyFont="1"/>
    <xf numFmtId="0" fontId="22" fillId="0" borderId="0" xfId="0" applyFont="1"/>
    <xf numFmtId="14" fontId="2" fillId="0" borderId="6" xfId="0" applyNumberFormat="1" applyFont="1" applyBorder="1" applyAlignment="1">
      <alignment horizontal="center"/>
    </xf>
    <xf numFmtId="43" fontId="8" fillId="2" borderId="6" xfId="3" applyFont="1" applyFill="1" applyBorder="1" applyAlignment="1">
      <alignment horizontal="right" vertical="center" wrapText="1"/>
    </xf>
    <xf numFmtId="14" fontId="0" fillId="0" borderId="6" xfId="0" applyNumberFormat="1" applyBorder="1" applyAlignment="1">
      <alignment horizontal="center"/>
    </xf>
    <xf numFmtId="43" fontId="2" fillId="3" borderId="6" xfId="3" applyFill="1" applyBorder="1"/>
    <xf numFmtId="4" fontId="6" fillId="3" borderId="8" xfId="2" applyNumberFormat="1" applyFont="1" applyFill="1" applyBorder="1" applyAlignment="1">
      <alignment horizontal="right" wrapText="1"/>
    </xf>
    <xf numFmtId="0" fontId="2" fillId="3" borderId="6" xfId="0" applyFont="1" applyFill="1" applyBorder="1" applyAlignment="1">
      <alignment horizontal="center"/>
    </xf>
    <xf numFmtId="0" fontId="2" fillId="3" borderId="6" xfId="0" applyFont="1" applyFill="1" applyBorder="1"/>
    <xf numFmtId="4" fontId="2" fillId="3" borderId="6" xfId="0" applyNumberFormat="1" applyFont="1" applyFill="1" applyBorder="1"/>
    <xf numFmtId="4" fontId="2" fillId="3" borderId="7" xfId="0" applyNumberFormat="1" applyFont="1" applyFill="1" applyBorder="1" applyAlignment="1">
      <alignment horizontal="right" wrapText="1"/>
    </xf>
    <xf numFmtId="43" fontId="8" fillId="3" borderId="6" xfId="3" applyFont="1" applyFill="1" applyBorder="1" applyAlignment="1">
      <alignment horizontal="right" vertical="center" wrapText="1"/>
    </xf>
    <xf numFmtId="4" fontId="2" fillId="3" borderId="6" xfId="0" applyNumberFormat="1" applyFont="1" applyFill="1" applyBorder="1" applyAlignment="1">
      <alignment horizontal="right" wrapText="1"/>
    </xf>
    <xf numFmtId="0" fontId="2" fillId="3" borderId="0" xfId="0" applyFont="1" applyFill="1"/>
    <xf numFmtId="166" fontId="2" fillId="3" borderId="0" xfId="1" applyFont="1" applyFill="1"/>
    <xf numFmtId="14" fontId="0" fillId="0" borderId="6" xfId="0" applyNumberFormat="1" applyBorder="1" applyAlignment="1">
      <alignment horizontal="center" wrapText="1"/>
    </xf>
    <xf numFmtId="0" fontId="0" fillId="0" borderId="10" xfId="0" applyBorder="1" applyAlignment="1">
      <alignment horizontal="center" wrapText="1"/>
    </xf>
    <xf numFmtId="4" fontId="0" fillId="0" borderId="8" xfId="0" applyNumberFormat="1" applyBorder="1" applyAlignment="1">
      <alignment horizontal="right" wrapText="1"/>
    </xf>
    <xf numFmtId="4" fontId="6" fillId="3" borderId="8" xfId="2" applyNumberFormat="1" applyFont="1" applyFill="1" applyBorder="1" applyAlignment="1">
      <alignment wrapText="1"/>
    </xf>
    <xf numFmtId="4" fontId="0" fillId="3" borderId="8" xfId="0" applyNumberFormat="1" applyFill="1" applyBorder="1" applyAlignment="1">
      <alignment horizontal="right" wrapText="1"/>
    </xf>
    <xf numFmtId="4" fontId="5" fillId="11" borderId="7" xfId="0" applyNumberFormat="1" applyFont="1" applyFill="1" applyBorder="1" applyAlignment="1">
      <alignment horizontal="right" wrapText="1"/>
    </xf>
    <xf numFmtId="4" fontId="4" fillId="12" borderId="6" xfId="0" applyNumberFormat="1" applyFont="1" applyFill="1" applyBorder="1" applyAlignment="1">
      <alignment horizontal="right" vertical="center" wrapText="1"/>
    </xf>
    <xf numFmtId="4" fontId="5" fillId="2" borderId="7" xfId="0" applyNumberFormat="1" applyFont="1" applyFill="1" applyBorder="1" applyAlignment="1">
      <alignment wrapText="1"/>
    </xf>
    <xf numFmtId="4" fontId="2" fillId="2" borderId="11" xfId="0" applyNumberFormat="1" applyFont="1" applyFill="1" applyBorder="1" applyAlignment="1">
      <alignment wrapText="1"/>
    </xf>
    <xf numFmtId="14" fontId="8" fillId="0" borderId="6" xfId="0" applyNumberFormat="1" applyFont="1" applyBorder="1" applyAlignment="1">
      <alignment horizontal="center" vertical="center" wrapText="1"/>
    </xf>
    <xf numFmtId="4" fontId="2" fillId="5" borderId="6" xfId="0" applyNumberFormat="1" applyFont="1" applyFill="1" applyBorder="1"/>
    <xf numFmtId="4" fontId="2" fillId="0" borderId="7" xfId="0" applyNumberFormat="1" applyFont="1" applyBorder="1" applyAlignment="1">
      <alignment wrapText="1"/>
    </xf>
    <xf numFmtId="4" fontId="2" fillId="5" borderId="6" xfId="0" applyNumberFormat="1" applyFont="1" applyFill="1" applyBorder="1" applyAlignment="1">
      <alignment horizontal="right" wrapText="1"/>
    </xf>
    <xf numFmtId="14" fontId="8" fillId="2" borderId="6" xfId="0" applyNumberFormat="1" applyFont="1" applyFill="1" applyBorder="1" applyAlignment="1">
      <alignment horizontal="center" vertical="center" wrapText="1"/>
    </xf>
    <xf numFmtId="4" fontId="5" fillId="11" borderId="7" xfId="0" applyNumberFormat="1" applyFont="1" applyFill="1" applyBorder="1" applyAlignment="1">
      <alignment wrapText="1"/>
    </xf>
    <xf numFmtId="4" fontId="5" fillId="0" borderId="6" xfId="0" applyNumberFormat="1" applyFont="1" applyBorder="1" applyAlignment="1">
      <alignment wrapText="1"/>
    </xf>
    <xf numFmtId="4" fontId="2" fillId="2" borderId="3" xfId="0" applyNumberFormat="1" applyFont="1" applyFill="1" applyBorder="1" applyAlignment="1">
      <alignment horizontal="right" wrapText="1"/>
    </xf>
    <xf numFmtId="4" fontId="2" fillId="0" borderId="3" xfId="0" applyNumberFormat="1" applyFont="1" applyBorder="1" applyAlignment="1">
      <alignment horizontal="right" wrapText="1"/>
    </xf>
    <xf numFmtId="4" fontId="2" fillId="2" borderId="4" xfId="0" applyNumberFormat="1" applyFont="1" applyFill="1" applyBorder="1" applyAlignment="1">
      <alignment horizontal="right" wrapText="1"/>
    </xf>
    <xf numFmtId="4" fontId="0" fillId="2" borderId="7" xfId="0" applyNumberFormat="1" applyFill="1" applyBorder="1" applyAlignment="1">
      <alignment wrapText="1"/>
    </xf>
    <xf numFmtId="49" fontId="3" fillId="0" borderId="3" xfId="0" applyNumberFormat="1" applyFont="1" applyBorder="1" applyAlignment="1">
      <alignment horizontal="center" wrapText="1"/>
    </xf>
    <xf numFmtId="4" fontId="0" fillId="2" borderId="3" xfId="0" applyNumberFormat="1" applyFill="1" applyBorder="1" applyAlignment="1">
      <alignment horizontal="right" wrapText="1"/>
    </xf>
    <xf numFmtId="4" fontId="0" fillId="0" borderId="3" xfId="0" applyNumberFormat="1" applyBorder="1" applyAlignment="1">
      <alignment horizontal="right" wrapText="1"/>
    </xf>
    <xf numFmtId="4" fontId="0" fillId="2" borderId="4" xfId="0" applyNumberFormat="1" applyFill="1" applyBorder="1" applyAlignment="1">
      <alignment horizontal="right" wrapText="1"/>
    </xf>
    <xf numFmtId="49" fontId="0" fillId="0" borderId="6" xfId="0" applyNumberFormat="1" applyBorder="1" applyAlignment="1">
      <alignment horizontal="center" wrapText="1"/>
    </xf>
    <xf numFmtId="4" fontId="0" fillId="2" borderId="6" xfId="0" applyNumberFormat="1" applyFill="1" applyBorder="1"/>
    <xf numFmtId="4" fontId="0" fillId="2" borderId="11" xfId="0" applyNumberFormat="1" applyFill="1" applyBorder="1" applyAlignment="1">
      <alignment wrapText="1"/>
    </xf>
    <xf numFmtId="4" fontId="0" fillId="2" borderId="6" xfId="0" applyNumberFormat="1" applyFill="1" applyBorder="1" applyAlignment="1">
      <alignment wrapText="1"/>
    </xf>
    <xf numFmtId="4" fontId="0" fillId="5" borderId="6" xfId="0" applyNumberFormat="1" applyFill="1" applyBorder="1" applyAlignment="1">
      <alignment horizontal="right" wrapText="1"/>
    </xf>
    <xf numFmtId="4" fontId="0" fillId="0" borderId="6" xfId="0" applyNumberFormat="1" applyBorder="1"/>
    <xf numFmtId="0" fontId="9" fillId="2" borderId="6" xfId="0" applyFont="1" applyFill="1" applyBorder="1" applyAlignment="1">
      <alignment horizontal="center" wrapText="1"/>
    </xf>
    <xf numFmtId="0" fontId="23" fillId="0" borderId="6" xfId="0" applyFont="1" applyBorder="1" applyAlignment="1">
      <alignment horizontal="center" wrapText="1"/>
    </xf>
    <xf numFmtId="4" fontId="0" fillId="0" borderId="7" xfId="0" applyNumberFormat="1" applyBorder="1" applyAlignment="1">
      <alignment wrapText="1"/>
    </xf>
    <xf numFmtId="0" fontId="9" fillId="0" borderId="6" xfId="0" applyFont="1" applyBorder="1" applyAlignment="1">
      <alignment horizontal="center" wrapText="1"/>
    </xf>
    <xf numFmtId="4" fontId="5" fillId="0" borderId="7" xfId="0" applyNumberFormat="1" applyFont="1" applyBorder="1" applyAlignment="1">
      <alignment wrapText="1"/>
    </xf>
    <xf numFmtId="4" fontId="5" fillId="11" borderId="6" xfId="0" applyNumberFormat="1" applyFont="1" applyFill="1" applyBorder="1" applyAlignment="1">
      <alignment wrapText="1"/>
    </xf>
    <xf numFmtId="0" fontId="6" fillId="2" borderId="10" xfId="5" applyFill="1" applyBorder="1" applyAlignment="1">
      <alignment horizontal="center" wrapText="1"/>
    </xf>
    <xf numFmtId="0" fontId="6" fillId="2" borderId="10" xfId="5" applyFill="1" applyBorder="1" applyAlignment="1">
      <alignment horizontal="left" wrapText="1"/>
    </xf>
    <xf numFmtId="4" fontId="6" fillId="2" borderId="10" xfId="5" applyNumberFormat="1" applyFill="1" applyBorder="1" applyAlignment="1">
      <alignment horizontal="left" wrapText="1"/>
    </xf>
    <xf numFmtId="4" fontId="0" fillId="2" borderId="21" xfId="0" applyNumberFormat="1" applyFill="1" applyBorder="1" applyAlignment="1">
      <alignment horizontal="right" wrapText="1"/>
    </xf>
    <xf numFmtId="4" fontId="10" fillId="2" borderId="10" xfId="6" applyNumberFormat="1" applyFill="1" applyBorder="1" applyAlignment="1">
      <alignment horizontal="right"/>
    </xf>
    <xf numFmtId="4" fontId="0" fillId="2" borderId="10" xfId="0" applyNumberFormat="1" applyFill="1" applyBorder="1" applyAlignment="1">
      <alignment horizontal="right" wrapText="1"/>
    </xf>
    <xf numFmtId="0" fontId="2" fillId="2" borderId="2" xfId="0" applyFont="1" applyFill="1" applyBorder="1" applyAlignment="1">
      <alignment horizontal="center" wrapText="1"/>
    </xf>
    <xf numFmtId="0" fontId="2" fillId="2" borderId="3" xfId="0" applyFont="1" applyFill="1" applyBorder="1" applyAlignment="1">
      <alignment horizontal="center" wrapText="1"/>
    </xf>
    <xf numFmtId="0" fontId="5" fillId="2" borderId="3" xfId="0" applyFont="1" applyFill="1" applyBorder="1" applyAlignment="1">
      <alignment horizontal="center" wrapText="1"/>
    </xf>
    <xf numFmtId="164" fontId="2" fillId="2" borderId="3" xfId="0" applyNumberFormat="1" applyFont="1" applyFill="1" applyBorder="1" applyAlignment="1">
      <alignment horizontal="center" wrapText="1"/>
    </xf>
    <xf numFmtId="0" fontId="3" fillId="2" borderId="4" xfId="0" applyFont="1" applyFill="1" applyBorder="1" applyAlignment="1">
      <alignment horizontal="center" wrapText="1"/>
    </xf>
    <xf numFmtId="0" fontId="2" fillId="2" borderId="9" xfId="0" applyFont="1" applyFill="1" applyBorder="1" applyAlignment="1">
      <alignment horizontal="left" wrapText="1"/>
    </xf>
    <xf numFmtId="164" fontId="2" fillId="2" borderId="9" xfId="0" applyNumberFormat="1" applyFont="1" applyFill="1" applyBorder="1" applyAlignment="1">
      <alignment horizontal="center" wrapText="1"/>
    </xf>
    <xf numFmtId="4" fontId="2" fillId="2" borderId="9" xfId="0" applyNumberFormat="1" applyFont="1" applyFill="1" applyBorder="1" applyAlignment="1">
      <alignment horizontal="right" wrapText="1"/>
    </xf>
    <xf numFmtId="0" fontId="0" fillId="2" borderId="6" xfId="0" applyFill="1" applyBorder="1" applyAlignment="1">
      <alignment horizontal="center" wrapText="1"/>
    </xf>
    <xf numFmtId="0" fontId="5" fillId="2" borderId="6" xfId="0" applyFont="1" applyFill="1" applyBorder="1" applyAlignment="1">
      <alignment horizontal="left" wrapText="1"/>
    </xf>
    <xf numFmtId="4" fontId="6" fillId="2" borderId="6" xfId="5" applyNumberFormat="1" applyFill="1" applyBorder="1" applyAlignment="1">
      <alignment horizontal="left" wrapText="1"/>
    </xf>
    <xf numFmtId="4" fontId="6" fillId="11" borderId="8" xfId="2" applyNumberFormat="1" applyFont="1" applyFill="1" applyBorder="1" applyAlignment="1">
      <alignment wrapText="1"/>
    </xf>
    <xf numFmtId="4" fontId="2" fillId="0" borderId="6" xfId="0" applyNumberFormat="1" applyFont="1" applyBorder="1" applyAlignment="1">
      <alignment horizontal="right"/>
    </xf>
    <xf numFmtId="0" fontId="2" fillId="0" borderId="6" xfId="0" applyFont="1" applyBorder="1" applyAlignment="1">
      <alignment horizontal="right"/>
    </xf>
    <xf numFmtId="14" fontId="2" fillId="0" borderId="11" xfId="0" applyNumberFormat="1" applyFont="1" applyBorder="1" applyAlignment="1">
      <alignment horizontal="center"/>
    </xf>
    <xf numFmtId="4" fontId="5" fillId="8" borderId="7" xfId="0" applyNumberFormat="1" applyFont="1" applyFill="1" applyBorder="1" applyAlignment="1">
      <alignment wrapText="1"/>
    </xf>
    <xf numFmtId="0" fontId="23" fillId="0" borderId="6" xfId="0" applyFont="1" applyBorder="1" applyAlignment="1">
      <alignment horizontal="left" wrapText="1"/>
    </xf>
    <xf numFmtId="0" fontId="9" fillId="0" borderId="6" xfId="0" applyFont="1" applyBorder="1" applyAlignment="1">
      <alignment horizontal="left" wrapText="1"/>
    </xf>
    <xf numFmtId="4" fontId="5" fillId="8" borderId="6" xfId="0" applyNumberFormat="1" applyFont="1" applyFill="1" applyBorder="1" applyAlignment="1">
      <alignment wrapText="1"/>
    </xf>
    <xf numFmtId="166" fontId="2" fillId="2" borderId="7" xfId="1" applyFont="1" applyFill="1" applyBorder="1" applyAlignment="1">
      <alignment horizontal="right" wrapText="1"/>
    </xf>
    <xf numFmtId="166" fontId="0" fillId="2" borderId="7" xfId="1" applyFont="1" applyFill="1" applyBorder="1" applyAlignment="1">
      <alignment horizontal="right" wrapText="1"/>
    </xf>
    <xf numFmtId="166" fontId="5" fillId="2" borderId="7" xfId="1" applyFont="1" applyFill="1" applyBorder="1" applyAlignment="1">
      <alignment horizontal="right" wrapText="1"/>
    </xf>
    <xf numFmtId="4" fontId="7" fillId="0" borderId="10" xfId="0" applyNumberFormat="1" applyFont="1" applyBorder="1" applyAlignment="1">
      <alignment wrapText="1"/>
    </xf>
    <xf numFmtId="166" fontId="0" fillId="0" borderId="0" xfId="1" applyFont="1"/>
    <xf numFmtId="0" fontId="0" fillId="0" borderId="10" xfId="0" applyBorder="1"/>
    <xf numFmtId="43" fontId="0" fillId="0" borderId="9" xfId="4" applyFont="1" applyBorder="1"/>
    <xf numFmtId="43" fontId="0" fillId="0" borderId="6" xfId="4" applyFont="1" applyBorder="1"/>
    <xf numFmtId="4" fontId="0" fillId="2" borderId="6" xfId="0" applyNumberFormat="1" applyFill="1" applyBorder="1" applyAlignment="1">
      <alignment horizontal="right" wrapText="1"/>
    </xf>
    <xf numFmtId="0" fontId="0" fillId="2" borderId="8" xfId="0" applyFill="1" applyBorder="1" applyAlignment="1">
      <alignment horizontal="left" wrapText="1"/>
    </xf>
    <xf numFmtId="4" fontId="0" fillId="2" borderId="11" xfId="0" applyNumberFormat="1" applyFill="1" applyBorder="1" applyAlignment="1">
      <alignment horizontal="right" wrapText="1"/>
    </xf>
    <xf numFmtId="4" fontId="0" fillId="2" borderId="11" xfId="0" applyNumberFormat="1" applyFill="1" applyBorder="1" applyAlignment="1">
      <alignment horizontal="center" wrapText="1"/>
    </xf>
    <xf numFmtId="0" fontId="0" fillId="2" borderId="0" xfId="0" applyFill="1"/>
    <xf numFmtId="4" fontId="0" fillId="2" borderId="11" xfId="1" applyNumberFormat="1" applyFont="1" applyFill="1" applyBorder="1" applyAlignment="1">
      <alignment horizontal="center" wrapText="1"/>
    </xf>
    <xf numFmtId="0" fontId="0" fillId="2" borderId="6" xfId="0" applyFill="1" applyBorder="1"/>
    <xf numFmtId="0" fontId="6" fillId="2" borderId="6" xfId="0" applyFont="1" applyFill="1" applyBorder="1"/>
    <xf numFmtId="0" fontId="6" fillId="2" borderId="0" xfId="0" applyFont="1" applyFill="1"/>
    <xf numFmtId="4" fontId="0" fillId="0" borderId="11" xfId="0" applyNumberFormat="1" applyBorder="1" applyAlignment="1">
      <alignment horizontal="right" wrapText="1"/>
    </xf>
    <xf numFmtId="4" fontId="0" fillId="0" borderId="11" xfId="0" applyNumberFormat="1" applyBorder="1" applyAlignment="1">
      <alignment horizontal="center" wrapText="1"/>
    </xf>
    <xf numFmtId="4" fontId="0" fillId="0" borderId="11" xfId="1" applyNumberFormat="1" applyFont="1" applyBorder="1" applyAlignment="1">
      <alignment horizontal="center" wrapText="1"/>
    </xf>
    <xf numFmtId="0" fontId="0" fillId="0" borderId="11" xfId="0" applyBorder="1"/>
    <xf numFmtId="4" fontId="0" fillId="0" borderId="6" xfId="1" applyNumberFormat="1" applyFont="1" applyBorder="1"/>
    <xf numFmtId="4" fontId="7" fillId="0" borderId="22" xfId="0" applyNumberFormat="1" applyFont="1" applyBorder="1" applyAlignment="1">
      <alignment wrapText="1"/>
    </xf>
    <xf numFmtId="4" fontId="7" fillId="13" borderId="9" xfId="0" applyNumberFormat="1" applyFont="1" applyFill="1" applyBorder="1" applyAlignment="1">
      <alignment wrapText="1"/>
    </xf>
    <xf numFmtId="4" fontId="5" fillId="6" borderId="0" xfId="0" applyNumberFormat="1" applyFont="1" applyFill="1"/>
    <xf numFmtId="0" fontId="0" fillId="0" borderId="10" xfId="0" applyBorder="1" applyAlignment="1">
      <alignment wrapText="1"/>
    </xf>
    <xf numFmtId="0" fontId="0" fillId="3" borderId="10" xfId="0" applyFill="1" applyBorder="1" applyAlignment="1">
      <alignment wrapText="1"/>
    </xf>
    <xf numFmtId="4" fontId="6" fillId="0" borderId="1" xfId="2" applyNumberFormat="1" applyFont="1" applyBorder="1" applyAlignment="1">
      <alignment wrapText="1"/>
    </xf>
    <xf numFmtId="4" fontId="3" fillId="0" borderId="8" xfId="2" applyNumberFormat="1" applyFont="1" applyBorder="1" applyAlignment="1">
      <alignment wrapText="1"/>
    </xf>
    <xf numFmtId="43" fontId="2" fillId="10" borderId="9" xfId="3" applyFill="1" applyBorder="1"/>
    <xf numFmtId="43" fontId="2" fillId="14" borderId="0" xfId="0" applyNumberFormat="1" applyFont="1" applyFill="1"/>
    <xf numFmtId="43" fontId="5" fillId="3" borderId="9" xfId="3" applyFont="1" applyFill="1" applyBorder="1"/>
    <xf numFmtId="43" fontId="5" fillId="3" borderId="11" xfId="3" applyFont="1" applyFill="1" applyBorder="1"/>
    <xf numFmtId="43" fontId="2" fillId="10" borderId="6" xfId="3" applyFill="1" applyBorder="1"/>
    <xf numFmtId="4" fontId="5" fillId="3" borderId="11" xfId="0" applyNumberFormat="1" applyFont="1" applyFill="1" applyBorder="1" applyAlignment="1">
      <alignment horizontal="right" wrapText="1"/>
    </xf>
    <xf numFmtId="4" fontId="6" fillId="0" borderId="8" xfId="2" applyNumberFormat="1" applyFont="1" applyFill="1" applyBorder="1" applyAlignment="1">
      <alignment wrapText="1"/>
    </xf>
    <xf numFmtId="4" fontId="3" fillId="3" borderId="6" xfId="2" applyNumberFormat="1" applyFont="1" applyFill="1" applyBorder="1" applyAlignment="1">
      <alignment wrapText="1"/>
    </xf>
    <xf numFmtId="4" fontId="3" fillId="0" borderId="5" xfId="0" applyNumberFormat="1" applyFont="1" applyBorder="1" applyAlignment="1">
      <alignment horizontal="right" wrapText="1"/>
    </xf>
    <xf numFmtId="4" fontId="6" fillId="2" borderId="8" xfId="2" applyNumberFormat="1" applyFont="1" applyFill="1" applyBorder="1" applyAlignment="1">
      <alignment horizontal="right" wrapText="1"/>
    </xf>
    <xf numFmtId="14" fontId="0" fillId="0" borderId="10" xfId="0" applyNumberFormat="1" applyBorder="1" applyAlignment="1">
      <alignment horizontal="center" wrapText="1"/>
    </xf>
    <xf numFmtId="4" fontId="0" fillId="3" borderId="6" xfId="0" applyNumberFormat="1" applyFill="1" applyBorder="1" applyAlignment="1">
      <alignment horizontal="right" wrapText="1"/>
    </xf>
    <xf numFmtId="43" fontId="2" fillId="0" borderId="6" xfId="4" applyBorder="1" applyAlignment="1">
      <alignment horizontal="right"/>
    </xf>
    <xf numFmtId="43" fontId="2" fillId="4" borderId="6" xfId="4" applyFill="1" applyBorder="1" applyAlignment="1">
      <alignment horizontal="right"/>
    </xf>
    <xf numFmtId="4" fontId="5" fillId="0" borderId="7" xfId="0" applyNumberFormat="1" applyFont="1" applyBorder="1" applyAlignment="1">
      <alignment horizontal="right" wrapText="1"/>
    </xf>
    <xf numFmtId="4" fontId="4" fillId="0" borderId="6" xfId="0" applyNumberFormat="1" applyFont="1" applyBorder="1" applyAlignment="1">
      <alignment horizontal="right" vertical="center" wrapText="1"/>
    </xf>
    <xf numFmtId="4" fontId="2" fillId="4" borderId="6" xfId="0" applyNumberFormat="1" applyFont="1" applyFill="1" applyBorder="1" applyAlignment="1">
      <alignment horizontal="right" wrapText="1"/>
    </xf>
    <xf numFmtId="4" fontId="0" fillId="4" borderId="11" xfId="0" applyNumberFormat="1" applyFill="1" applyBorder="1" applyAlignment="1">
      <alignment horizontal="right" wrapText="1"/>
    </xf>
    <xf numFmtId="4" fontId="10" fillId="2" borderId="6" xfId="6" applyNumberFormat="1" applyFill="1" applyBorder="1" applyAlignment="1">
      <alignment horizontal="right"/>
    </xf>
    <xf numFmtId="4" fontId="2" fillId="2" borderId="11" xfId="1" applyNumberFormat="1" applyFont="1" applyFill="1" applyBorder="1" applyAlignment="1">
      <alignment horizontal="right" wrapText="1"/>
    </xf>
    <xf numFmtId="4" fontId="2" fillId="0" borderId="11" xfId="1" applyNumberFormat="1" applyFont="1" applyBorder="1" applyAlignment="1">
      <alignment horizontal="right" wrapText="1"/>
    </xf>
    <xf numFmtId="4" fontId="2" fillId="0" borderId="6" xfId="1" applyNumberFormat="1" applyFont="1" applyBorder="1" applyAlignment="1">
      <alignment horizontal="right"/>
    </xf>
    <xf numFmtId="4" fontId="2" fillId="0" borderId="0" xfId="0" applyNumberFormat="1" applyFont="1" applyAlignment="1">
      <alignment horizontal="right"/>
    </xf>
    <xf numFmtId="4" fontId="2" fillId="0" borderId="8" xfId="0" applyNumberFormat="1" applyFont="1" applyBorder="1" applyAlignment="1">
      <alignment horizontal="right" wrapText="1"/>
    </xf>
    <xf numFmtId="4" fontId="5" fillId="3" borderId="8" xfId="0" applyNumberFormat="1" applyFont="1" applyFill="1" applyBorder="1" applyAlignment="1">
      <alignment horizontal="right" wrapText="1"/>
    </xf>
    <xf numFmtId="4" fontId="6" fillId="0" borderId="23" xfId="2" applyNumberFormat="1" applyFont="1" applyBorder="1" applyAlignment="1">
      <alignment horizontal="right" wrapText="1"/>
    </xf>
    <xf numFmtId="4" fontId="6" fillId="10" borderId="23" xfId="2" applyNumberFormat="1" applyFont="1" applyFill="1" applyBorder="1" applyAlignment="1">
      <alignment horizontal="right" wrapText="1"/>
    </xf>
    <xf numFmtId="4" fontId="3" fillId="3" borderId="23" xfId="2" applyNumberFormat="1" applyFont="1" applyFill="1" applyBorder="1" applyAlignment="1">
      <alignment horizontal="right" wrapText="1"/>
    </xf>
    <xf numFmtId="4" fontId="2" fillId="0" borderId="23" xfId="0" applyNumberFormat="1" applyFont="1" applyBorder="1" applyAlignment="1">
      <alignment horizontal="right" wrapText="1"/>
    </xf>
    <xf numFmtId="4" fontId="2" fillId="0" borderId="12" xfId="0" applyNumberFormat="1" applyFont="1" applyBorder="1" applyAlignment="1">
      <alignment horizontal="right" wrapText="1"/>
    </xf>
    <xf numFmtId="4" fontId="5" fillId="3" borderId="23" xfId="0" applyNumberFormat="1" applyFont="1" applyFill="1" applyBorder="1" applyAlignment="1">
      <alignment horizontal="right" wrapText="1"/>
    </xf>
    <xf numFmtId="4" fontId="0" fillId="0" borderId="23" xfId="0" applyNumberFormat="1" applyBorder="1" applyAlignment="1">
      <alignment horizontal="right" wrapText="1"/>
    </xf>
    <xf numFmtId="43" fontId="2" fillId="0" borderId="23" xfId="4" applyBorder="1" applyAlignment="1">
      <alignment horizontal="right"/>
    </xf>
    <xf numFmtId="4" fontId="6" fillId="0" borderId="13" xfId="2" applyNumberFormat="1" applyFont="1" applyBorder="1" applyAlignment="1">
      <alignment horizontal="right" wrapText="1"/>
    </xf>
    <xf numFmtId="4" fontId="0" fillId="0" borderId="13" xfId="0" applyNumberFormat="1" applyBorder="1" applyAlignment="1">
      <alignment horizontal="right" wrapText="1"/>
    </xf>
    <xf numFmtId="4" fontId="2" fillId="0" borderId="13" xfId="0" applyNumberFormat="1" applyFont="1" applyBorder="1" applyAlignment="1">
      <alignment horizontal="right" wrapText="1"/>
    </xf>
    <xf numFmtId="43" fontId="2" fillId="0" borderId="13" xfId="4" applyBorder="1" applyAlignment="1">
      <alignment horizontal="right"/>
    </xf>
    <xf numFmtId="4" fontId="3" fillId="0" borderId="23" xfId="2" applyNumberFormat="1" applyFont="1" applyBorder="1" applyAlignment="1">
      <alignment horizontal="right" wrapText="1"/>
    </xf>
    <xf numFmtId="4" fontId="6" fillId="0" borderId="16" xfId="2" applyNumberFormat="1" applyFont="1" applyBorder="1" applyAlignment="1">
      <alignment horizontal="right" wrapText="1"/>
    </xf>
    <xf numFmtId="4" fontId="6" fillId="0" borderId="12" xfId="2" applyNumberFormat="1" applyFont="1" applyBorder="1" applyAlignment="1">
      <alignment horizontal="right" wrapText="1"/>
    </xf>
    <xf numFmtId="4" fontId="3" fillId="3" borderId="12" xfId="2" applyNumberFormat="1" applyFont="1" applyFill="1" applyBorder="1" applyAlignment="1">
      <alignment horizontal="right" wrapText="1"/>
    </xf>
    <xf numFmtId="4" fontId="0" fillId="0" borderId="12" xfId="0" applyNumberFormat="1" applyBorder="1" applyAlignment="1">
      <alignment horizontal="right" wrapText="1"/>
    </xf>
    <xf numFmtId="43" fontId="2" fillId="0" borderId="12" xfId="4" applyBorder="1" applyAlignment="1">
      <alignment horizontal="right"/>
    </xf>
    <xf numFmtId="43" fontId="5" fillId="3" borderId="12" xfId="4" applyFont="1" applyFill="1" applyBorder="1" applyAlignment="1">
      <alignment horizontal="right"/>
    </xf>
    <xf numFmtId="4" fontId="5" fillId="3" borderId="12" xfId="0" applyNumberFormat="1" applyFont="1" applyFill="1" applyBorder="1" applyAlignment="1">
      <alignment horizontal="right" wrapText="1"/>
    </xf>
    <xf numFmtId="4" fontId="5" fillId="0" borderId="12" xfId="0" applyNumberFormat="1" applyFont="1" applyBorder="1" applyAlignment="1">
      <alignment horizontal="right" wrapText="1"/>
    </xf>
    <xf numFmtId="4" fontId="10" fillId="2" borderId="15" xfId="6" applyNumberFormat="1" applyFill="1" applyBorder="1" applyAlignment="1">
      <alignment horizontal="right"/>
    </xf>
    <xf numFmtId="4" fontId="10" fillId="2" borderId="13" xfId="6" applyNumberFormat="1" applyFill="1" applyBorder="1" applyAlignment="1">
      <alignment horizontal="right"/>
    </xf>
    <xf numFmtId="4" fontId="2" fillId="2" borderId="13" xfId="0" applyNumberFormat="1" applyFont="1" applyFill="1" applyBorder="1" applyAlignment="1">
      <alignment horizontal="right" wrapText="1"/>
    </xf>
    <xf numFmtId="4" fontId="2" fillId="2" borderId="12" xfId="0" applyNumberFormat="1" applyFont="1" applyFill="1" applyBorder="1" applyAlignment="1">
      <alignment horizontal="right" wrapText="1"/>
    </xf>
    <xf numFmtId="4" fontId="2" fillId="2" borderId="12" xfId="1" applyNumberFormat="1" applyFont="1" applyFill="1" applyBorder="1" applyAlignment="1">
      <alignment horizontal="right" wrapText="1"/>
    </xf>
    <xf numFmtId="4" fontId="2" fillId="0" borderId="12" xfId="1" applyNumberFormat="1" applyFont="1" applyBorder="1" applyAlignment="1">
      <alignment horizontal="right" wrapText="1"/>
    </xf>
    <xf numFmtId="4" fontId="2" fillId="0" borderId="13" xfId="1" applyNumberFormat="1" applyFont="1" applyBorder="1" applyAlignment="1">
      <alignment horizontal="right"/>
    </xf>
    <xf numFmtId="4" fontId="7" fillId="0" borderId="8" xfId="0" applyNumberFormat="1" applyFont="1" applyBorder="1" applyAlignment="1">
      <alignment wrapText="1"/>
    </xf>
    <xf numFmtId="4" fontId="5" fillId="6" borderId="6" xfId="0" applyNumberFormat="1" applyFont="1" applyFill="1" applyBorder="1"/>
    <xf numFmtId="0" fontId="5" fillId="0" borderId="6" xfId="0" applyFont="1" applyBorder="1"/>
    <xf numFmtId="0" fontId="5" fillId="0" borderId="0" xfId="0" applyFont="1"/>
    <xf numFmtId="0" fontId="5" fillId="3" borderId="6" xfId="0" applyFont="1" applyFill="1" applyBorder="1"/>
    <xf numFmtId="4" fontId="3" fillId="0" borderId="23" xfId="2" applyNumberFormat="1" applyFont="1" applyFill="1" applyBorder="1" applyAlignment="1">
      <alignment horizontal="right" wrapText="1"/>
    </xf>
    <xf numFmtId="4" fontId="6" fillId="0" borderId="23" xfId="2" applyNumberFormat="1" applyFont="1" applyFill="1" applyBorder="1" applyAlignment="1">
      <alignment horizontal="right" wrapText="1"/>
    </xf>
    <xf numFmtId="4" fontId="2" fillId="3" borderId="0" xfId="0" applyNumberFormat="1" applyFont="1" applyFill="1"/>
    <xf numFmtId="4" fontId="0" fillId="3" borderId="6" xfId="0" applyNumberFormat="1" applyFill="1" applyBorder="1" applyAlignment="1">
      <alignment wrapText="1"/>
    </xf>
    <xf numFmtId="4" fontId="0" fillId="3" borderId="0" xfId="0" applyNumberFormat="1" applyFill="1"/>
    <xf numFmtId="4" fontId="7" fillId="0" borderId="14" xfId="0" applyNumberFormat="1" applyFont="1" applyBorder="1" applyAlignment="1">
      <alignment wrapText="1"/>
    </xf>
    <xf numFmtId="0" fontId="0" fillId="2" borderId="0" xfId="0" applyFill="1" applyAlignment="1">
      <alignment horizontal="left" wrapText="1"/>
    </xf>
    <xf numFmtId="4" fontId="5" fillId="3" borderId="0" xfId="0" applyNumberFormat="1" applyFont="1" applyFill="1" applyAlignment="1">
      <alignment wrapText="1"/>
    </xf>
    <xf numFmtId="4" fontId="7" fillId="0" borderId="0" xfId="0" applyNumberFormat="1" applyFont="1" applyAlignment="1">
      <alignment wrapText="1"/>
    </xf>
    <xf numFmtId="0" fontId="24" fillId="0" borderId="0" xfId="0" applyFont="1"/>
    <xf numFmtId="4" fontId="3" fillId="0" borderId="4" xfId="0" applyNumberFormat="1" applyFont="1" applyBorder="1" applyAlignment="1">
      <alignment horizontal="center" wrapText="1"/>
    </xf>
    <xf numFmtId="4" fontId="2" fillId="0" borderId="6" xfId="1" applyNumberFormat="1" applyFont="1" applyBorder="1" applyAlignment="1">
      <alignment horizontal="right" wrapText="1"/>
    </xf>
    <xf numFmtId="4" fontId="2" fillId="2" borderId="6" xfId="1" applyNumberFormat="1" applyFont="1" applyFill="1" applyBorder="1" applyAlignment="1">
      <alignment horizontal="right" wrapText="1"/>
    </xf>
    <xf numFmtId="4" fontId="5" fillId="2" borderId="7" xfId="1" applyNumberFormat="1" applyFont="1" applyFill="1" applyBorder="1" applyAlignment="1">
      <alignment horizontal="right" wrapText="1"/>
    </xf>
    <xf numFmtId="4" fontId="6" fillId="0" borderId="8" xfId="1" applyNumberFormat="1" applyFont="1" applyBorder="1" applyAlignment="1">
      <alignment horizontal="right" wrapText="1"/>
    </xf>
    <xf numFmtId="4" fontId="2" fillId="0" borderId="7" xfId="1" applyNumberFormat="1" applyFont="1" applyBorder="1" applyAlignment="1">
      <alignment horizontal="right" wrapText="1"/>
    </xf>
    <xf numFmtId="4" fontId="2" fillId="0" borderId="6" xfId="4" applyNumberFormat="1" applyBorder="1"/>
    <xf numFmtId="4" fontId="8" fillId="0" borderId="6" xfId="4" applyNumberFormat="1" applyFont="1" applyBorder="1" applyAlignment="1">
      <alignment horizontal="right" vertical="center" wrapText="1"/>
    </xf>
    <xf numFmtId="0" fontId="2" fillId="0" borderId="6" xfId="1" applyNumberFormat="1" applyFont="1" applyBorder="1" applyAlignment="1">
      <alignment horizontal="right"/>
    </xf>
    <xf numFmtId="4" fontId="8" fillId="0" borderId="6" xfId="9" applyNumberFormat="1" applyFont="1" applyBorder="1" applyAlignment="1">
      <alignment horizontal="right" vertical="center" wrapText="1"/>
    </xf>
    <xf numFmtId="0" fontId="2" fillId="3" borderId="6" xfId="0" applyFont="1" applyFill="1" applyBorder="1" applyAlignment="1">
      <alignment horizontal="right"/>
    </xf>
    <xf numFmtId="4" fontId="2" fillId="3" borderId="6" xfId="0" applyNumberFormat="1" applyFont="1" applyFill="1" applyBorder="1" applyAlignment="1">
      <alignment horizontal="right"/>
    </xf>
    <xf numFmtId="4" fontId="2" fillId="3" borderId="6" xfId="4" applyNumberFormat="1" applyFill="1" applyBorder="1"/>
    <xf numFmtId="4" fontId="4" fillId="12" borderId="6" xfId="4" applyNumberFormat="1" applyFont="1" applyFill="1" applyBorder="1" applyAlignment="1">
      <alignment horizontal="right" vertical="center" wrapText="1"/>
    </xf>
    <xf numFmtId="4" fontId="0" fillId="5" borderId="6" xfId="0" applyNumberFormat="1" applyFill="1" applyBorder="1"/>
    <xf numFmtId="4" fontId="6" fillId="5" borderId="8" xfId="2" applyNumberFormat="1" applyFont="1" applyFill="1" applyBorder="1" applyAlignment="1">
      <alignment wrapText="1"/>
    </xf>
    <xf numFmtId="14" fontId="8" fillId="2" borderId="14" xfId="0" applyNumberFormat="1" applyFont="1" applyFill="1" applyBorder="1" applyAlignment="1">
      <alignment horizontal="center" vertical="center" wrapText="1"/>
    </xf>
    <xf numFmtId="0" fontId="2" fillId="2" borderId="22" xfId="0" applyFont="1" applyFill="1" applyBorder="1" applyAlignment="1">
      <alignment horizontal="left" wrapText="1"/>
    </xf>
    <xf numFmtId="0" fontId="0" fillId="2" borderId="22" xfId="0" applyFill="1" applyBorder="1" applyAlignment="1">
      <alignment horizontal="left" wrapText="1"/>
    </xf>
    <xf numFmtId="164" fontId="2" fillId="2" borderId="22" xfId="0" applyNumberFormat="1" applyFont="1" applyFill="1" applyBorder="1" applyAlignment="1">
      <alignment horizontal="center" wrapText="1"/>
    </xf>
    <xf numFmtId="4" fontId="2" fillId="2" borderId="22" xfId="0" applyNumberFormat="1" applyFont="1" applyFill="1" applyBorder="1"/>
    <xf numFmtId="4" fontId="2" fillId="2" borderId="22" xfId="0" applyNumberFormat="1" applyFont="1" applyFill="1" applyBorder="1" applyAlignment="1">
      <alignment horizontal="right" wrapText="1"/>
    </xf>
    <xf numFmtId="4" fontId="2" fillId="2" borderId="24" xfId="0" applyNumberFormat="1" applyFont="1" applyFill="1" applyBorder="1" applyAlignment="1">
      <alignment wrapText="1"/>
    </xf>
    <xf numFmtId="4" fontId="2" fillId="2" borderId="14" xfId="0" applyNumberFormat="1" applyFont="1" applyFill="1" applyBorder="1" applyAlignment="1">
      <alignment wrapText="1"/>
    </xf>
    <xf numFmtId="4" fontId="7" fillId="2" borderId="22" xfId="0" applyNumberFormat="1" applyFont="1" applyFill="1" applyBorder="1" applyAlignment="1">
      <alignment wrapText="1"/>
    </xf>
    <xf numFmtId="4" fontId="2" fillId="2" borderId="25" xfId="0" applyNumberFormat="1" applyFont="1" applyFill="1" applyBorder="1" applyAlignment="1">
      <alignment wrapText="1"/>
    </xf>
    <xf numFmtId="166" fontId="0" fillId="0" borderId="11" xfId="1" applyFont="1" applyBorder="1" applyAlignment="1">
      <alignment wrapText="1"/>
    </xf>
    <xf numFmtId="166" fontId="2" fillId="0" borderId="11" xfId="1" applyFont="1" applyBorder="1" applyAlignment="1">
      <alignment wrapText="1"/>
    </xf>
    <xf numFmtId="0" fontId="2" fillId="2" borderId="10" xfId="0" applyFont="1" applyFill="1" applyBorder="1" applyAlignment="1">
      <alignment horizontal="left" wrapText="1"/>
    </xf>
    <xf numFmtId="4" fontId="2" fillId="0" borderId="11" xfId="4" applyNumberFormat="1" applyBorder="1"/>
    <xf numFmtId="4" fontId="2" fillId="0" borderId="8" xfId="4" applyNumberFormat="1" applyBorder="1"/>
    <xf numFmtId="166" fontId="2" fillId="0" borderId="6" xfId="1" applyFont="1" applyBorder="1" applyAlignment="1">
      <alignment wrapText="1"/>
    </xf>
    <xf numFmtId="166" fontId="0" fillId="0" borderId="8" xfId="1" applyFont="1" applyBorder="1" applyAlignment="1">
      <alignment wrapText="1"/>
    </xf>
    <xf numFmtId="166" fontId="0" fillId="0" borderId="6" xfId="1" applyFont="1" applyBorder="1" applyAlignment="1">
      <alignment wrapText="1"/>
    </xf>
    <xf numFmtId="166" fontId="2" fillId="0" borderId="8" xfId="1" applyFont="1" applyBorder="1" applyAlignment="1">
      <alignment wrapText="1"/>
    </xf>
    <xf numFmtId="4" fontId="2" fillId="0" borderId="9" xfId="4" applyNumberFormat="1" applyBorder="1"/>
    <xf numFmtId="43" fontId="2" fillId="0" borderId="0" xfId="0" applyNumberFormat="1" applyFont="1"/>
    <xf numFmtId="2" fontId="2" fillId="0" borderId="6" xfId="4" applyNumberFormat="1" applyBorder="1" applyAlignment="1">
      <alignment horizontal="right"/>
    </xf>
    <xf numFmtId="4" fontId="2" fillId="0" borderId="9" xfId="4" applyNumberFormat="1" applyBorder="1" applyAlignment="1">
      <alignment horizontal="right"/>
    </xf>
    <xf numFmtId="4" fontId="7" fillId="0" borderId="9" xfId="0" applyNumberFormat="1" applyFont="1" applyBorder="1" applyAlignment="1">
      <alignment horizontal="right" wrapText="1"/>
    </xf>
    <xf numFmtId="4" fontId="7" fillId="7" borderId="9" xfId="0" applyNumberFormat="1" applyFont="1" applyFill="1" applyBorder="1" applyAlignment="1">
      <alignment wrapText="1"/>
    </xf>
    <xf numFmtId="4" fontId="2" fillId="7" borderId="6" xfId="4" applyNumberFormat="1" applyFill="1" applyBorder="1"/>
    <xf numFmtId="4" fontId="5" fillId="4" borderId="9" xfId="4" applyNumberFormat="1" applyFont="1" applyFill="1" applyBorder="1"/>
    <xf numFmtId="4" fontId="7" fillId="0" borderId="6" xfId="0" applyNumberFormat="1" applyFont="1" applyBorder="1" applyAlignment="1">
      <alignment horizontal="right" wrapText="1"/>
    </xf>
    <xf numFmtId="4" fontId="13" fillId="4" borderId="9" xfId="0" applyNumberFormat="1" applyFont="1" applyFill="1" applyBorder="1" applyAlignment="1">
      <alignment horizontal="right" wrapText="1"/>
    </xf>
    <xf numFmtId="4" fontId="7" fillId="2" borderId="9" xfId="0" applyNumberFormat="1" applyFont="1" applyFill="1" applyBorder="1" applyAlignment="1">
      <alignment horizontal="right" wrapText="1"/>
    </xf>
    <xf numFmtId="4" fontId="5" fillId="0" borderId="9" xfId="4" applyNumberFormat="1" applyFont="1" applyBorder="1"/>
    <xf numFmtId="166" fontId="0" fillId="0" borderId="8" xfId="1" applyFont="1" applyFill="1" applyBorder="1" applyAlignment="1">
      <alignment wrapText="1"/>
    </xf>
    <xf numFmtId="2" fontId="2" fillId="0" borderId="0" xfId="0" applyNumberFormat="1" applyFont="1"/>
    <xf numFmtId="4" fontId="5" fillId="0" borderId="8" xfId="4" applyNumberFormat="1" applyFont="1" applyBorder="1"/>
    <xf numFmtId="4" fontId="2" fillId="4" borderId="9" xfId="4" applyNumberFormat="1" applyFill="1" applyBorder="1"/>
    <xf numFmtId="4" fontId="5" fillId="4" borderId="6" xfId="4" applyNumberFormat="1" applyFont="1" applyFill="1" applyBorder="1"/>
    <xf numFmtId="166" fontId="5" fillId="4" borderId="6" xfId="1" applyFont="1" applyFill="1" applyBorder="1" applyAlignment="1">
      <alignment wrapText="1"/>
    </xf>
    <xf numFmtId="4" fontId="5" fillId="4" borderId="11" xfId="4" applyNumberFormat="1" applyFont="1" applyFill="1" applyBorder="1"/>
    <xf numFmtId="4" fontId="3" fillId="0" borderId="11" xfId="2" applyNumberFormat="1" applyFont="1" applyBorder="1" applyAlignment="1">
      <alignment wrapText="1"/>
    </xf>
    <xf numFmtId="166" fontId="5" fillId="4" borderId="11" xfId="1" applyFont="1" applyFill="1" applyBorder="1" applyAlignment="1">
      <alignment wrapText="1"/>
    </xf>
    <xf numFmtId="166" fontId="5" fillId="0" borderId="11" xfId="1" applyFont="1" applyBorder="1" applyAlignment="1">
      <alignment wrapText="1"/>
    </xf>
    <xf numFmtId="0" fontId="0" fillId="2" borderId="0" xfId="0" applyFill="1" applyAlignment="1">
      <alignment horizontal="center"/>
    </xf>
    <xf numFmtId="4" fontId="2" fillId="4" borderId="11" xfId="4" applyNumberFormat="1" applyFill="1" applyBorder="1"/>
    <xf numFmtId="166" fontId="2" fillId="15" borderId="0" xfId="1" applyFont="1" applyFill="1"/>
    <xf numFmtId="2" fontId="2" fillId="0" borderId="6" xfId="0" applyNumberFormat="1" applyFont="1" applyBorder="1" applyAlignment="1">
      <alignment horizontal="right" wrapText="1"/>
    </xf>
    <xf numFmtId="2" fontId="6" fillId="0" borderId="8" xfId="1" applyNumberFormat="1" applyFont="1" applyBorder="1" applyAlignment="1">
      <alignment horizontal="right" wrapText="1"/>
    </xf>
    <xf numFmtId="2" fontId="2" fillId="0" borderId="7" xfId="0" applyNumberFormat="1" applyFont="1" applyBorder="1" applyAlignment="1">
      <alignment horizontal="right" wrapText="1"/>
    </xf>
    <xf numFmtId="2" fontId="6" fillId="0" borderId="8" xfId="2" applyNumberFormat="1" applyFont="1" applyBorder="1" applyAlignment="1">
      <alignment horizontal="right" wrapText="1"/>
    </xf>
    <xf numFmtId="2" fontId="0" fillId="0" borderId="6" xfId="0" applyNumberFormat="1" applyBorder="1" applyAlignment="1">
      <alignment horizontal="right" wrapText="1"/>
    </xf>
    <xf numFmtId="43" fontId="4" fillId="12" borderId="6" xfId="4" applyFont="1" applyFill="1" applyBorder="1" applyAlignment="1">
      <alignment horizontal="right" vertical="center" wrapText="1"/>
    </xf>
    <xf numFmtId="0" fontId="0" fillId="0" borderId="0" xfId="0" applyAlignment="1">
      <alignment horizontal="left" wrapText="1"/>
    </xf>
    <xf numFmtId="0" fontId="2" fillId="0" borderId="10" xfId="0" applyFont="1" applyBorder="1"/>
    <xf numFmtId="4" fontId="6" fillId="0" borderId="0" xfId="2" applyNumberFormat="1" applyFont="1" applyBorder="1" applyAlignment="1">
      <alignment wrapText="1"/>
    </xf>
    <xf numFmtId="4" fontId="2" fillId="0" borderId="11" xfId="0" applyNumberFormat="1" applyFont="1" applyBorder="1"/>
    <xf numFmtId="43" fontId="2" fillId="0" borderId="0" xfId="4" applyBorder="1"/>
    <xf numFmtId="43" fontId="2" fillId="6" borderId="0" xfId="4" applyFill="1" applyBorder="1"/>
    <xf numFmtId="166" fontId="5" fillId="14" borderId="0" xfId="1" applyFont="1" applyFill="1"/>
    <xf numFmtId="166" fontId="7" fillId="5" borderId="6" xfId="8" applyFont="1" applyFill="1" applyBorder="1" applyAlignment="1">
      <alignment horizontal="right" wrapText="1"/>
    </xf>
    <xf numFmtId="166" fontId="7" fillId="5" borderId="8" xfId="8" applyFont="1" applyFill="1" applyBorder="1" applyAlignment="1">
      <alignment horizontal="right" wrapText="1"/>
    </xf>
    <xf numFmtId="166" fontId="7" fillId="5" borderId="0" xfId="8" applyFont="1" applyFill="1" applyBorder="1" applyAlignment="1">
      <alignment horizontal="right" wrapText="1"/>
    </xf>
    <xf numFmtId="166" fontId="0" fillId="5" borderId="0" xfId="8" applyFont="1" applyFill="1" applyBorder="1"/>
    <xf numFmtId="43" fontId="5" fillId="4" borderId="0" xfId="4" applyFont="1" applyFill="1" applyBorder="1"/>
    <xf numFmtId="4" fontId="3" fillId="4" borderId="11" xfId="2" applyNumberFormat="1" applyFont="1" applyFill="1" applyBorder="1" applyAlignment="1">
      <alignment wrapText="1"/>
    </xf>
    <xf numFmtId="4" fontId="5" fillId="4" borderId="11" xfId="0" applyNumberFormat="1" applyFont="1" applyFill="1" applyBorder="1"/>
    <xf numFmtId="4" fontId="6" fillId="4" borderId="8" xfId="2" applyNumberFormat="1" applyFont="1" applyFill="1" applyBorder="1" applyAlignment="1">
      <alignment horizontal="right" wrapText="1"/>
    </xf>
    <xf numFmtId="43" fontId="2" fillId="4" borderId="6" xfId="4" applyFill="1" applyBorder="1"/>
    <xf numFmtId="4" fontId="2" fillId="5" borderId="7" xfId="0" applyNumberFormat="1" applyFont="1" applyFill="1" applyBorder="1" applyAlignment="1">
      <alignment wrapText="1"/>
    </xf>
    <xf numFmtId="4" fontId="0" fillId="4" borderId="11" xfId="0" applyNumberFormat="1" applyFill="1" applyBorder="1" applyAlignment="1">
      <alignment wrapText="1"/>
    </xf>
    <xf numFmtId="0" fontId="23" fillId="0" borderId="10" xfId="0" applyFont="1" applyBorder="1" applyAlignment="1">
      <alignment horizontal="left" wrapText="1"/>
    </xf>
    <xf numFmtId="4" fontId="0" fillId="0" borderId="10" xfId="0" applyNumberFormat="1" applyBorder="1" applyAlignment="1">
      <alignment wrapText="1"/>
    </xf>
    <xf numFmtId="4" fontId="0" fillId="0" borderId="21" xfId="0" applyNumberFormat="1" applyBorder="1" applyAlignment="1">
      <alignment wrapText="1"/>
    </xf>
    <xf numFmtId="4" fontId="0" fillId="0" borderId="1" xfId="0" applyNumberFormat="1" applyBorder="1" applyAlignment="1">
      <alignment wrapText="1"/>
    </xf>
    <xf numFmtId="4" fontId="7" fillId="8" borderId="9" xfId="0" applyNumberFormat="1" applyFont="1" applyFill="1" applyBorder="1" applyAlignment="1">
      <alignment wrapText="1"/>
    </xf>
    <xf numFmtId="4" fontId="7" fillId="4" borderId="9" xfId="0" applyNumberFormat="1" applyFont="1" applyFill="1" applyBorder="1" applyAlignment="1">
      <alignment wrapText="1"/>
    </xf>
    <xf numFmtId="167" fontId="0" fillId="0" borderId="33" xfId="0" applyNumberFormat="1" applyBorder="1" applyAlignment="1">
      <alignment horizontal="right"/>
    </xf>
    <xf numFmtId="166" fontId="2" fillId="0" borderId="0" xfId="8" applyFont="1"/>
    <xf numFmtId="4" fontId="5" fillId="3" borderId="6" xfId="0" applyNumberFormat="1" applyFont="1" applyFill="1" applyBorder="1" applyAlignment="1">
      <alignment wrapText="1"/>
    </xf>
    <xf numFmtId="166" fontId="2" fillId="2" borderId="0" xfId="8" applyFont="1" applyFill="1"/>
    <xf numFmtId="4" fontId="10" fillId="2" borderId="10" xfId="10" applyNumberFormat="1" applyFill="1" applyBorder="1" applyAlignment="1">
      <alignment horizontal="right"/>
    </xf>
    <xf numFmtId="4" fontId="10" fillId="2" borderId="6" xfId="10" applyNumberFormat="1" applyFill="1" applyBorder="1"/>
    <xf numFmtId="4" fontId="2" fillId="2" borderId="11" xfId="8" applyNumberFormat="1" applyFont="1" applyFill="1" applyBorder="1" applyAlignment="1">
      <alignment horizontal="center" wrapText="1"/>
    </xf>
    <xf numFmtId="4" fontId="2" fillId="0" borderId="11" xfId="8" applyNumberFormat="1" applyFont="1" applyBorder="1" applyAlignment="1">
      <alignment horizontal="center" wrapText="1"/>
    </xf>
    <xf numFmtId="4" fontId="2" fillId="0" borderId="6" xfId="8" applyNumberFormat="1" applyFont="1" applyBorder="1"/>
    <xf numFmtId="4" fontId="0" fillId="0" borderId="9" xfId="0" applyNumberFormat="1" applyBorder="1" applyAlignment="1">
      <alignment wrapText="1"/>
    </xf>
    <xf numFmtId="4" fontId="7" fillId="16" borderId="9" xfId="0" applyNumberFormat="1" applyFont="1" applyFill="1" applyBorder="1" applyAlignment="1">
      <alignment wrapText="1"/>
    </xf>
    <xf numFmtId="4" fontId="2" fillId="0" borderId="0" xfId="0" applyNumberFormat="1" applyFont="1" applyAlignment="1">
      <alignment wrapText="1"/>
    </xf>
    <xf numFmtId="4" fontId="2" fillId="16" borderId="0" xfId="0" applyNumberFormat="1" applyFont="1" applyFill="1"/>
    <xf numFmtId="4" fontId="6" fillId="8" borderId="8" xfId="2" applyNumberFormat="1" applyFont="1" applyFill="1" applyBorder="1" applyAlignment="1">
      <alignment wrapText="1"/>
    </xf>
    <xf numFmtId="4" fontId="2" fillId="8" borderId="8" xfId="0" applyNumberFormat="1" applyFont="1" applyFill="1" applyBorder="1" applyAlignment="1">
      <alignment wrapText="1"/>
    </xf>
    <xf numFmtId="4" fontId="0" fillId="0" borderId="0" xfId="0" applyNumberFormat="1" applyAlignment="1">
      <alignment wrapText="1"/>
    </xf>
    <xf numFmtId="4" fontId="0" fillId="8" borderId="11" xfId="0" applyNumberFormat="1" applyFill="1" applyBorder="1" applyAlignment="1">
      <alignment wrapText="1"/>
    </xf>
    <xf numFmtId="4" fontId="2" fillId="8" borderId="11" xfId="0" applyNumberFormat="1" applyFont="1" applyFill="1" applyBorder="1" applyAlignment="1">
      <alignment wrapText="1"/>
    </xf>
    <xf numFmtId="4" fontId="13" fillId="5" borderId="9" xfId="0" applyNumberFormat="1" applyFont="1" applyFill="1" applyBorder="1" applyAlignment="1">
      <alignment wrapText="1"/>
    </xf>
    <xf numFmtId="4" fontId="5" fillId="5" borderId="8" xfId="0" applyNumberFormat="1" applyFont="1" applyFill="1" applyBorder="1" applyAlignment="1">
      <alignment wrapText="1"/>
    </xf>
    <xf numFmtId="4" fontId="3" fillId="5" borderId="8" xfId="2" applyNumberFormat="1" applyFont="1" applyFill="1" applyBorder="1" applyAlignment="1">
      <alignment wrapText="1"/>
    </xf>
    <xf numFmtId="4" fontId="5" fillId="5" borderId="11" xfId="0" applyNumberFormat="1" applyFont="1" applyFill="1" applyBorder="1" applyAlignment="1">
      <alignment wrapText="1"/>
    </xf>
    <xf numFmtId="9" fontId="7" fillId="0" borderId="9" xfId="11" applyFont="1" applyBorder="1" applyAlignment="1">
      <alignment wrapText="1"/>
    </xf>
    <xf numFmtId="4" fontId="4" fillId="17" borderId="6" xfId="0" applyNumberFormat="1" applyFont="1" applyFill="1" applyBorder="1" applyAlignment="1">
      <alignment horizontal="right" vertical="center" wrapText="1"/>
    </xf>
    <xf numFmtId="4" fontId="5" fillId="17" borderId="7" xfId="0" applyNumberFormat="1" applyFont="1" applyFill="1" applyBorder="1" applyAlignment="1">
      <alignment wrapText="1"/>
    </xf>
    <xf numFmtId="4" fontId="5" fillId="17" borderId="6" xfId="0" applyNumberFormat="1" applyFont="1" applyFill="1" applyBorder="1" applyAlignment="1">
      <alignment wrapText="1"/>
    </xf>
    <xf numFmtId="4" fontId="7" fillId="11" borderId="9" xfId="0" applyNumberFormat="1" applyFont="1" applyFill="1" applyBorder="1" applyAlignment="1">
      <alignment wrapText="1"/>
    </xf>
    <xf numFmtId="4" fontId="13" fillId="19" borderId="9" xfId="0" applyNumberFormat="1" applyFont="1" applyFill="1" applyBorder="1" applyAlignment="1">
      <alignment wrapText="1"/>
    </xf>
    <xf numFmtId="4" fontId="7" fillId="20" borderId="9" xfId="0" applyNumberFormat="1" applyFont="1" applyFill="1" applyBorder="1" applyAlignment="1">
      <alignment wrapText="1"/>
    </xf>
    <xf numFmtId="4" fontId="13" fillId="19" borderId="11" xfId="0" applyNumberFormat="1" applyFont="1" applyFill="1" applyBorder="1" applyAlignment="1">
      <alignment wrapText="1"/>
    </xf>
    <xf numFmtId="4" fontId="16" fillId="19" borderId="10" xfId="6" applyNumberFormat="1" applyFont="1" applyFill="1" applyBorder="1" applyAlignment="1">
      <alignment horizontal="right"/>
    </xf>
    <xf numFmtId="4" fontId="7" fillId="21" borderId="9" xfId="0" applyNumberFormat="1" applyFont="1" applyFill="1" applyBorder="1" applyAlignment="1">
      <alignment wrapText="1"/>
    </xf>
    <xf numFmtId="4" fontId="7" fillId="21" borderId="11" xfId="0" applyNumberFormat="1" applyFont="1" applyFill="1" applyBorder="1" applyAlignment="1">
      <alignment wrapText="1"/>
    </xf>
    <xf numFmtId="0" fontId="7" fillId="0" borderId="0" xfId="0" applyFont="1"/>
    <xf numFmtId="4" fontId="7" fillId="0" borderId="0" xfId="0" applyNumberFormat="1" applyFont="1"/>
    <xf numFmtId="0" fontId="7" fillId="0" borderId="0" xfId="7" applyFont="1"/>
    <xf numFmtId="166" fontId="7" fillId="0" borderId="0" xfId="1" applyFont="1"/>
    <xf numFmtId="0" fontId="7" fillId="0" borderId="10" xfId="0" applyFont="1" applyBorder="1" applyAlignment="1">
      <alignment horizontal="left" wrapText="1"/>
    </xf>
    <xf numFmtId="4" fontId="7" fillId="0" borderId="8" xfId="2" applyNumberFormat="1" applyFont="1" applyBorder="1" applyAlignment="1">
      <alignment wrapText="1"/>
    </xf>
    <xf numFmtId="166" fontId="7" fillId="5" borderId="13" xfId="8" applyFont="1" applyFill="1" applyBorder="1"/>
    <xf numFmtId="0" fontId="7" fillId="0" borderId="10" xfId="0" applyFont="1" applyBorder="1"/>
    <xf numFmtId="43" fontId="7" fillId="0" borderId="0" xfId="4" applyFont="1" applyBorder="1"/>
    <xf numFmtId="166" fontId="7" fillId="0" borderId="0" xfId="0" applyNumberFormat="1" applyFont="1"/>
    <xf numFmtId="0" fontId="7" fillId="0" borderId="6" xfId="0" applyFont="1" applyBorder="1" applyAlignment="1">
      <alignment horizontal="left" wrapText="1"/>
    </xf>
    <xf numFmtId="4" fontId="7" fillId="18" borderId="0" xfId="0" applyNumberFormat="1" applyFont="1" applyFill="1"/>
    <xf numFmtId="4" fontId="7" fillId="5" borderId="6" xfId="2" applyNumberFormat="1" applyFont="1" applyFill="1" applyBorder="1" applyAlignment="1">
      <alignment wrapText="1"/>
    </xf>
    <xf numFmtId="4" fontId="13" fillId="19" borderId="8" xfId="2" applyNumberFormat="1" applyFont="1" applyFill="1" applyBorder="1" applyAlignment="1">
      <alignment wrapText="1"/>
    </xf>
    <xf numFmtId="4" fontId="13" fillId="19" borderId="8" xfId="0" applyNumberFormat="1" applyFont="1" applyFill="1" applyBorder="1" applyAlignment="1">
      <alignment wrapText="1"/>
    </xf>
    <xf numFmtId="43" fontId="7" fillId="0" borderId="9" xfId="4" applyFont="1" applyBorder="1"/>
    <xf numFmtId="43" fontId="7" fillId="20" borderId="9" xfId="4" applyFont="1" applyFill="1" applyBorder="1"/>
    <xf numFmtId="4" fontId="7" fillId="21" borderId="8" xfId="0" applyNumberFormat="1" applyFont="1" applyFill="1" applyBorder="1" applyAlignment="1">
      <alignment wrapText="1"/>
    </xf>
    <xf numFmtId="4" fontId="7" fillId="0" borderId="8" xfId="2" applyNumberFormat="1" applyFont="1" applyFill="1" applyBorder="1" applyAlignment="1">
      <alignment wrapText="1"/>
    </xf>
    <xf numFmtId="0" fontId="7" fillId="3" borderId="10" xfId="0" applyFont="1" applyFill="1" applyBorder="1" applyAlignment="1">
      <alignment horizontal="left" wrapText="1"/>
    </xf>
    <xf numFmtId="0" fontId="7" fillId="2" borderId="6" xfId="0" applyFont="1" applyFill="1" applyBorder="1" applyAlignment="1">
      <alignment horizontal="left" wrapText="1"/>
    </xf>
    <xf numFmtId="43" fontId="7" fillId="0" borderId="8" xfId="4" applyFont="1" applyBorder="1"/>
    <xf numFmtId="0" fontId="26" fillId="0" borderId="0" xfId="0" applyFont="1"/>
    <xf numFmtId="4" fontId="13" fillId="0" borderId="8" xfId="0" applyNumberFormat="1" applyFont="1" applyBorder="1" applyAlignment="1">
      <alignment wrapText="1"/>
    </xf>
    <xf numFmtId="0" fontId="7" fillId="2" borderId="10" xfId="0" applyFont="1" applyFill="1" applyBorder="1" applyAlignment="1">
      <alignment horizontal="left" wrapText="1"/>
    </xf>
    <xf numFmtId="0" fontId="7" fillId="0" borderId="6" xfId="0" applyFont="1" applyBorder="1"/>
    <xf numFmtId="43" fontId="7" fillId="0" borderId="6" xfId="4" applyFont="1" applyBorder="1"/>
    <xf numFmtId="4" fontId="7" fillId="0" borderId="6" xfId="2" applyNumberFormat="1" applyFont="1" applyBorder="1" applyAlignment="1">
      <alignment wrapText="1"/>
    </xf>
    <xf numFmtId="4" fontId="7" fillId="0" borderId="11" xfId="2" applyNumberFormat="1" applyFont="1" applyBorder="1" applyAlignment="1">
      <alignment wrapText="1"/>
    </xf>
    <xf numFmtId="43" fontId="7" fillId="0" borderId="11" xfId="4" applyFont="1" applyBorder="1"/>
    <xf numFmtId="4" fontId="13" fillId="19" borderId="11" xfId="2" applyNumberFormat="1" applyFont="1" applyFill="1" applyBorder="1" applyAlignment="1">
      <alignment wrapText="1"/>
    </xf>
    <xf numFmtId="166" fontId="7" fillId="0" borderId="0" xfId="1" applyFont="1" applyFill="1"/>
    <xf numFmtId="4" fontId="13" fillId="0" borderId="11" xfId="2" applyNumberFormat="1" applyFont="1" applyFill="1" applyBorder="1" applyAlignment="1">
      <alignment wrapText="1"/>
    </xf>
    <xf numFmtId="0" fontId="7" fillId="2" borderId="10" xfId="5" applyFont="1" applyFill="1" applyBorder="1" applyAlignment="1">
      <alignment horizontal="left" wrapText="1"/>
    </xf>
    <xf numFmtId="0" fontId="7" fillId="2" borderId="6" xfId="5" applyFont="1" applyFill="1" applyBorder="1" applyAlignment="1">
      <alignment horizontal="left" wrapText="1"/>
    </xf>
    <xf numFmtId="4" fontId="7" fillId="2" borderId="6" xfId="0" applyNumberFormat="1" applyFont="1" applyFill="1" applyBorder="1" applyAlignment="1">
      <alignment horizontal="right" wrapText="1"/>
    </xf>
    <xf numFmtId="0" fontId="7" fillId="2" borderId="8" xfId="0" applyFont="1" applyFill="1" applyBorder="1" applyAlignment="1">
      <alignment horizontal="left" wrapText="1"/>
    </xf>
    <xf numFmtId="4" fontId="7" fillId="2" borderId="11" xfId="0" applyNumberFormat="1" applyFont="1" applyFill="1" applyBorder="1" applyAlignment="1">
      <alignment horizontal="right" wrapText="1"/>
    </xf>
    <xf numFmtId="4" fontId="7" fillId="2" borderId="11" xfId="0" applyNumberFormat="1" applyFont="1" applyFill="1" applyBorder="1" applyAlignment="1">
      <alignment horizontal="center" wrapText="1"/>
    </xf>
    <xf numFmtId="0" fontId="7" fillId="2" borderId="0" xfId="0" applyFont="1" applyFill="1"/>
    <xf numFmtId="4" fontId="7" fillId="2" borderId="11" xfId="1" applyNumberFormat="1" applyFont="1" applyFill="1" applyBorder="1" applyAlignment="1">
      <alignment horizontal="center" wrapText="1"/>
    </xf>
    <xf numFmtId="0" fontId="7" fillId="2" borderId="6" xfId="0" applyFont="1" applyFill="1" applyBorder="1"/>
    <xf numFmtId="0" fontId="27" fillId="2" borderId="6" xfId="0" applyFont="1" applyFill="1" applyBorder="1"/>
    <xf numFmtId="0" fontId="25" fillId="2" borderId="6" xfId="0" applyFont="1" applyFill="1" applyBorder="1"/>
    <xf numFmtId="0" fontId="25" fillId="2" borderId="0" xfId="0" applyFont="1" applyFill="1"/>
    <xf numFmtId="4" fontId="7" fillId="0" borderId="11" xfId="0" applyNumberFormat="1" applyFont="1" applyBorder="1" applyAlignment="1">
      <alignment horizontal="right" wrapText="1"/>
    </xf>
    <xf numFmtId="4" fontId="7" fillId="0" borderId="11" xfId="0" applyNumberFormat="1" applyFont="1" applyBorder="1" applyAlignment="1">
      <alignment horizontal="center" wrapText="1"/>
    </xf>
    <xf numFmtId="4" fontId="7" fillId="0" borderId="11" xfId="1" applyNumberFormat="1" applyFont="1" applyBorder="1" applyAlignment="1">
      <alignment horizontal="center" wrapText="1"/>
    </xf>
    <xf numFmtId="0" fontId="7" fillId="0" borderId="11" xfId="0" applyFont="1" applyBorder="1"/>
    <xf numFmtId="4" fontId="7" fillId="0" borderId="6" xfId="1" applyNumberFormat="1" applyFont="1" applyBorder="1"/>
    <xf numFmtId="4" fontId="7" fillId="0" borderId="6" xfId="0" applyNumberFormat="1" applyFont="1" applyBorder="1"/>
    <xf numFmtId="168" fontId="7" fillId="21" borderId="9" xfId="11" applyNumberFormat="1" applyFont="1" applyFill="1" applyBorder="1" applyAlignment="1">
      <alignment wrapText="1"/>
    </xf>
    <xf numFmtId="4" fontId="5" fillId="21" borderId="0" xfId="0" applyNumberFormat="1" applyFont="1" applyFill="1"/>
    <xf numFmtId="4" fontId="3" fillId="20" borderId="8" xfId="2" applyNumberFormat="1" applyFont="1" applyFill="1" applyBorder="1" applyAlignment="1">
      <alignment wrapText="1"/>
    </xf>
    <xf numFmtId="4" fontId="13" fillId="20" borderId="9" xfId="0" applyNumberFormat="1" applyFont="1" applyFill="1" applyBorder="1" applyAlignment="1">
      <alignment wrapText="1"/>
    </xf>
    <xf numFmtId="43" fontId="2" fillId="21" borderId="9" xfId="4" applyFill="1" applyBorder="1"/>
    <xf numFmtId="4" fontId="5" fillId="20" borderId="8" xfId="0" applyNumberFormat="1" applyFont="1" applyFill="1" applyBorder="1" applyAlignment="1">
      <alignment wrapText="1"/>
    </xf>
    <xf numFmtId="4" fontId="5" fillId="20" borderId="11" xfId="0" applyNumberFormat="1" applyFont="1" applyFill="1" applyBorder="1" applyAlignment="1">
      <alignment wrapText="1"/>
    </xf>
    <xf numFmtId="4" fontId="3" fillId="20" borderId="11" xfId="2" applyNumberFormat="1" applyFont="1" applyFill="1" applyBorder="1" applyAlignment="1">
      <alignment wrapText="1"/>
    </xf>
    <xf numFmtId="4" fontId="0" fillId="21" borderId="11" xfId="0" applyNumberFormat="1" applyFill="1" applyBorder="1" applyAlignment="1">
      <alignment wrapText="1"/>
    </xf>
    <xf numFmtId="4" fontId="28" fillId="0" borderId="6" xfId="0" applyNumberFormat="1" applyFont="1" applyBorder="1" applyAlignment="1">
      <alignment horizontal="right" wrapText="1"/>
    </xf>
    <xf numFmtId="4" fontId="28" fillId="0" borderId="6" xfId="0" applyNumberFormat="1" applyFont="1" applyBorder="1"/>
    <xf numFmtId="4" fontId="28" fillId="2" borderId="3" xfId="0" applyNumberFormat="1" applyFont="1" applyFill="1" applyBorder="1" applyAlignment="1">
      <alignment horizontal="right" wrapText="1"/>
    </xf>
    <xf numFmtId="4" fontId="29" fillId="2" borderId="10" xfId="6" applyNumberFormat="1" applyFont="1" applyFill="1" applyBorder="1" applyAlignment="1">
      <alignment horizontal="right"/>
    </xf>
    <xf numFmtId="4" fontId="28" fillId="2" borderId="1" xfId="0" applyNumberFormat="1" applyFont="1" applyFill="1" applyBorder="1" applyAlignment="1">
      <alignment horizontal="right" wrapText="1"/>
    </xf>
    <xf numFmtId="4" fontId="28" fillId="2" borderId="10" xfId="0" applyNumberFormat="1" applyFont="1" applyFill="1" applyBorder="1" applyAlignment="1">
      <alignment wrapText="1"/>
    </xf>
    <xf numFmtId="4" fontId="28" fillId="2" borderId="11" xfId="0" applyNumberFormat="1" applyFont="1" applyFill="1" applyBorder="1" applyAlignment="1">
      <alignment horizontal="right" wrapText="1"/>
    </xf>
    <xf numFmtId="4" fontId="28" fillId="2" borderId="6" xfId="0" applyNumberFormat="1" applyFont="1" applyFill="1" applyBorder="1" applyAlignment="1">
      <alignment wrapText="1"/>
    </xf>
    <xf numFmtId="4" fontId="2" fillId="22" borderId="6" xfId="0" applyNumberFormat="1" applyFont="1" applyFill="1" applyBorder="1" applyAlignment="1">
      <alignment horizontal="right" wrapText="1"/>
    </xf>
    <xf numFmtId="4" fontId="2" fillId="22" borderId="6" xfId="0" applyNumberFormat="1" applyFont="1" applyFill="1" applyBorder="1"/>
    <xf numFmtId="0" fontId="23" fillId="2" borderId="6" xfId="0" applyFont="1" applyFill="1" applyBorder="1" applyAlignment="1">
      <alignment horizontal="left" wrapText="1"/>
    </xf>
    <xf numFmtId="166" fontId="0" fillId="2" borderId="11" xfId="1" applyFont="1" applyFill="1" applyBorder="1" applyAlignment="1">
      <alignment wrapText="1"/>
    </xf>
    <xf numFmtId="166" fontId="7" fillId="2" borderId="11" xfId="1" applyFont="1" applyFill="1" applyBorder="1" applyAlignment="1">
      <alignment wrapText="1"/>
    </xf>
    <xf numFmtId="166" fontId="0" fillId="2" borderId="6" xfId="1" applyFont="1" applyFill="1" applyBorder="1" applyAlignment="1">
      <alignment wrapText="1"/>
    </xf>
    <xf numFmtId="166" fontId="7" fillId="0" borderId="11" xfId="1" applyFont="1" applyBorder="1" applyAlignment="1">
      <alignment wrapText="1"/>
    </xf>
    <xf numFmtId="166" fontId="5" fillId="2" borderId="6" xfId="1" applyFont="1" applyFill="1" applyBorder="1" applyAlignment="1">
      <alignment wrapText="1"/>
    </xf>
    <xf numFmtId="4" fontId="6" fillId="0" borderId="8" xfId="2" applyNumberFormat="1" applyFont="1" applyFill="1" applyBorder="1" applyAlignment="1">
      <alignment horizontal="right" wrapText="1"/>
    </xf>
    <xf numFmtId="166" fontId="2" fillId="0" borderId="0" xfId="1" applyFont="1" applyFill="1"/>
    <xf numFmtId="4" fontId="5" fillId="0" borderId="6" xfId="0" applyNumberFormat="1" applyFont="1" applyBorder="1" applyAlignment="1">
      <alignment horizontal="right" wrapText="1"/>
    </xf>
    <xf numFmtId="4" fontId="2" fillId="4" borderId="11" xfId="0" applyNumberFormat="1" applyFont="1" applyFill="1" applyBorder="1" applyAlignment="1">
      <alignment wrapText="1"/>
    </xf>
    <xf numFmtId="166" fontId="0" fillId="2" borderId="8" xfId="1" applyFont="1" applyFill="1" applyBorder="1" applyAlignment="1">
      <alignment wrapText="1"/>
    </xf>
    <xf numFmtId="4" fontId="2" fillId="0" borderId="9" xfId="0" applyNumberFormat="1" applyFont="1" applyBorder="1"/>
    <xf numFmtId="166" fontId="7" fillId="0" borderId="9" xfId="1" applyFont="1" applyBorder="1" applyAlignment="1">
      <alignment wrapText="1"/>
    </xf>
    <xf numFmtId="166" fontId="0" fillId="0" borderId="9" xfId="1" applyFont="1" applyBorder="1" applyAlignment="1">
      <alignment wrapText="1"/>
    </xf>
    <xf numFmtId="166" fontId="7" fillId="0" borderId="6" xfId="1" applyFont="1" applyBorder="1" applyAlignment="1">
      <alignment wrapText="1"/>
    </xf>
    <xf numFmtId="166" fontId="2" fillId="23" borderId="0" xfId="1" applyFont="1" applyFill="1"/>
    <xf numFmtId="4" fontId="7" fillId="24" borderId="9" xfId="0" applyNumberFormat="1" applyFont="1" applyFill="1" applyBorder="1" applyAlignment="1">
      <alignment wrapText="1"/>
    </xf>
    <xf numFmtId="4" fontId="13" fillId="23" borderId="9" xfId="0" applyNumberFormat="1" applyFont="1" applyFill="1" applyBorder="1" applyAlignment="1">
      <alignment wrapText="1"/>
    </xf>
    <xf numFmtId="4" fontId="3" fillId="23" borderId="8" xfId="2" applyNumberFormat="1" applyFont="1" applyFill="1" applyBorder="1" applyAlignment="1">
      <alignment wrapText="1"/>
    </xf>
    <xf numFmtId="4" fontId="5" fillId="23" borderId="8" xfId="0" applyNumberFormat="1" applyFont="1" applyFill="1" applyBorder="1" applyAlignment="1">
      <alignment wrapText="1"/>
    </xf>
    <xf numFmtId="4" fontId="3" fillId="0" borderId="8" xfId="2" applyNumberFormat="1" applyFont="1" applyFill="1" applyBorder="1" applyAlignment="1">
      <alignment wrapText="1"/>
    </xf>
    <xf numFmtId="166" fontId="5" fillId="23" borderId="8" xfId="1" applyFont="1" applyFill="1" applyBorder="1" applyAlignment="1">
      <alignment wrapText="1"/>
    </xf>
    <xf numFmtId="166" fontId="2" fillId="0" borderId="1" xfId="1" applyFont="1" applyBorder="1" applyAlignment="1">
      <alignment wrapText="1"/>
    </xf>
    <xf numFmtId="4" fontId="5" fillId="23" borderId="10" xfId="0" applyNumberFormat="1" applyFont="1" applyFill="1" applyBorder="1" applyAlignment="1">
      <alignment horizontal="left" wrapText="1"/>
    </xf>
    <xf numFmtId="0" fontId="0" fillId="0" borderId="11" xfId="0" applyBorder="1" applyAlignment="1">
      <alignment horizontal="left" wrapText="1"/>
    </xf>
    <xf numFmtId="4" fontId="5" fillId="23" borderId="11" xfId="0" applyNumberFormat="1" applyFont="1" applyFill="1" applyBorder="1" applyAlignment="1">
      <alignment wrapText="1"/>
    </xf>
    <xf numFmtId="4" fontId="3" fillId="23" borderId="11" xfId="2" applyNumberFormat="1" applyFont="1" applyFill="1" applyBorder="1" applyAlignment="1">
      <alignment wrapText="1"/>
    </xf>
    <xf numFmtId="4" fontId="6" fillId="0" borderId="11" xfId="2" applyNumberFormat="1" applyFont="1" applyFill="1" applyBorder="1" applyAlignment="1">
      <alignment wrapText="1"/>
    </xf>
    <xf numFmtId="0" fontId="13" fillId="0" borderId="3" xfId="0" applyFont="1" applyBorder="1" applyAlignment="1">
      <alignment horizontal="center" wrapText="1"/>
    </xf>
    <xf numFmtId="164" fontId="7" fillId="0" borderId="6" xfId="0" applyNumberFormat="1" applyFont="1" applyBorder="1" applyAlignment="1">
      <alignment horizontal="center" wrapText="1"/>
    </xf>
    <xf numFmtId="4" fontId="2" fillId="4" borderId="6" xfId="0" applyNumberFormat="1" applyFont="1" applyFill="1" applyBorder="1"/>
    <xf numFmtId="0" fontId="7" fillId="0" borderId="6" xfId="0" applyFont="1" applyBorder="1" applyAlignment="1">
      <alignment horizontal="center" wrapText="1"/>
    </xf>
    <xf numFmtId="0" fontId="13" fillId="2" borderId="6" xfId="0" applyFont="1" applyFill="1" applyBorder="1" applyAlignment="1">
      <alignment horizontal="left" wrapText="1"/>
    </xf>
    <xf numFmtId="14" fontId="7" fillId="0" borderId="6" xfId="0" applyNumberFormat="1" applyFont="1" applyBorder="1" applyAlignment="1">
      <alignment horizontal="center" wrapText="1"/>
    </xf>
    <xf numFmtId="4" fontId="7" fillId="5" borderId="6" xfId="0" applyNumberFormat="1" applyFont="1" applyFill="1" applyBorder="1" applyAlignment="1">
      <alignment wrapText="1"/>
    </xf>
    <xf numFmtId="4" fontId="0" fillId="5" borderId="6" xfId="0" applyNumberFormat="1" applyFill="1" applyBorder="1" applyAlignment="1">
      <alignment wrapText="1"/>
    </xf>
    <xf numFmtId="0" fontId="13" fillId="0" borderId="6" xfId="0" applyFont="1" applyBorder="1" applyAlignment="1">
      <alignment horizontal="left" wrapText="1"/>
    </xf>
    <xf numFmtId="4" fontId="2" fillId="5" borderId="6" xfId="0" applyNumberFormat="1" applyFont="1" applyFill="1" applyBorder="1" applyAlignment="1">
      <alignment wrapText="1"/>
    </xf>
    <xf numFmtId="164" fontId="7" fillId="2" borderId="6" xfId="0" applyNumberFormat="1" applyFont="1" applyFill="1" applyBorder="1" applyAlignment="1">
      <alignment horizontal="center" wrapText="1"/>
    </xf>
    <xf numFmtId="0" fontId="3" fillId="0" borderId="2" xfId="7" applyFont="1" applyBorder="1" applyAlignment="1">
      <alignment horizontal="center" wrapText="1"/>
    </xf>
    <xf numFmtId="0" fontId="3" fillId="0" borderId="3" xfId="7" applyFont="1" applyBorder="1" applyAlignment="1">
      <alignment horizontal="center" wrapText="1"/>
    </xf>
    <xf numFmtId="49" fontId="3" fillId="0" borderId="3" xfId="7" applyNumberFormat="1" applyFont="1" applyBorder="1" applyAlignment="1">
      <alignment horizontal="center" wrapText="1"/>
    </xf>
    <xf numFmtId="0" fontId="3" fillId="0" borderId="4" xfId="7" applyFont="1" applyBorder="1" applyAlignment="1">
      <alignment horizontal="center" wrapText="1"/>
    </xf>
    <xf numFmtId="4" fontId="2" fillId="0" borderId="3" xfId="7" applyNumberFormat="1" applyBorder="1" applyAlignment="1">
      <alignment horizontal="right" wrapText="1"/>
    </xf>
    <xf numFmtId="4" fontId="2" fillId="0" borderId="4" xfId="7" applyNumberFormat="1" applyBorder="1" applyAlignment="1">
      <alignment horizontal="right" wrapText="1"/>
    </xf>
    <xf numFmtId="166" fontId="2" fillId="0" borderId="0" xfId="8" applyFont="1" applyFill="1"/>
    <xf numFmtId="14" fontId="4" fillId="0" borderId="6" xfId="7" applyNumberFormat="1" applyFont="1" applyBorder="1" applyAlignment="1">
      <alignment horizontal="center" vertical="center" wrapText="1"/>
    </xf>
    <xf numFmtId="0" fontId="2" fillId="0" borderId="6" xfId="7" applyBorder="1" applyAlignment="1">
      <alignment horizontal="left" wrapText="1"/>
    </xf>
    <xf numFmtId="0" fontId="5" fillId="0" borderId="6" xfId="7" applyFont="1" applyBorder="1" applyAlignment="1">
      <alignment horizontal="left" wrapText="1"/>
    </xf>
    <xf numFmtId="49" fontId="2" fillId="0" borderId="6" xfId="7" applyNumberFormat="1" applyBorder="1" applyAlignment="1">
      <alignment horizontal="center" wrapText="1"/>
    </xf>
    <xf numFmtId="4" fontId="2" fillId="0" borderId="6" xfId="7" applyNumberFormat="1" applyBorder="1"/>
    <xf numFmtId="4" fontId="2" fillId="0" borderId="6" xfId="7" applyNumberFormat="1" applyBorder="1" applyAlignment="1">
      <alignment horizontal="right" wrapText="1"/>
    </xf>
    <xf numFmtId="4" fontId="5" fillId="0" borderId="7" xfId="7" applyNumberFormat="1" applyFont="1" applyBorder="1" applyAlignment="1">
      <alignment wrapText="1"/>
    </xf>
    <xf numFmtId="4" fontId="2" fillId="0" borderId="11" xfId="7" applyNumberFormat="1" applyBorder="1" applyAlignment="1">
      <alignment wrapText="1"/>
    </xf>
    <xf numFmtId="4" fontId="7" fillId="0" borderId="6" xfId="7" applyNumberFormat="1" applyFont="1" applyBorder="1" applyAlignment="1">
      <alignment wrapText="1"/>
    </xf>
    <xf numFmtId="4" fontId="2" fillId="0" borderId="6" xfId="7" applyNumberFormat="1" applyBorder="1" applyAlignment="1">
      <alignment wrapText="1"/>
    </xf>
    <xf numFmtId="14" fontId="8" fillId="0" borderId="6" xfId="7" applyNumberFormat="1" applyFont="1" applyBorder="1" applyAlignment="1">
      <alignment horizontal="center" vertical="center" wrapText="1"/>
    </xf>
    <xf numFmtId="4" fontId="2" fillId="5" borderId="6" xfId="7" applyNumberFormat="1" applyFill="1" applyBorder="1" applyAlignment="1">
      <alignment horizontal="right" wrapText="1"/>
    </xf>
    <xf numFmtId="4" fontId="2" fillId="0" borderId="7" xfId="7" applyNumberFormat="1" applyBorder="1" applyAlignment="1">
      <alignment wrapText="1"/>
    </xf>
    <xf numFmtId="164" fontId="2" fillId="0" borderId="6" xfId="7" applyNumberFormat="1" applyBorder="1" applyAlignment="1">
      <alignment horizontal="center" wrapText="1"/>
    </xf>
    <xf numFmtId="4" fontId="2" fillId="5" borderId="6" xfId="7" applyNumberFormat="1" applyFill="1" applyBorder="1"/>
    <xf numFmtId="4" fontId="2" fillId="0" borderId="0" xfId="7" applyNumberFormat="1" applyAlignment="1">
      <alignment wrapText="1"/>
    </xf>
    <xf numFmtId="4" fontId="7" fillId="0" borderId="0" xfId="7" applyNumberFormat="1" applyFont="1" applyAlignment="1">
      <alignment wrapText="1"/>
    </xf>
    <xf numFmtId="0" fontId="2" fillId="2" borderId="6" xfId="7" applyFill="1" applyBorder="1" applyAlignment="1">
      <alignment horizontal="center" wrapText="1"/>
    </xf>
    <xf numFmtId="164" fontId="7" fillId="2" borderId="6" xfId="7" applyNumberFormat="1" applyFont="1" applyFill="1" applyBorder="1" applyAlignment="1">
      <alignment horizontal="center" wrapText="1"/>
    </xf>
    <xf numFmtId="14" fontId="8" fillId="0" borderId="14" xfId="7" applyNumberFormat="1" applyFont="1" applyBorder="1" applyAlignment="1">
      <alignment horizontal="center" vertical="center" wrapText="1"/>
    </xf>
    <xf numFmtId="0" fontId="2" fillId="2" borderId="22" xfId="7" applyFill="1" applyBorder="1" applyAlignment="1">
      <alignment horizontal="center" wrapText="1"/>
    </xf>
    <xf numFmtId="0" fontId="2" fillId="0" borderId="22" xfId="7" applyBorder="1" applyAlignment="1">
      <alignment horizontal="left" wrapText="1"/>
    </xf>
    <xf numFmtId="164" fontId="7" fillId="2" borderId="22" xfId="7" applyNumberFormat="1" applyFont="1" applyFill="1" applyBorder="1" applyAlignment="1">
      <alignment horizontal="center" wrapText="1"/>
    </xf>
    <xf numFmtId="4" fontId="2" fillId="0" borderId="22" xfId="7" applyNumberFormat="1" applyBorder="1" applyAlignment="1">
      <alignment horizontal="right" wrapText="1"/>
    </xf>
    <xf numFmtId="4" fontId="5" fillId="0" borderId="24" xfId="7" applyNumberFormat="1" applyFont="1" applyBorder="1" applyAlignment="1">
      <alignment wrapText="1"/>
    </xf>
    <xf numFmtId="164" fontId="7" fillId="2" borderId="3" xfId="0" applyNumberFormat="1" applyFont="1" applyFill="1" applyBorder="1" applyAlignment="1">
      <alignment horizontal="center" wrapText="1"/>
    </xf>
    <xf numFmtId="164" fontId="7" fillId="2" borderId="9" xfId="0" applyNumberFormat="1" applyFont="1" applyFill="1" applyBorder="1" applyAlignment="1">
      <alignment horizontal="center" wrapText="1"/>
    </xf>
    <xf numFmtId="0" fontId="5" fillId="0" borderId="3" xfId="0" applyFont="1" applyBorder="1" applyAlignment="1">
      <alignment horizontal="center" wrapText="1"/>
    </xf>
    <xf numFmtId="164" fontId="0" fillId="2" borderId="6" xfId="0" applyNumberFormat="1" applyFill="1" applyBorder="1" applyAlignment="1">
      <alignment horizontal="center" wrapText="1"/>
    </xf>
    <xf numFmtId="4" fontId="0" fillId="4" borderId="6" xfId="0" applyNumberFormat="1" applyFill="1" applyBorder="1"/>
    <xf numFmtId="0" fontId="5" fillId="2" borderId="6" xfId="0" applyFont="1" applyFill="1" applyBorder="1" applyAlignment="1">
      <alignment horizontal="center" wrapText="1"/>
    </xf>
    <xf numFmtId="4" fontId="2" fillId="4" borderId="6" xfId="0" applyNumberFormat="1" applyFont="1" applyFill="1" applyBorder="1" applyAlignment="1">
      <alignment wrapText="1"/>
    </xf>
    <xf numFmtId="4" fontId="2" fillId="3" borderId="6" xfId="0" applyNumberFormat="1" applyFont="1" applyFill="1" applyBorder="1" applyAlignment="1">
      <alignment wrapText="1"/>
    </xf>
    <xf numFmtId="4" fontId="0" fillId="4" borderId="6" xfId="0" applyNumberFormat="1" applyFill="1" applyBorder="1" applyAlignment="1">
      <alignment wrapText="1"/>
    </xf>
    <xf numFmtId="0" fontId="13" fillId="0" borderId="34" xfId="0" applyFont="1" applyBorder="1" applyAlignment="1">
      <alignment horizontal="center" wrapText="1"/>
    </xf>
    <xf numFmtId="0" fontId="2" fillId="0" borderId="6" xfId="7" applyBorder="1" applyAlignment="1">
      <alignment horizontal="center" wrapText="1"/>
    </xf>
    <xf numFmtId="164" fontId="7" fillId="0" borderId="6" xfId="7" applyNumberFormat="1" applyFont="1" applyBorder="1" applyAlignment="1">
      <alignment horizontal="center" wrapText="1"/>
    </xf>
    <xf numFmtId="164" fontId="0" fillId="2" borderId="3" xfId="0" applyNumberFormat="1" applyFill="1" applyBorder="1" applyAlignment="1">
      <alignment horizontal="center" wrapText="1"/>
    </xf>
    <xf numFmtId="164" fontId="0" fillId="2" borderId="9" xfId="0" applyNumberFormat="1" applyFill="1" applyBorder="1" applyAlignment="1">
      <alignment horizontal="center" wrapText="1"/>
    </xf>
    <xf numFmtId="0" fontId="0" fillId="2" borderId="6" xfId="5" applyFont="1" applyFill="1" applyBorder="1" applyAlignment="1">
      <alignment horizontal="center" wrapText="1"/>
    </xf>
    <xf numFmtId="0" fontId="0" fillId="0" borderId="6" xfId="0" applyBorder="1" applyAlignment="1">
      <alignment horizontal="center"/>
    </xf>
    <xf numFmtId="4" fontId="0" fillId="4" borderId="6" xfId="0" applyNumberFormat="1" applyFill="1" applyBorder="1" applyAlignment="1">
      <alignment horizontal="right" wrapText="1"/>
    </xf>
    <xf numFmtId="4" fontId="0" fillId="3" borderId="6" xfId="0" applyNumberFormat="1" applyFill="1" applyBorder="1"/>
    <xf numFmtId="4" fontId="0" fillId="3" borderId="7" xfId="0" applyNumberFormat="1" applyFill="1" applyBorder="1" applyAlignment="1">
      <alignment wrapText="1"/>
    </xf>
    <xf numFmtId="4" fontId="0" fillId="16" borderId="6" xfId="0" applyNumberFormat="1" applyFill="1" applyBorder="1" applyAlignment="1">
      <alignment wrapText="1"/>
    </xf>
    <xf numFmtId="4" fontId="2" fillId="16" borderId="7" xfId="0" applyNumberFormat="1" applyFont="1" applyFill="1" applyBorder="1" applyAlignment="1">
      <alignment wrapText="1"/>
    </xf>
    <xf numFmtId="4" fontId="0" fillId="8" borderId="6" xfId="0" applyNumberFormat="1" applyFill="1" applyBorder="1" applyAlignment="1">
      <alignment wrapText="1"/>
    </xf>
    <xf numFmtId="2" fontId="2" fillId="0" borderId="6" xfId="0" applyNumberFormat="1" applyFont="1" applyBorder="1"/>
    <xf numFmtId="2" fontId="5" fillId="27" borderId="0" xfId="0" applyNumberFormat="1" applyFont="1" applyFill="1"/>
    <xf numFmtId="2" fontId="5" fillId="0" borderId="0" xfId="0" applyNumberFormat="1" applyFont="1"/>
    <xf numFmtId="166" fontId="0" fillId="5" borderId="6" xfId="8" applyFont="1" applyFill="1" applyBorder="1"/>
    <xf numFmtId="4" fontId="5" fillId="0" borderId="6" xfId="0" applyNumberFormat="1" applyFont="1" applyBorder="1"/>
    <xf numFmtId="4" fontId="5" fillId="3" borderId="6" xfId="0" applyNumberFormat="1" applyFont="1" applyFill="1" applyBorder="1"/>
    <xf numFmtId="4" fontId="13" fillId="3" borderId="6" xfId="0" applyNumberFormat="1" applyFont="1" applyFill="1" applyBorder="1" applyAlignment="1">
      <alignment wrapText="1"/>
    </xf>
    <xf numFmtId="166" fontId="2" fillId="0" borderId="6" xfId="1" applyFont="1" applyBorder="1"/>
    <xf numFmtId="166" fontId="2" fillId="11" borderId="6" xfId="1" applyFont="1" applyFill="1" applyBorder="1"/>
    <xf numFmtId="166" fontId="5" fillId="18" borderId="0" xfId="0" applyNumberFormat="1" applyFont="1" applyFill="1"/>
    <xf numFmtId="166" fontId="5" fillId="11" borderId="6" xfId="1" applyFont="1" applyFill="1" applyBorder="1"/>
    <xf numFmtId="166" fontId="2" fillId="0" borderId="6" xfId="1" applyFont="1" applyFill="1" applyBorder="1"/>
    <xf numFmtId="166" fontId="5" fillId="0" borderId="0" xfId="0" applyNumberFormat="1" applyFont="1"/>
    <xf numFmtId="166" fontId="2" fillId="0" borderId="0" xfId="1" applyFont="1" applyBorder="1"/>
    <xf numFmtId="4" fontId="5" fillId="11" borderId="6" xfId="0" applyNumberFormat="1" applyFont="1" applyFill="1" applyBorder="1"/>
    <xf numFmtId="0" fontId="5" fillId="11" borderId="6" xfId="0" applyFont="1" applyFill="1" applyBorder="1"/>
    <xf numFmtId="166" fontId="2" fillId="29" borderId="6" xfId="1" applyFont="1" applyFill="1" applyBorder="1"/>
    <xf numFmtId="166" fontId="5" fillId="11" borderId="6" xfId="0" applyNumberFormat="1" applyFont="1" applyFill="1" applyBorder="1"/>
    <xf numFmtId="166" fontId="0" fillId="0" borderId="6" xfId="1" applyFont="1" applyFill="1" applyBorder="1"/>
    <xf numFmtId="0" fontId="2" fillId="0" borderId="6" xfId="7" applyBorder="1"/>
    <xf numFmtId="0" fontId="2" fillId="0" borderId="10" xfId="7" applyBorder="1"/>
    <xf numFmtId="4" fontId="7" fillId="5" borderId="6" xfId="0" applyNumberFormat="1" applyFont="1" applyFill="1" applyBorder="1"/>
    <xf numFmtId="4" fontId="7" fillId="3" borderId="9" xfId="0" applyNumberFormat="1" applyFont="1" applyFill="1" applyBorder="1" applyAlignment="1">
      <alignment wrapText="1"/>
    </xf>
    <xf numFmtId="166" fontId="2" fillId="28" borderId="6" xfId="1" applyFont="1" applyFill="1" applyBorder="1"/>
    <xf numFmtId="0" fontId="0" fillId="0" borderId="9" xfId="0" applyBorder="1" applyAlignment="1">
      <alignment horizontal="left" wrapText="1"/>
    </xf>
    <xf numFmtId="166" fontId="5" fillId="3" borderId="6" xfId="1" applyFont="1" applyFill="1" applyBorder="1"/>
    <xf numFmtId="166" fontId="2" fillId="2" borderId="6" xfId="1" applyFont="1" applyFill="1" applyBorder="1"/>
    <xf numFmtId="166" fontId="7" fillId="5" borderId="0" xfId="8" applyFont="1" applyFill="1" applyBorder="1" applyAlignment="1">
      <alignment wrapText="1"/>
    </xf>
    <xf numFmtId="166" fontId="5" fillId="0" borderId="6" xfId="1" applyFont="1" applyFill="1" applyBorder="1"/>
    <xf numFmtId="166" fontId="2" fillId="16" borderId="6" xfId="1" applyFont="1" applyFill="1" applyBorder="1"/>
    <xf numFmtId="9" fontId="2" fillId="9" borderId="6" xfId="11" applyFont="1" applyFill="1" applyBorder="1"/>
    <xf numFmtId="166" fontId="5" fillId="9" borderId="6" xfId="1" applyFont="1" applyFill="1" applyBorder="1"/>
    <xf numFmtId="4" fontId="30" fillId="0" borderId="6" xfId="0" applyNumberFormat="1" applyFont="1" applyBorder="1" applyAlignment="1">
      <alignment horizontal="right" wrapText="1"/>
    </xf>
    <xf numFmtId="4" fontId="30" fillId="2" borderId="1" xfId="0" applyNumberFormat="1" applyFont="1" applyFill="1" applyBorder="1" applyAlignment="1">
      <alignment wrapText="1"/>
    </xf>
    <xf numFmtId="4" fontId="30" fillId="2" borderId="10" xfId="0" applyNumberFormat="1" applyFont="1" applyFill="1" applyBorder="1" applyAlignment="1">
      <alignment wrapText="1"/>
    </xf>
    <xf numFmtId="4" fontId="30" fillId="2" borderId="6" xfId="0" applyNumberFormat="1" applyFont="1" applyFill="1" applyBorder="1"/>
    <xf numFmtId="4" fontId="30" fillId="2" borderId="6" xfId="0" applyNumberFormat="1" applyFont="1" applyFill="1" applyBorder="1" applyAlignment="1">
      <alignment horizontal="right" wrapText="1"/>
    </xf>
    <xf numFmtId="4" fontId="31" fillId="2" borderId="10" xfId="6" applyNumberFormat="1" applyFont="1" applyFill="1" applyBorder="1" applyAlignment="1">
      <alignment horizontal="right"/>
    </xf>
    <xf numFmtId="4" fontId="30" fillId="0" borderId="6" xfId="0" applyNumberFormat="1" applyFont="1" applyBorder="1"/>
    <xf numFmtId="4" fontId="30" fillId="0" borderId="6" xfId="0" applyNumberFormat="1" applyFont="1" applyBorder="1" applyAlignment="1">
      <alignment wrapText="1"/>
    </xf>
    <xf numFmtId="166" fontId="2" fillId="0" borderId="6" xfId="0" applyNumberFormat="1" applyFont="1" applyBorder="1"/>
    <xf numFmtId="4" fontId="30" fillId="2" borderId="11" xfId="0" applyNumberFormat="1" applyFont="1" applyFill="1" applyBorder="1" applyAlignment="1">
      <alignment wrapText="1"/>
    </xf>
    <xf numFmtId="4" fontId="2" fillId="0" borderId="1" xfId="0" applyNumberFormat="1" applyFont="1" applyBorder="1" applyAlignment="1">
      <alignment wrapText="1"/>
    </xf>
    <xf numFmtId="4" fontId="2" fillId="25" borderId="0" xfId="0" applyNumberFormat="1" applyFont="1" applyFill="1"/>
    <xf numFmtId="4" fontId="13" fillId="25" borderId="9" xfId="0" applyNumberFormat="1" applyFont="1" applyFill="1" applyBorder="1" applyAlignment="1">
      <alignment wrapText="1"/>
    </xf>
    <xf numFmtId="4" fontId="13" fillId="30" borderId="9" xfId="0" applyNumberFormat="1" applyFont="1" applyFill="1" applyBorder="1" applyAlignment="1">
      <alignment wrapText="1"/>
    </xf>
    <xf numFmtId="4" fontId="3" fillId="30" borderId="8" xfId="2" applyNumberFormat="1" applyFont="1" applyFill="1" applyBorder="1" applyAlignment="1">
      <alignment wrapText="1"/>
    </xf>
    <xf numFmtId="4" fontId="5" fillId="30" borderId="8" xfId="0" applyNumberFormat="1" applyFont="1" applyFill="1" applyBorder="1" applyAlignment="1">
      <alignment wrapText="1"/>
    </xf>
    <xf numFmtId="0" fontId="14" fillId="0" borderId="6" xfId="0" applyFont="1" applyBorder="1"/>
    <xf numFmtId="4" fontId="5" fillId="30" borderId="11" xfId="0" applyNumberFormat="1" applyFont="1" applyFill="1" applyBorder="1" applyAlignment="1">
      <alignment wrapText="1"/>
    </xf>
    <xf numFmtId="166" fontId="2" fillId="26" borderId="0" xfId="1" applyFont="1" applyFill="1"/>
    <xf numFmtId="4" fontId="13" fillId="25" borderId="11" xfId="0" applyNumberFormat="1" applyFont="1" applyFill="1" applyBorder="1" applyAlignment="1">
      <alignment wrapText="1"/>
    </xf>
    <xf numFmtId="166" fontId="5" fillId="3" borderId="0" xfId="1" applyFont="1" applyFill="1"/>
    <xf numFmtId="4" fontId="6" fillId="5" borderId="0" xfId="2" applyNumberFormat="1" applyFont="1" applyFill="1" applyBorder="1" applyAlignment="1">
      <alignment wrapText="1"/>
    </xf>
    <xf numFmtId="4" fontId="32" fillId="2" borderId="6" xfId="0" applyNumberFormat="1" applyFont="1" applyFill="1" applyBorder="1"/>
    <xf numFmtId="4" fontId="32" fillId="2" borderId="6" xfId="0" applyNumberFormat="1" applyFont="1" applyFill="1" applyBorder="1" applyAlignment="1">
      <alignment horizontal="right" wrapText="1"/>
    </xf>
    <xf numFmtId="4" fontId="32" fillId="0" borderId="6" xfId="0" applyNumberFormat="1" applyFont="1" applyBorder="1"/>
    <xf numFmtId="4" fontId="32" fillId="0" borderId="6" xfId="0" applyNumberFormat="1" applyFont="1" applyBorder="1" applyAlignment="1">
      <alignment horizontal="right" wrapText="1"/>
    </xf>
    <xf numFmtId="4" fontId="32" fillId="0" borderId="6" xfId="0" applyNumberFormat="1" applyFont="1" applyBorder="1" applyAlignment="1">
      <alignment wrapText="1"/>
    </xf>
    <xf numFmtId="4" fontId="6" fillId="0" borderId="11" xfId="2" applyNumberFormat="1" applyFont="1" applyFill="1" applyBorder="1" applyAlignment="1">
      <alignment horizontal="right" wrapText="1"/>
    </xf>
    <xf numFmtId="4" fontId="6" fillId="0" borderId="11" xfId="2" applyNumberFormat="1" applyFont="1" applyBorder="1" applyAlignment="1">
      <alignment horizontal="right" wrapText="1"/>
    </xf>
    <xf numFmtId="0" fontId="0" fillId="0" borderId="22" xfId="0" applyBorder="1" applyAlignment="1">
      <alignment horizontal="left" wrapText="1"/>
    </xf>
    <xf numFmtId="4" fontId="7" fillId="9" borderId="9" xfId="0" applyNumberFormat="1" applyFont="1" applyFill="1" applyBorder="1" applyAlignment="1">
      <alignment wrapText="1"/>
    </xf>
    <xf numFmtId="4" fontId="5" fillId="9" borderId="0" xfId="0" applyNumberFormat="1" applyFont="1" applyFill="1"/>
    <xf numFmtId="4" fontId="13" fillId="11" borderId="9" xfId="0" applyNumberFormat="1" applyFont="1" applyFill="1" applyBorder="1" applyAlignment="1">
      <alignment wrapText="1"/>
    </xf>
    <xf numFmtId="4" fontId="3" fillId="11" borderId="8" xfId="2" applyNumberFormat="1" applyFont="1" applyFill="1" applyBorder="1" applyAlignment="1">
      <alignment wrapText="1"/>
    </xf>
    <xf numFmtId="4" fontId="5" fillId="11" borderId="8" xfId="0" applyNumberFormat="1" applyFont="1" applyFill="1" applyBorder="1" applyAlignment="1">
      <alignment wrapText="1"/>
    </xf>
    <xf numFmtId="4" fontId="5" fillId="11" borderId="11" xfId="0" applyNumberFormat="1" applyFont="1" applyFill="1" applyBorder="1" applyAlignment="1">
      <alignment wrapText="1"/>
    </xf>
    <xf numFmtId="4" fontId="13" fillId="11" borderId="11" xfId="0" applyNumberFormat="1" applyFont="1" applyFill="1" applyBorder="1" applyAlignment="1">
      <alignment wrapText="1"/>
    </xf>
    <xf numFmtId="4" fontId="0" fillId="29" borderId="11" xfId="0" applyNumberFormat="1" applyFill="1" applyBorder="1" applyAlignment="1">
      <alignment wrapText="1"/>
    </xf>
    <xf numFmtId="9" fontId="7" fillId="29" borderId="9" xfId="11" applyFont="1" applyFill="1" applyBorder="1" applyAlignment="1">
      <alignment wrapText="1"/>
    </xf>
    <xf numFmtId="166" fontId="2" fillId="9" borderId="6" xfId="1" applyFont="1" applyFill="1" applyBorder="1"/>
    <xf numFmtId="9" fontId="2" fillId="29" borderId="6" xfId="11" applyFont="1" applyFill="1" applyBorder="1"/>
    <xf numFmtId="166" fontId="2" fillId="0" borderId="6" xfId="1" quotePrefix="1" applyFont="1" applyBorder="1"/>
    <xf numFmtId="43" fontId="2" fillId="0" borderId="6" xfId="1" applyNumberFormat="1" applyFont="1" applyBorder="1"/>
    <xf numFmtId="14" fontId="8" fillId="3" borderId="6" xfId="0" applyNumberFormat="1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left" wrapText="1"/>
    </xf>
    <xf numFmtId="164" fontId="0" fillId="3" borderId="6" xfId="0" applyNumberFormat="1" applyFill="1" applyBorder="1" applyAlignment="1">
      <alignment horizontal="center" wrapText="1"/>
    </xf>
    <xf numFmtId="4" fontId="2" fillId="3" borderId="7" xfId="0" applyNumberFormat="1" applyFont="1" applyFill="1" applyBorder="1" applyAlignment="1">
      <alignment wrapText="1"/>
    </xf>
    <xf numFmtId="166" fontId="2" fillId="26" borderId="6" xfId="1" applyFont="1" applyFill="1" applyBorder="1"/>
    <xf numFmtId="166" fontId="5" fillId="25" borderId="0" xfId="0" applyNumberFormat="1" applyFont="1" applyFill="1"/>
    <xf numFmtId="0" fontId="28" fillId="0" borderId="3" xfId="0" applyFont="1" applyBorder="1" applyAlignment="1">
      <alignment horizontal="center" wrapText="1"/>
    </xf>
    <xf numFmtId="2" fontId="2" fillId="0" borderId="6" xfId="1" applyNumberFormat="1" applyFont="1" applyBorder="1"/>
    <xf numFmtId="2" fontId="2" fillId="2" borderId="6" xfId="1" applyNumberFormat="1" applyFont="1" applyFill="1" applyBorder="1"/>
    <xf numFmtId="2" fontId="0" fillId="0" borderId="6" xfId="0" applyNumberFormat="1" applyBorder="1"/>
    <xf numFmtId="2" fontId="2" fillId="21" borderId="6" xfId="0" applyNumberFormat="1" applyFont="1" applyFill="1" applyBorder="1"/>
    <xf numFmtId="166" fontId="5" fillId="19" borderId="6" xfId="1" applyFont="1" applyFill="1" applyBorder="1"/>
    <xf numFmtId="2" fontId="5" fillId="19" borderId="0" xfId="0" applyNumberFormat="1" applyFont="1" applyFill="1"/>
    <xf numFmtId="2" fontId="5" fillId="19" borderId="6" xfId="1" applyNumberFormat="1" applyFont="1" applyFill="1" applyBorder="1"/>
    <xf numFmtId="2" fontId="2" fillId="0" borderId="6" xfId="1" applyNumberFormat="1" applyFont="1" applyFill="1" applyBorder="1"/>
    <xf numFmtId="9" fontId="2" fillId="21" borderId="6" xfId="11" applyFont="1" applyFill="1" applyBorder="1"/>
    <xf numFmtId="2" fontId="0" fillId="21" borderId="6" xfId="0" applyNumberFormat="1" applyFill="1" applyBorder="1"/>
    <xf numFmtId="166" fontId="2" fillId="21" borderId="6" xfId="1" applyFont="1" applyFill="1" applyBorder="1"/>
    <xf numFmtId="166" fontId="5" fillId="19" borderId="0" xfId="0" applyNumberFormat="1" applyFont="1" applyFill="1"/>
    <xf numFmtId="0" fontId="2" fillId="0" borderId="9" xfId="0" applyFont="1" applyBorder="1"/>
    <xf numFmtId="0" fontId="2" fillId="21" borderId="0" xfId="0" applyFont="1" applyFill="1"/>
    <xf numFmtId="0" fontId="7" fillId="2" borderId="9" xfId="0" applyFont="1" applyFill="1" applyBorder="1" applyAlignment="1">
      <alignment horizontal="center" wrapText="1"/>
    </xf>
    <xf numFmtId="166" fontId="2" fillId="21" borderId="0" xfId="1" applyFont="1" applyFill="1"/>
    <xf numFmtId="4" fontId="13" fillId="0" borderId="6" xfId="0" applyNumberFormat="1" applyFont="1" applyBorder="1" applyAlignment="1">
      <alignment wrapText="1"/>
    </xf>
    <xf numFmtId="169" fontId="2" fillId="0" borderId="6" xfId="0" applyNumberFormat="1" applyFont="1" applyBorder="1"/>
    <xf numFmtId="166" fontId="30" fillId="3" borderId="0" xfId="1" applyFont="1" applyFill="1"/>
    <xf numFmtId="4" fontId="5" fillId="2" borderId="6" xfId="0" applyNumberFormat="1" applyFont="1" applyFill="1" applyBorder="1"/>
    <xf numFmtId="4" fontId="5" fillId="2" borderId="10" xfId="0" applyNumberFormat="1" applyFont="1" applyFill="1" applyBorder="1" applyAlignment="1">
      <alignment wrapText="1"/>
    </xf>
    <xf numFmtId="4" fontId="5" fillId="2" borderId="1" xfId="0" applyNumberFormat="1" applyFont="1" applyFill="1" applyBorder="1" applyAlignment="1">
      <alignment wrapText="1"/>
    </xf>
    <xf numFmtId="4" fontId="13" fillId="2" borderId="10" xfId="0" applyNumberFormat="1" applyFont="1" applyFill="1" applyBorder="1" applyAlignment="1">
      <alignment wrapText="1"/>
    </xf>
    <xf numFmtId="4" fontId="30" fillId="3" borderId="0" xfId="0" applyNumberFormat="1" applyFont="1" applyFill="1"/>
    <xf numFmtId="166" fontId="2" fillId="2" borderId="11" xfId="1" applyFont="1" applyFill="1" applyBorder="1" applyAlignment="1">
      <alignment wrapText="1"/>
    </xf>
    <xf numFmtId="0" fontId="2" fillId="0" borderId="10" xfId="7" applyBorder="1" applyAlignment="1">
      <alignment horizontal="left" wrapText="1"/>
    </xf>
    <xf numFmtId="4" fontId="0" fillId="27" borderId="6" xfId="0" applyNumberFormat="1" applyFill="1" applyBorder="1" applyAlignment="1">
      <alignment wrapText="1"/>
    </xf>
    <xf numFmtId="0" fontId="2" fillId="0" borderId="0" xfId="7" applyAlignment="1">
      <alignment horizontal="center"/>
    </xf>
    <xf numFmtId="166" fontId="7" fillId="5" borderId="6" xfId="8" applyFont="1" applyFill="1" applyBorder="1" applyAlignment="1">
      <alignment horizontal="center" wrapText="1"/>
    </xf>
    <xf numFmtId="166" fontId="7" fillId="5" borderId="22" xfId="8" applyFont="1" applyFill="1" applyBorder="1" applyAlignment="1">
      <alignment horizontal="center" wrapText="1"/>
    </xf>
    <xf numFmtId="4" fontId="2" fillId="26" borderId="6" xfId="0" applyNumberFormat="1" applyFont="1" applyFill="1" applyBorder="1"/>
    <xf numFmtId="43" fontId="2" fillId="4" borderId="6" xfId="3" applyFont="1" applyFill="1" applyBorder="1"/>
    <xf numFmtId="43" fontId="2" fillId="0" borderId="6" xfId="3" applyFont="1" applyBorder="1"/>
    <xf numFmtId="166" fontId="2" fillId="2" borderId="6" xfId="8" applyFont="1" applyFill="1" applyBorder="1"/>
    <xf numFmtId="166" fontId="2" fillId="0" borderId="6" xfId="8" applyFont="1" applyBorder="1" applyAlignment="1">
      <alignment horizontal="right" wrapText="1"/>
    </xf>
    <xf numFmtId="166" fontId="5" fillId="2" borderId="7" xfId="8" applyFont="1" applyFill="1" applyBorder="1" applyAlignment="1">
      <alignment wrapText="1"/>
    </xf>
    <xf numFmtId="0" fontId="2" fillId="0" borderId="6" xfId="0" applyFont="1" applyBorder="1" applyAlignment="1">
      <alignment wrapText="1"/>
    </xf>
    <xf numFmtId="0" fontId="2" fillId="0" borderId="7" xfId="0" applyFont="1" applyBorder="1" applyAlignment="1">
      <alignment wrapText="1"/>
    </xf>
    <xf numFmtId="2" fontId="0" fillId="3" borderId="6" xfId="0" applyNumberFormat="1" applyFill="1" applyBorder="1" applyAlignment="1">
      <alignment wrapText="1"/>
    </xf>
    <xf numFmtId="0" fontId="0" fillId="0" borderId="0" xfId="0" applyAlignment="1">
      <alignment horizontal="left"/>
    </xf>
    <xf numFmtId="4" fontId="0" fillId="31" borderId="6" xfId="0" applyNumberFormat="1" applyFill="1" applyBorder="1" applyAlignment="1">
      <alignment wrapText="1"/>
    </xf>
    <xf numFmtId="0" fontId="2" fillId="0" borderId="0" xfId="0" applyFont="1" applyAlignment="1">
      <alignment horizontal="left"/>
    </xf>
    <xf numFmtId="0" fontId="2" fillId="2" borderId="0" xfId="0" applyFont="1" applyFill="1" applyAlignment="1">
      <alignment horizontal="left"/>
    </xf>
    <xf numFmtId="16" fontId="2" fillId="0" borderId="0" xfId="0" applyNumberFormat="1" applyFont="1"/>
    <xf numFmtId="166" fontId="0" fillId="0" borderId="0" xfId="8" applyFont="1"/>
    <xf numFmtId="0" fontId="0" fillId="32" borderId="6" xfId="0" applyFill="1" applyBorder="1" applyAlignment="1">
      <alignment horizontal="left" wrapText="1"/>
    </xf>
    <xf numFmtId="0" fontId="0" fillId="32" borderId="10" xfId="0" applyFill="1" applyBorder="1" applyAlignment="1">
      <alignment horizontal="left" wrapText="1"/>
    </xf>
    <xf numFmtId="0" fontId="13" fillId="2" borderId="9" xfId="0" applyFont="1" applyFill="1" applyBorder="1" applyAlignment="1">
      <alignment horizontal="left" wrapText="1"/>
    </xf>
    <xf numFmtId="4" fontId="5" fillId="26" borderId="0" xfId="0" applyNumberFormat="1" applyFont="1" applyFill="1"/>
    <xf numFmtId="14" fontId="8" fillId="0" borderId="6" xfId="0" applyNumberFormat="1" applyFont="1" applyBorder="1" applyAlignment="1">
      <alignment horizontal="left" vertical="center" wrapText="1" indent="1"/>
    </xf>
    <xf numFmtId="0" fontId="2" fillId="0" borderId="6" xfId="0" applyFont="1" applyBorder="1" applyAlignment="1">
      <alignment horizontal="left" wrapText="1" indent="1"/>
    </xf>
    <xf numFmtId="0" fontId="0" fillId="0" borderId="6" xfId="0" applyBorder="1" applyAlignment="1">
      <alignment horizontal="left" wrapText="1" indent="1"/>
    </xf>
    <xf numFmtId="4" fontId="5" fillId="5" borderId="7" xfId="0" applyNumberFormat="1" applyFont="1" applyFill="1" applyBorder="1" applyAlignment="1">
      <alignment wrapText="1"/>
    </xf>
    <xf numFmtId="0" fontId="0" fillId="0" borderId="6" xfId="0" applyBorder="1" applyAlignment="1">
      <alignment horizontal="left"/>
    </xf>
    <xf numFmtId="43" fontId="2" fillId="0" borderId="6" xfId="3" applyFont="1" applyFill="1" applyBorder="1"/>
    <xf numFmtId="43" fontId="8" fillId="0" borderId="6" xfId="3" applyFont="1" applyBorder="1" applyAlignment="1">
      <alignment horizontal="right" vertical="center" wrapText="1"/>
    </xf>
    <xf numFmtId="0" fontId="2" fillId="2" borderId="6" xfId="0" applyFont="1" applyFill="1" applyBorder="1" applyAlignment="1">
      <alignment horizontal="right" wrapText="1"/>
    </xf>
    <xf numFmtId="14" fontId="8" fillId="0" borderId="14" xfId="0" applyNumberFormat="1" applyFont="1" applyBorder="1" applyAlignment="1">
      <alignment horizontal="center" vertical="center" wrapText="1"/>
    </xf>
    <xf numFmtId="0" fontId="2" fillId="2" borderId="22" xfId="0" applyFont="1" applyFill="1" applyBorder="1" applyAlignment="1">
      <alignment horizontal="center" wrapText="1"/>
    </xf>
    <xf numFmtId="4" fontId="2" fillId="0" borderId="22" xfId="0" applyNumberFormat="1" applyFont="1" applyBorder="1" applyAlignment="1">
      <alignment horizontal="right" wrapText="1"/>
    </xf>
    <xf numFmtId="4" fontId="5" fillId="0" borderId="24" xfId="0" applyNumberFormat="1" applyFont="1" applyBorder="1" applyAlignment="1">
      <alignment wrapText="1"/>
    </xf>
    <xf numFmtId="4" fontId="5" fillId="33" borderId="6" xfId="0" applyNumberFormat="1" applyFont="1" applyFill="1" applyBorder="1"/>
    <xf numFmtId="4" fontId="5" fillId="33" borderId="6" xfId="0" applyNumberFormat="1" applyFont="1" applyFill="1" applyBorder="1" applyAlignment="1">
      <alignment wrapText="1"/>
    </xf>
    <xf numFmtId="4" fontId="2" fillId="24" borderId="6" xfId="0" applyNumberFormat="1" applyFont="1" applyFill="1" applyBorder="1"/>
    <xf numFmtId="4" fontId="5" fillId="22" borderId="6" xfId="0" applyNumberFormat="1" applyFont="1" applyFill="1" applyBorder="1"/>
    <xf numFmtId="4" fontId="5" fillId="22" borderId="6" xfId="0" applyNumberFormat="1" applyFont="1" applyFill="1" applyBorder="1" applyAlignment="1">
      <alignment wrapText="1"/>
    </xf>
    <xf numFmtId="4" fontId="5" fillId="3" borderId="6" xfId="0" applyNumberFormat="1" applyFont="1" applyFill="1" applyBorder="1" applyAlignment="1">
      <alignment horizontal="right" wrapText="1"/>
    </xf>
    <xf numFmtId="166" fontId="7" fillId="5" borderId="9" xfId="8" applyFont="1" applyFill="1" applyBorder="1" applyAlignment="1">
      <alignment horizontal="right" wrapText="1"/>
    </xf>
    <xf numFmtId="4" fontId="30" fillId="0" borderId="0" xfId="0" applyNumberFormat="1" applyFont="1"/>
    <xf numFmtId="0" fontId="2" fillId="0" borderId="15" xfId="7" applyBorder="1" applyAlignment="1">
      <alignment horizontal="left" wrapText="1"/>
    </xf>
    <xf numFmtId="4" fontId="5" fillId="16" borderId="6" xfId="0" applyNumberFormat="1" applyFont="1" applyFill="1" applyBorder="1" applyAlignment="1">
      <alignment wrapText="1"/>
    </xf>
    <xf numFmtId="49" fontId="3" fillId="0" borderId="0" xfId="0" applyNumberFormat="1" applyFont="1" applyAlignment="1">
      <alignment horizontal="center"/>
    </xf>
    <xf numFmtId="49" fontId="3" fillId="0" borderId="14" xfId="0" applyNumberFormat="1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3" fillId="0" borderId="17" xfId="0" applyFont="1" applyBorder="1" applyAlignment="1">
      <alignment horizontal="center"/>
    </xf>
    <xf numFmtId="4" fontId="3" fillId="0" borderId="16" xfId="0" applyNumberFormat="1" applyFont="1" applyBorder="1" applyAlignment="1">
      <alignment horizontal="center"/>
    </xf>
    <xf numFmtId="4" fontId="3" fillId="0" borderId="1" xfId="0" applyNumberFormat="1" applyFont="1" applyBorder="1" applyAlignment="1">
      <alignment horizontal="center"/>
    </xf>
    <xf numFmtId="4" fontId="5" fillId="2" borderId="18" xfId="0" applyNumberFormat="1" applyFont="1" applyFill="1" applyBorder="1" applyAlignment="1">
      <alignment horizontal="center" wrapText="1"/>
    </xf>
    <xf numFmtId="4" fontId="5" fillId="2" borderId="19" xfId="0" applyNumberFormat="1" applyFont="1" applyFill="1" applyBorder="1" applyAlignment="1">
      <alignment horizontal="center" wrapText="1"/>
    </xf>
    <xf numFmtId="4" fontId="5" fillId="2" borderId="20" xfId="0" applyNumberFormat="1" applyFont="1" applyFill="1" applyBorder="1" applyAlignment="1">
      <alignment horizontal="center" wrapText="1"/>
    </xf>
    <xf numFmtId="166" fontId="2" fillId="0" borderId="0" xfId="8" applyFont="1" applyAlignment="1">
      <alignment horizontal="right"/>
    </xf>
    <xf numFmtId="4" fontId="3" fillId="0" borderId="5" xfId="7" applyNumberFormat="1" applyFont="1" applyBorder="1" applyAlignment="1">
      <alignment horizontal="center" wrapText="1"/>
    </xf>
    <xf numFmtId="4" fontId="3" fillId="0" borderId="3" xfId="7" applyNumberFormat="1" applyFont="1" applyBorder="1" applyAlignment="1">
      <alignment horizontal="center" wrapText="1"/>
    </xf>
    <xf numFmtId="4" fontId="3" fillId="2" borderId="4" xfId="7" applyNumberFormat="1" applyFont="1" applyFill="1" applyBorder="1" applyAlignment="1">
      <alignment horizontal="center" wrapText="1"/>
    </xf>
    <xf numFmtId="4" fontId="2" fillId="2" borderId="6" xfId="7" applyNumberFormat="1" applyFill="1" applyBorder="1" applyAlignment="1">
      <alignment horizontal="right" wrapText="1"/>
    </xf>
    <xf numFmtId="4" fontId="5" fillId="2" borderId="7" xfId="7" applyNumberFormat="1" applyFont="1" applyFill="1" applyBorder="1" applyAlignment="1">
      <alignment horizontal="right" wrapText="1"/>
    </xf>
    <xf numFmtId="4" fontId="7" fillId="2" borderId="9" xfId="7" applyNumberFormat="1" applyFont="1" applyFill="1" applyBorder="1" applyAlignment="1">
      <alignment wrapText="1"/>
    </xf>
    <xf numFmtId="4" fontId="4" fillId="2" borderId="10" xfId="7" applyNumberFormat="1" applyFont="1" applyFill="1" applyBorder="1" applyAlignment="1">
      <alignment horizontal="right" vertical="center" wrapText="1"/>
    </xf>
    <xf numFmtId="14" fontId="8" fillId="0" borderId="10" xfId="7" applyNumberFormat="1" applyFont="1" applyBorder="1" applyAlignment="1">
      <alignment horizontal="center" vertical="center" wrapText="1"/>
    </xf>
    <xf numFmtId="0" fontId="2" fillId="0" borderId="10" xfId="7" applyBorder="1" applyAlignment="1">
      <alignment horizontal="center" wrapText="1"/>
    </xf>
    <xf numFmtId="4" fontId="5" fillId="0" borderId="7" xfId="7" applyNumberFormat="1" applyFont="1" applyBorder="1" applyAlignment="1">
      <alignment horizontal="right" wrapText="1"/>
    </xf>
    <xf numFmtId="4" fontId="7" fillId="0" borderId="9" xfId="7" applyNumberFormat="1" applyFont="1" applyBorder="1" applyAlignment="1">
      <alignment wrapText="1"/>
    </xf>
    <xf numFmtId="4" fontId="8" fillId="0" borderId="6" xfId="7" applyNumberFormat="1" applyFont="1" applyBorder="1" applyAlignment="1">
      <alignment horizontal="right" vertical="center" wrapText="1"/>
    </xf>
    <xf numFmtId="4" fontId="2" fillId="0" borderId="0" xfId="7" applyNumberFormat="1"/>
    <xf numFmtId="4" fontId="2" fillId="0" borderId="7" xfId="7" applyNumberFormat="1" applyBorder="1" applyAlignment="1">
      <alignment horizontal="right" wrapText="1"/>
    </xf>
    <xf numFmtId="0" fontId="2" fillId="2" borderId="10" xfId="7" applyFill="1" applyBorder="1" applyAlignment="1">
      <alignment horizontal="left" wrapText="1"/>
    </xf>
    <xf numFmtId="4" fontId="2" fillId="4" borderId="6" xfId="7" applyNumberFormat="1" applyFill="1" applyBorder="1" applyAlignment="1">
      <alignment horizontal="right" wrapText="1"/>
    </xf>
    <xf numFmtId="0" fontId="2" fillId="2" borderId="6" xfId="7" applyFill="1" applyBorder="1" applyAlignment="1">
      <alignment horizontal="left" wrapText="1"/>
    </xf>
    <xf numFmtId="4" fontId="7" fillId="4" borderId="9" xfId="7" applyNumberFormat="1" applyFont="1" applyFill="1" applyBorder="1" applyAlignment="1">
      <alignment wrapText="1"/>
    </xf>
    <xf numFmtId="4" fontId="4" fillId="0" borderId="6" xfId="7" applyNumberFormat="1" applyFont="1" applyBorder="1" applyAlignment="1">
      <alignment horizontal="right" vertical="center" wrapText="1"/>
    </xf>
    <xf numFmtId="4" fontId="5" fillId="27" borderId="7" xfId="7" applyNumberFormat="1" applyFont="1" applyFill="1" applyBorder="1" applyAlignment="1">
      <alignment horizontal="right" wrapText="1"/>
    </xf>
    <xf numFmtId="166" fontId="5" fillId="0" borderId="0" xfId="8" applyFont="1" applyAlignment="1">
      <alignment horizontal="right"/>
    </xf>
    <xf numFmtId="14" fontId="2" fillId="2" borderId="10" xfId="7" applyNumberFormat="1" applyFill="1" applyBorder="1" applyAlignment="1">
      <alignment horizontal="center" wrapText="1"/>
    </xf>
    <xf numFmtId="0" fontId="2" fillId="2" borderId="10" xfId="7" applyFill="1" applyBorder="1" applyAlignment="1">
      <alignment horizontal="center" wrapText="1"/>
    </xf>
    <xf numFmtId="0" fontId="9" fillId="2" borderId="10" xfId="7" applyFont="1" applyFill="1" applyBorder="1" applyAlignment="1">
      <alignment horizontal="left" wrapText="1"/>
    </xf>
    <xf numFmtId="164" fontId="2" fillId="2" borderId="6" xfId="7" applyNumberFormat="1" applyFill="1" applyBorder="1" applyAlignment="1">
      <alignment horizontal="center" wrapText="1"/>
    </xf>
    <xf numFmtId="4" fontId="2" fillId="2" borderId="6" xfId="7" applyNumberFormat="1" applyFill="1" applyBorder="1"/>
    <xf numFmtId="4" fontId="2" fillId="2" borderId="10" xfId="7" applyNumberFormat="1" applyFill="1" applyBorder="1" applyAlignment="1">
      <alignment wrapText="1"/>
    </xf>
    <xf numFmtId="4" fontId="2" fillId="2" borderId="7" xfId="7" applyNumberFormat="1" applyFill="1" applyBorder="1" applyAlignment="1">
      <alignment wrapText="1"/>
    </xf>
    <xf numFmtId="4" fontId="2" fillId="2" borderId="1" xfId="7" applyNumberFormat="1" applyFill="1" applyBorder="1" applyAlignment="1">
      <alignment wrapText="1"/>
    </xf>
    <xf numFmtId="4" fontId="7" fillId="2" borderId="10" xfId="7" applyNumberFormat="1" applyFont="1" applyFill="1" applyBorder="1" applyAlignment="1">
      <alignment wrapText="1"/>
    </xf>
    <xf numFmtId="4" fontId="5" fillId="2" borderId="7" xfId="7" applyNumberFormat="1" applyFont="1" applyFill="1" applyBorder="1" applyAlignment="1">
      <alignment wrapText="1"/>
    </xf>
    <xf numFmtId="4" fontId="2" fillId="2" borderId="11" xfId="7" applyNumberFormat="1" applyFill="1" applyBorder="1" applyAlignment="1">
      <alignment wrapText="1"/>
    </xf>
    <xf numFmtId="4" fontId="7" fillId="2" borderId="6" xfId="7" applyNumberFormat="1" applyFont="1" applyFill="1" applyBorder="1" applyAlignment="1">
      <alignment wrapText="1"/>
    </xf>
    <xf numFmtId="4" fontId="5" fillId="2" borderId="6" xfId="7" applyNumberFormat="1" applyFont="1" applyFill="1" applyBorder="1" applyAlignment="1">
      <alignment wrapText="1"/>
    </xf>
    <xf numFmtId="4" fontId="2" fillId="3" borderId="6" xfId="7" applyNumberFormat="1" applyFill="1" applyBorder="1"/>
    <xf numFmtId="4" fontId="2" fillId="3" borderId="6" xfId="7" applyNumberFormat="1" applyFill="1" applyBorder="1" applyAlignment="1">
      <alignment horizontal="right" wrapText="1"/>
    </xf>
    <xf numFmtId="4" fontId="5" fillId="0" borderId="6" xfId="7" applyNumberFormat="1" applyFont="1" applyBorder="1"/>
    <xf numFmtId="16" fontId="2" fillId="0" borderId="0" xfId="7" applyNumberFormat="1"/>
    <xf numFmtId="4" fontId="5" fillId="27" borderId="7" xfId="7" applyNumberFormat="1" applyFont="1" applyFill="1" applyBorder="1" applyAlignment="1">
      <alignment wrapText="1"/>
    </xf>
    <xf numFmtId="4" fontId="5" fillId="0" borderId="6" xfId="7" applyNumberFormat="1" applyFont="1" applyBorder="1" applyAlignment="1">
      <alignment wrapText="1"/>
    </xf>
    <xf numFmtId="0" fontId="5" fillId="2" borderId="6" xfId="7" applyFont="1" applyFill="1" applyBorder="1" applyAlignment="1">
      <alignment horizontal="left" wrapText="1"/>
    </xf>
    <xf numFmtId="14" fontId="8" fillId="2" borderId="6" xfId="7" applyNumberFormat="1" applyFont="1" applyFill="1" applyBorder="1" applyAlignment="1">
      <alignment horizontal="center" vertical="center" wrapText="1"/>
    </xf>
    <xf numFmtId="4" fontId="2" fillId="2" borderId="6" xfId="7" applyNumberFormat="1" applyFill="1" applyBorder="1" applyAlignment="1">
      <alignment wrapText="1"/>
    </xf>
    <xf numFmtId="166" fontId="2" fillId="2" borderId="0" xfId="8" applyFont="1" applyFill="1" applyAlignment="1">
      <alignment horizontal="right"/>
    </xf>
    <xf numFmtId="0" fontId="2" fillId="2" borderId="0" xfId="7" applyFill="1"/>
    <xf numFmtId="4" fontId="2" fillId="2" borderId="3" xfId="7" applyNumberFormat="1" applyFill="1" applyBorder="1" applyAlignment="1">
      <alignment horizontal="right" wrapText="1"/>
    </xf>
    <xf numFmtId="4" fontId="2" fillId="2" borderId="4" xfId="7" applyNumberFormat="1" applyFill="1" applyBorder="1" applyAlignment="1">
      <alignment horizontal="right" wrapText="1"/>
    </xf>
    <xf numFmtId="4" fontId="2" fillId="2" borderId="0" xfId="7" applyNumberFormat="1" applyFill="1"/>
    <xf numFmtId="166" fontId="0" fillId="0" borderId="0" xfId="8" applyFont="1" applyAlignment="1">
      <alignment horizontal="right"/>
    </xf>
    <xf numFmtId="49" fontId="2" fillId="2" borderId="6" xfId="7" applyNumberFormat="1" applyFill="1" applyBorder="1" applyAlignment="1">
      <alignment horizontal="center" wrapText="1"/>
    </xf>
    <xf numFmtId="166" fontId="0" fillId="2" borderId="0" xfId="8" applyFont="1" applyFill="1" applyAlignment="1">
      <alignment horizontal="right"/>
    </xf>
    <xf numFmtId="0" fontId="9" fillId="2" borderId="6" xfId="7" applyFont="1" applyFill="1" applyBorder="1" applyAlignment="1">
      <alignment horizontal="left" wrapText="1"/>
    </xf>
    <xf numFmtId="14" fontId="2" fillId="0" borderId="6" xfId="7" applyNumberFormat="1" applyBorder="1" applyAlignment="1">
      <alignment horizontal="center" wrapText="1"/>
    </xf>
    <xf numFmtId="0" fontId="23" fillId="0" borderId="6" xfId="7" applyFont="1" applyBorder="1" applyAlignment="1">
      <alignment horizontal="left" wrapText="1"/>
    </xf>
    <xf numFmtId="4" fontId="2" fillId="4" borderId="11" xfId="7" applyNumberFormat="1" applyFill="1" applyBorder="1" applyAlignment="1">
      <alignment wrapText="1"/>
    </xf>
    <xf numFmtId="166" fontId="2" fillId="0" borderId="0" xfId="8" applyFont="1" applyFill="1" applyAlignment="1">
      <alignment horizontal="right"/>
    </xf>
    <xf numFmtId="4" fontId="5" fillId="27" borderId="6" xfId="7" applyNumberFormat="1" applyFont="1" applyFill="1" applyBorder="1" applyAlignment="1">
      <alignment wrapText="1"/>
    </xf>
    <xf numFmtId="4" fontId="2" fillId="2" borderId="21" xfId="7" applyNumberFormat="1" applyFill="1" applyBorder="1" applyAlignment="1">
      <alignment horizontal="right" wrapText="1"/>
    </xf>
    <xf numFmtId="4" fontId="2" fillId="2" borderId="10" xfId="7" applyNumberFormat="1" applyFill="1" applyBorder="1" applyAlignment="1">
      <alignment horizontal="right" wrapText="1"/>
    </xf>
    <xf numFmtId="0" fontId="2" fillId="2" borderId="2" xfId="7" applyFill="1" applyBorder="1" applyAlignment="1">
      <alignment horizontal="center" wrapText="1"/>
    </xf>
    <xf numFmtId="0" fontId="2" fillId="2" borderId="3" xfId="7" applyFill="1" applyBorder="1" applyAlignment="1">
      <alignment horizontal="center" wrapText="1"/>
    </xf>
    <xf numFmtId="0" fontId="5" fillId="2" borderId="3" xfId="7" applyFont="1" applyFill="1" applyBorder="1" applyAlignment="1">
      <alignment horizontal="center" wrapText="1"/>
    </xf>
    <xf numFmtId="164" fontId="2" fillId="2" borderId="3" xfId="7" applyNumberFormat="1" applyFill="1" applyBorder="1" applyAlignment="1">
      <alignment horizontal="center" wrapText="1"/>
    </xf>
    <xf numFmtId="0" fontId="3" fillId="2" borderId="4" xfId="7" applyFont="1" applyFill="1" applyBorder="1" applyAlignment="1">
      <alignment horizontal="center" wrapText="1"/>
    </xf>
    <xf numFmtId="0" fontId="2" fillId="2" borderId="9" xfId="7" applyFill="1" applyBorder="1" applyAlignment="1">
      <alignment horizontal="center" wrapText="1"/>
    </xf>
    <xf numFmtId="0" fontId="2" fillId="2" borderId="9" xfId="7" applyFill="1" applyBorder="1" applyAlignment="1">
      <alignment horizontal="left" wrapText="1"/>
    </xf>
    <xf numFmtId="164" fontId="2" fillId="2" borderId="9" xfId="7" applyNumberFormat="1" applyFill="1" applyBorder="1" applyAlignment="1">
      <alignment horizontal="center" wrapText="1"/>
    </xf>
    <xf numFmtId="4" fontId="2" fillId="2" borderId="9" xfId="7" applyNumberFormat="1" applyFill="1" applyBorder="1" applyAlignment="1">
      <alignment horizontal="right" wrapText="1"/>
    </xf>
    <xf numFmtId="4" fontId="2" fillId="2" borderId="7" xfId="7" applyNumberFormat="1" applyFill="1" applyBorder="1" applyAlignment="1">
      <alignment horizontal="right" wrapText="1"/>
    </xf>
    <xf numFmtId="0" fontId="5" fillId="2" borderId="2" xfId="7" applyFont="1" applyFill="1" applyBorder="1" applyAlignment="1">
      <alignment horizontal="center" wrapText="1"/>
    </xf>
    <xf numFmtId="14" fontId="2" fillId="2" borderId="6" xfId="7" applyNumberFormat="1" applyFill="1" applyBorder="1" applyAlignment="1">
      <alignment horizontal="center" wrapText="1"/>
    </xf>
    <xf numFmtId="16" fontId="6" fillId="2" borderId="6" xfId="5" applyNumberFormat="1" applyFill="1" applyBorder="1" applyAlignment="1">
      <alignment horizontal="left" wrapText="1"/>
    </xf>
    <xf numFmtId="0" fontId="2" fillId="2" borderId="8" xfId="7" applyFill="1" applyBorder="1" applyAlignment="1">
      <alignment horizontal="center" wrapText="1"/>
    </xf>
    <xf numFmtId="0" fontId="2" fillId="2" borderId="8" xfId="7" applyFill="1" applyBorder="1" applyAlignment="1">
      <alignment horizontal="left" wrapText="1"/>
    </xf>
    <xf numFmtId="0" fontId="2" fillId="0" borderId="8" xfId="7" applyBorder="1" applyAlignment="1">
      <alignment horizontal="left" wrapText="1"/>
    </xf>
    <xf numFmtId="4" fontId="5" fillId="2" borderId="6" xfId="7" applyNumberFormat="1" applyFont="1" applyFill="1" applyBorder="1" applyAlignment="1">
      <alignment horizontal="right" wrapText="1"/>
    </xf>
    <xf numFmtId="4" fontId="2" fillId="2" borderId="11" xfId="7" applyNumberFormat="1" applyFill="1" applyBorder="1" applyAlignment="1">
      <alignment horizontal="right" wrapText="1"/>
    </xf>
    <xf numFmtId="4" fontId="2" fillId="2" borderId="11" xfId="7" applyNumberFormat="1" applyFill="1" applyBorder="1" applyAlignment="1">
      <alignment horizontal="center" wrapText="1"/>
    </xf>
    <xf numFmtId="0" fontId="2" fillId="2" borderId="6" xfId="7" applyFill="1" applyBorder="1"/>
    <xf numFmtId="0" fontId="11" fillId="2" borderId="6" xfId="7" applyFont="1" applyFill="1" applyBorder="1"/>
    <xf numFmtId="0" fontId="12" fillId="2" borderId="6" xfId="7" applyFont="1" applyFill="1" applyBorder="1"/>
    <xf numFmtId="0" fontId="12" fillId="2" borderId="0" xfId="7" applyFont="1" applyFill="1"/>
    <xf numFmtId="4" fontId="2" fillId="0" borderId="11" xfId="7" applyNumberFormat="1" applyBorder="1" applyAlignment="1">
      <alignment horizontal="right" wrapText="1"/>
    </xf>
    <xf numFmtId="4" fontId="2" fillId="0" borderId="11" xfId="7" applyNumberFormat="1" applyBorder="1" applyAlignment="1">
      <alignment horizontal="center" wrapText="1"/>
    </xf>
    <xf numFmtId="14" fontId="2" fillId="0" borderId="11" xfId="7" applyNumberFormat="1" applyBorder="1"/>
    <xf numFmtId="0" fontId="2" fillId="0" borderId="12" xfId="7" applyBorder="1"/>
    <xf numFmtId="0" fontId="2" fillId="0" borderId="11" xfId="7" applyBorder="1"/>
    <xf numFmtId="2" fontId="2" fillId="0" borderId="0" xfId="7" applyNumberFormat="1"/>
    <xf numFmtId="4" fontId="6" fillId="0" borderId="6" xfId="2" applyNumberFormat="1" applyFont="1" applyFill="1" applyBorder="1" applyAlignment="1">
      <alignment wrapText="1"/>
    </xf>
    <xf numFmtId="4" fontId="7" fillId="5" borderId="6" xfId="7" applyNumberFormat="1" applyFont="1" applyFill="1" applyBorder="1" applyAlignment="1">
      <alignment wrapText="1"/>
    </xf>
    <xf numFmtId="2" fontId="2" fillId="0" borderId="6" xfId="12" applyNumberFormat="1" applyFont="1" applyFill="1" applyBorder="1" applyAlignment="1">
      <alignment horizontal="right"/>
    </xf>
    <xf numFmtId="0" fontId="6" fillId="5" borderId="6" xfId="12" applyNumberFormat="1" applyFont="1" applyFill="1" applyBorder="1" applyAlignment="1">
      <alignment horizontal="right"/>
    </xf>
    <xf numFmtId="166" fontId="7" fillId="2" borderId="6" xfId="8" applyFont="1" applyFill="1" applyBorder="1" applyAlignment="1">
      <alignment wrapText="1"/>
    </xf>
    <xf numFmtId="166" fontId="0" fillId="2" borderId="6" xfId="8" applyFont="1" applyFill="1" applyBorder="1"/>
    <xf numFmtId="0" fontId="2" fillId="5" borderId="6" xfId="7" applyFill="1" applyBorder="1"/>
    <xf numFmtId="2" fontId="2" fillId="0" borderId="6" xfId="7" applyNumberFormat="1" applyBorder="1"/>
    <xf numFmtId="166" fontId="0" fillId="0" borderId="6" xfId="8" applyFont="1" applyFill="1" applyBorder="1"/>
    <xf numFmtId="4" fontId="7" fillId="35" borderId="6" xfId="7" applyNumberFormat="1" applyFont="1" applyFill="1" applyBorder="1" applyAlignment="1">
      <alignment wrapText="1"/>
    </xf>
    <xf numFmtId="4" fontId="5" fillId="35" borderId="6" xfId="7" applyNumberFormat="1" applyFont="1" applyFill="1" applyBorder="1"/>
    <xf numFmtId="4" fontId="13" fillId="0" borderId="6" xfId="7" applyNumberFormat="1" applyFont="1" applyBorder="1" applyAlignment="1">
      <alignment wrapText="1"/>
    </xf>
    <xf numFmtId="166" fontId="2" fillId="0" borderId="0" xfId="7" applyNumberFormat="1"/>
    <xf numFmtId="166" fontId="2" fillId="5" borderId="6" xfId="7" applyNumberFormat="1" applyFill="1" applyBorder="1" applyAlignment="1">
      <alignment horizontal="right" wrapText="1"/>
    </xf>
    <xf numFmtId="166" fontId="7" fillId="5" borderId="9" xfId="8" applyFont="1" applyFill="1" applyBorder="1" applyAlignment="1">
      <alignment wrapText="1"/>
    </xf>
    <xf numFmtId="166" fontId="2" fillId="0" borderId="14" xfId="7" applyNumberFormat="1" applyBorder="1" applyAlignment="1">
      <alignment horizontal="right" wrapText="1"/>
    </xf>
    <xf numFmtId="166" fontId="7" fillId="0" borderId="0" xfId="8" applyFont="1" applyFill="1" applyBorder="1" applyAlignment="1">
      <alignment wrapText="1"/>
    </xf>
    <xf numFmtId="166" fontId="0" fillId="0" borderId="0" xfId="8" applyFont="1" applyFill="1" applyBorder="1"/>
    <xf numFmtId="166" fontId="7" fillId="0" borderId="0" xfId="8" applyFont="1" applyFill="1" applyAlignment="1">
      <alignment wrapText="1"/>
    </xf>
    <xf numFmtId="166" fontId="7" fillId="5" borderId="0" xfId="8" applyFont="1" applyFill="1" applyAlignment="1">
      <alignment wrapText="1"/>
    </xf>
    <xf numFmtId="166" fontId="0" fillId="0" borderId="0" xfId="8" applyFont="1" applyFill="1"/>
    <xf numFmtId="166" fontId="2" fillId="0" borderId="6" xfId="7" applyNumberFormat="1" applyBorder="1" applyAlignment="1">
      <alignment horizontal="right" wrapText="1"/>
    </xf>
    <xf numFmtId="4" fontId="6" fillId="0" borderId="6" xfId="2" applyNumberFormat="1" applyFont="1" applyFill="1" applyBorder="1" applyAlignment="1">
      <alignment horizontal="right" wrapText="1"/>
    </xf>
    <xf numFmtId="166" fontId="2" fillId="0" borderId="6" xfId="7" applyNumberFormat="1" applyBorder="1"/>
    <xf numFmtId="43" fontId="2" fillId="0" borderId="0" xfId="7" applyNumberFormat="1"/>
    <xf numFmtId="166" fontId="5" fillId="4" borderId="6" xfId="7" applyNumberFormat="1" applyFont="1" applyFill="1" applyBorder="1" applyAlignment="1">
      <alignment horizontal="right" wrapText="1"/>
    </xf>
    <xf numFmtId="4" fontId="5" fillId="0" borderId="6" xfId="7" applyNumberFormat="1" applyFont="1" applyBorder="1" applyAlignment="1">
      <alignment horizontal="right" wrapText="1"/>
    </xf>
    <xf numFmtId="2" fontId="6" fillId="0" borderId="6" xfId="12" applyNumberFormat="1" applyFont="1" applyFill="1" applyBorder="1" applyAlignment="1">
      <alignment horizontal="right"/>
    </xf>
    <xf numFmtId="4" fontId="2" fillId="34" borderId="6" xfId="7" applyNumberFormat="1" applyFill="1" applyBorder="1" applyAlignment="1">
      <alignment wrapText="1"/>
    </xf>
    <xf numFmtId="2" fontId="5" fillId="4" borderId="6" xfId="7" applyNumberFormat="1" applyFont="1" applyFill="1" applyBorder="1"/>
    <xf numFmtId="4" fontId="6" fillId="34" borderId="6" xfId="2" applyNumberFormat="1" applyFont="1" applyFill="1" applyBorder="1" applyAlignment="1">
      <alignment wrapText="1"/>
    </xf>
    <xf numFmtId="4" fontId="2" fillId="34" borderId="6" xfId="7" applyNumberFormat="1" applyFill="1" applyBorder="1"/>
    <xf numFmtId="4" fontId="2" fillId="4" borderId="6" xfId="7" applyNumberFormat="1" applyFill="1" applyBorder="1" applyAlignment="1">
      <alignment wrapText="1"/>
    </xf>
    <xf numFmtId="4" fontId="7" fillId="34" borderId="6" xfId="7" applyNumberFormat="1" applyFont="1" applyFill="1" applyBorder="1" applyAlignment="1">
      <alignment wrapText="1"/>
    </xf>
    <xf numFmtId="2" fontId="5" fillId="0" borderId="6" xfId="7" applyNumberFormat="1" applyFont="1" applyBorder="1"/>
    <xf numFmtId="0" fontId="6" fillId="0" borderId="6" xfId="12" applyNumberFormat="1" applyFont="1" applyFill="1" applyBorder="1" applyAlignment="1">
      <alignment horizontal="right"/>
    </xf>
    <xf numFmtId="4" fontId="5" fillId="4" borderId="6" xfId="7" applyNumberFormat="1" applyFont="1" applyFill="1" applyBorder="1" applyAlignment="1">
      <alignment wrapText="1"/>
    </xf>
    <xf numFmtId="166" fontId="7" fillId="0" borderId="6" xfId="7" applyNumberFormat="1" applyFont="1" applyBorder="1" applyAlignment="1">
      <alignment wrapText="1"/>
    </xf>
    <xf numFmtId="2" fontId="2" fillId="34" borderId="6" xfId="7" applyNumberFormat="1" applyFill="1" applyBorder="1"/>
    <xf numFmtId="4" fontId="3" fillId="4" borderId="6" xfId="2" applyNumberFormat="1" applyFont="1" applyFill="1" applyBorder="1" applyAlignment="1">
      <alignment wrapText="1"/>
    </xf>
    <xf numFmtId="4" fontId="3" fillId="0" borderId="6" xfId="2" applyNumberFormat="1" applyFont="1" applyFill="1" applyBorder="1" applyAlignment="1">
      <alignment wrapText="1"/>
    </xf>
    <xf numFmtId="2" fontId="2" fillId="4" borderId="6" xfId="7" applyNumberFormat="1" applyFill="1" applyBorder="1"/>
    <xf numFmtId="4" fontId="3" fillId="0" borderId="6" xfId="2" applyNumberFormat="1" applyFont="1" applyFill="1" applyBorder="1" applyAlignment="1">
      <alignment horizontal="right" wrapText="1"/>
    </xf>
    <xf numFmtId="166" fontId="0" fillId="0" borderId="6" xfId="8" applyFont="1" applyFill="1" applyBorder="1" applyAlignment="1">
      <alignment horizontal="right" wrapText="1"/>
    </xf>
    <xf numFmtId="4" fontId="5" fillId="4" borderId="6" xfId="7" applyNumberFormat="1" applyFont="1" applyFill="1" applyBorder="1" applyAlignment="1">
      <alignment horizontal="right" wrapText="1"/>
    </xf>
    <xf numFmtId="4" fontId="15" fillId="0" borderId="0" xfId="13" applyNumberFormat="1" applyFont="1"/>
    <xf numFmtId="166" fontId="2" fillId="0" borderId="6" xfId="12" applyNumberFormat="1" applyFont="1" applyFill="1" applyBorder="1" applyAlignment="1">
      <alignment horizontal="right"/>
    </xf>
    <xf numFmtId="0" fontId="6" fillId="0" borderId="6" xfId="2" applyNumberFormat="1" applyFont="1" applyFill="1" applyBorder="1" applyAlignment="1">
      <alignment horizontal="right" wrapText="1"/>
    </xf>
    <xf numFmtId="166" fontId="2" fillId="4" borderId="6" xfId="7" applyNumberFormat="1" applyFill="1" applyBorder="1"/>
    <xf numFmtId="2" fontId="3" fillId="0" borderId="6" xfId="12" applyNumberFormat="1" applyFont="1" applyFill="1" applyBorder="1" applyAlignment="1">
      <alignment horizontal="right"/>
    </xf>
    <xf numFmtId="2" fontId="3" fillId="0" borderId="3" xfId="7" applyNumberFormat="1" applyFont="1" applyBorder="1" applyAlignment="1">
      <alignment horizontal="center" wrapText="1"/>
    </xf>
    <xf numFmtId="43" fontId="2" fillId="0" borderId="6" xfId="14" applyFont="1" applyBorder="1" applyAlignment="1">
      <alignment horizontal="right" wrapText="1"/>
    </xf>
    <xf numFmtId="43" fontId="2" fillId="2" borderId="6" xfId="14" applyFont="1" applyFill="1" applyBorder="1" applyAlignment="1">
      <alignment horizontal="right" wrapText="1"/>
    </xf>
    <xf numFmtId="0" fontId="5" fillId="2" borderId="7" xfId="7" applyFont="1" applyFill="1" applyBorder="1" applyAlignment="1">
      <alignment horizontal="right" wrapText="1"/>
    </xf>
    <xf numFmtId="43" fontId="6" fillId="0" borderId="8" xfId="14" applyFont="1" applyBorder="1" applyAlignment="1">
      <alignment horizontal="right" wrapText="1"/>
    </xf>
    <xf numFmtId="4" fontId="7" fillId="3" borderId="9" xfId="7" applyNumberFormat="1" applyFont="1" applyFill="1" applyBorder="1" applyAlignment="1">
      <alignment wrapText="1"/>
    </xf>
    <xf numFmtId="2" fontId="2" fillId="0" borderId="6" xfId="14" applyNumberFormat="1" applyFont="1" applyBorder="1" applyAlignment="1">
      <alignment horizontal="right" wrapText="1"/>
    </xf>
    <xf numFmtId="2" fontId="2" fillId="3" borderId="6" xfId="14" applyNumberFormat="1" applyFont="1" applyFill="1" applyBorder="1" applyAlignment="1">
      <alignment horizontal="right" wrapText="1"/>
    </xf>
    <xf numFmtId="0" fontId="2" fillId="0" borderId="6" xfId="14" applyNumberFormat="1" applyFont="1" applyBorder="1" applyAlignment="1">
      <alignment horizontal="right" wrapText="1"/>
    </xf>
    <xf numFmtId="4" fontId="6" fillId="0" borderId="8" xfId="14" applyNumberFormat="1" applyFont="1" applyBorder="1" applyAlignment="1">
      <alignment horizontal="right" wrapText="1"/>
    </xf>
    <xf numFmtId="4" fontId="2" fillId="0" borderId="6" xfId="14" applyNumberFormat="1" applyFont="1" applyBorder="1" applyAlignment="1">
      <alignment horizontal="right" wrapText="1"/>
    </xf>
    <xf numFmtId="42" fontId="2" fillId="0" borderId="7" xfId="7" applyNumberFormat="1" applyBorder="1" applyAlignment="1">
      <alignment horizontal="right" wrapText="1"/>
    </xf>
    <xf numFmtId="4" fontId="6" fillId="3" borderId="8" xfId="15" applyNumberFormat="1" applyFont="1" applyFill="1" applyBorder="1" applyAlignment="1" applyProtection="1">
      <alignment horizontal="right" wrapText="1"/>
      <protection locked="0"/>
    </xf>
    <xf numFmtId="2" fontId="2" fillId="0" borderId="6" xfId="7" applyNumberFormat="1" applyBorder="1" applyAlignment="1">
      <alignment horizontal="right" wrapText="1"/>
    </xf>
    <xf numFmtId="0" fontId="2" fillId="0" borderId="6" xfId="7" applyBorder="1" applyAlignment="1">
      <alignment horizontal="right" wrapText="1"/>
    </xf>
    <xf numFmtId="0" fontId="6" fillId="0" borderId="8" xfId="2" applyNumberFormat="1" applyFont="1" applyBorder="1" applyAlignment="1">
      <alignment horizontal="right" wrapText="1"/>
    </xf>
    <xf numFmtId="0" fontId="6" fillId="3" borderId="8" xfId="2" applyNumberFormat="1" applyFont="1" applyFill="1" applyBorder="1" applyAlignment="1">
      <alignment horizontal="right" wrapText="1"/>
    </xf>
    <xf numFmtId="4" fontId="4" fillId="36" borderId="6" xfId="7" applyNumberFormat="1" applyFont="1" applyFill="1" applyBorder="1" applyAlignment="1">
      <alignment horizontal="right" vertical="center" wrapText="1"/>
    </xf>
    <xf numFmtId="0" fontId="5" fillId="36" borderId="7" xfId="7" applyFont="1" applyFill="1" applyBorder="1" applyAlignment="1">
      <alignment horizontal="right" wrapText="1"/>
    </xf>
    <xf numFmtId="4" fontId="5" fillId="0" borderId="0" xfId="7" applyNumberFormat="1" applyFont="1"/>
    <xf numFmtId="2" fontId="2" fillId="2" borderId="6" xfId="7" applyNumberFormat="1" applyFill="1" applyBorder="1"/>
    <xf numFmtId="2" fontId="2" fillId="5" borderId="6" xfId="7" applyNumberFormat="1" applyFill="1" applyBorder="1"/>
    <xf numFmtId="2" fontId="2" fillId="0" borderId="0" xfId="12" applyNumberFormat="1" applyFont="1"/>
    <xf numFmtId="0" fontId="2" fillId="3" borderId="6" xfId="7" applyFill="1" applyBorder="1" applyAlignment="1">
      <alignment horizontal="left" wrapText="1"/>
    </xf>
    <xf numFmtId="2" fontId="2" fillId="3" borderId="6" xfId="7" applyNumberFormat="1" applyFill="1" applyBorder="1"/>
    <xf numFmtId="4" fontId="5" fillId="36" borderId="7" xfId="7" applyNumberFormat="1" applyFont="1" applyFill="1" applyBorder="1" applyAlignment="1">
      <alignment wrapText="1"/>
    </xf>
    <xf numFmtId="2" fontId="2" fillId="5" borderId="6" xfId="7" applyNumberFormat="1" applyFill="1" applyBorder="1" applyAlignment="1">
      <alignment horizontal="right" wrapText="1"/>
    </xf>
    <xf numFmtId="2" fontId="2" fillId="2" borderId="6" xfId="7" applyNumberFormat="1" applyFill="1" applyBorder="1" applyAlignment="1">
      <alignment wrapText="1"/>
    </xf>
    <xf numFmtId="2" fontId="2" fillId="0" borderId="6" xfId="7" applyNumberFormat="1" applyBorder="1" applyAlignment="1">
      <alignment wrapText="1"/>
    </xf>
    <xf numFmtId="4" fontId="5" fillId="36" borderId="6" xfId="7" applyNumberFormat="1" applyFont="1" applyFill="1" applyBorder="1" applyAlignment="1">
      <alignment wrapText="1"/>
    </xf>
    <xf numFmtId="2" fontId="6" fillId="2" borderId="10" xfId="5" applyNumberFormat="1" applyFill="1" applyBorder="1" applyAlignment="1">
      <alignment horizontal="left" wrapText="1"/>
    </xf>
    <xf numFmtId="2" fontId="2" fillId="2" borderId="3" xfId="7" applyNumberFormat="1" applyFill="1" applyBorder="1" applyAlignment="1">
      <alignment horizontal="right" wrapText="1"/>
    </xf>
    <xf numFmtId="2" fontId="2" fillId="2" borderId="9" xfId="7" applyNumberFormat="1" applyFill="1" applyBorder="1" applyAlignment="1">
      <alignment horizontal="right" wrapText="1"/>
    </xf>
    <xf numFmtId="2" fontId="2" fillId="2" borderId="6" xfId="7" applyNumberFormat="1" applyFill="1" applyBorder="1" applyAlignment="1">
      <alignment horizontal="right" wrapText="1"/>
    </xf>
    <xf numFmtId="2" fontId="6" fillId="2" borderId="6" xfId="5" applyNumberFormat="1" applyFill="1" applyBorder="1" applyAlignment="1">
      <alignment horizontal="left" wrapText="1"/>
    </xf>
    <xf numFmtId="166" fontId="6" fillId="0" borderId="6" xfId="2" applyNumberFormat="1" applyFont="1" applyFill="1" applyBorder="1" applyAlignment="1">
      <alignment wrapText="1"/>
    </xf>
    <xf numFmtId="166" fontId="6" fillId="0" borderId="8" xfId="2" applyNumberFormat="1" applyFont="1" applyBorder="1" applyAlignment="1">
      <alignment wrapText="1"/>
    </xf>
    <xf numFmtId="166" fontId="6" fillId="0" borderId="8" xfId="2" applyNumberFormat="1" applyFont="1" applyFill="1" applyBorder="1" applyAlignment="1">
      <alignment wrapText="1"/>
    </xf>
    <xf numFmtId="166" fontId="7" fillId="0" borderId="9" xfId="7" applyNumberFormat="1" applyFont="1" applyBorder="1" applyAlignment="1">
      <alignment wrapText="1"/>
    </xf>
    <xf numFmtId="166" fontId="2" fillId="2" borderId="0" xfId="7" applyNumberFormat="1" applyFill="1"/>
    <xf numFmtId="166" fontId="7" fillId="5" borderId="6" xfId="7" applyNumberFormat="1" applyFont="1" applyFill="1" applyBorder="1" applyAlignment="1">
      <alignment wrapText="1"/>
    </xf>
    <xf numFmtId="166" fontId="7" fillId="5" borderId="9" xfId="7" applyNumberFormat="1" applyFont="1" applyFill="1" applyBorder="1" applyAlignment="1">
      <alignment wrapText="1"/>
    </xf>
    <xf numFmtId="166" fontId="7" fillId="0" borderId="9" xfId="7" applyNumberFormat="1" applyFont="1" applyBorder="1" applyAlignment="1">
      <alignment horizontal="center" wrapText="1"/>
    </xf>
    <xf numFmtId="166" fontId="7" fillId="35" borderId="9" xfId="7" applyNumberFormat="1" applyFont="1" applyFill="1" applyBorder="1" applyAlignment="1">
      <alignment wrapText="1"/>
    </xf>
    <xf numFmtId="166" fontId="5" fillId="0" borderId="0" xfId="7" applyNumberFormat="1" applyFont="1"/>
    <xf numFmtId="4" fontId="5" fillId="35" borderId="0" xfId="7" applyNumberFormat="1" applyFont="1" applyFill="1"/>
    <xf numFmtId="166" fontId="13" fillId="3" borderId="9" xfId="7" applyNumberFormat="1" applyFont="1" applyFill="1" applyBorder="1" applyAlignment="1">
      <alignment wrapText="1"/>
    </xf>
    <xf numFmtId="166" fontId="2" fillId="0" borderId="8" xfId="7" applyNumberFormat="1" applyBorder="1" applyAlignment="1">
      <alignment wrapText="1"/>
    </xf>
    <xf numFmtId="166" fontId="3" fillId="3" borderId="8" xfId="2" applyNumberFormat="1" applyFont="1" applyFill="1" applyBorder="1" applyAlignment="1">
      <alignment wrapText="1"/>
    </xf>
    <xf numFmtId="166" fontId="5" fillId="3" borderId="8" xfId="7" applyNumberFormat="1" applyFont="1" applyFill="1" applyBorder="1" applyAlignment="1">
      <alignment wrapText="1"/>
    </xf>
    <xf numFmtId="166" fontId="6" fillId="0" borderId="11" xfId="2" applyNumberFormat="1" applyFont="1" applyFill="1" applyBorder="1" applyAlignment="1">
      <alignment wrapText="1"/>
    </xf>
    <xf numFmtId="166" fontId="2" fillId="0" borderId="6" xfId="7" applyNumberFormat="1" applyBorder="1" applyAlignment="1">
      <alignment wrapText="1"/>
    </xf>
    <xf numFmtId="166" fontId="2" fillId="37" borderId="8" xfId="7" applyNumberFormat="1" applyFill="1" applyBorder="1" applyAlignment="1">
      <alignment wrapText="1"/>
    </xf>
    <xf numFmtId="166" fontId="2" fillId="0" borderId="9" xfId="7" applyNumberFormat="1" applyBorder="1" applyAlignment="1">
      <alignment wrapText="1"/>
    </xf>
    <xf numFmtId="2" fontId="5" fillId="37" borderId="0" xfId="7" applyNumberFormat="1" applyFont="1" applyFill="1"/>
    <xf numFmtId="4" fontId="5" fillId="3" borderId="8" xfId="7" applyNumberFormat="1" applyFont="1" applyFill="1" applyBorder="1" applyAlignment="1">
      <alignment wrapText="1"/>
    </xf>
    <xf numFmtId="4" fontId="2" fillId="0" borderId="8" xfId="7" applyNumberFormat="1" applyBorder="1" applyAlignment="1">
      <alignment wrapText="1"/>
    </xf>
    <xf numFmtId="166" fontId="2" fillId="15" borderId="8" xfId="7" applyNumberFormat="1" applyFill="1" applyBorder="1" applyAlignment="1">
      <alignment wrapText="1"/>
    </xf>
    <xf numFmtId="166" fontId="2" fillId="0" borderId="11" xfId="7" applyNumberFormat="1" applyBorder="1" applyAlignment="1">
      <alignment wrapText="1"/>
    </xf>
    <xf numFmtId="166" fontId="7" fillId="0" borderId="11" xfId="7" applyNumberFormat="1" applyFont="1" applyBorder="1" applyAlignment="1">
      <alignment wrapText="1"/>
    </xf>
    <xf numFmtId="166" fontId="5" fillId="3" borderId="11" xfId="7" applyNumberFormat="1" applyFont="1" applyFill="1" applyBorder="1" applyAlignment="1">
      <alignment wrapText="1"/>
    </xf>
    <xf numFmtId="166" fontId="13" fillId="3" borderId="6" xfId="7" applyNumberFormat="1" applyFont="1" applyFill="1" applyBorder="1" applyAlignment="1">
      <alignment wrapText="1"/>
    </xf>
    <xf numFmtId="166" fontId="13" fillId="3" borderId="11" xfId="7" applyNumberFormat="1" applyFont="1" applyFill="1" applyBorder="1" applyAlignment="1">
      <alignment wrapText="1"/>
    </xf>
    <xf numFmtId="166" fontId="10" fillId="0" borderId="6" xfId="10" applyNumberFormat="1" applyBorder="1"/>
    <xf numFmtId="166" fontId="10" fillId="2" borderId="6" xfId="10" applyNumberFormat="1" applyFill="1" applyBorder="1"/>
    <xf numFmtId="166" fontId="5" fillId="3" borderId="6" xfId="7" applyNumberFormat="1" applyFont="1" applyFill="1" applyBorder="1"/>
    <xf numFmtId="2" fontId="3" fillId="0" borderId="4" xfId="7" applyNumberFormat="1" applyFont="1" applyBorder="1" applyAlignment="1">
      <alignment horizontal="center" wrapText="1"/>
    </xf>
    <xf numFmtId="2" fontId="3" fillId="0" borderId="5" xfId="7" applyNumberFormat="1" applyFont="1" applyBorder="1" applyAlignment="1">
      <alignment horizontal="center" wrapText="1"/>
    </xf>
    <xf numFmtId="2" fontId="3" fillId="2" borderId="4" xfId="7" applyNumberFormat="1" applyFont="1" applyFill="1" applyBorder="1" applyAlignment="1">
      <alignment horizontal="center" wrapText="1"/>
    </xf>
    <xf numFmtId="2" fontId="2" fillId="0" borderId="6" xfId="7" applyNumberFormat="1" applyBorder="1" applyAlignment="1">
      <alignment horizontal="center" wrapText="1"/>
    </xf>
    <xf numFmtId="2" fontId="5" fillId="2" borderId="7" xfId="7" applyNumberFormat="1" applyFont="1" applyFill="1" applyBorder="1" applyAlignment="1">
      <alignment horizontal="right" wrapText="1"/>
    </xf>
    <xf numFmtId="2" fontId="6" fillId="2" borderId="8" xfId="2" applyNumberFormat="1" applyFont="1" applyFill="1" applyBorder="1" applyAlignment="1">
      <alignment wrapText="1"/>
    </xf>
    <xf numFmtId="2" fontId="7" fillId="2" borderId="9" xfId="7" applyNumberFormat="1" applyFont="1" applyFill="1" applyBorder="1" applyAlignment="1">
      <alignment wrapText="1"/>
    </xf>
    <xf numFmtId="2" fontId="4" fillId="2" borderId="10" xfId="7" applyNumberFormat="1" applyFont="1" applyFill="1" applyBorder="1" applyAlignment="1">
      <alignment horizontal="right" vertical="center" wrapText="1"/>
    </xf>
    <xf numFmtId="2" fontId="2" fillId="0" borderId="7" xfId="7" applyNumberFormat="1" applyBorder="1" applyAlignment="1">
      <alignment horizontal="right" wrapText="1"/>
    </xf>
    <xf numFmtId="2" fontId="6" fillId="0" borderId="8" xfId="2" applyNumberFormat="1" applyFont="1" applyBorder="1" applyAlignment="1">
      <alignment wrapText="1"/>
    </xf>
    <xf numFmtId="2" fontId="7" fillId="0" borderId="9" xfId="7" applyNumberFormat="1" applyFont="1" applyBorder="1" applyAlignment="1">
      <alignment wrapText="1"/>
    </xf>
    <xf numFmtId="2" fontId="8" fillId="0" borderId="6" xfId="7" applyNumberFormat="1" applyFont="1" applyBorder="1" applyAlignment="1">
      <alignment horizontal="right" vertical="center" wrapText="1"/>
    </xf>
    <xf numFmtId="0" fontId="2" fillId="0" borderId="7" xfId="7" applyBorder="1" applyAlignment="1">
      <alignment horizontal="right" wrapText="1"/>
    </xf>
    <xf numFmtId="2" fontId="6" fillId="3" borderId="8" xfId="2" applyNumberFormat="1" applyFont="1" applyFill="1" applyBorder="1" applyAlignment="1">
      <alignment wrapText="1"/>
    </xf>
    <xf numFmtId="2" fontId="7" fillId="4" borderId="9" xfId="7" applyNumberFormat="1" applyFont="1" applyFill="1" applyBorder="1" applyAlignment="1">
      <alignment wrapText="1"/>
    </xf>
    <xf numFmtId="2" fontId="6" fillId="4" borderId="8" xfId="2" applyNumberFormat="1" applyFont="1" applyFill="1" applyBorder="1" applyAlignment="1">
      <alignment wrapText="1"/>
    </xf>
    <xf numFmtId="4" fontId="5" fillId="36" borderId="7" xfId="7" applyNumberFormat="1" applyFont="1" applyFill="1" applyBorder="1" applyAlignment="1">
      <alignment horizontal="right" wrapText="1"/>
    </xf>
    <xf numFmtId="2" fontId="4" fillId="36" borderId="6" xfId="7" applyNumberFormat="1" applyFont="1" applyFill="1" applyBorder="1" applyAlignment="1">
      <alignment horizontal="right" vertical="center" wrapText="1"/>
    </xf>
    <xf numFmtId="2" fontId="5" fillId="0" borderId="0" xfId="7" applyNumberFormat="1" applyFont="1"/>
    <xf numFmtId="2" fontId="2" fillId="2" borderId="6" xfId="7" applyNumberFormat="1" applyFill="1" applyBorder="1" applyAlignment="1">
      <alignment horizontal="center" wrapText="1"/>
    </xf>
    <xf numFmtId="2" fontId="2" fillId="2" borderId="10" xfId="7" applyNumberFormat="1" applyFill="1" applyBorder="1" applyAlignment="1">
      <alignment wrapText="1"/>
    </xf>
    <xf numFmtId="2" fontId="2" fillId="2" borderId="7" xfId="7" applyNumberFormat="1" applyFill="1" applyBorder="1" applyAlignment="1">
      <alignment wrapText="1"/>
    </xf>
    <xf numFmtId="2" fontId="2" fillId="2" borderId="1" xfId="7" applyNumberFormat="1" applyFill="1" applyBorder="1" applyAlignment="1">
      <alignment wrapText="1"/>
    </xf>
    <xf numFmtId="2" fontId="7" fillId="2" borderId="10" xfId="7" applyNumberFormat="1" applyFont="1" applyFill="1" applyBorder="1" applyAlignment="1">
      <alignment wrapText="1"/>
    </xf>
    <xf numFmtId="2" fontId="5" fillId="2" borderId="7" xfId="7" applyNumberFormat="1" applyFont="1" applyFill="1" applyBorder="1" applyAlignment="1">
      <alignment wrapText="1"/>
    </xf>
    <xf numFmtId="2" fontId="2" fillId="2" borderId="11" xfId="7" applyNumberFormat="1" applyFill="1" applyBorder="1" applyAlignment="1">
      <alignment wrapText="1"/>
    </xf>
    <xf numFmtId="2" fontId="7" fillId="2" borderId="6" xfId="7" applyNumberFormat="1" applyFont="1" applyFill="1" applyBorder="1" applyAlignment="1">
      <alignment wrapText="1"/>
    </xf>
    <xf numFmtId="2" fontId="5" fillId="2" borderId="6" xfId="7" applyNumberFormat="1" applyFont="1" applyFill="1" applyBorder="1" applyAlignment="1">
      <alignment wrapText="1"/>
    </xf>
    <xf numFmtId="2" fontId="2" fillId="0" borderId="7" xfId="7" applyNumberFormat="1" applyBorder="1" applyAlignment="1">
      <alignment wrapText="1"/>
    </xf>
    <xf numFmtId="2" fontId="2" fillId="0" borderId="11" xfId="7" applyNumberFormat="1" applyBorder="1" applyAlignment="1">
      <alignment wrapText="1"/>
    </xf>
    <xf numFmtId="2" fontId="7" fillId="0" borderId="6" xfId="7" applyNumberFormat="1" applyFont="1" applyBorder="1" applyAlignment="1">
      <alignment wrapText="1"/>
    </xf>
    <xf numFmtId="2" fontId="2" fillId="3" borderId="6" xfId="7" applyNumberFormat="1" applyFill="1" applyBorder="1" applyAlignment="1">
      <alignment horizontal="right" wrapText="1"/>
    </xf>
    <xf numFmtId="2" fontId="5" fillId="36" borderId="7" xfId="7" applyNumberFormat="1" applyFont="1" applyFill="1" applyBorder="1" applyAlignment="1">
      <alignment wrapText="1"/>
    </xf>
    <xf numFmtId="2" fontId="5" fillId="0" borderId="7" xfId="7" applyNumberFormat="1" applyFont="1" applyBorder="1" applyAlignment="1">
      <alignment wrapText="1"/>
    </xf>
    <xf numFmtId="2" fontId="5" fillId="0" borderId="6" xfId="7" applyNumberFormat="1" applyFont="1" applyBorder="1" applyAlignment="1">
      <alignment wrapText="1"/>
    </xf>
    <xf numFmtId="2" fontId="2" fillId="2" borderId="0" xfId="7" applyNumberFormat="1" applyFill="1"/>
    <xf numFmtId="2" fontId="2" fillId="0" borderId="3" xfId="7" applyNumberFormat="1" applyBorder="1" applyAlignment="1">
      <alignment horizontal="right" wrapText="1"/>
    </xf>
    <xf numFmtId="2" fontId="2" fillId="2" borderId="4" xfId="7" applyNumberFormat="1" applyFill="1" applyBorder="1" applyAlignment="1">
      <alignment horizontal="right" wrapText="1"/>
    </xf>
    <xf numFmtId="2" fontId="5" fillId="2" borderId="0" xfId="7" applyNumberFormat="1" applyFont="1" applyFill="1"/>
    <xf numFmtId="2" fontId="9" fillId="2" borderId="6" xfId="7" applyNumberFormat="1" applyFont="1" applyFill="1" applyBorder="1" applyAlignment="1">
      <alignment horizontal="left" wrapText="1"/>
    </xf>
    <xf numFmtId="2" fontId="23" fillId="0" borderId="6" xfId="7" applyNumberFormat="1" applyFont="1" applyBorder="1" applyAlignment="1">
      <alignment horizontal="left" wrapText="1"/>
    </xf>
    <xf numFmtId="2" fontId="2" fillId="4" borderId="11" xfId="7" applyNumberFormat="1" applyFill="1" applyBorder="1" applyAlignment="1">
      <alignment wrapText="1"/>
    </xf>
    <xf numFmtId="2" fontId="23" fillId="2" borderId="6" xfId="7" applyNumberFormat="1" applyFont="1" applyFill="1" applyBorder="1" applyAlignment="1">
      <alignment horizontal="left" wrapText="1"/>
    </xf>
    <xf numFmtId="2" fontId="5" fillId="36" borderId="6" xfId="7" applyNumberFormat="1" applyFont="1" applyFill="1" applyBorder="1" applyAlignment="1">
      <alignment wrapText="1"/>
    </xf>
    <xf numFmtId="2" fontId="2" fillId="2" borderId="21" xfId="7" applyNumberFormat="1" applyFill="1" applyBorder="1" applyAlignment="1">
      <alignment horizontal="right" wrapText="1"/>
    </xf>
    <xf numFmtId="2" fontId="10" fillId="2" borderId="10" xfId="10" applyNumberFormat="1" applyFill="1" applyBorder="1" applyAlignment="1">
      <alignment horizontal="right"/>
    </xf>
    <xf numFmtId="2" fontId="2" fillId="2" borderId="10" xfId="7" applyNumberFormat="1" applyFill="1" applyBorder="1" applyAlignment="1">
      <alignment horizontal="right" wrapText="1"/>
    </xf>
    <xf numFmtId="2" fontId="2" fillId="2" borderId="3" xfId="7" applyNumberFormat="1" applyFill="1" applyBorder="1" applyAlignment="1">
      <alignment horizontal="center" wrapText="1"/>
    </xf>
    <xf numFmtId="2" fontId="2" fillId="2" borderId="9" xfId="7" applyNumberFormat="1" applyFill="1" applyBorder="1" applyAlignment="1">
      <alignment horizontal="center" wrapText="1"/>
    </xf>
    <xf numFmtId="2" fontId="2" fillId="2" borderId="7" xfId="7" applyNumberFormat="1" applyFill="1" applyBorder="1" applyAlignment="1">
      <alignment horizontal="right" wrapText="1"/>
    </xf>
    <xf numFmtId="0" fontId="1" fillId="0" borderId="0" xfId="13"/>
    <xf numFmtId="2" fontId="10" fillId="2" borderId="6" xfId="10" applyNumberFormat="1" applyFill="1" applyBorder="1"/>
    <xf numFmtId="2" fontId="5" fillId="2" borderId="6" xfId="7" applyNumberFormat="1" applyFont="1" applyFill="1" applyBorder="1" applyAlignment="1">
      <alignment horizontal="right" wrapText="1"/>
    </xf>
    <xf numFmtId="2" fontId="2" fillId="2" borderId="11" xfId="7" applyNumberFormat="1" applyFill="1" applyBorder="1" applyAlignment="1">
      <alignment horizontal="right" wrapText="1"/>
    </xf>
    <xf numFmtId="2" fontId="2" fillId="2" borderId="11" xfId="7" applyNumberFormat="1" applyFill="1" applyBorder="1" applyAlignment="1">
      <alignment horizontal="center" wrapText="1"/>
    </xf>
    <xf numFmtId="2" fontId="2" fillId="2" borderId="11" xfId="8" applyNumberFormat="1" applyFont="1" applyFill="1" applyBorder="1" applyAlignment="1">
      <alignment horizontal="center" wrapText="1"/>
    </xf>
    <xf numFmtId="2" fontId="2" fillId="0" borderId="11" xfId="7" applyNumberFormat="1" applyBorder="1" applyAlignment="1">
      <alignment horizontal="right" wrapText="1"/>
    </xf>
    <xf numFmtId="2" fontId="2" fillId="0" borderId="11" xfId="7" applyNumberFormat="1" applyBorder="1" applyAlignment="1">
      <alignment horizontal="center" wrapText="1"/>
    </xf>
    <xf numFmtId="2" fontId="2" fillId="0" borderId="11" xfId="8" applyNumberFormat="1" applyFont="1" applyBorder="1" applyAlignment="1">
      <alignment horizontal="center" wrapText="1"/>
    </xf>
    <xf numFmtId="2" fontId="2" fillId="0" borderId="6" xfId="8" applyNumberFormat="1" applyFont="1" applyBorder="1"/>
    <xf numFmtId="4" fontId="6" fillId="35" borderId="8" xfId="2" applyNumberFormat="1" applyFont="1" applyFill="1" applyBorder="1" applyAlignment="1">
      <alignment wrapText="1"/>
    </xf>
    <xf numFmtId="166" fontId="13" fillId="0" borderId="0" xfId="8" applyFont="1" applyFill="1" applyAlignment="1">
      <alignment wrapText="1"/>
    </xf>
    <xf numFmtId="166" fontId="13" fillId="5" borderId="0" xfId="8" applyFont="1" applyFill="1" applyAlignment="1">
      <alignment wrapText="1"/>
    </xf>
    <xf numFmtId="4" fontId="2" fillId="2" borderId="8" xfId="7" applyNumberFormat="1" applyFill="1" applyBorder="1" applyAlignment="1">
      <alignment wrapText="1"/>
    </xf>
    <xf numFmtId="0" fontId="2" fillId="2" borderId="0" xfId="7" applyFill="1" applyAlignment="1">
      <alignment horizontal="left" wrapText="1"/>
    </xf>
    <xf numFmtId="4" fontId="3" fillId="3" borderId="11" xfId="2" applyNumberFormat="1" applyFont="1" applyFill="1" applyBorder="1" applyAlignment="1">
      <alignment wrapText="1"/>
    </xf>
    <xf numFmtId="4" fontId="5" fillId="2" borderId="11" xfId="7" applyNumberFormat="1" applyFont="1" applyFill="1" applyBorder="1" applyAlignment="1">
      <alignment wrapText="1"/>
    </xf>
    <xf numFmtId="4" fontId="5" fillId="3" borderId="11" xfId="7" applyNumberFormat="1" applyFont="1" applyFill="1" applyBorder="1" applyAlignment="1">
      <alignment wrapText="1"/>
    </xf>
    <xf numFmtId="0" fontId="2" fillId="0" borderId="6" xfId="0" applyFont="1" applyBorder="1" applyAlignment="1">
      <alignment horizontal="right" wrapText="1"/>
    </xf>
    <xf numFmtId="0" fontId="2" fillId="0" borderId="7" xfId="0" applyFont="1" applyBorder="1" applyAlignment="1">
      <alignment horizontal="right" wrapText="1"/>
    </xf>
    <xf numFmtId="0" fontId="2" fillId="4" borderId="6" xfId="0" applyFont="1" applyFill="1" applyBorder="1" applyAlignment="1">
      <alignment horizontal="right" wrapText="1"/>
    </xf>
    <xf numFmtId="4" fontId="5" fillId="12" borderId="7" xfId="0" applyNumberFormat="1" applyFont="1" applyFill="1" applyBorder="1" applyAlignment="1">
      <alignment horizontal="right" wrapText="1"/>
    </xf>
    <xf numFmtId="4" fontId="5" fillId="12" borderId="7" xfId="0" applyNumberFormat="1" applyFont="1" applyFill="1" applyBorder="1" applyAlignment="1">
      <alignment wrapText="1"/>
    </xf>
    <xf numFmtId="49" fontId="0" fillId="2" borderId="6" xfId="0" applyNumberFormat="1" applyFill="1" applyBorder="1" applyAlignment="1">
      <alignment horizontal="center" wrapText="1"/>
    </xf>
    <xf numFmtId="4" fontId="5" fillId="12" borderId="6" xfId="0" applyNumberFormat="1" applyFont="1" applyFill="1" applyBorder="1" applyAlignment="1">
      <alignment wrapText="1"/>
    </xf>
    <xf numFmtId="4" fontId="2" fillId="2" borderId="21" xfId="0" applyNumberFormat="1" applyFont="1" applyFill="1" applyBorder="1" applyAlignment="1">
      <alignment horizontal="right" wrapText="1"/>
    </xf>
    <xf numFmtId="4" fontId="2" fillId="2" borderId="10" xfId="0" applyNumberFormat="1" applyFont="1" applyFill="1" applyBorder="1" applyAlignment="1">
      <alignment horizontal="right" wrapText="1"/>
    </xf>
    <xf numFmtId="0" fontId="5" fillId="2" borderId="2" xfId="0" applyFont="1" applyFill="1" applyBorder="1" applyAlignment="1">
      <alignment horizontal="center" wrapText="1"/>
    </xf>
    <xf numFmtId="4" fontId="0" fillId="2" borderId="7" xfId="0" applyNumberFormat="1" applyFill="1" applyBorder="1" applyAlignment="1">
      <alignment horizontal="right" wrapText="1"/>
    </xf>
    <xf numFmtId="0" fontId="2" fillId="0" borderId="8" xfId="0" applyFont="1" applyBorder="1" applyAlignment="1">
      <alignment horizontal="left" wrapText="1"/>
    </xf>
    <xf numFmtId="0" fontId="2" fillId="0" borderId="1" xfId="0" applyFont="1" applyBorder="1" applyAlignment="1">
      <alignment horizontal="left" wrapText="1"/>
    </xf>
    <xf numFmtId="0" fontId="0" fillId="2" borderId="1" xfId="0" applyFill="1" applyBorder="1" applyAlignment="1">
      <alignment horizontal="left" wrapText="1"/>
    </xf>
    <xf numFmtId="0" fontId="0" fillId="0" borderId="1" xfId="0" applyBorder="1" applyAlignment="1">
      <alignment horizontal="left" wrapText="1"/>
    </xf>
    <xf numFmtId="166" fontId="0" fillId="5" borderId="8" xfId="8" applyFont="1" applyFill="1" applyBorder="1"/>
    <xf numFmtId="166" fontId="5" fillId="7" borderId="0" xfId="1" applyFont="1" applyFill="1"/>
    <xf numFmtId="0" fontId="2" fillId="2" borderId="1" xfId="0" applyFont="1" applyFill="1" applyBorder="1" applyAlignment="1">
      <alignment horizontal="left" wrapText="1"/>
    </xf>
    <xf numFmtId="4" fontId="6" fillId="0" borderId="0" xfId="2" applyNumberFormat="1" applyFont="1" applyFill="1" applyBorder="1" applyAlignment="1">
      <alignment wrapText="1"/>
    </xf>
    <xf numFmtId="4" fontId="2" fillId="0" borderId="9" xfId="0" applyNumberFormat="1" applyFont="1" applyBorder="1" applyAlignment="1">
      <alignment horizontal="right" wrapText="1"/>
    </xf>
    <xf numFmtId="4" fontId="2" fillId="0" borderId="9" xfId="0" applyNumberFormat="1" applyFont="1" applyBorder="1" applyAlignment="1">
      <alignment wrapText="1"/>
    </xf>
    <xf numFmtId="0" fontId="0" fillId="2" borderId="6" xfId="0" applyFill="1" applyBorder="1" applyAlignment="1">
      <alignment horizontal="center"/>
    </xf>
    <xf numFmtId="4" fontId="7" fillId="0" borderId="9" xfId="0" applyNumberFormat="1" applyFont="1" applyBorder="1" applyAlignment="1">
      <alignment horizontal="center" wrapText="1"/>
    </xf>
    <xf numFmtId="0" fontId="2" fillId="0" borderId="11" xfId="0" applyFont="1" applyBorder="1" applyAlignment="1">
      <alignment horizontal="left" wrapText="1"/>
    </xf>
    <xf numFmtId="4" fontId="2" fillId="2" borderId="9" xfId="0" applyNumberFormat="1" applyFont="1" applyFill="1" applyBorder="1" applyAlignment="1">
      <alignment wrapText="1"/>
    </xf>
    <xf numFmtId="0" fontId="2" fillId="2" borderId="11" xfId="0" applyFont="1" applyFill="1" applyBorder="1" applyAlignment="1">
      <alignment horizontal="left" wrapText="1"/>
    </xf>
    <xf numFmtId="0" fontId="0" fillId="2" borderId="11" xfId="0" applyFill="1" applyBorder="1" applyAlignment="1">
      <alignment horizontal="left" wrapText="1"/>
    </xf>
    <xf numFmtId="4" fontId="13" fillId="3" borderId="11" xfId="0" applyNumberFormat="1" applyFont="1" applyFill="1" applyBorder="1" applyAlignment="1">
      <alignment wrapText="1"/>
    </xf>
    <xf numFmtId="4" fontId="3" fillId="0" borderId="11" xfId="2" applyNumberFormat="1" applyFont="1" applyFill="1" applyBorder="1" applyAlignment="1">
      <alignment wrapText="1"/>
    </xf>
    <xf numFmtId="4" fontId="5" fillId="2" borderId="11" xfId="0" applyNumberFormat="1" applyFont="1" applyFill="1" applyBorder="1" applyAlignment="1">
      <alignment wrapText="1"/>
    </xf>
    <xf numFmtId="4" fontId="5" fillId="2" borderId="11" xfId="0" applyNumberFormat="1" applyFont="1" applyFill="1" applyBorder="1" applyAlignment="1">
      <alignment horizontal="right" wrapText="1"/>
    </xf>
    <xf numFmtId="0" fontId="2" fillId="2" borderId="11" xfId="0" applyFont="1" applyFill="1" applyBorder="1"/>
    <xf numFmtId="0" fontId="11" fillId="2" borderId="11" xfId="0" applyFont="1" applyFill="1" applyBorder="1"/>
    <xf numFmtId="0" fontId="12" fillId="2" borderId="11" xfId="0" applyFont="1" applyFill="1" applyBorder="1"/>
    <xf numFmtId="0" fontId="0" fillId="0" borderId="33" xfId="0" applyBorder="1" applyAlignment="1">
      <alignment horizontal="center"/>
    </xf>
    <xf numFmtId="0" fontId="0" fillId="0" borderId="33" xfId="0" applyBorder="1" applyAlignment="1">
      <alignment horizontal="left"/>
    </xf>
    <xf numFmtId="0" fontId="0" fillId="0" borderId="33" xfId="0" applyBorder="1" applyAlignment="1">
      <alignment horizontal="right"/>
    </xf>
    <xf numFmtId="4" fontId="0" fillId="0" borderId="33" xfId="0" applyNumberFormat="1" applyBorder="1" applyAlignment="1">
      <alignment horizontal="right"/>
    </xf>
    <xf numFmtId="4" fontId="2" fillId="2" borderId="1" xfId="0" applyNumberFormat="1" applyFont="1" applyFill="1" applyBorder="1" applyAlignment="1">
      <alignment horizontal="right" wrapText="1"/>
    </xf>
    <xf numFmtId="0" fontId="2" fillId="5" borderId="6" xfId="0" applyFont="1" applyFill="1" applyBorder="1" applyAlignment="1">
      <alignment horizontal="right"/>
    </xf>
    <xf numFmtId="0" fontId="2" fillId="5" borderId="6" xfId="0" applyFont="1" applyFill="1" applyBorder="1" applyAlignment="1">
      <alignment horizontal="right" wrapText="1"/>
    </xf>
    <xf numFmtId="4" fontId="2" fillId="5" borderId="6" xfId="0" applyNumberFormat="1" applyFont="1" applyFill="1" applyBorder="1" applyAlignment="1">
      <alignment horizontal="right"/>
    </xf>
    <xf numFmtId="0" fontId="5" fillId="12" borderId="7" xfId="0" applyFont="1" applyFill="1" applyBorder="1" applyAlignment="1">
      <alignment horizontal="right" wrapText="1"/>
    </xf>
    <xf numFmtId="0" fontId="23" fillId="2" borderId="10" xfId="0" applyFont="1" applyFill="1" applyBorder="1" applyAlignment="1">
      <alignment horizontal="left" wrapText="1"/>
    </xf>
    <xf numFmtId="4" fontId="2" fillId="2" borderId="21" xfId="0" applyNumberFormat="1" applyFont="1" applyFill="1" applyBorder="1" applyAlignment="1">
      <alignment wrapText="1"/>
    </xf>
    <xf numFmtId="0" fontId="0" fillId="2" borderId="9" xfId="0" applyFill="1" applyBorder="1" applyAlignment="1">
      <alignment horizontal="left" wrapText="1"/>
    </xf>
    <xf numFmtId="4" fontId="6" fillId="0" borderId="6" xfId="2" applyNumberFormat="1" applyFont="1" applyBorder="1" applyAlignment="1">
      <alignment horizontal="right" wrapText="1"/>
    </xf>
    <xf numFmtId="4" fontId="7" fillId="26" borderId="6" xfId="0" applyNumberFormat="1" applyFont="1" applyFill="1" applyBorder="1" applyAlignment="1">
      <alignment wrapText="1"/>
    </xf>
    <xf numFmtId="166" fontId="5" fillId="26" borderId="0" xfId="1" applyFont="1" applyFill="1"/>
    <xf numFmtId="4" fontId="5" fillId="0" borderId="8" xfId="0" applyNumberFormat="1" applyFont="1" applyBorder="1" applyAlignment="1">
      <alignment horizontal="right" wrapText="1"/>
    </xf>
    <xf numFmtId="4" fontId="2" fillId="2" borderId="8" xfId="0" applyNumberFormat="1" applyFont="1" applyFill="1" applyBorder="1" applyAlignment="1">
      <alignment horizontal="right" wrapText="1"/>
    </xf>
    <xf numFmtId="4" fontId="3" fillId="3" borderId="8" xfId="2" applyNumberFormat="1" applyFont="1" applyFill="1" applyBorder="1" applyAlignment="1">
      <alignment horizontal="right" wrapText="1"/>
    </xf>
    <xf numFmtId="0" fontId="2" fillId="2" borderId="33" xfId="0" applyFont="1" applyFill="1" applyBorder="1" applyAlignment="1">
      <alignment horizontal="left" wrapText="1"/>
    </xf>
    <xf numFmtId="4" fontId="3" fillId="0" borderId="6" xfId="2" applyNumberFormat="1" applyFont="1" applyBorder="1" applyAlignment="1">
      <alignment horizontal="right" wrapText="1"/>
    </xf>
    <xf numFmtId="0" fontId="0" fillId="2" borderId="10" xfId="0" applyFill="1" applyBorder="1" applyAlignment="1">
      <alignment horizontal="left"/>
    </xf>
    <xf numFmtId="4" fontId="0" fillId="0" borderId="8" xfId="0" applyNumberFormat="1" applyBorder="1" applyAlignment="1">
      <alignment horizontal="right"/>
    </xf>
    <xf numFmtId="0" fontId="0" fillId="0" borderId="10" xfId="0" applyBorder="1" applyAlignment="1">
      <alignment horizontal="left"/>
    </xf>
    <xf numFmtId="4" fontId="6" fillId="0" borderId="8" xfId="2" applyNumberFormat="1" applyFont="1" applyBorder="1" applyAlignment="1">
      <alignment horizontal="right"/>
    </xf>
    <xf numFmtId="4" fontId="7" fillId="0" borderId="6" xfId="0" applyNumberFormat="1" applyFont="1" applyBorder="1" applyAlignment="1">
      <alignment horizontal="center" wrapText="1"/>
    </xf>
    <xf numFmtId="4" fontId="0" fillId="2" borderId="8" xfId="0" applyNumberFormat="1" applyFill="1" applyBorder="1" applyAlignment="1">
      <alignment horizontal="right"/>
    </xf>
    <xf numFmtId="4" fontId="6" fillId="0" borderId="1" xfId="2" applyNumberFormat="1" applyFont="1" applyBorder="1" applyAlignment="1">
      <alignment horizontal="right"/>
    </xf>
    <xf numFmtId="4" fontId="6" fillId="0" borderId="11" xfId="2" applyNumberFormat="1" applyFont="1" applyBorder="1" applyAlignment="1">
      <alignment horizontal="right"/>
    </xf>
    <xf numFmtId="4" fontId="2" fillId="0" borderId="6" xfId="0" applyNumberFormat="1" applyFont="1" applyBorder="1" applyAlignment="1">
      <alignment horizontal="center" wrapText="1"/>
    </xf>
    <xf numFmtId="0" fontId="0" fillId="2" borderId="6" xfId="0" applyFill="1" applyBorder="1" applyAlignment="1">
      <alignment horizontal="left"/>
    </xf>
    <xf numFmtId="4" fontId="0" fillId="0" borderId="11" xfId="0" applyNumberFormat="1" applyBorder="1" applyAlignment="1">
      <alignment horizontal="right"/>
    </xf>
    <xf numFmtId="4" fontId="2" fillId="2" borderId="6" xfId="0" applyNumberFormat="1" applyFont="1" applyFill="1" applyBorder="1" applyAlignment="1">
      <alignment horizontal="center" wrapText="1"/>
    </xf>
    <xf numFmtId="4" fontId="3" fillId="3" borderId="11" xfId="2" applyNumberFormat="1" applyFont="1" applyFill="1" applyBorder="1" applyAlignment="1">
      <alignment horizontal="right" wrapText="1"/>
    </xf>
    <xf numFmtId="4" fontId="5" fillId="0" borderId="11" xfId="0" applyNumberFormat="1" applyFont="1" applyBorder="1" applyAlignment="1">
      <alignment horizontal="right" wrapText="1"/>
    </xf>
    <xf numFmtId="4" fontId="3" fillId="0" borderId="11" xfId="2" applyNumberFormat="1" applyFont="1" applyBorder="1" applyAlignment="1">
      <alignment horizontal="right" wrapText="1"/>
    </xf>
    <xf numFmtId="4" fontId="13" fillId="3" borderId="1" xfId="0" applyNumberFormat="1" applyFont="1" applyFill="1" applyBorder="1" applyAlignment="1">
      <alignment wrapText="1"/>
    </xf>
    <xf numFmtId="4" fontId="7" fillId="0" borderId="1" xfId="0" applyNumberFormat="1" applyFont="1" applyBorder="1" applyAlignment="1">
      <alignment wrapText="1"/>
    </xf>
    <xf numFmtId="0" fontId="2" fillId="2" borderId="0" xfId="0" applyFont="1" applyFill="1" applyAlignment="1">
      <alignment horizontal="center"/>
    </xf>
    <xf numFmtId="4" fontId="5" fillId="3" borderId="1" xfId="0" applyNumberFormat="1" applyFont="1" applyFill="1" applyBorder="1" applyAlignment="1">
      <alignment horizontal="right" wrapText="1"/>
    </xf>
    <xf numFmtId="4" fontId="7" fillId="2" borderId="1" xfId="0" applyNumberFormat="1" applyFont="1" applyFill="1" applyBorder="1" applyAlignment="1">
      <alignment wrapText="1"/>
    </xf>
    <xf numFmtId="4" fontId="0" fillId="2" borderId="8" xfId="0" applyNumberFormat="1" applyFill="1" applyBorder="1" applyAlignment="1">
      <alignment horizontal="right" wrapText="1"/>
    </xf>
    <xf numFmtId="4" fontId="6" fillId="2" borderId="8" xfId="2" applyNumberFormat="1" applyFill="1" applyBorder="1" applyAlignment="1">
      <alignment wrapText="1"/>
    </xf>
    <xf numFmtId="4" fontId="8" fillId="2" borderId="10" xfId="0" applyNumberFormat="1" applyFont="1" applyFill="1" applyBorder="1" applyAlignment="1">
      <alignment horizontal="right" vertical="center" wrapText="1"/>
    </xf>
    <xf numFmtId="43" fontId="2" fillId="4" borderId="6" xfId="3" applyFill="1" applyBorder="1"/>
    <xf numFmtId="43" fontId="2" fillId="0" borderId="6" xfId="3" applyBorder="1" applyAlignment="1">
      <alignment horizontal="right"/>
    </xf>
    <xf numFmtId="14" fontId="2" fillId="0" borderId="10" xfId="0" applyNumberFormat="1" applyFont="1" applyBorder="1" applyAlignment="1">
      <alignment horizontal="center" wrapText="1"/>
    </xf>
    <xf numFmtId="4" fontId="8" fillId="0" borderId="10" xfId="0" applyNumberFormat="1" applyFont="1" applyBorder="1" applyAlignment="1">
      <alignment horizontal="right" vertical="center" wrapText="1"/>
    </xf>
    <xf numFmtId="4" fontId="2" fillId="0" borderId="1" xfId="0" applyNumberFormat="1" applyFont="1" applyBorder="1" applyAlignment="1">
      <alignment horizontal="right" wrapText="1"/>
    </xf>
    <xf numFmtId="4" fontId="4" fillId="12" borderId="10" xfId="0" applyNumberFormat="1" applyFont="1" applyFill="1" applyBorder="1" applyAlignment="1">
      <alignment horizontal="right" vertical="center" wrapText="1"/>
    </xf>
    <xf numFmtId="4" fontId="5" fillId="16" borderId="7" xfId="0" applyNumberFormat="1" applyFont="1" applyFill="1" applyBorder="1" applyAlignment="1">
      <alignment horizontal="right" wrapText="1"/>
    </xf>
    <xf numFmtId="4" fontId="5" fillId="16" borderId="7" xfId="0" applyNumberFormat="1" applyFont="1" applyFill="1" applyBorder="1" applyAlignment="1">
      <alignment wrapText="1"/>
    </xf>
    <xf numFmtId="4" fontId="2" fillId="3" borderId="11" xfId="0" applyNumberFormat="1" applyFont="1" applyFill="1" applyBorder="1" applyAlignment="1">
      <alignment wrapText="1"/>
    </xf>
    <xf numFmtId="2" fontId="2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2" fontId="2" fillId="0" borderId="10" xfId="0" applyNumberFormat="1" applyFont="1" applyBorder="1" applyAlignment="1">
      <alignment horizontal="left" wrapText="1"/>
    </xf>
    <xf numFmtId="2" fontId="6" fillId="2" borderId="6" xfId="2" applyNumberFormat="1" applyFill="1" applyBorder="1" applyAlignment="1">
      <alignment wrapText="1"/>
    </xf>
    <xf numFmtId="2" fontId="7" fillId="0" borderId="6" xfId="0" applyNumberFormat="1" applyFont="1" applyBorder="1" applyAlignment="1">
      <alignment wrapText="1"/>
    </xf>
    <xf numFmtId="2" fontId="0" fillId="0" borderId="10" xfId="0" applyNumberFormat="1" applyBorder="1" applyAlignment="1">
      <alignment horizontal="left" wrapText="1"/>
    </xf>
    <xf numFmtId="2" fontId="6" fillId="2" borderId="8" xfId="2" applyNumberFormat="1" applyFill="1" applyBorder="1" applyAlignment="1">
      <alignment wrapText="1"/>
    </xf>
    <xf numFmtId="2" fontId="0" fillId="2" borderId="10" xfId="0" applyNumberFormat="1" applyFill="1" applyBorder="1" applyAlignment="1">
      <alignment horizontal="left" wrapText="1"/>
    </xf>
    <xf numFmtId="2" fontId="2" fillId="2" borderId="0" xfId="0" applyNumberFormat="1" applyFont="1" applyFill="1"/>
    <xf numFmtId="2" fontId="0" fillId="0" borderId="6" xfId="0" applyNumberFormat="1" applyBorder="1" applyAlignment="1">
      <alignment horizontal="left" wrapText="1"/>
    </xf>
    <xf numFmtId="2" fontId="2" fillId="2" borderId="10" xfId="0" applyNumberFormat="1" applyFont="1" applyFill="1" applyBorder="1" applyAlignment="1">
      <alignment horizontal="left" wrapText="1"/>
    </xf>
    <xf numFmtId="2" fontId="7" fillId="7" borderId="6" xfId="0" applyNumberFormat="1" applyFont="1" applyFill="1" applyBorder="1" applyAlignment="1">
      <alignment wrapText="1"/>
    </xf>
    <xf numFmtId="2" fontId="2" fillId="0" borderId="6" xfId="0" applyNumberFormat="1" applyFont="1" applyBorder="1" applyAlignment="1">
      <alignment horizontal="left" wrapText="1"/>
    </xf>
    <xf numFmtId="2" fontId="5" fillId="7" borderId="0" xfId="0" applyNumberFormat="1" applyFont="1" applyFill="1"/>
    <xf numFmtId="2" fontId="13" fillId="4" borderId="6" xfId="0" applyNumberFormat="1" applyFont="1" applyFill="1" applyBorder="1" applyAlignment="1">
      <alignment wrapText="1"/>
    </xf>
    <xf numFmtId="2" fontId="7" fillId="0" borderId="9" xfId="0" applyNumberFormat="1" applyFont="1" applyBorder="1" applyAlignment="1">
      <alignment wrapText="1"/>
    </xf>
    <xf numFmtId="2" fontId="13" fillId="4" borderId="9" xfId="0" applyNumberFormat="1" applyFont="1" applyFill="1" applyBorder="1" applyAlignment="1">
      <alignment wrapText="1"/>
    </xf>
    <xf numFmtId="2" fontId="2" fillId="0" borderId="8" xfId="0" applyNumberFormat="1" applyFont="1" applyBorder="1" applyAlignment="1">
      <alignment horizontal="right" wrapText="1"/>
    </xf>
    <xf numFmtId="2" fontId="7" fillId="0" borderId="9" xfId="0" applyNumberFormat="1" applyFont="1" applyBorder="1" applyAlignment="1">
      <alignment horizontal="right" wrapText="1"/>
    </xf>
    <xf numFmtId="2" fontId="3" fillId="4" borderId="8" xfId="2" applyNumberFormat="1" applyFont="1" applyFill="1" applyBorder="1" applyAlignment="1">
      <alignment wrapText="1"/>
    </xf>
    <xf numFmtId="2" fontId="2" fillId="2" borderId="8" xfId="0" applyNumberFormat="1" applyFont="1" applyFill="1" applyBorder="1" applyAlignment="1">
      <alignment wrapText="1"/>
    </xf>
    <xf numFmtId="2" fontId="2" fillId="0" borderId="9" xfId="0" applyNumberFormat="1" applyFont="1" applyBorder="1" applyAlignment="1">
      <alignment wrapText="1"/>
    </xf>
    <xf numFmtId="2" fontId="2" fillId="0" borderId="0" xfId="1" applyNumberFormat="1" applyFont="1"/>
    <xf numFmtId="2" fontId="5" fillId="4" borderId="8" xfId="0" applyNumberFormat="1" applyFont="1" applyFill="1" applyBorder="1" applyAlignment="1">
      <alignment wrapText="1"/>
    </xf>
    <xf numFmtId="2" fontId="5" fillId="0" borderId="8" xfId="0" applyNumberFormat="1" applyFont="1" applyBorder="1" applyAlignment="1">
      <alignment horizontal="right" wrapText="1"/>
    </xf>
    <xf numFmtId="2" fontId="5" fillId="4" borderId="8" xfId="0" applyNumberFormat="1" applyFont="1" applyFill="1" applyBorder="1" applyAlignment="1">
      <alignment horizontal="right" wrapText="1"/>
    </xf>
    <xf numFmtId="2" fontId="6" fillId="0" borderId="8" xfId="2" applyNumberFormat="1" applyFont="1" applyFill="1" applyBorder="1" applyAlignment="1">
      <alignment horizontal="right" wrapText="1"/>
    </xf>
    <xf numFmtId="2" fontId="0" fillId="0" borderId="10" xfId="0" applyNumberFormat="1" applyBorder="1"/>
    <xf numFmtId="2" fontId="2" fillId="0" borderId="8" xfId="3" applyNumberFormat="1" applyBorder="1"/>
    <xf numFmtId="2" fontId="0" fillId="2" borderId="6" xfId="0" applyNumberFormat="1" applyFill="1" applyBorder="1" applyAlignment="1">
      <alignment horizontal="left" wrapText="1"/>
    </xf>
    <xf numFmtId="2" fontId="2" fillId="2" borderId="6" xfId="0" applyNumberFormat="1" applyFont="1" applyFill="1" applyBorder="1" applyAlignment="1">
      <alignment wrapText="1"/>
    </xf>
    <xf numFmtId="2" fontId="2" fillId="0" borderId="9" xfId="3" applyNumberFormat="1" applyFill="1" applyBorder="1"/>
    <xf numFmtId="2" fontId="2" fillId="0" borderId="6" xfId="0" applyNumberFormat="1" applyFont="1" applyBorder="1" applyAlignment="1">
      <alignment wrapText="1"/>
    </xf>
    <xf numFmtId="2" fontId="2" fillId="0" borderId="8" xfId="3" applyNumberFormat="1" applyBorder="1" applyAlignment="1">
      <alignment horizontal="right"/>
    </xf>
    <xf numFmtId="2" fontId="6" fillId="0" borderId="6" xfId="2" applyNumberFormat="1" applyFont="1" applyBorder="1" applyAlignment="1">
      <alignment wrapText="1"/>
    </xf>
    <xf numFmtId="2" fontId="2" fillId="0" borderId="6" xfId="3" applyNumberFormat="1" applyBorder="1"/>
    <xf numFmtId="2" fontId="2" fillId="0" borderId="6" xfId="3" applyNumberFormat="1" applyFill="1" applyBorder="1"/>
    <xf numFmtId="2" fontId="2" fillId="2" borderId="6" xfId="0" applyNumberFormat="1" applyFont="1" applyFill="1" applyBorder="1" applyAlignment="1">
      <alignment horizontal="left" wrapText="1"/>
    </xf>
    <xf numFmtId="2" fontId="7" fillId="0" borderId="6" xfId="0" applyNumberFormat="1" applyFont="1" applyBorder="1" applyAlignment="1">
      <alignment horizontal="right" wrapText="1"/>
    </xf>
    <xf numFmtId="2" fontId="2" fillId="0" borderId="8" xfId="0" applyNumberFormat="1" applyFont="1" applyBorder="1" applyAlignment="1">
      <alignment wrapText="1"/>
    </xf>
    <xf numFmtId="2" fontId="0" fillId="2" borderId="0" xfId="0" applyNumberFormat="1" applyFill="1" applyAlignment="1">
      <alignment horizontal="center"/>
    </xf>
    <xf numFmtId="2" fontId="3" fillId="0" borderId="6" xfId="2" applyNumberFormat="1" applyFont="1" applyBorder="1" applyAlignment="1">
      <alignment wrapText="1"/>
    </xf>
    <xf numFmtId="2" fontId="7" fillId="4" borderId="6" xfId="0" applyNumberFormat="1" applyFont="1" applyFill="1" applyBorder="1" applyAlignment="1">
      <alignment wrapText="1"/>
    </xf>
    <xf numFmtId="2" fontId="5" fillId="0" borderId="6" xfId="0" applyNumberFormat="1" applyFont="1" applyBorder="1" applyAlignment="1">
      <alignment horizontal="right" wrapText="1"/>
    </xf>
    <xf numFmtId="2" fontId="5" fillId="2" borderId="6" xfId="0" applyNumberFormat="1" applyFont="1" applyFill="1" applyBorder="1" applyAlignment="1">
      <alignment wrapText="1"/>
    </xf>
    <xf numFmtId="2" fontId="2" fillId="4" borderId="6" xfId="0" applyNumberFormat="1" applyFont="1" applyFill="1" applyBorder="1" applyAlignment="1">
      <alignment wrapText="1"/>
    </xf>
    <xf numFmtId="9" fontId="2" fillId="0" borderId="9" xfId="11" applyFill="1" applyBorder="1"/>
    <xf numFmtId="2" fontId="5" fillId="4" borderId="8" xfId="3" applyNumberFormat="1" applyFont="1" applyFill="1" applyBorder="1"/>
    <xf numFmtId="2" fontId="8" fillId="0" borderId="9" xfId="0" applyNumberFormat="1" applyFont="1" applyBorder="1" applyAlignment="1">
      <alignment horizontal="right" vertical="center" wrapText="1"/>
    </xf>
    <xf numFmtId="2" fontId="2" fillId="0" borderId="1" xfId="0" applyNumberFormat="1" applyFont="1" applyBorder="1" applyAlignment="1">
      <alignment wrapText="1"/>
    </xf>
    <xf numFmtId="2" fontId="2" fillId="0" borderId="11" xfId="3" applyNumberFormat="1" applyBorder="1"/>
    <xf numFmtId="2" fontId="2" fillId="0" borderId="11" xfId="0" applyNumberFormat="1" applyFont="1" applyBorder="1" applyAlignment="1">
      <alignment wrapText="1"/>
    </xf>
    <xf numFmtId="2" fontId="2" fillId="0" borderId="1" xfId="0" applyNumberFormat="1" applyFont="1" applyBorder="1" applyAlignment="1">
      <alignment horizontal="right" wrapText="1"/>
    </xf>
    <xf numFmtId="2" fontId="2" fillId="0" borderId="10" xfId="0" applyNumberFormat="1" applyFont="1" applyBorder="1" applyAlignment="1">
      <alignment wrapText="1"/>
    </xf>
    <xf numFmtId="2" fontId="5" fillId="4" borderId="1" xfId="0" applyNumberFormat="1" applyFont="1" applyFill="1" applyBorder="1" applyAlignment="1">
      <alignment horizontal="right" wrapText="1"/>
    </xf>
    <xf numFmtId="2" fontId="7" fillId="0" borderId="10" xfId="0" applyNumberFormat="1" applyFont="1" applyBorder="1" applyAlignment="1">
      <alignment horizontal="right" wrapText="1"/>
    </xf>
    <xf numFmtId="2" fontId="6" fillId="0" borderId="1" xfId="2" applyNumberFormat="1" applyFont="1" applyBorder="1" applyAlignment="1">
      <alignment wrapText="1"/>
    </xf>
    <xf numFmtId="2" fontId="2" fillId="0" borderId="1" xfId="3" applyNumberFormat="1" applyBorder="1"/>
    <xf numFmtId="2" fontId="7" fillId="0" borderId="10" xfId="0" applyNumberFormat="1" applyFont="1" applyBorder="1" applyAlignment="1">
      <alignment wrapText="1"/>
    </xf>
    <xf numFmtId="2" fontId="2" fillId="0" borderId="10" xfId="3" applyNumberFormat="1" applyFill="1" applyBorder="1"/>
    <xf numFmtId="2" fontId="6" fillId="0" borderId="11" xfId="2" applyNumberFormat="1" applyFont="1" applyBorder="1" applyAlignment="1">
      <alignment wrapText="1"/>
    </xf>
    <xf numFmtId="2" fontId="2" fillId="2" borderId="11" xfId="0" applyNumberFormat="1" applyFont="1" applyFill="1" applyBorder="1" applyAlignment="1">
      <alignment wrapText="1"/>
    </xf>
    <xf numFmtId="2" fontId="3" fillId="4" borderId="11" xfId="2" applyNumberFormat="1" applyFont="1" applyFill="1" applyBorder="1" applyAlignment="1">
      <alignment wrapText="1"/>
    </xf>
    <xf numFmtId="2" fontId="2" fillId="0" borderId="11" xfId="0" applyNumberFormat="1" applyFont="1" applyBorder="1" applyAlignment="1">
      <alignment horizontal="right" wrapText="1"/>
    </xf>
    <xf numFmtId="2" fontId="5" fillId="4" borderId="11" xfId="0" applyNumberFormat="1" applyFont="1" applyFill="1" applyBorder="1" applyAlignment="1">
      <alignment horizontal="right" wrapText="1"/>
    </xf>
    <xf numFmtId="2" fontId="5" fillId="0" borderId="11" xfId="0" applyNumberFormat="1" applyFont="1" applyBorder="1" applyAlignment="1">
      <alignment horizontal="right" wrapText="1"/>
    </xf>
    <xf numFmtId="2" fontId="8" fillId="0" borderId="6" xfId="0" applyNumberFormat="1" applyFont="1" applyBorder="1" applyAlignment="1">
      <alignment horizontal="right" vertical="center" wrapText="1"/>
    </xf>
    <xf numFmtId="2" fontId="2" fillId="0" borderId="11" xfId="3" applyNumberFormat="1" applyBorder="1" applyAlignment="1">
      <alignment horizontal="right"/>
    </xf>
    <xf numFmtId="2" fontId="2" fillId="0" borderId="11" xfId="3" applyNumberFormat="1" applyFill="1" applyBorder="1"/>
    <xf numFmtId="2" fontId="7" fillId="0" borderId="11" xfId="0" applyNumberFormat="1" applyFont="1" applyBorder="1" applyAlignment="1">
      <alignment wrapText="1"/>
    </xf>
    <xf numFmtId="2" fontId="7" fillId="0" borderId="11" xfId="0" applyNumberFormat="1" applyFont="1" applyBorder="1" applyAlignment="1">
      <alignment horizontal="right" wrapText="1"/>
    </xf>
    <xf numFmtId="2" fontId="7" fillId="4" borderId="11" xfId="0" applyNumberFormat="1" applyFont="1" applyFill="1" applyBorder="1" applyAlignment="1">
      <alignment horizontal="right" wrapText="1"/>
    </xf>
    <xf numFmtId="2" fontId="5" fillId="2" borderId="11" xfId="0" applyNumberFormat="1" applyFont="1" applyFill="1" applyBorder="1" applyAlignment="1">
      <alignment wrapText="1"/>
    </xf>
    <xf numFmtId="2" fontId="7" fillId="4" borderId="11" xfId="0" applyNumberFormat="1" applyFont="1" applyFill="1" applyBorder="1" applyAlignment="1">
      <alignment wrapText="1"/>
    </xf>
    <xf numFmtId="2" fontId="5" fillId="4" borderId="11" xfId="0" applyNumberFormat="1" applyFont="1" applyFill="1" applyBorder="1" applyAlignment="1">
      <alignment wrapText="1"/>
    </xf>
    <xf numFmtId="2" fontId="10" fillId="0" borderId="6" xfId="6" applyNumberFormat="1" applyBorder="1" applyAlignment="1">
      <alignment horizontal="right"/>
    </xf>
    <xf numFmtId="166" fontId="3" fillId="0" borderId="3" xfId="1" applyFont="1" applyBorder="1" applyAlignment="1">
      <alignment horizontal="center" wrapText="1"/>
    </xf>
    <xf numFmtId="166" fontId="3" fillId="0" borderId="4" xfId="1" applyFont="1" applyBorder="1" applyAlignment="1">
      <alignment horizontal="center" wrapText="1"/>
    </xf>
    <xf numFmtId="166" fontId="3" fillId="0" borderId="5" xfId="1" applyFont="1" applyBorder="1" applyAlignment="1">
      <alignment horizontal="center" wrapText="1"/>
    </xf>
    <xf numFmtId="166" fontId="3" fillId="2" borderId="4" xfId="1" applyFont="1" applyFill="1" applyBorder="1" applyAlignment="1">
      <alignment horizontal="center" wrapText="1"/>
    </xf>
    <xf numFmtId="166" fontId="2" fillId="0" borderId="6" xfId="1" applyFont="1" applyBorder="1" applyAlignment="1">
      <alignment horizontal="right" wrapText="1"/>
    </xf>
    <xf numFmtId="166" fontId="2" fillId="2" borderId="6" xfId="1" applyFont="1" applyFill="1" applyBorder="1" applyAlignment="1">
      <alignment horizontal="right" wrapText="1"/>
    </xf>
    <xf numFmtId="166" fontId="6" fillId="2" borderId="8" xfId="1" applyFont="1" applyFill="1" applyBorder="1" applyAlignment="1">
      <alignment wrapText="1"/>
    </xf>
    <xf numFmtId="166" fontId="7" fillId="2" borderId="9" xfId="1" applyFont="1" applyFill="1" applyBorder="1" applyAlignment="1">
      <alignment wrapText="1"/>
    </xf>
    <xf numFmtId="166" fontId="4" fillId="2" borderId="10" xfId="1" applyFont="1" applyFill="1" applyBorder="1" applyAlignment="1">
      <alignment horizontal="right" vertical="center" wrapText="1"/>
    </xf>
    <xf numFmtId="43" fontId="0" fillId="0" borderId="0" xfId="0" applyNumberFormat="1"/>
    <xf numFmtId="166" fontId="6" fillId="0" borderId="8" xfId="1" applyFont="1" applyBorder="1" applyAlignment="1">
      <alignment horizontal="right" wrapText="1"/>
    </xf>
    <xf numFmtId="166" fontId="2" fillId="0" borderId="7" xfId="1" applyFont="1" applyBorder="1" applyAlignment="1">
      <alignment horizontal="right" wrapText="1"/>
    </xf>
    <xf numFmtId="166" fontId="6" fillId="0" borderId="8" xfId="1" applyFont="1" applyBorder="1" applyAlignment="1">
      <alignment wrapText="1"/>
    </xf>
    <xf numFmtId="166" fontId="8" fillId="0" borderId="6" xfId="1" applyFont="1" applyBorder="1" applyAlignment="1">
      <alignment horizontal="right" vertical="center" wrapText="1"/>
    </xf>
    <xf numFmtId="166" fontId="6" fillId="4" borderId="8" xfId="1" applyFont="1" applyFill="1" applyBorder="1" applyAlignment="1">
      <alignment wrapText="1"/>
    </xf>
    <xf numFmtId="166" fontId="6" fillId="3" borderId="8" xfId="1" applyFont="1" applyFill="1" applyBorder="1" applyAlignment="1">
      <alignment wrapText="1"/>
    </xf>
    <xf numFmtId="166" fontId="6" fillId="3" borderId="8" xfId="1" applyFont="1" applyFill="1" applyBorder="1" applyAlignment="1">
      <alignment horizontal="right" wrapText="1"/>
    </xf>
    <xf numFmtId="166" fontId="5" fillId="16" borderId="7" xfId="1" applyFont="1" applyFill="1" applyBorder="1" applyAlignment="1">
      <alignment horizontal="right" wrapText="1"/>
    </xf>
    <xf numFmtId="166" fontId="4" fillId="12" borderId="6" xfId="1" applyFont="1" applyFill="1" applyBorder="1" applyAlignment="1">
      <alignment horizontal="right" vertical="center" wrapText="1"/>
    </xf>
    <xf numFmtId="166" fontId="2" fillId="2" borderId="10" xfId="1" applyFont="1" applyFill="1" applyBorder="1" applyAlignment="1">
      <alignment wrapText="1"/>
    </xf>
    <xf numFmtId="166" fontId="2" fillId="2" borderId="7" xfId="1" applyFont="1" applyFill="1" applyBorder="1" applyAlignment="1">
      <alignment wrapText="1"/>
    </xf>
    <xf numFmtId="166" fontId="2" fillId="2" borderId="1" xfId="1" applyFont="1" applyFill="1" applyBorder="1" applyAlignment="1">
      <alignment wrapText="1"/>
    </xf>
    <xf numFmtId="166" fontId="7" fillId="2" borderId="10" xfId="1" applyFont="1" applyFill="1" applyBorder="1" applyAlignment="1">
      <alignment wrapText="1"/>
    </xf>
    <xf numFmtId="166" fontId="5" fillId="2" borderId="7" xfId="1" applyFont="1" applyFill="1" applyBorder="1" applyAlignment="1">
      <alignment wrapText="1"/>
    </xf>
    <xf numFmtId="166" fontId="7" fillId="2" borderId="6" xfId="1" applyFont="1" applyFill="1" applyBorder="1" applyAlignment="1">
      <alignment wrapText="1"/>
    </xf>
    <xf numFmtId="166" fontId="2" fillId="5" borderId="6" xfId="1" applyFont="1" applyFill="1" applyBorder="1"/>
    <xf numFmtId="166" fontId="2" fillId="0" borderId="7" xfId="1" applyFont="1" applyBorder="1" applyAlignment="1">
      <alignment wrapText="1"/>
    </xf>
    <xf numFmtId="166" fontId="2" fillId="5" borderId="6" xfId="1" applyFont="1" applyFill="1" applyBorder="1" applyAlignment="1">
      <alignment horizontal="right" wrapText="1"/>
    </xf>
    <xf numFmtId="166" fontId="2" fillId="3" borderId="6" xfId="1" applyFont="1" applyFill="1" applyBorder="1" applyAlignment="1">
      <alignment horizontal="right" wrapText="1"/>
    </xf>
    <xf numFmtId="166" fontId="2" fillId="3" borderId="6" xfId="1" applyFont="1" applyFill="1" applyBorder="1"/>
    <xf numFmtId="166" fontId="5" fillId="16" borderId="7" xfId="1" applyFont="1" applyFill="1" applyBorder="1" applyAlignment="1">
      <alignment wrapText="1"/>
    </xf>
    <xf numFmtId="166" fontId="5" fillId="0" borderId="7" xfId="1" applyFont="1" applyBorder="1" applyAlignment="1">
      <alignment wrapText="1"/>
    </xf>
    <xf numFmtId="166" fontId="5" fillId="0" borderId="6" xfId="1" applyFont="1" applyBorder="1" applyAlignment="1">
      <alignment wrapText="1"/>
    </xf>
    <xf numFmtId="166" fontId="2" fillId="2" borderId="6" xfId="1" applyFont="1" applyFill="1" applyBorder="1" applyAlignment="1">
      <alignment wrapText="1"/>
    </xf>
    <xf numFmtId="166" fontId="2" fillId="2" borderId="3" xfId="1" applyFont="1" applyFill="1" applyBorder="1" applyAlignment="1">
      <alignment horizontal="right" wrapText="1"/>
    </xf>
    <xf numFmtId="166" fontId="2" fillId="0" borderId="3" xfId="1" applyFont="1" applyBorder="1" applyAlignment="1">
      <alignment horizontal="right" wrapText="1"/>
    </xf>
    <xf numFmtId="166" fontId="2" fillId="2" borderId="4" xfId="1" applyFont="1" applyFill="1" applyBorder="1" applyAlignment="1">
      <alignment horizontal="right" wrapText="1"/>
    </xf>
    <xf numFmtId="166" fontId="0" fillId="2" borderId="7" xfId="1" applyFont="1" applyFill="1" applyBorder="1" applyAlignment="1">
      <alignment wrapText="1"/>
    </xf>
    <xf numFmtId="166" fontId="7" fillId="4" borderId="11" xfId="1" applyFont="1" applyFill="1" applyBorder="1" applyAlignment="1">
      <alignment wrapText="1"/>
    </xf>
    <xf numFmtId="166" fontId="2" fillId="4" borderId="11" xfId="1" applyFont="1" applyFill="1" applyBorder="1" applyAlignment="1">
      <alignment wrapText="1"/>
    </xf>
    <xf numFmtId="166" fontId="5" fillId="16" borderId="6" xfId="1" applyFont="1" applyFill="1" applyBorder="1" applyAlignment="1">
      <alignment wrapText="1"/>
    </xf>
    <xf numFmtId="166" fontId="6" fillId="2" borderId="10" xfId="1" applyFont="1" applyFill="1" applyBorder="1" applyAlignment="1">
      <alignment horizontal="left" wrapText="1"/>
    </xf>
    <xf numFmtId="166" fontId="2" fillId="2" borderId="21" xfId="1" applyFont="1" applyFill="1" applyBorder="1" applyAlignment="1">
      <alignment horizontal="right" wrapText="1"/>
    </xf>
    <xf numFmtId="166" fontId="10" fillId="2" borderId="10" xfId="1" applyFont="1" applyFill="1" applyBorder="1" applyAlignment="1">
      <alignment horizontal="right"/>
    </xf>
    <xf numFmtId="166" fontId="2" fillId="2" borderId="10" xfId="1" applyFont="1" applyFill="1" applyBorder="1" applyAlignment="1">
      <alignment horizontal="right" wrapText="1"/>
    </xf>
    <xf numFmtId="166" fontId="2" fillId="2" borderId="9" xfId="1" applyFont="1" applyFill="1" applyBorder="1" applyAlignment="1">
      <alignment horizontal="right" wrapText="1"/>
    </xf>
    <xf numFmtId="166" fontId="6" fillId="2" borderId="6" xfId="1" applyFont="1" applyFill="1" applyBorder="1" applyAlignment="1">
      <alignment horizontal="left" wrapText="1"/>
    </xf>
    <xf numFmtId="166" fontId="10" fillId="2" borderId="6" xfId="1" applyFont="1" applyFill="1" applyBorder="1"/>
    <xf numFmtId="166" fontId="6" fillId="0" borderId="6" xfId="1" applyFont="1" applyFill="1" applyBorder="1" applyAlignment="1">
      <alignment horizontal="right" wrapText="1"/>
    </xf>
    <xf numFmtId="166" fontId="7" fillId="0" borderId="6" xfId="1" applyFont="1" applyFill="1" applyBorder="1" applyAlignment="1">
      <alignment wrapText="1"/>
    </xf>
    <xf numFmtId="166" fontId="6" fillId="0" borderId="8" xfId="1" applyFont="1" applyFill="1" applyBorder="1" applyAlignment="1">
      <alignment horizontal="right" wrapText="1"/>
    </xf>
    <xf numFmtId="166" fontId="7" fillId="0" borderId="9" xfId="1" applyFont="1" applyFill="1" applyBorder="1" applyAlignment="1">
      <alignment wrapText="1"/>
    </xf>
    <xf numFmtId="166" fontId="2" fillId="0" borderId="8" xfId="1" applyFont="1" applyFill="1" applyBorder="1" applyAlignment="1">
      <alignment wrapText="1"/>
    </xf>
    <xf numFmtId="166" fontId="2" fillId="0" borderId="9" xfId="1" applyFont="1" applyFill="1" applyBorder="1" applyAlignment="1">
      <alignment wrapText="1"/>
    </xf>
    <xf numFmtId="166" fontId="7" fillId="26" borderId="9" xfId="1" applyFont="1" applyFill="1" applyBorder="1" applyAlignment="1">
      <alignment wrapText="1"/>
    </xf>
    <xf numFmtId="166" fontId="13" fillId="3" borderId="9" xfId="1" applyFont="1" applyFill="1" applyBorder="1" applyAlignment="1">
      <alignment wrapText="1"/>
    </xf>
    <xf numFmtId="166" fontId="5" fillId="26" borderId="6" xfId="0" applyNumberFormat="1" applyFont="1" applyFill="1" applyBorder="1"/>
    <xf numFmtId="166" fontId="2" fillId="0" borderId="8" xfId="1" applyFont="1" applyFill="1" applyBorder="1" applyAlignment="1">
      <alignment horizontal="right" wrapText="1"/>
    </xf>
    <xf numFmtId="166" fontId="5" fillId="3" borderId="8" xfId="1" applyFont="1" applyFill="1" applyBorder="1" applyAlignment="1">
      <alignment horizontal="right" wrapText="1"/>
    </xf>
    <xf numFmtId="166" fontId="3" fillId="3" borderId="8" xfId="1" applyFont="1" applyFill="1" applyBorder="1" applyAlignment="1">
      <alignment horizontal="right" wrapText="1"/>
    </xf>
    <xf numFmtId="166" fontId="5" fillId="3" borderId="8" xfId="1" applyFont="1" applyFill="1" applyBorder="1" applyAlignment="1">
      <alignment wrapText="1"/>
    </xf>
    <xf numFmtId="166" fontId="2" fillId="0" borderId="6" xfId="1" applyFont="1" applyFill="1" applyBorder="1" applyAlignment="1">
      <alignment horizontal="right" wrapText="1"/>
    </xf>
    <xf numFmtId="166" fontId="5" fillId="0" borderId="8" xfId="1" applyFont="1" applyFill="1" applyBorder="1" applyAlignment="1">
      <alignment horizontal="right" wrapText="1"/>
    </xf>
    <xf numFmtId="166" fontId="2" fillId="0" borderId="6" xfId="1" applyFont="1" applyFill="1" applyBorder="1" applyAlignment="1">
      <alignment wrapText="1"/>
    </xf>
    <xf numFmtId="166" fontId="5" fillId="3" borderId="6" xfId="1" applyFont="1" applyFill="1" applyBorder="1" applyAlignment="1">
      <alignment horizontal="right" wrapText="1"/>
    </xf>
    <xf numFmtId="166" fontId="3" fillId="3" borderId="6" xfId="1" applyFont="1" applyFill="1" applyBorder="1" applyAlignment="1">
      <alignment horizontal="right" wrapText="1"/>
    </xf>
    <xf numFmtId="166" fontId="13" fillId="0" borderId="6" xfId="1" applyFont="1" applyFill="1" applyBorder="1" applyAlignment="1">
      <alignment wrapText="1"/>
    </xf>
    <xf numFmtId="166" fontId="7" fillId="0" borderId="11" xfId="1" applyFont="1" applyFill="1" applyBorder="1" applyAlignment="1">
      <alignment wrapText="1"/>
    </xf>
    <xf numFmtId="166" fontId="5" fillId="0" borderId="6" xfId="1" applyFont="1" applyFill="1" applyBorder="1" applyAlignment="1">
      <alignment horizontal="right" wrapText="1"/>
    </xf>
    <xf numFmtId="166" fontId="7" fillId="3" borderId="11" xfId="1" applyFont="1" applyFill="1" applyBorder="1" applyAlignment="1">
      <alignment wrapText="1"/>
    </xf>
    <xf numFmtId="166" fontId="2" fillId="0" borderId="11" xfId="1" applyFont="1" applyFill="1" applyBorder="1" applyAlignment="1">
      <alignment wrapText="1"/>
    </xf>
    <xf numFmtId="166" fontId="5" fillId="3" borderId="0" xfId="1" applyFont="1" applyFill="1" applyBorder="1"/>
    <xf numFmtId="166" fontId="2" fillId="0" borderId="0" xfId="1" applyFont="1" applyFill="1" applyBorder="1"/>
    <xf numFmtId="4" fontId="2" fillId="5" borderId="11" xfId="0" applyNumberFormat="1" applyFont="1" applyFill="1" applyBorder="1" applyAlignment="1">
      <alignment wrapText="1"/>
    </xf>
    <xf numFmtId="4" fontId="7" fillId="35" borderId="6" xfId="0" applyNumberFormat="1" applyFont="1" applyFill="1" applyBorder="1" applyAlignment="1">
      <alignment wrapText="1"/>
    </xf>
    <xf numFmtId="4" fontId="7" fillId="35" borderId="9" xfId="0" applyNumberFormat="1" applyFont="1" applyFill="1" applyBorder="1" applyAlignment="1">
      <alignment wrapText="1"/>
    </xf>
    <xf numFmtId="4" fontId="5" fillId="35" borderId="0" xfId="0" applyNumberFormat="1" applyFont="1" applyFill="1"/>
    <xf numFmtId="4" fontId="13" fillId="29" borderId="9" xfId="0" applyNumberFormat="1" applyFont="1" applyFill="1" applyBorder="1" applyAlignment="1">
      <alignment wrapText="1"/>
    </xf>
    <xf numFmtId="4" fontId="5" fillId="29" borderId="9" xfId="0" applyNumberFormat="1" applyFont="1" applyFill="1" applyBorder="1" applyAlignment="1">
      <alignment horizontal="right" wrapText="1"/>
    </xf>
    <xf numFmtId="4" fontId="5" fillId="29" borderId="8" xfId="0" applyNumberFormat="1" applyFont="1" applyFill="1" applyBorder="1" applyAlignment="1">
      <alignment wrapText="1"/>
    </xf>
    <xf numFmtId="4" fontId="3" fillId="29" borderId="8" xfId="2" applyNumberFormat="1" applyFont="1" applyFill="1" applyBorder="1" applyAlignment="1">
      <alignment wrapText="1"/>
    </xf>
    <xf numFmtId="4" fontId="5" fillId="29" borderId="8" xfId="0" applyNumberFormat="1" applyFont="1" applyFill="1" applyBorder="1" applyAlignment="1">
      <alignment horizontal="right" wrapText="1"/>
    </xf>
    <xf numFmtId="4" fontId="7" fillId="29" borderId="9" xfId="0" applyNumberFormat="1" applyFont="1" applyFill="1" applyBorder="1" applyAlignment="1">
      <alignment wrapText="1"/>
    </xf>
    <xf numFmtId="4" fontId="13" fillId="0" borderId="9" xfId="0" applyNumberFormat="1" applyFont="1" applyBorder="1" applyAlignment="1">
      <alignment wrapText="1"/>
    </xf>
    <xf numFmtId="9" fontId="2" fillId="0" borderId="0" xfId="0" applyNumberFormat="1" applyFont="1"/>
    <xf numFmtId="4" fontId="3" fillId="29" borderId="11" xfId="2" applyNumberFormat="1" applyFont="1" applyFill="1" applyBorder="1" applyAlignment="1">
      <alignment wrapText="1"/>
    </xf>
    <xf numFmtId="4" fontId="5" fillId="29" borderId="11" xfId="0" applyNumberFormat="1" applyFont="1" applyFill="1" applyBorder="1" applyAlignment="1">
      <alignment horizontal="right" wrapText="1"/>
    </xf>
    <xf numFmtId="9" fontId="2" fillId="0" borderId="0" xfId="11" applyFont="1" applyFill="1"/>
    <xf numFmtId="4" fontId="7" fillId="29" borderId="6" xfId="0" applyNumberFormat="1" applyFont="1" applyFill="1" applyBorder="1" applyAlignment="1">
      <alignment wrapText="1"/>
    </xf>
    <xf numFmtId="4" fontId="7" fillId="29" borderId="11" xfId="0" applyNumberFormat="1" applyFont="1" applyFill="1" applyBorder="1" applyAlignment="1">
      <alignment wrapText="1"/>
    </xf>
    <xf numFmtId="4" fontId="2" fillId="0" borderId="10" xfId="0" applyNumberFormat="1" applyFont="1" applyBorder="1" applyAlignment="1">
      <alignment horizontal="right" wrapText="1"/>
    </xf>
    <xf numFmtId="4" fontId="8" fillId="4" borderId="10" xfId="0" applyNumberFormat="1" applyFont="1" applyFill="1" applyBorder="1" applyAlignment="1">
      <alignment horizontal="right" vertical="center" wrapText="1"/>
    </xf>
    <xf numFmtId="4" fontId="2" fillId="3" borderId="1" xfId="0" applyNumberFormat="1" applyFont="1" applyFill="1" applyBorder="1" applyAlignment="1">
      <alignment horizontal="right" wrapText="1"/>
    </xf>
    <xf numFmtId="4" fontId="8" fillId="3" borderId="10" xfId="0" applyNumberFormat="1" applyFont="1" applyFill="1" applyBorder="1" applyAlignment="1">
      <alignment horizontal="right" vertical="center" wrapText="1"/>
    </xf>
    <xf numFmtId="4" fontId="2" fillId="4" borderId="10" xfId="0" applyNumberFormat="1" applyFont="1" applyFill="1" applyBorder="1" applyAlignment="1">
      <alignment horizontal="right" wrapText="1"/>
    </xf>
    <xf numFmtId="0" fontId="2" fillId="0" borderId="0" xfId="1" applyNumberFormat="1" applyFont="1"/>
    <xf numFmtId="4" fontId="2" fillId="0" borderId="10" xfId="0" applyNumberFormat="1" applyFont="1" applyBorder="1" applyAlignment="1">
      <alignment wrapText="1"/>
    </xf>
    <xf numFmtId="4" fontId="2" fillId="0" borderId="21" xfId="0" applyNumberFormat="1" applyFont="1" applyBorder="1" applyAlignment="1">
      <alignment wrapText="1"/>
    </xf>
    <xf numFmtId="166" fontId="0" fillId="0" borderId="0" xfId="1" applyFont="1" applyAlignment="1">
      <alignment horizontal="center"/>
    </xf>
    <xf numFmtId="4" fontId="8" fillId="0" borderId="8" xfId="0" applyNumberFormat="1" applyFont="1" applyBorder="1" applyAlignment="1">
      <alignment horizontal="right" vertical="center" wrapText="1"/>
    </xf>
    <xf numFmtId="4" fontId="8" fillId="0" borderId="9" xfId="0" applyNumberFormat="1" applyFont="1" applyBorder="1" applyAlignment="1">
      <alignment horizontal="right" vertical="center" wrapText="1"/>
    </xf>
    <xf numFmtId="166" fontId="2" fillId="0" borderId="10" xfId="1" applyFont="1" applyFill="1" applyBorder="1" applyAlignment="1">
      <alignment horizontal="right" wrapText="1"/>
    </xf>
    <xf numFmtId="4" fontId="6" fillId="0" borderId="10" xfId="2" applyNumberFormat="1" applyFont="1" applyBorder="1" applyAlignment="1">
      <alignment horizontal="right" wrapText="1"/>
    </xf>
    <xf numFmtId="4" fontId="0" fillId="0" borderId="10" xfId="0" applyNumberFormat="1" applyBorder="1" applyAlignment="1">
      <alignment horizontal="right" wrapText="1"/>
    </xf>
    <xf numFmtId="4" fontId="4" fillId="0" borderId="10" xfId="0" applyNumberFormat="1" applyFont="1" applyBorder="1" applyAlignment="1">
      <alignment horizontal="right" vertical="center" wrapText="1"/>
    </xf>
    <xf numFmtId="4" fontId="3" fillId="0" borderId="10" xfId="2" applyNumberFormat="1" applyFont="1" applyBorder="1" applyAlignment="1">
      <alignment horizontal="right" wrapText="1"/>
    </xf>
    <xf numFmtId="166" fontId="5" fillId="0" borderId="10" xfId="1" applyFont="1" applyFill="1" applyBorder="1" applyAlignment="1">
      <alignment horizontal="right" wrapText="1"/>
    </xf>
    <xf numFmtId="4" fontId="5" fillId="0" borderId="10" xfId="0" applyNumberFormat="1" applyFont="1" applyBorder="1" applyAlignment="1">
      <alignment wrapText="1"/>
    </xf>
    <xf numFmtId="4" fontId="8" fillId="0" borderId="11" xfId="0" applyNumberFormat="1" applyFont="1" applyBorder="1" applyAlignment="1">
      <alignment horizontal="right" vertical="center" wrapText="1"/>
    </xf>
    <xf numFmtId="43" fontId="8" fillId="2" borderId="6" xfId="9" applyFont="1" applyFill="1" applyBorder="1" applyAlignment="1">
      <alignment horizontal="right" vertical="center" wrapText="1"/>
    </xf>
    <xf numFmtId="43" fontId="8" fillId="2" borderId="6" xfId="4" applyFont="1" applyFill="1" applyBorder="1" applyAlignment="1">
      <alignment horizontal="right" vertical="center" wrapText="1"/>
    </xf>
    <xf numFmtId="43" fontId="2" fillId="3" borderId="6" xfId="4" applyFill="1" applyBorder="1"/>
    <xf numFmtId="4" fontId="6" fillId="0" borderId="14" xfId="2" applyNumberFormat="1" applyFont="1" applyBorder="1" applyAlignment="1">
      <alignment wrapText="1"/>
    </xf>
    <xf numFmtId="14" fontId="0" fillId="2" borderId="6" xfId="0" applyNumberFormat="1" applyFill="1" applyBorder="1" applyAlignment="1">
      <alignment horizontal="center" wrapText="1"/>
    </xf>
    <xf numFmtId="4" fontId="2" fillId="0" borderId="8" xfId="0" applyNumberFormat="1" applyFont="1" applyBorder="1"/>
    <xf numFmtId="43" fontId="2" fillId="0" borderId="9" xfId="4" applyFill="1" applyBorder="1"/>
    <xf numFmtId="43" fontId="2" fillId="26" borderId="9" xfId="4" applyFill="1" applyBorder="1"/>
    <xf numFmtId="4" fontId="7" fillId="26" borderId="9" xfId="0" applyNumberFormat="1" applyFont="1" applyFill="1" applyBorder="1" applyAlignment="1">
      <alignment wrapText="1"/>
    </xf>
    <xf numFmtId="43" fontId="5" fillId="26" borderId="0" xfId="0" applyNumberFormat="1" applyFont="1" applyFill="1"/>
    <xf numFmtId="4" fontId="13" fillId="4" borderId="9" xfId="0" applyNumberFormat="1" applyFont="1" applyFill="1" applyBorder="1" applyAlignment="1">
      <alignment wrapText="1"/>
    </xf>
    <xf numFmtId="4" fontId="5" fillId="4" borderId="8" xfId="0" applyNumberFormat="1" applyFont="1" applyFill="1" applyBorder="1" applyAlignment="1">
      <alignment horizontal="right" wrapText="1"/>
    </xf>
    <xf numFmtId="43" fontId="2" fillId="0" borderId="6" xfId="4" applyFill="1" applyBorder="1"/>
    <xf numFmtId="4" fontId="5" fillId="0" borderId="8" xfId="0" applyNumberFormat="1" applyFont="1" applyBorder="1"/>
    <xf numFmtId="43" fontId="2" fillId="4" borderId="9" xfId="4" applyFill="1" applyBorder="1"/>
    <xf numFmtId="4" fontId="5" fillId="4" borderId="6" xfId="0" applyNumberFormat="1" applyFont="1" applyFill="1" applyBorder="1" applyAlignment="1">
      <alignment horizontal="right" wrapText="1"/>
    </xf>
    <xf numFmtId="4" fontId="3" fillId="4" borderId="6" xfId="2" applyNumberFormat="1" applyFont="1" applyFill="1" applyBorder="1" applyAlignment="1">
      <alignment horizontal="right" wrapText="1"/>
    </xf>
    <xf numFmtId="4" fontId="6" fillId="0" borderId="9" xfId="2" applyNumberFormat="1" applyFont="1" applyFill="1" applyBorder="1" applyAlignment="1">
      <alignment horizontal="right" wrapText="1"/>
    </xf>
    <xf numFmtId="0" fontId="2" fillId="0" borderId="8" xfId="0" applyFont="1" applyBorder="1"/>
    <xf numFmtId="4" fontId="0" fillId="0" borderId="9" xfId="0" applyNumberFormat="1" applyBorder="1" applyAlignment="1">
      <alignment horizontal="right" wrapText="1"/>
    </xf>
    <xf numFmtId="4" fontId="5" fillId="4" borderId="9" xfId="0" applyNumberFormat="1" applyFont="1" applyFill="1" applyBorder="1" applyAlignment="1">
      <alignment horizontal="right" wrapText="1"/>
    </xf>
    <xf numFmtId="4" fontId="3" fillId="4" borderId="8" xfId="2" applyNumberFormat="1" applyFont="1" applyFill="1" applyBorder="1" applyAlignment="1">
      <alignment horizontal="right" wrapText="1"/>
    </xf>
    <xf numFmtId="4" fontId="3" fillId="0" borderId="8" xfId="2" applyNumberFormat="1" applyFont="1" applyFill="1" applyBorder="1" applyAlignment="1">
      <alignment horizontal="right" wrapText="1"/>
    </xf>
    <xf numFmtId="4" fontId="5" fillId="4" borderId="0" xfId="0" applyNumberFormat="1" applyFont="1" applyFill="1"/>
    <xf numFmtId="166" fontId="2" fillId="0" borderId="6" xfId="1" applyFont="1" applyBorder="1" applyAlignment="1">
      <alignment horizontal="right"/>
    </xf>
    <xf numFmtId="166" fontId="2" fillId="0" borderId="8" xfId="1" applyFont="1" applyBorder="1" applyAlignment="1">
      <alignment horizontal="right"/>
    </xf>
    <xf numFmtId="43" fontId="2" fillId="3" borderId="8" xfId="4" applyFill="1" applyBorder="1" applyAlignment="1">
      <alignment horizontal="right"/>
    </xf>
    <xf numFmtId="43" fontId="2" fillId="0" borderId="8" xfId="4" applyBorder="1" applyAlignment="1">
      <alignment horizontal="right"/>
    </xf>
    <xf numFmtId="43" fontId="2" fillId="4" borderId="8" xfId="4" applyFill="1" applyBorder="1" applyAlignment="1">
      <alignment horizontal="right"/>
    </xf>
    <xf numFmtId="166" fontId="2" fillId="3" borderId="8" xfId="1" applyFont="1" applyFill="1" applyBorder="1" applyAlignment="1">
      <alignment horizontal="right"/>
    </xf>
    <xf numFmtId="166" fontId="5" fillId="8" borderId="7" xfId="1" applyFont="1" applyFill="1" applyBorder="1" applyAlignment="1">
      <alignment horizontal="right" wrapText="1"/>
    </xf>
    <xf numFmtId="49" fontId="0" fillId="0" borderId="22" xfId="0" applyNumberFormat="1" applyBorder="1" applyAlignment="1">
      <alignment horizontal="center" wrapText="1"/>
    </xf>
    <xf numFmtId="4" fontId="0" fillId="0" borderId="22" xfId="0" applyNumberFormat="1" applyBorder="1"/>
    <xf numFmtId="4" fontId="0" fillId="0" borderId="22" xfId="0" applyNumberFormat="1" applyBorder="1" applyAlignment="1">
      <alignment horizontal="right" wrapText="1"/>
    </xf>
    <xf numFmtId="4" fontId="0" fillId="0" borderId="24" xfId="0" applyNumberFormat="1" applyBorder="1" applyAlignment="1">
      <alignment wrapText="1"/>
    </xf>
    <xf numFmtId="4" fontId="0" fillId="0" borderId="14" xfId="0" applyNumberFormat="1" applyBorder="1" applyAlignment="1">
      <alignment wrapText="1"/>
    </xf>
    <xf numFmtId="4" fontId="0" fillId="0" borderId="25" xfId="0" applyNumberFormat="1" applyBorder="1" applyAlignment="1">
      <alignment wrapText="1"/>
    </xf>
    <xf numFmtId="0" fontId="2" fillId="0" borderId="0" xfId="0" applyFont="1" applyAlignment="1">
      <alignment horizontal="left" wrapText="1"/>
    </xf>
    <xf numFmtId="4" fontId="6" fillId="0" borderId="9" xfId="2" applyNumberFormat="1" applyFont="1" applyBorder="1" applyAlignment="1">
      <alignment horizontal="right" wrapText="1"/>
    </xf>
    <xf numFmtId="4" fontId="2" fillId="0" borderId="8" xfId="4" applyNumberFormat="1" applyBorder="1" applyAlignment="1">
      <alignment horizontal="right"/>
    </xf>
    <xf numFmtId="4" fontId="5" fillId="0" borderId="9" xfId="0" applyNumberFormat="1" applyFont="1" applyBorder="1" applyAlignment="1">
      <alignment horizontal="right" wrapText="1"/>
    </xf>
    <xf numFmtId="4" fontId="5" fillId="0" borderId="8" xfId="4" applyNumberFormat="1" applyFont="1" applyBorder="1" applyAlignment="1">
      <alignment horizontal="right"/>
    </xf>
    <xf numFmtId="4" fontId="3" fillId="0" borderId="8" xfId="2" applyNumberFormat="1" applyFont="1" applyBorder="1" applyAlignment="1">
      <alignment horizontal="right" wrapText="1"/>
    </xf>
    <xf numFmtId="4" fontId="2" fillId="0" borderId="6" xfId="4" applyNumberFormat="1" applyBorder="1" applyAlignment="1">
      <alignment horizontal="right"/>
    </xf>
    <xf numFmtId="166" fontId="5" fillId="0" borderId="0" xfId="1" applyFont="1"/>
    <xf numFmtId="0" fontId="0" fillId="3" borderId="0" xfId="0" applyFill="1" applyAlignment="1">
      <alignment horizontal="left" wrapText="1"/>
    </xf>
    <xf numFmtId="4" fontId="2" fillId="0" borderId="11" xfId="4" applyNumberFormat="1" applyBorder="1" applyAlignment="1">
      <alignment horizontal="right"/>
    </xf>
    <xf numFmtId="4" fontId="5" fillId="0" borderId="0" xfId="0" applyNumberFormat="1" applyFont="1" applyAlignment="1">
      <alignment horizontal="right"/>
    </xf>
    <xf numFmtId="4" fontId="2" fillId="10" borderId="6" xfId="0" applyNumberFormat="1" applyFont="1" applyFill="1" applyBorder="1"/>
    <xf numFmtId="4" fontId="2" fillId="10" borderId="0" xfId="0" applyNumberFormat="1" applyFont="1" applyFill="1"/>
    <xf numFmtId="49" fontId="3" fillId="0" borderId="26" xfId="0" applyNumberFormat="1" applyFont="1" applyBorder="1" applyAlignment="1">
      <alignment horizontal="center"/>
    </xf>
    <xf numFmtId="49" fontId="3" fillId="0" borderId="27" xfId="0" applyNumberFormat="1" applyFont="1" applyBorder="1" applyAlignment="1">
      <alignment horizontal="center"/>
    </xf>
    <xf numFmtId="0" fontId="3" fillId="0" borderId="28" xfId="0" applyFont="1" applyBorder="1" applyAlignment="1">
      <alignment horizontal="center"/>
    </xf>
    <xf numFmtId="0" fontId="3" fillId="0" borderId="29" xfId="0" applyFont="1" applyBorder="1" applyAlignment="1">
      <alignment horizontal="center"/>
    </xf>
    <xf numFmtId="0" fontId="3" fillId="0" borderId="30" xfId="0" applyFont="1" applyBorder="1" applyAlignment="1">
      <alignment horizontal="center"/>
    </xf>
    <xf numFmtId="4" fontId="30" fillId="2" borderId="7" xfId="0" applyNumberFormat="1" applyFont="1" applyFill="1" applyBorder="1" applyAlignment="1">
      <alignment wrapText="1"/>
    </xf>
    <xf numFmtId="49" fontId="3" fillId="0" borderId="0" xfId="7" applyNumberFormat="1" applyFont="1" applyAlignment="1">
      <alignment horizontal="center"/>
    </xf>
    <xf numFmtId="49" fontId="3" fillId="0" borderId="14" xfId="7" applyNumberFormat="1" applyFont="1" applyBorder="1" applyAlignment="1">
      <alignment horizontal="center"/>
    </xf>
    <xf numFmtId="0" fontId="3" fillId="0" borderId="15" xfId="7" applyFont="1" applyBorder="1" applyAlignment="1">
      <alignment horizontal="center"/>
    </xf>
    <xf numFmtId="0" fontId="3" fillId="0" borderId="16" xfId="7" applyFont="1" applyBorder="1" applyAlignment="1">
      <alignment horizontal="center"/>
    </xf>
    <xf numFmtId="0" fontId="3" fillId="0" borderId="17" xfId="7" applyFont="1" applyBorder="1" applyAlignment="1">
      <alignment horizontal="center"/>
    </xf>
    <xf numFmtId="4" fontId="3" fillId="0" borderId="16" xfId="7" applyNumberFormat="1" applyFont="1" applyBorder="1" applyAlignment="1">
      <alignment horizontal="center"/>
    </xf>
    <xf numFmtId="4" fontId="3" fillId="0" borderId="1" xfId="7" applyNumberFormat="1" applyFont="1" applyBorder="1" applyAlignment="1">
      <alignment horizontal="center"/>
    </xf>
    <xf numFmtId="4" fontId="5" fillId="0" borderId="18" xfId="7" applyNumberFormat="1" applyFont="1" applyBorder="1" applyAlignment="1">
      <alignment horizontal="center" wrapText="1"/>
    </xf>
    <xf numFmtId="4" fontId="5" fillId="0" borderId="19" xfId="7" applyNumberFormat="1" applyFont="1" applyBorder="1" applyAlignment="1">
      <alignment horizontal="center" wrapText="1"/>
    </xf>
    <xf numFmtId="4" fontId="5" fillId="0" borderId="20" xfId="7" applyNumberFormat="1" applyFont="1" applyBorder="1" applyAlignment="1">
      <alignment horizontal="center" wrapText="1"/>
    </xf>
    <xf numFmtId="49" fontId="3" fillId="0" borderId="26" xfId="7" applyNumberFormat="1" applyFont="1" applyBorder="1" applyAlignment="1">
      <alignment horizontal="center"/>
    </xf>
    <xf numFmtId="49" fontId="3" fillId="0" borderId="27" xfId="7" applyNumberFormat="1" applyFont="1" applyBorder="1" applyAlignment="1">
      <alignment horizontal="center"/>
    </xf>
    <xf numFmtId="0" fontId="3" fillId="0" borderId="28" xfId="7" applyFont="1" applyBorder="1" applyAlignment="1">
      <alignment horizontal="center"/>
    </xf>
    <xf numFmtId="0" fontId="3" fillId="0" borderId="29" xfId="7" applyFont="1" applyBorder="1" applyAlignment="1">
      <alignment horizontal="center"/>
    </xf>
    <xf numFmtId="0" fontId="3" fillId="0" borderId="30" xfId="7" applyFont="1" applyBorder="1" applyAlignment="1">
      <alignment horizontal="center"/>
    </xf>
    <xf numFmtId="4" fontId="3" fillId="0" borderId="31" xfId="7" applyNumberFormat="1" applyFont="1" applyBorder="1" applyAlignment="1">
      <alignment horizontal="center"/>
    </xf>
    <xf numFmtId="4" fontId="3" fillId="0" borderId="29" xfId="7" applyNumberFormat="1" applyFont="1" applyBorder="1" applyAlignment="1">
      <alignment horizontal="center"/>
    </xf>
    <xf numFmtId="4" fontId="3" fillId="0" borderId="32" xfId="7" applyNumberFormat="1" applyFont="1" applyBorder="1" applyAlignment="1">
      <alignment horizontal="center"/>
    </xf>
    <xf numFmtId="4" fontId="5" fillId="2" borderId="18" xfId="7" applyNumberFormat="1" applyFont="1" applyFill="1" applyBorder="1" applyAlignment="1">
      <alignment horizontal="center" wrapText="1"/>
    </xf>
    <xf numFmtId="4" fontId="5" fillId="2" borderId="19" xfId="7" applyNumberFormat="1" applyFont="1" applyFill="1" applyBorder="1" applyAlignment="1">
      <alignment horizontal="center" wrapText="1"/>
    </xf>
    <xf numFmtId="4" fontId="5" fillId="2" borderId="20" xfId="7" applyNumberFormat="1" applyFont="1" applyFill="1" applyBorder="1" applyAlignment="1">
      <alignment horizontal="center" wrapText="1"/>
    </xf>
    <xf numFmtId="2" fontId="3" fillId="0" borderId="28" xfId="7" applyNumberFormat="1" applyFont="1" applyBorder="1" applyAlignment="1">
      <alignment horizontal="center"/>
    </xf>
    <xf numFmtId="2" fontId="3" fillId="0" borderId="29" xfId="7" applyNumberFormat="1" applyFont="1" applyBorder="1" applyAlignment="1">
      <alignment horizontal="center"/>
    </xf>
    <xf numFmtId="2" fontId="3" fillId="0" borderId="30" xfId="7" applyNumberFormat="1" applyFont="1" applyBorder="1" applyAlignment="1">
      <alignment horizontal="center"/>
    </xf>
    <xf numFmtId="2" fontId="3" fillId="0" borderId="31" xfId="7" applyNumberFormat="1" applyFont="1" applyBorder="1" applyAlignment="1">
      <alignment horizontal="center"/>
    </xf>
    <xf numFmtId="2" fontId="3" fillId="0" borderId="32" xfId="7" applyNumberFormat="1" applyFont="1" applyBorder="1" applyAlignment="1">
      <alignment horizontal="center"/>
    </xf>
    <xf numFmtId="2" fontId="5" fillId="2" borderId="18" xfId="7" applyNumberFormat="1" applyFont="1" applyFill="1" applyBorder="1" applyAlignment="1">
      <alignment horizontal="center" wrapText="1"/>
    </xf>
    <xf numFmtId="2" fontId="5" fillId="2" borderId="19" xfId="7" applyNumberFormat="1" applyFont="1" applyFill="1" applyBorder="1" applyAlignment="1">
      <alignment horizontal="center" wrapText="1"/>
    </xf>
    <xf numFmtId="2" fontId="5" fillId="2" borderId="20" xfId="7" applyNumberFormat="1" applyFont="1" applyFill="1" applyBorder="1" applyAlignment="1">
      <alignment horizontal="center" wrapText="1"/>
    </xf>
    <xf numFmtId="49" fontId="3" fillId="0" borderId="26" xfId="0" applyNumberFormat="1" applyFont="1" applyBorder="1" applyAlignment="1">
      <alignment horizontal="center"/>
    </xf>
    <xf numFmtId="49" fontId="3" fillId="0" borderId="27" xfId="0" applyNumberFormat="1" applyFont="1" applyBorder="1" applyAlignment="1">
      <alignment horizontal="center"/>
    </xf>
    <xf numFmtId="0" fontId="3" fillId="0" borderId="28" xfId="0" applyFont="1" applyBorder="1" applyAlignment="1">
      <alignment horizontal="center"/>
    </xf>
    <xf numFmtId="0" fontId="3" fillId="0" borderId="29" xfId="0" applyFont="1" applyBorder="1" applyAlignment="1">
      <alignment horizontal="center"/>
    </xf>
    <xf numFmtId="0" fontId="3" fillId="0" borderId="30" xfId="0" applyFont="1" applyBorder="1" applyAlignment="1">
      <alignment horizontal="center"/>
    </xf>
    <xf numFmtId="4" fontId="3" fillId="0" borderId="31" xfId="0" applyNumberFormat="1" applyFont="1" applyBorder="1" applyAlignment="1">
      <alignment horizontal="center"/>
    </xf>
    <xf numFmtId="4" fontId="3" fillId="0" borderId="29" xfId="0" applyNumberFormat="1" applyFont="1" applyBorder="1" applyAlignment="1">
      <alignment horizontal="center"/>
    </xf>
    <xf numFmtId="4" fontId="3" fillId="0" borderId="32" xfId="0" applyNumberFormat="1" applyFont="1" applyBorder="1" applyAlignment="1">
      <alignment horizontal="center"/>
    </xf>
    <xf numFmtId="4" fontId="5" fillId="2" borderId="18" xfId="0" applyNumberFormat="1" applyFont="1" applyFill="1" applyBorder="1" applyAlignment="1">
      <alignment horizontal="center" wrapText="1"/>
    </xf>
    <xf numFmtId="4" fontId="5" fillId="2" borderId="19" xfId="0" applyNumberFormat="1" applyFont="1" applyFill="1" applyBorder="1" applyAlignment="1">
      <alignment horizontal="center" wrapText="1"/>
    </xf>
    <xf numFmtId="4" fontId="5" fillId="2" borderId="20" xfId="0" applyNumberFormat="1" applyFont="1" applyFill="1" applyBorder="1" applyAlignment="1">
      <alignment horizontal="center" wrapText="1"/>
    </xf>
    <xf numFmtId="49" fontId="3" fillId="0" borderId="0" xfId="0" applyNumberFormat="1" applyFont="1" applyAlignment="1">
      <alignment horizontal="center"/>
    </xf>
    <xf numFmtId="49" fontId="3" fillId="0" borderId="14" xfId="0" applyNumberFormat="1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3" fillId="0" borderId="17" xfId="0" applyFont="1" applyBorder="1" applyAlignment="1">
      <alignment horizontal="center"/>
    </xf>
    <xf numFmtId="4" fontId="3" fillId="0" borderId="16" xfId="0" applyNumberFormat="1" applyFont="1" applyBorder="1" applyAlignment="1">
      <alignment horizontal="center"/>
    </xf>
    <xf numFmtId="4" fontId="3" fillId="0" borderId="1" xfId="0" applyNumberFormat="1" applyFont="1" applyBorder="1" applyAlignment="1">
      <alignment horizontal="center"/>
    </xf>
    <xf numFmtId="166" fontId="3" fillId="0" borderId="16" xfId="1" applyFont="1" applyBorder="1" applyAlignment="1">
      <alignment horizontal="center"/>
    </xf>
    <xf numFmtId="166" fontId="3" fillId="0" borderId="1" xfId="1" applyFont="1" applyBorder="1" applyAlignment="1">
      <alignment horizontal="center"/>
    </xf>
    <xf numFmtId="166" fontId="5" fillId="2" borderId="18" xfId="1" applyFont="1" applyFill="1" applyBorder="1" applyAlignment="1">
      <alignment horizontal="center" wrapText="1"/>
    </xf>
    <xf numFmtId="166" fontId="5" fillId="2" borderId="19" xfId="1" applyFont="1" applyFill="1" applyBorder="1" applyAlignment="1">
      <alignment horizontal="center" wrapText="1"/>
    </xf>
    <xf numFmtId="166" fontId="5" fillId="2" borderId="20" xfId="1" applyFont="1" applyFill="1" applyBorder="1" applyAlignment="1">
      <alignment horizontal="center" wrapText="1"/>
    </xf>
    <xf numFmtId="164" fontId="2" fillId="5" borderId="6" xfId="7" applyNumberFormat="1" applyFill="1" applyBorder="1" applyAlignment="1">
      <alignment horizontal="center" wrapText="1"/>
    </xf>
    <xf numFmtId="4" fontId="2" fillId="3" borderId="6" xfId="7" applyNumberFormat="1" applyFill="1" applyBorder="1" applyAlignment="1">
      <alignment wrapText="1"/>
    </xf>
    <xf numFmtId="170" fontId="0" fillId="0" borderId="0" xfId="16" applyNumberFormat="1" applyFont="1"/>
    <xf numFmtId="0" fontId="13" fillId="0" borderId="34" xfId="7" applyFont="1" applyBorder="1" applyAlignment="1">
      <alignment horizontal="center" wrapText="1"/>
    </xf>
    <xf numFmtId="0" fontId="7" fillId="0" borderId="9" xfId="7" applyFont="1" applyBorder="1" applyAlignment="1">
      <alignment horizontal="center" wrapText="1"/>
    </xf>
    <xf numFmtId="4" fontId="2" fillId="5" borderId="6" xfId="7" applyNumberFormat="1" applyFill="1" applyBorder="1" applyAlignment="1">
      <alignment wrapText="1"/>
    </xf>
    <xf numFmtId="14" fontId="0" fillId="0" borderId="6" xfId="7" applyNumberFormat="1" applyFont="1" applyBorder="1" applyAlignment="1">
      <alignment horizontal="center" wrapText="1"/>
    </xf>
    <xf numFmtId="0" fontId="0" fillId="0" borderId="6" xfId="7" applyFont="1" applyBorder="1" applyAlignment="1">
      <alignment horizontal="center" wrapText="1"/>
    </xf>
    <xf numFmtId="0" fontId="0" fillId="0" borderId="10" xfId="7" applyFont="1" applyBorder="1" applyAlignment="1">
      <alignment horizontal="left" wrapText="1"/>
    </xf>
    <xf numFmtId="4" fontId="0" fillId="5" borderId="6" xfId="7" applyNumberFormat="1" applyFont="1" applyFill="1" applyBorder="1" applyAlignment="1">
      <alignment wrapText="1"/>
    </xf>
    <xf numFmtId="4" fontId="0" fillId="0" borderId="6" xfId="7" applyNumberFormat="1" applyFont="1" applyBorder="1" applyAlignment="1">
      <alignment wrapText="1"/>
    </xf>
    <xf numFmtId="4" fontId="0" fillId="0" borderId="7" xfId="7" applyNumberFormat="1" applyFont="1" applyBorder="1" applyAlignment="1">
      <alignment wrapText="1"/>
    </xf>
    <xf numFmtId="0" fontId="0" fillId="0" borderId="0" xfId="7" applyFont="1"/>
    <xf numFmtId="0" fontId="0" fillId="0" borderId="6" xfId="7" applyFont="1" applyBorder="1" applyAlignment="1">
      <alignment horizontal="left" wrapText="1"/>
    </xf>
    <xf numFmtId="49" fontId="0" fillId="0" borderId="6" xfId="7" applyNumberFormat="1" applyFont="1" applyBorder="1" applyAlignment="1">
      <alignment horizontal="center" wrapText="1"/>
    </xf>
    <xf numFmtId="4" fontId="0" fillId="0" borderId="6" xfId="7" applyNumberFormat="1" applyFont="1" applyBorder="1"/>
    <xf numFmtId="4" fontId="0" fillId="0" borderId="6" xfId="7" applyNumberFormat="1" applyFont="1" applyBorder="1" applyAlignment="1">
      <alignment horizontal="right" wrapText="1"/>
    </xf>
    <xf numFmtId="0" fontId="2" fillId="2" borderId="14" xfId="7" applyFill="1" applyBorder="1" applyAlignment="1">
      <alignment horizontal="center" wrapText="1"/>
    </xf>
    <xf numFmtId="0" fontId="2" fillId="2" borderId="22" xfId="7" applyFill="1" applyBorder="1" applyAlignment="1">
      <alignment wrapText="1"/>
    </xf>
    <xf numFmtId="0" fontId="5" fillId="2" borderId="22" xfId="7" applyFont="1" applyFill="1" applyBorder="1" applyAlignment="1">
      <alignment horizontal="center" wrapText="1"/>
    </xf>
    <xf numFmtId="0" fontId="7" fillId="2" borderId="9" xfId="7" applyFont="1" applyFill="1" applyBorder="1" applyAlignment="1">
      <alignment horizontal="center" wrapText="1"/>
    </xf>
    <xf numFmtId="4" fontId="2" fillId="2" borderId="22" xfId="7" applyNumberFormat="1" applyFill="1" applyBorder="1" applyAlignment="1">
      <alignment horizontal="right" wrapText="1"/>
    </xf>
    <xf numFmtId="0" fontId="3" fillId="2" borderId="24" xfId="7" applyFont="1" applyFill="1" applyBorder="1" applyAlignment="1">
      <alignment horizontal="center" wrapText="1"/>
    </xf>
    <xf numFmtId="0" fontId="2" fillId="0" borderId="6" xfId="7" applyBorder="1" applyAlignment="1">
      <alignment wrapText="1"/>
    </xf>
    <xf numFmtId="0" fontId="5" fillId="2" borderId="10" xfId="7" applyFont="1" applyFill="1" applyBorder="1" applyAlignment="1">
      <alignment horizontal="center" wrapText="1"/>
    </xf>
    <xf numFmtId="4" fontId="5" fillId="0" borderId="6" xfId="7" applyNumberFormat="1" applyFont="1" applyBorder="1" applyAlignment="1">
      <alignment horizontal="center" wrapText="1"/>
    </xf>
    <xf numFmtId="4" fontId="5" fillId="0" borderId="11" xfId="7" applyNumberFormat="1" applyFont="1" applyBorder="1" applyAlignment="1">
      <alignment horizontal="center" wrapText="1"/>
    </xf>
    <xf numFmtId="4" fontId="5" fillId="0" borderId="7" xfId="7" applyNumberFormat="1" applyFont="1" applyBorder="1" applyAlignment="1">
      <alignment horizontal="center" wrapText="1"/>
    </xf>
    <xf numFmtId="164" fontId="2" fillId="0" borderId="9" xfId="7" applyNumberFormat="1" applyBorder="1" applyAlignment="1">
      <alignment horizontal="center" wrapText="1"/>
    </xf>
    <xf numFmtId="0" fontId="13" fillId="2" borderId="9" xfId="7" applyFont="1" applyFill="1" applyBorder="1" applyAlignment="1">
      <alignment horizontal="left" wrapText="1"/>
    </xf>
    <xf numFmtId="0" fontId="7" fillId="0" borderId="6" xfId="7" applyFont="1" applyBorder="1" applyAlignment="1">
      <alignment horizontal="center" wrapText="1"/>
    </xf>
    <xf numFmtId="4" fontId="2" fillId="0" borderId="35" xfId="7" applyNumberFormat="1" applyBorder="1" applyAlignment="1">
      <alignment wrapText="1"/>
    </xf>
    <xf numFmtId="4" fontId="5" fillId="0" borderId="35" xfId="7" applyNumberFormat="1" applyFont="1" applyBorder="1" applyAlignment="1">
      <alignment wrapText="1"/>
    </xf>
    <xf numFmtId="4" fontId="2" fillId="0" borderId="13" xfId="7" applyNumberFormat="1" applyBorder="1" applyAlignment="1">
      <alignment wrapText="1"/>
    </xf>
    <xf numFmtId="0" fontId="2" fillId="2" borderId="3" xfId="7" applyFill="1" applyBorder="1" applyAlignment="1">
      <alignment wrapText="1"/>
    </xf>
    <xf numFmtId="14" fontId="5" fillId="0" borderId="6" xfId="7" applyNumberFormat="1" applyFont="1" applyBorder="1" applyAlignment="1">
      <alignment horizontal="center" wrapText="1"/>
    </xf>
    <xf numFmtId="0" fontId="5" fillId="0" borderId="10" xfId="7" applyFont="1" applyBorder="1" applyAlignment="1">
      <alignment horizontal="center" wrapText="1"/>
    </xf>
    <xf numFmtId="0" fontId="5" fillId="0" borderId="10" xfId="7" applyFont="1" applyBorder="1" applyAlignment="1">
      <alignment horizontal="left" wrapText="1"/>
    </xf>
    <xf numFmtId="4" fontId="2" fillId="0" borderId="6" xfId="7" applyNumberFormat="1" applyBorder="1" applyAlignment="1">
      <alignment horizontal="center" wrapText="1"/>
    </xf>
    <xf numFmtId="0" fontId="6" fillId="2" borderId="6" xfId="5" applyFill="1" applyBorder="1" applyAlignment="1">
      <alignment wrapText="1"/>
    </xf>
    <xf numFmtId="2" fontId="3" fillId="2" borderId="6" xfId="5" applyNumberFormat="1" applyFont="1" applyFill="1" applyBorder="1" applyAlignment="1">
      <alignment horizontal="center" wrapText="1"/>
    </xf>
    <xf numFmtId="0" fontId="3" fillId="2" borderId="6" xfId="5" applyFont="1" applyFill="1" applyBorder="1" applyAlignment="1">
      <alignment horizontal="center" wrapText="1"/>
    </xf>
  </cellXfs>
  <cellStyles count="17">
    <cellStyle name="Moeda 2" xfId="2" xr:uid="{00000000-0005-0000-0000-000000000000}"/>
    <cellStyle name="Moeda 4" xfId="12" xr:uid="{00000000-0005-0000-0000-000001000000}"/>
    <cellStyle name="Normal" xfId="0" builtinId="0"/>
    <cellStyle name="Normal 17" xfId="13" xr:uid="{00000000-0005-0000-0000-000003000000}"/>
    <cellStyle name="Normal 2" xfId="6" xr:uid="{00000000-0005-0000-0000-000004000000}"/>
    <cellStyle name="Normal 2 2" xfId="10" xr:uid="{00000000-0005-0000-0000-000005000000}"/>
    <cellStyle name="Normal 2 3" xfId="7" xr:uid="{00000000-0005-0000-0000-000006000000}"/>
    <cellStyle name="Normal_PLANÍLHA CAIXA TANIA SETEMBRO 2011" xfId="5" xr:uid="{00000000-0005-0000-0000-000007000000}"/>
    <cellStyle name="Percentagem" xfId="11" builtinId="5"/>
    <cellStyle name="Percentagem 2" xfId="16" xr:uid="{6154DCD8-8B8B-46BF-AE40-431B89FDD083}"/>
    <cellStyle name="Porcentagem 2" xfId="15" xr:uid="{00000000-0005-0000-0000-000009000000}"/>
    <cellStyle name="Vírgula" xfId="1" builtinId="3"/>
    <cellStyle name="Vírgula 2" xfId="8" xr:uid="{00000000-0005-0000-0000-00000B000000}"/>
    <cellStyle name="Vírgula 3" xfId="3" xr:uid="{00000000-0005-0000-0000-00000C000000}"/>
    <cellStyle name="Vírgula 3 2" xfId="4" xr:uid="{00000000-0005-0000-0000-00000D000000}"/>
    <cellStyle name="Vírgula 4" xfId="9" xr:uid="{00000000-0005-0000-0000-00000E000000}"/>
    <cellStyle name="Vírgula 6" xfId="14" xr:uid="{00000000-0005-0000-0000-00000F000000}"/>
  </cellStyles>
  <dxfs count="0"/>
  <tableStyles count="0" defaultTableStyle="TableStyleMedium2" defaultPivotStyle="PivotStyleLight16"/>
  <colors>
    <mruColors>
      <color rgb="FFFFCCFF"/>
      <color rgb="FFCC99FF"/>
      <color rgb="FF0099CC"/>
      <color rgb="FFCCFFFF"/>
      <color rgb="FFFF66CC"/>
      <color rgb="FF99FFCC"/>
      <color rgb="FF00FFFF"/>
      <color rgb="FF808080"/>
      <color rgb="FFCC00FF"/>
      <color rgb="FF99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theme" Target="theme/theme1.xml"/><Relationship Id="rId8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11"/>
  <sheetViews>
    <sheetView topLeftCell="D153" zoomScale="85" zoomScaleNormal="85" workbookViewId="0">
      <selection activeCell="C6" sqref="C6"/>
    </sheetView>
  </sheetViews>
  <sheetFormatPr defaultColWidth="9" defaultRowHeight="12.75" x14ac:dyDescent="0.2"/>
  <cols>
    <col min="1" max="1" width="14" style="97" customWidth="1"/>
    <col min="2" max="2" width="1.875" style="97" customWidth="1"/>
    <col min="3" max="3" width="95.875" style="97" customWidth="1"/>
    <col min="4" max="4" width="12" style="97" customWidth="1"/>
    <col min="5" max="5" width="12.375" style="97" customWidth="1"/>
    <col min="6" max="6" width="10.75" style="97" customWidth="1"/>
    <col min="7" max="7" width="11.875" style="97" customWidth="1"/>
    <col min="8" max="9" width="10.75" style="791" customWidth="1"/>
    <col min="10" max="10" width="10.875" style="826" customWidth="1"/>
    <col min="11" max="11" width="18.125" style="778" customWidth="1"/>
    <col min="12" max="12" width="10.375" style="97" customWidth="1"/>
    <col min="13" max="16384" width="9" style="97"/>
  </cols>
  <sheetData>
    <row r="1" spans="1:14" ht="13.5" customHeight="1" thickBot="1" x14ac:dyDescent="0.25">
      <c r="A1" s="1378" t="s">
        <v>5553</v>
      </c>
      <c r="B1" s="1378"/>
      <c r="C1" s="1379"/>
      <c r="D1" s="1380" t="s">
        <v>0</v>
      </c>
      <c r="E1" s="1381"/>
      <c r="F1" s="1381"/>
      <c r="G1" s="1382"/>
      <c r="H1" s="1383" t="s">
        <v>1</v>
      </c>
      <c r="I1" s="1383"/>
      <c r="J1" s="1384"/>
    </row>
    <row r="2" spans="1:14" ht="13.5" customHeight="1" thickBot="1" x14ac:dyDescent="0.25">
      <c r="A2" s="561" t="s">
        <v>2</v>
      </c>
      <c r="B2" s="562"/>
      <c r="C2" s="562" t="s">
        <v>3</v>
      </c>
      <c r="D2" s="562" t="s">
        <v>4</v>
      </c>
      <c r="E2" s="562" t="s">
        <v>5</v>
      </c>
      <c r="F2" s="562" t="s">
        <v>6</v>
      </c>
      <c r="G2" s="564" t="s">
        <v>7</v>
      </c>
      <c r="H2" s="779" t="s">
        <v>5</v>
      </c>
      <c r="I2" s="780" t="s">
        <v>6</v>
      </c>
      <c r="J2" s="781" t="s">
        <v>7</v>
      </c>
    </row>
    <row r="3" spans="1:14" ht="13.5" customHeight="1" x14ac:dyDescent="0.2">
      <c r="A3" s="568" t="s">
        <v>5554</v>
      </c>
      <c r="B3" s="603"/>
      <c r="C3" s="570" t="s">
        <v>8</v>
      </c>
      <c r="D3" s="581"/>
      <c r="E3" s="573"/>
      <c r="F3" s="782"/>
      <c r="G3" s="783" t="s">
        <v>5555</v>
      </c>
      <c r="H3" s="15"/>
      <c r="I3" s="784"/>
      <c r="J3" s="785">
        <v>1765.2300000000034</v>
      </c>
      <c r="K3" s="778">
        <f>J3</f>
        <v>1765.2300000000034</v>
      </c>
      <c r="L3" s="573"/>
    </row>
    <row r="4" spans="1:14" ht="13.5" customHeight="1" x14ac:dyDescent="0.2">
      <c r="A4" s="786"/>
      <c r="B4" s="787"/>
      <c r="C4" s="722" t="s">
        <v>5556</v>
      </c>
      <c r="D4" s="581"/>
      <c r="E4" s="573"/>
      <c r="F4" s="22"/>
      <c r="G4" s="788"/>
      <c r="H4" s="24"/>
      <c r="I4" s="789">
        <v>200</v>
      </c>
      <c r="J4" s="790">
        <v>1965.2300000000034</v>
      </c>
      <c r="K4" s="778">
        <f>K3-H4+I4</f>
        <v>1965.2300000000034</v>
      </c>
      <c r="L4" s="573"/>
      <c r="N4" s="791"/>
    </row>
    <row r="5" spans="1:14" ht="13.5" customHeight="1" x14ac:dyDescent="0.2">
      <c r="A5" s="786"/>
      <c r="B5" s="787"/>
      <c r="C5" s="722" t="s">
        <v>5557</v>
      </c>
      <c r="D5" s="581" t="s">
        <v>19</v>
      </c>
      <c r="E5" s="573">
        <v>-0.79</v>
      </c>
      <c r="F5" s="22" t="s">
        <v>549</v>
      </c>
      <c r="G5" s="792"/>
      <c r="H5" s="24"/>
      <c r="I5" s="789"/>
      <c r="J5" s="790"/>
      <c r="K5" s="778">
        <f t="shared" ref="K5:K68" si="0">K4-H5+I5</f>
        <v>1965.2300000000034</v>
      </c>
      <c r="L5" s="573"/>
      <c r="N5" s="791"/>
    </row>
    <row r="6" spans="1:14" ht="13.5" customHeight="1" x14ac:dyDescent="0.2">
      <c r="A6" s="786"/>
      <c r="B6" s="787"/>
      <c r="C6" s="722" t="s">
        <v>5558</v>
      </c>
      <c r="D6" s="581" t="s">
        <v>19</v>
      </c>
      <c r="E6" s="573" t="s">
        <v>5559</v>
      </c>
      <c r="F6" s="22" t="s">
        <v>549</v>
      </c>
      <c r="G6" s="792" t="s">
        <v>5560</v>
      </c>
      <c r="H6" s="24"/>
      <c r="I6" s="789"/>
      <c r="J6" s="790"/>
      <c r="K6" s="778">
        <f t="shared" si="0"/>
        <v>1965.2300000000034</v>
      </c>
      <c r="L6" s="573"/>
      <c r="N6" s="791"/>
    </row>
    <row r="7" spans="1:14" ht="13.5" customHeight="1" x14ac:dyDescent="0.2">
      <c r="A7" s="786">
        <v>42949</v>
      </c>
      <c r="B7" s="787"/>
      <c r="C7" s="722" t="s">
        <v>5561</v>
      </c>
      <c r="D7" s="581"/>
      <c r="E7" s="573"/>
      <c r="F7" s="22"/>
      <c r="G7" s="788"/>
      <c r="H7" s="24">
        <v>25.9</v>
      </c>
      <c r="I7" s="789"/>
      <c r="J7" s="790"/>
      <c r="K7" s="778">
        <f t="shared" si="0"/>
        <v>1939.3300000000033</v>
      </c>
      <c r="L7" s="573"/>
    </row>
    <row r="8" spans="1:14" ht="13.5" customHeight="1" x14ac:dyDescent="0.2">
      <c r="A8" s="786"/>
      <c r="B8" s="787"/>
      <c r="C8" s="722" t="s">
        <v>5562</v>
      </c>
      <c r="D8" s="581"/>
      <c r="E8" s="573"/>
      <c r="F8" s="22"/>
      <c r="G8" s="788"/>
      <c r="H8" s="24">
        <v>11.9</v>
      </c>
      <c r="I8" s="789"/>
      <c r="J8" s="790"/>
      <c r="K8" s="778">
        <f t="shared" si="0"/>
        <v>1927.4300000000032</v>
      </c>
      <c r="L8" s="573"/>
    </row>
    <row r="9" spans="1:14" ht="13.5" customHeight="1" x14ac:dyDescent="0.2">
      <c r="A9" s="786"/>
      <c r="B9" s="787"/>
      <c r="C9" s="722" t="s">
        <v>5563</v>
      </c>
      <c r="D9" s="581"/>
      <c r="E9" s="573"/>
      <c r="F9" s="22"/>
      <c r="G9" s="788"/>
      <c r="H9" s="24">
        <v>11.3</v>
      </c>
      <c r="I9" s="789"/>
      <c r="J9" s="790"/>
      <c r="K9" s="778">
        <f t="shared" si="0"/>
        <v>1916.1300000000033</v>
      </c>
      <c r="L9" s="573"/>
    </row>
    <row r="10" spans="1:14" ht="13.5" customHeight="1" x14ac:dyDescent="0.2">
      <c r="A10" s="786"/>
      <c r="B10" s="787"/>
      <c r="C10" s="722" t="s">
        <v>5564</v>
      </c>
      <c r="D10" s="581"/>
      <c r="E10" s="573"/>
      <c r="F10" s="22"/>
      <c r="G10" s="788"/>
      <c r="H10" s="24">
        <v>34.4</v>
      </c>
      <c r="I10" s="789"/>
      <c r="J10" s="790"/>
      <c r="K10" s="778">
        <f t="shared" si="0"/>
        <v>1881.7300000000032</v>
      </c>
      <c r="L10" s="573"/>
    </row>
    <row r="11" spans="1:14" ht="13.5" customHeight="1" x14ac:dyDescent="0.2">
      <c r="A11" s="786"/>
      <c r="B11" s="787"/>
      <c r="C11" s="722" t="s">
        <v>5565</v>
      </c>
      <c r="D11" s="581"/>
      <c r="E11" s="573"/>
      <c r="F11" s="22"/>
      <c r="G11" s="788"/>
      <c r="H11" s="24">
        <v>6.99</v>
      </c>
      <c r="I11" s="789"/>
      <c r="J11" s="790"/>
      <c r="K11" s="778">
        <f t="shared" si="0"/>
        <v>1874.7400000000032</v>
      </c>
      <c r="L11" s="573"/>
    </row>
    <row r="12" spans="1:14" ht="13.5" customHeight="1" x14ac:dyDescent="0.2">
      <c r="A12" s="786"/>
      <c r="B12" s="787"/>
      <c r="C12" s="722" t="s">
        <v>5566</v>
      </c>
      <c r="D12" s="581"/>
      <c r="E12" s="573"/>
      <c r="F12" s="22"/>
      <c r="G12" s="788"/>
      <c r="H12" s="24">
        <v>100</v>
      </c>
      <c r="I12" s="789"/>
      <c r="J12" s="790"/>
      <c r="K12" s="778">
        <f t="shared" si="0"/>
        <v>1774.7400000000032</v>
      </c>
      <c r="L12" s="573"/>
    </row>
    <row r="13" spans="1:14" ht="13.5" customHeight="1" x14ac:dyDescent="0.2">
      <c r="A13" s="786"/>
      <c r="B13" s="787"/>
      <c r="C13" s="722" t="s">
        <v>5567</v>
      </c>
      <c r="D13" s="581"/>
      <c r="E13" s="573"/>
      <c r="F13" s="22"/>
      <c r="G13" s="788"/>
      <c r="H13" s="24"/>
      <c r="I13" s="789">
        <v>435.4</v>
      </c>
      <c r="J13" s="790"/>
      <c r="K13" s="778">
        <f t="shared" si="0"/>
        <v>2210.1400000000031</v>
      </c>
      <c r="L13" s="573"/>
    </row>
    <row r="14" spans="1:14" ht="13.5" customHeight="1" x14ac:dyDescent="0.2">
      <c r="A14" s="786"/>
      <c r="B14" s="787"/>
      <c r="C14" s="722" t="s">
        <v>5568</v>
      </c>
      <c r="D14" s="581"/>
      <c r="E14" s="573"/>
      <c r="F14" s="22"/>
      <c r="G14" s="788"/>
      <c r="H14" s="174">
        <v>435.4</v>
      </c>
      <c r="I14" s="789"/>
      <c r="J14" s="790">
        <v>1774.740000000003</v>
      </c>
      <c r="K14" s="778">
        <f t="shared" si="0"/>
        <v>1774.740000000003</v>
      </c>
      <c r="L14" s="573"/>
    </row>
    <row r="15" spans="1:14" ht="13.5" customHeight="1" x14ac:dyDescent="0.2">
      <c r="A15" s="786"/>
      <c r="B15" s="787"/>
      <c r="C15" s="722" t="s">
        <v>5568</v>
      </c>
      <c r="D15" s="581" t="s">
        <v>5569</v>
      </c>
      <c r="E15" s="573" t="s">
        <v>549</v>
      </c>
      <c r="F15" s="162" t="s">
        <v>5570</v>
      </c>
      <c r="G15" s="792"/>
      <c r="H15" s="24"/>
      <c r="I15" s="789"/>
      <c r="J15" s="790"/>
      <c r="K15" s="778">
        <f t="shared" si="0"/>
        <v>1774.740000000003</v>
      </c>
      <c r="L15" s="573"/>
    </row>
    <row r="16" spans="1:14" ht="13.5" customHeight="1" x14ac:dyDescent="0.2">
      <c r="A16" s="786"/>
      <c r="B16" s="787"/>
      <c r="C16" s="722" t="s">
        <v>5571</v>
      </c>
      <c r="D16" s="581" t="s">
        <v>19</v>
      </c>
      <c r="E16" s="573" t="s">
        <v>5572</v>
      </c>
      <c r="F16" s="22" t="s">
        <v>549</v>
      </c>
      <c r="G16" s="792"/>
      <c r="H16" s="24"/>
      <c r="I16" s="789"/>
      <c r="J16" s="790"/>
      <c r="K16" s="778">
        <f t="shared" si="0"/>
        <v>1774.740000000003</v>
      </c>
      <c r="L16" s="573"/>
    </row>
    <row r="17" spans="1:12" ht="13.5" customHeight="1" x14ac:dyDescent="0.2">
      <c r="A17" s="786"/>
      <c r="B17" s="787"/>
      <c r="C17" s="722" t="s">
        <v>5573</v>
      </c>
      <c r="D17" s="581" t="s">
        <v>19</v>
      </c>
      <c r="E17" s="573" t="s">
        <v>5574</v>
      </c>
      <c r="F17" s="22" t="s">
        <v>549</v>
      </c>
      <c r="G17" s="792"/>
      <c r="H17" s="24"/>
      <c r="I17" s="789"/>
      <c r="J17" s="790"/>
      <c r="K17" s="778">
        <f t="shared" si="0"/>
        <v>1774.740000000003</v>
      </c>
      <c r="L17" s="573"/>
    </row>
    <row r="18" spans="1:12" ht="13.5" customHeight="1" x14ac:dyDescent="0.2">
      <c r="A18" s="786"/>
      <c r="B18" s="787"/>
      <c r="C18" s="722" t="s">
        <v>5575</v>
      </c>
      <c r="D18" s="581" t="s">
        <v>5576</v>
      </c>
      <c r="E18" s="573" t="s">
        <v>5577</v>
      </c>
      <c r="F18" s="22" t="s">
        <v>549</v>
      </c>
      <c r="G18" s="792"/>
      <c r="H18" s="24"/>
      <c r="I18" s="789"/>
      <c r="J18" s="790"/>
      <c r="K18" s="778">
        <f t="shared" si="0"/>
        <v>1774.740000000003</v>
      </c>
      <c r="L18" s="573"/>
    </row>
    <row r="19" spans="1:12" ht="13.5" customHeight="1" x14ac:dyDescent="0.2">
      <c r="A19" s="786"/>
      <c r="B19" s="787"/>
      <c r="C19" s="793" t="s">
        <v>5578</v>
      </c>
      <c r="D19" s="581" t="s">
        <v>19</v>
      </c>
      <c r="E19" s="573" t="s">
        <v>549</v>
      </c>
      <c r="F19" s="22" t="s">
        <v>5579</v>
      </c>
      <c r="G19" s="792" t="s">
        <v>5580</v>
      </c>
      <c r="H19" s="24"/>
      <c r="I19" s="789"/>
      <c r="J19" s="790"/>
      <c r="K19" s="778">
        <f t="shared" si="0"/>
        <v>1774.740000000003</v>
      </c>
      <c r="L19" s="573"/>
    </row>
    <row r="20" spans="1:12" ht="13.5" customHeight="1" x14ac:dyDescent="0.2">
      <c r="A20" s="786">
        <v>42950</v>
      </c>
      <c r="B20" s="787"/>
      <c r="C20" s="722" t="s">
        <v>5581</v>
      </c>
      <c r="D20" s="581"/>
      <c r="E20" s="573"/>
      <c r="F20" s="22"/>
      <c r="G20" s="788"/>
      <c r="H20" s="24">
        <v>100</v>
      </c>
      <c r="I20" s="789"/>
      <c r="J20" s="790"/>
      <c r="K20" s="778">
        <f t="shared" si="0"/>
        <v>1674.740000000003</v>
      </c>
      <c r="L20" s="573"/>
    </row>
    <row r="21" spans="1:12" ht="13.5" customHeight="1" x14ac:dyDescent="0.2">
      <c r="A21" s="786"/>
      <c r="B21" s="787"/>
      <c r="C21" s="722" t="s">
        <v>5582</v>
      </c>
      <c r="D21" s="581"/>
      <c r="E21" s="573"/>
      <c r="F21" s="22"/>
      <c r="G21" s="788"/>
      <c r="H21" s="24"/>
      <c r="I21" s="789">
        <v>190</v>
      </c>
      <c r="J21" s="790">
        <v>1864.740000000003</v>
      </c>
      <c r="K21" s="778">
        <f t="shared" si="0"/>
        <v>1864.740000000003</v>
      </c>
      <c r="L21" s="573"/>
    </row>
    <row r="22" spans="1:12" ht="13.5" customHeight="1" x14ac:dyDescent="0.2">
      <c r="A22" s="786"/>
      <c r="B22" s="787"/>
      <c r="C22" s="722" t="s">
        <v>5583</v>
      </c>
      <c r="D22" s="581" t="s">
        <v>5584</v>
      </c>
      <c r="E22" s="573" t="s">
        <v>5585</v>
      </c>
      <c r="F22" s="22" t="s">
        <v>549</v>
      </c>
      <c r="G22" s="792"/>
      <c r="H22" s="24"/>
      <c r="I22" s="789"/>
      <c r="J22" s="790"/>
      <c r="K22" s="778">
        <f t="shared" si="0"/>
        <v>1864.740000000003</v>
      </c>
      <c r="L22" s="573"/>
    </row>
    <row r="23" spans="1:12" ht="13.5" customHeight="1" x14ac:dyDescent="0.2">
      <c r="A23" s="786"/>
      <c r="B23" s="787"/>
      <c r="C23" s="722" t="s">
        <v>5586</v>
      </c>
      <c r="D23" s="581" t="s">
        <v>19</v>
      </c>
      <c r="E23" s="573" t="s">
        <v>5587</v>
      </c>
      <c r="F23" s="22" t="s">
        <v>549</v>
      </c>
      <c r="G23" s="792" t="s">
        <v>5588</v>
      </c>
      <c r="H23" s="24"/>
      <c r="I23" s="789"/>
      <c r="J23" s="790"/>
      <c r="K23" s="778">
        <f t="shared" si="0"/>
        <v>1864.740000000003</v>
      </c>
      <c r="L23" s="573"/>
    </row>
    <row r="24" spans="1:12" ht="13.5" customHeight="1" x14ac:dyDescent="0.2">
      <c r="A24" s="786">
        <v>42951</v>
      </c>
      <c r="B24" s="787"/>
      <c r="C24" s="722" t="s">
        <v>5589</v>
      </c>
      <c r="D24" s="581"/>
      <c r="E24" s="573"/>
      <c r="F24" s="22"/>
      <c r="G24" s="788"/>
      <c r="H24" s="24">
        <v>140</v>
      </c>
      <c r="I24" s="789"/>
      <c r="J24" s="790"/>
      <c r="K24" s="778">
        <f t="shared" si="0"/>
        <v>1724.740000000003</v>
      </c>
      <c r="L24" s="573"/>
    </row>
    <row r="25" spans="1:12" ht="13.5" customHeight="1" x14ac:dyDescent="0.2">
      <c r="A25" s="786"/>
      <c r="B25" s="787"/>
      <c r="C25" s="722" t="s">
        <v>5590</v>
      </c>
      <c r="D25" s="581"/>
      <c r="E25" s="573"/>
      <c r="F25" s="22"/>
      <c r="G25" s="788"/>
      <c r="H25" s="24">
        <v>70</v>
      </c>
      <c r="I25" s="789"/>
      <c r="J25" s="790"/>
      <c r="K25" s="778">
        <f t="shared" si="0"/>
        <v>1654.740000000003</v>
      </c>
      <c r="L25" s="573"/>
    </row>
    <row r="26" spans="1:12" ht="13.5" customHeight="1" x14ac:dyDescent="0.2">
      <c r="A26" s="786"/>
      <c r="B26" s="787"/>
      <c r="C26" s="722" t="s">
        <v>5591</v>
      </c>
      <c r="D26" s="581"/>
      <c r="E26" s="573"/>
      <c r="F26" s="22"/>
      <c r="G26" s="788"/>
      <c r="H26" s="24">
        <v>600</v>
      </c>
      <c r="I26" s="789"/>
      <c r="J26" s="790"/>
      <c r="K26" s="778">
        <f t="shared" si="0"/>
        <v>1054.740000000003</v>
      </c>
      <c r="L26" s="573"/>
    </row>
    <row r="27" spans="1:12" ht="13.5" customHeight="1" x14ac:dyDescent="0.2">
      <c r="A27" s="786"/>
      <c r="B27" s="787"/>
      <c r="C27" s="722" t="s">
        <v>5592</v>
      </c>
      <c r="D27" s="581"/>
      <c r="E27" s="573"/>
      <c r="F27" s="22"/>
      <c r="G27" s="788"/>
      <c r="H27" s="24">
        <v>250</v>
      </c>
      <c r="I27" s="789"/>
      <c r="J27" s="790"/>
      <c r="K27" s="778">
        <f t="shared" si="0"/>
        <v>804.74000000000296</v>
      </c>
      <c r="L27" s="573"/>
    </row>
    <row r="28" spans="1:12" ht="13.5" customHeight="1" x14ac:dyDescent="0.2">
      <c r="A28" s="786"/>
      <c r="B28" s="787"/>
      <c r="C28" s="722" t="s">
        <v>5593</v>
      </c>
      <c r="D28" s="581"/>
      <c r="E28" s="573"/>
      <c r="F28" s="22"/>
      <c r="G28" s="788"/>
      <c r="H28" s="24">
        <v>300</v>
      </c>
      <c r="I28" s="789"/>
      <c r="J28" s="790"/>
      <c r="K28" s="778">
        <f t="shared" si="0"/>
        <v>504.74000000000296</v>
      </c>
      <c r="L28" s="573"/>
    </row>
    <row r="29" spans="1:12" ht="13.5" customHeight="1" x14ac:dyDescent="0.2">
      <c r="A29" s="786"/>
      <c r="B29" s="787"/>
      <c r="C29" s="722" t="s">
        <v>5594</v>
      </c>
      <c r="D29" s="581"/>
      <c r="E29" s="573"/>
      <c r="F29" s="22"/>
      <c r="G29" s="788"/>
      <c r="H29" s="24">
        <v>200</v>
      </c>
      <c r="I29" s="789"/>
      <c r="J29" s="790"/>
      <c r="K29" s="778">
        <f t="shared" si="0"/>
        <v>304.74000000000296</v>
      </c>
      <c r="L29" s="573"/>
    </row>
    <row r="30" spans="1:12" ht="13.5" customHeight="1" x14ac:dyDescent="0.2">
      <c r="A30" s="786"/>
      <c r="B30" s="787"/>
      <c r="C30" s="722" t="s">
        <v>5595</v>
      </c>
      <c r="D30" s="581"/>
      <c r="E30" s="573"/>
      <c r="F30" s="22"/>
      <c r="G30" s="788"/>
      <c r="H30" s="24"/>
      <c r="I30" s="789">
        <v>60</v>
      </c>
      <c r="J30" s="790"/>
      <c r="K30" s="778">
        <f t="shared" si="0"/>
        <v>364.74000000000296</v>
      </c>
      <c r="L30" s="573"/>
    </row>
    <row r="31" spans="1:12" ht="13.5" customHeight="1" x14ac:dyDescent="0.2">
      <c r="A31" s="786"/>
      <c r="B31" s="787"/>
      <c r="C31" s="722" t="s">
        <v>5596</v>
      </c>
      <c r="D31" s="581"/>
      <c r="E31" s="573"/>
      <c r="F31" s="22"/>
      <c r="G31" s="788"/>
      <c r="H31" s="24">
        <v>200</v>
      </c>
      <c r="I31" s="789"/>
      <c r="J31" s="790"/>
      <c r="K31" s="778">
        <f t="shared" si="0"/>
        <v>164.74000000000296</v>
      </c>
      <c r="L31" s="573"/>
    </row>
    <row r="32" spans="1:12" ht="13.5" customHeight="1" x14ac:dyDescent="0.2">
      <c r="A32" s="786">
        <v>42954</v>
      </c>
      <c r="B32" s="787"/>
      <c r="C32" s="722" t="s">
        <v>5597</v>
      </c>
      <c r="D32" s="581"/>
      <c r="E32" s="573"/>
      <c r="F32" s="22"/>
      <c r="G32" s="788"/>
      <c r="H32" s="24"/>
      <c r="I32" s="789">
        <v>170</v>
      </c>
      <c r="J32" s="790"/>
      <c r="K32" s="778">
        <f t="shared" si="0"/>
        <v>334.74000000000296</v>
      </c>
      <c r="L32" s="573"/>
    </row>
    <row r="33" spans="1:12" ht="13.5" customHeight="1" x14ac:dyDescent="0.2">
      <c r="A33" s="786"/>
      <c r="B33" s="787"/>
      <c r="C33" s="722" t="s">
        <v>5598</v>
      </c>
      <c r="D33" s="581"/>
      <c r="E33" s="573"/>
      <c r="F33" s="22"/>
      <c r="G33" s="788"/>
      <c r="H33" s="24"/>
      <c r="I33" s="789">
        <v>3000</v>
      </c>
      <c r="J33" s="790"/>
      <c r="K33" s="778">
        <f t="shared" si="0"/>
        <v>3334.740000000003</v>
      </c>
      <c r="L33" s="573"/>
    </row>
    <row r="34" spans="1:12" ht="13.5" customHeight="1" x14ac:dyDescent="0.2">
      <c r="A34" s="786"/>
      <c r="B34" s="787"/>
      <c r="C34" s="722" t="s">
        <v>5568</v>
      </c>
      <c r="D34" s="581"/>
      <c r="E34" s="573"/>
      <c r="F34" s="22"/>
      <c r="G34" s="788"/>
      <c r="H34" s="174">
        <v>3170</v>
      </c>
      <c r="I34" s="789"/>
      <c r="J34" s="790"/>
      <c r="K34" s="778">
        <f t="shared" si="0"/>
        <v>164.74000000000296</v>
      </c>
      <c r="L34" s="573"/>
    </row>
    <row r="35" spans="1:12" ht="13.5" customHeight="1" x14ac:dyDescent="0.2">
      <c r="A35" s="786"/>
      <c r="B35" s="787"/>
      <c r="C35" s="722" t="s">
        <v>5599</v>
      </c>
      <c r="D35" s="581"/>
      <c r="E35" s="573"/>
      <c r="F35" s="22"/>
      <c r="G35" s="788"/>
      <c r="H35" s="24"/>
      <c r="I35" s="789">
        <v>1049.8</v>
      </c>
      <c r="J35" s="790"/>
      <c r="K35" s="778">
        <f t="shared" si="0"/>
        <v>1214.5400000000029</v>
      </c>
      <c r="L35" s="573"/>
    </row>
    <row r="36" spans="1:12" ht="13.5" customHeight="1" x14ac:dyDescent="0.2">
      <c r="A36" s="786"/>
      <c r="B36" s="787"/>
      <c r="C36" s="722" t="s">
        <v>5600</v>
      </c>
      <c r="D36" s="581"/>
      <c r="E36" s="573"/>
      <c r="F36" s="22"/>
      <c r="G36" s="788"/>
      <c r="H36" s="24">
        <v>12</v>
      </c>
      <c r="I36" s="789"/>
      <c r="J36" s="790"/>
      <c r="K36" s="778">
        <f t="shared" si="0"/>
        <v>1202.5400000000029</v>
      </c>
      <c r="L36" s="573"/>
    </row>
    <row r="37" spans="1:12" ht="13.5" customHeight="1" x14ac:dyDescent="0.2">
      <c r="A37" s="786"/>
      <c r="B37" s="787"/>
      <c r="C37" s="722" t="s">
        <v>5601</v>
      </c>
      <c r="D37" s="581"/>
      <c r="E37" s="573"/>
      <c r="F37" s="22"/>
      <c r="G37" s="788"/>
      <c r="H37" s="24">
        <v>5.0999999999999996</v>
      </c>
      <c r="I37" s="789"/>
      <c r="J37" s="790"/>
      <c r="K37" s="778">
        <f t="shared" si="0"/>
        <v>1197.440000000003</v>
      </c>
      <c r="L37" s="573"/>
    </row>
    <row r="38" spans="1:12" ht="13.5" customHeight="1" x14ac:dyDescent="0.2">
      <c r="A38" s="786"/>
      <c r="B38" s="787"/>
      <c r="C38" s="722" t="s">
        <v>5602</v>
      </c>
      <c r="D38" s="581"/>
      <c r="E38" s="573"/>
      <c r="F38" s="22"/>
      <c r="G38" s="788"/>
      <c r="H38" s="24">
        <v>17</v>
      </c>
      <c r="I38" s="789"/>
      <c r="J38" s="790"/>
      <c r="K38" s="778">
        <f t="shared" si="0"/>
        <v>1180.440000000003</v>
      </c>
      <c r="L38" s="573"/>
    </row>
    <row r="39" spans="1:12" ht="13.5" customHeight="1" x14ac:dyDescent="0.2">
      <c r="A39" s="786"/>
      <c r="B39" s="787"/>
      <c r="C39" s="722" t="s">
        <v>5603</v>
      </c>
      <c r="D39" s="581"/>
      <c r="E39" s="573"/>
      <c r="F39" s="22"/>
      <c r="G39" s="788"/>
      <c r="H39" s="24"/>
      <c r="I39" s="789">
        <v>60</v>
      </c>
      <c r="J39" s="790"/>
      <c r="K39" s="778">
        <f t="shared" si="0"/>
        <v>1240.440000000003</v>
      </c>
      <c r="L39" s="573"/>
    </row>
    <row r="40" spans="1:12" ht="13.5" customHeight="1" x14ac:dyDescent="0.2">
      <c r="A40" s="786"/>
      <c r="B40" s="787"/>
      <c r="C40" s="722" t="s">
        <v>5604</v>
      </c>
      <c r="D40" s="581"/>
      <c r="E40" s="573"/>
      <c r="F40" s="22"/>
      <c r="G40" s="788"/>
      <c r="H40" s="24"/>
      <c r="I40" s="789">
        <v>2147.83</v>
      </c>
      <c r="J40" s="790"/>
      <c r="K40" s="778">
        <f t="shared" si="0"/>
        <v>3388.2700000000032</v>
      </c>
      <c r="L40" s="573"/>
    </row>
    <row r="41" spans="1:12" ht="13.5" customHeight="1" x14ac:dyDescent="0.2">
      <c r="A41" s="786"/>
      <c r="B41" s="787"/>
      <c r="C41" s="722" t="s">
        <v>5605</v>
      </c>
      <c r="D41" s="581"/>
      <c r="E41" s="573"/>
      <c r="F41" s="22"/>
      <c r="G41" s="788"/>
      <c r="H41" s="24">
        <v>35</v>
      </c>
      <c r="I41" s="789"/>
      <c r="J41" s="790"/>
      <c r="K41" s="778">
        <f t="shared" si="0"/>
        <v>3353.2700000000032</v>
      </c>
      <c r="L41" s="573"/>
    </row>
    <row r="42" spans="1:12" ht="13.5" customHeight="1" x14ac:dyDescent="0.2">
      <c r="A42" s="786"/>
      <c r="B42" s="787"/>
      <c r="C42" s="722" t="s">
        <v>5606</v>
      </c>
      <c r="D42" s="581"/>
      <c r="E42" s="573"/>
      <c r="F42" s="22"/>
      <c r="G42" s="788"/>
      <c r="H42" s="24">
        <v>24</v>
      </c>
      <c r="I42" s="789"/>
      <c r="J42" s="790">
        <v>3329.2700000000032</v>
      </c>
      <c r="K42" s="778">
        <f t="shared" si="0"/>
        <v>3329.2700000000032</v>
      </c>
      <c r="L42" s="573"/>
    </row>
    <row r="43" spans="1:12" ht="13.5" customHeight="1" x14ac:dyDescent="0.2">
      <c r="A43" s="786"/>
      <c r="B43" s="787"/>
      <c r="C43" s="793" t="s">
        <v>5607</v>
      </c>
      <c r="D43" s="581" t="s">
        <v>19</v>
      </c>
      <c r="E43" s="573" t="s">
        <v>5608</v>
      </c>
      <c r="F43" s="22" t="s">
        <v>549</v>
      </c>
      <c r="G43" s="792"/>
      <c r="H43" s="24"/>
      <c r="I43" s="789"/>
      <c r="J43" s="790"/>
      <c r="K43" s="778">
        <f t="shared" si="0"/>
        <v>3329.2700000000032</v>
      </c>
      <c r="L43" s="573"/>
    </row>
    <row r="44" spans="1:12" ht="13.5" customHeight="1" x14ac:dyDescent="0.2">
      <c r="A44" s="786"/>
      <c r="B44" s="787"/>
      <c r="C44" s="793" t="s">
        <v>5609</v>
      </c>
      <c r="D44" s="581" t="s">
        <v>19</v>
      </c>
      <c r="E44" s="573" t="s">
        <v>5610</v>
      </c>
      <c r="F44" s="22" t="s">
        <v>549</v>
      </c>
      <c r="G44" s="792"/>
      <c r="H44" s="24"/>
      <c r="I44" s="789"/>
      <c r="J44" s="790"/>
      <c r="K44" s="778">
        <f t="shared" si="0"/>
        <v>3329.2700000000032</v>
      </c>
      <c r="L44" s="573"/>
    </row>
    <row r="45" spans="1:12" ht="13.5" customHeight="1" x14ac:dyDescent="0.2">
      <c r="A45" s="786"/>
      <c r="B45" s="787"/>
      <c r="C45" s="569" t="s">
        <v>5611</v>
      </c>
      <c r="D45" s="581" t="s">
        <v>5612</v>
      </c>
      <c r="E45" s="573" t="s">
        <v>5613</v>
      </c>
      <c r="F45" s="22" t="s">
        <v>549</v>
      </c>
      <c r="G45" s="792"/>
      <c r="H45" s="24"/>
      <c r="I45" s="789"/>
      <c r="J45" s="790"/>
      <c r="K45" s="778">
        <f t="shared" si="0"/>
        <v>3329.2700000000032</v>
      </c>
      <c r="L45" s="573"/>
    </row>
    <row r="46" spans="1:12" ht="13.5" customHeight="1" x14ac:dyDescent="0.2">
      <c r="A46" s="786"/>
      <c r="B46" s="787"/>
      <c r="C46" s="722" t="s">
        <v>5568</v>
      </c>
      <c r="D46" s="581" t="s">
        <v>5614</v>
      </c>
      <c r="E46" s="573" t="s">
        <v>549</v>
      </c>
      <c r="F46" s="162" t="s">
        <v>5615</v>
      </c>
      <c r="G46" s="792" t="s">
        <v>5616</v>
      </c>
      <c r="H46" s="24"/>
      <c r="I46" s="789"/>
      <c r="J46" s="790"/>
      <c r="K46" s="778">
        <f t="shared" si="0"/>
        <v>3329.2700000000032</v>
      </c>
      <c r="L46" s="573"/>
    </row>
    <row r="47" spans="1:12" ht="13.5" customHeight="1" x14ac:dyDescent="0.2">
      <c r="A47" s="786">
        <v>42955</v>
      </c>
      <c r="B47" s="787"/>
      <c r="C47" s="722" t="s">
        <v>5617</v>
      </c>
      <c r="D47" s="581"/>
      <c r="E47" s="573"/>
      <c r="F47" s="22"/>
      <c r="G47" s="788"/>
      <c r="H47" s="24"/>
      <c r="I47" s="789">
        <v>1020</v>
      </c>
      <c r="J47" s="790"/>
      <c r="K47" s="778">
        <f t="shared" si="0"/>
        <v>4349.2700000000032</v>
      </c>
      <c r="L47" s="573"/>
    </row>
    <row r="48" spans="1:12" ht="13.5" customHeight="1" x14ac:dyDescent="0.2">
      <c r="A48" s="786"/>
      <c r="B48" s="787"/>
      <c r="C48" s="722" t="s">
        <v>5618</v>
      </c>
      <c r="D48" s="581"/>
      <c r="E48" s="573"/>
      <c r="F48" s="22"/>
      <c r="G48" s="788"/>
      <c r="H48" s="24">
        <v>21.9</v>
      </c>
      <c r="I48" s="789"/>
      <c r="J48" s="790"/>
      <c r="K48" s="778">
        <f t="shared" si="0"/>
        <v>4327.3700000000035</v>
      </c>
      <c r="L48" s="573"/>
    </row>
    <row r="49" spans="1:12" ht="13.5" customHeight="1" x14ac:dyDescent="0.2">
      <c r="A49" s="786"/>
      <c r="B49" s="787"/>
      <c r="C49" s="722" t="s">
        <v>5619</v>
      </c>
      <c r="D49" s="581"/>
      <c r="E49" s="573"/>
      <c r="F49" s="22"/>
      <c r="G49" s="788"/>
      <c r="H49" s="24">
        <v>1000</v>
      </c>
      <c r="I49" s="789"/>
      <c r="J49" s="790">
        <v>3327.3700000000035</v>
      </c>
      <c r="K49" s="778">
        <f t="shared" si="0"/>
        <v>3327.3700000000035</v>
      </c>
      <c r="L49" s="573"/>
    </row>
    <row r="50" spans="1:12" ht="13.5" customHeight="1" x14ac:dyDescent="0.2">
      <c r="A50" s="786">
        <v>42956</v>
      </c>
      <c r="B50" s="787"/>
      <c r="C50" s="722" t="s">
        <v>5620</v>
      </c>
      <c r="D50" s="581"/>
      <c r="E50" s="573"/>
      <c r="F50" s="22"/>
      <c r="G50" s="788"/>
      <c r="H50" s="24">
        <v>500</v>
      </c>
      <c r="I50" s="789"/>
      <c r="J50" s="790"/>
      <c r="K50" s="778">
        <f t="shared" si="0"/>
        <v>2827.3700000000035</v>
      </c>
      <c r="L50" s="573"/>
    </row>
    <row r="51" spans="1:12" ht="13.5" customHeight="1" x14ac:dyDescent="0.2">
      <c r="A51" s="786"/>
      <c r="B51" s="787"/>
      <c r="C51" s="722" t="s">
        <v>5568</v>
      </c>
      <c r="D51" s="581"/>
      <c r="E51" s="573"/>
      <c r="F51" s="22"/>
      <c r="G51" s="788"/>
      <c r="H51" s="174">
        <v>1020</v>
      </c>
      <c r="I51" s="789"/>
      <c r="J51" s="790"/>
      <c r="K51" s="778">
        <f t="shared" si="0"/>
        <v>1807.3700000000035</v>
      </c>
      <c r="L51" s="573"/>
    </row>
    <row r="52" spans="1:12" ht="13.5" customHeight="1" x14ac:dyDescent="0.2">
      <c r="A52" s="786"/>
      <c r="B52" s="787"/>
      <c r="C52" s="722" t="s">
        <v>5621</v>
      </c>
      <c r="D52" s="581"/>
      <c r="E52" s="573"/>
      <c r="F52" s="22"/>
      <c r="G52" s="788"/>
      <c r="H52" s="24"/>
      <c r="I52" s="789">
        <v>50</v>
      </c>
      <c r="J52" s="790"/>
      <c r="K52" s="778">
        <f t="shared" si="0"/>
        <v>1857.3700000000035</v>
      </c>
      <c r="L52" s="573"/>
    </row>
    <row r="53" spans="1:12" ht="13.5" customHeight="1" x14ac:dyDescent="0.2">
      <c r="A53" s="786"/>
      <c r="B53" s="787"/>
      <c r="C53" s="722" t="s">
        <v>5622</v>
      </c>
      <c r="D53" s="581"/>
      <c r="E53" s="573"/>
      <c r="F53" s="22"/>
      <c r="G53" s="788"/>
      <c r="H53" s="24"/>
      <c r="I53" s="789">
        <v>2051.9</v>
      </c>
      <c r="J53" s="790"/>
      <c r="K53" s="778">
        <f t="shared" si="0"/>
        <v>3909.2700000000036</v>
      </c>
      <c r="L53" s="573"/>
    </row>
    <row r="54" spans="1:12" ht="13.5" customHeight="1" x14ac:dyDescent="0.2">
      <c r="A54" s="786"/>
      <c r="B54" s="787"/>
      <c r="C54" s="722" t="s">
        <v>5623</v>
      </c>
      <c r="D54" s="581"/>
      <c r="E54" s="573"/>
      <c r="F54" s="22"/>
      <c r="G54" s="788"/>
      <c r="H54" s="24">
        <v>400</v>
      </c>
      <c r="I54" s="789"/>
      <c r="J54" s="790">
        <v>3509.2700000000036</v>
      </c>
      <c r="K54" s="778">
        <f t="shared" si="0"/>
        <v>3509.2700000000036</v>
      </c>
      <c r="L54" s="573"/>
    </row>
    <row r="55" spans="1:12" ht="13.5" customHeight="1" x14ac:dyDescent="0.2">
      <c r="A55" s="786"/>
      <c r="B55" s="787"/>
      <c r="C55" s="793" t="s">
        <v>5624</v>
      </c>
      <c r="D55" s="581" t="s">
        <v>5625</v>
      </c>
      <c r="E55" s="573" t="s">
        <v>549</v>
      </c>
      <c r="F55" s="22" t="s">
        <v>5626</v>
      </c>
      <c r="G55" s="792"/>
      <c r="H55" s="24"/>
      <c r="I55" s="789"/>
      <c r="J55" s="790"/>
      <c r="K55" s="778">
        <f t="shared" si="0"/>
        <v>3509.2700000000036</v>
      </c>
      <c r="L55" s="573"/>
    </row>
    <row r="56" spans="1:12" ht="13.5" customHeight="1" x14ac:dyDescent="0.2">
      <c r="A56" s="786"/>
      <c r="B56" s="787"/>
      <c r="C56" s="722" t="s">
        <v>5627</v>
      </c>
      <c r="D56" s="581" t="s">
        <v>5628</v>
      </c>
      <c r="E56" s="794" t="s">
        <v>5629</v>
      </c>
      <c r="F56" s="22" t="s">
        <v>549</v>
      </c>
      <c r="G56" s="792"/>
      <c r="H56" s="24"/>
      <c r="I56" s="789"/>
      <c r="J56" s="790"/>
      <c r="K56" s="778">
        <f t="shared" si="0"/>
        <v>3509.2700000000036</v>
      </c>
      <c r="L56" s="573"/>
    </row>
    <row r="57" spans="1:12" ht="13.5" customHeight="1" x14ac:dyDescent="0.2">
      <c r="A57" s="786"/>
      <c r="B57" s="787"/>
      <c r="C57" s="722" t="s">
        <v>5630</v>
      </c>
      <c r="D57" s="581" t="s">
        <v>5631</v>
      </c>
      <c r="E57" s="573" t="s">
        <v>5632</v>
      </c>
      <c r="F57" s="22" t="s">
        <v>549</v>
      </c>
      <c r="G57" s="792"/>
      <c r="H57" s="24"/>
      <c r="I57" s="789"/>
      <c r="J57" s="790"/>
      <c r="K57" s="778">
        <f t="shared" si="0"/>
        <v>3509.2700000000036</v>
      </c>
      <c r="L57" s="573"/>
    </row>
    <row r="58" spans="1:12" ht="13.5" customHeight="1" x14ac:dyDescent="0.2">
      <c r="A58" s="786"/>
      <c r="B58" s="787"/>
      <c r="C58" s="722" t="s">
        <v>5568</v>
      </c>
      <c r="D58" s="581" t="s">
        <v>5633</v>
      </c>
      <c r="E58" s="573" t="s">
        <v>549</v>
      </c>
      <c r="F58" s="162" t="s">
        <v>5634</v>
      </c>
      <c r="G58" s="792"/>
      <c r="H58" s="24"/>
      <c r="I58" s="789"/>
      <c r="J58" s="790"/>
      <c r="K58" s="778">
        <f t="shared" si="0"/>
        <v>3509.2700000000036</v>
      </c>
      <c r="L58" s="573"/>
    </row>
    <row r="59" spans="1:12" ht="13.5" customHeight="1" x14ac:dyDescent="0.2">
      <c r="A59" s="786"/>
      <c r="B59" s="787"/>
      <c r="C59" s="722" t="s">
        <v>5635</v>
      </c>
      <c r="D59" s="581" t="s">
        <v>5636</v>
      </c>
      <c r="E59" s="573" t="s">
        <v>5637</v>
      </c>
      <c r="F59" s="22" t="s">
        <v>549</v>
      </c>
      <c r="G59" s="792"/>
      <c r="H59" s="24"/>
      <c r="I59" s="789"/>
      <c r="J59" s="790"/>
      <c r="K59" s="778">
        <f t="shared" si="0"/>
        <v>3509.2700000000036</v>
      </c>
      <c r="L59" s="573"/>
    </row>
    <row r="60" spans="1:12" ht="13.5" customHeight="1" x14ac:dyDescent="0.2">
      <c r="A60" s="786"/>
      <c r="B60" s="787"/>
      <c r="C60" s="722" t="s">
        <v>5635</v>
      </c>
      <c r="D60" s="581" t="s">
        <v>5638</v>
      </c>
      <c r="E60" s="573" t="s">
        <v>5639</v>
      </c>
      <c r="F60" s="22" t="s">
        <v>549</v>
      </c>
      <c r="G60" s="792"/>
      <c r="H60" s="24"/>
      <c r="I60" s="789"/>
      <c r="J60" s="790"/>
      <c r="K60" s="778">
        <f t="shared" si="0"/>
        <v>3509.2700000000036</v>
      </c>
      <c r="L60" s="573"/>
    </row>
    <row r="61" spans="1:12" ht="13.5" customHeight="1" x14ac:dyDescent="0.2">
      <c r="A61" s="786"/>
      <c r="B61" s="787"/>
      <c r="C61" s="793" t="s">
        <v>5578</v>
      </c>
      <c r="D61" s="581" t="s">
        <v>19</v>
      </c>
      <c r="E61" s="573" t="s">
        <v>549</v>
      </c>
      <c r="F61" s="22" t="s">
        <v>5640</v>
      </c>
      <c r="G61" s="792" t="s">
        <v>5641</v>
      </c>
      <c r="H61" s="24"/>
      <c r="I61" s="789"/>
      <c r="J61" s="790"/>
      <c r="K61" s="778">
        <f t="shared" si="0"/>
        <v>3509.2700000000036</v>
      </c>
      <c r="L61" s="573"/>
    </row>
    <row r="62" spans="1:12" ht="13.5" customHeight="1" x14ac:dyDescent="0.2">
      <c r="A62" s="786">
        <v>42957</v>
      </c>
      <c r="B62" s="787"/>
      <c r="C62" s="722" t="s">
        <v>5568</v>
      </c>
      <c r="D62" s="581"/>
      <c r="E62" s="573"/>
      <c r="F62" s="22"/>
      <c r="G62" s="788"/>
      <c r="H62" s="174">
        <v>2051.9</v>
      </c>
      <c r="I62" s="789"/>
      <c r="J62" s="790"/>
      <c r="K62" s="778">
        <f t="shared" si="0"/>
        <v>1457.3700000000035</v>
      </c>
      <c r="L62" s="573"/>
    </row>
    <row r="63" spans="1:12" ht="13.5" customHeight="1" x14ac:dyDescent="0.2">
      <c r="A63" s="786"/>
      <c r="B63" s="787"/>
      <c r="C63" s="722" t="s">
        <v>5642</v>
      </c>
      <c r="D63" s="581"/>
      <c r="E63" s="573"/>
      <c r="F63" s="22"/>
      <c r="G63" s="788"/>
      <c r="H63" s="24"/>
      <c r="I63" s="789">
        <v>185</v>
      </c>
      <c r="J63" s="790"/>
      <c r="K63" s="778">
        <f t="shared" si="0"/>
        <v>1642.3700000000035</v>
      </c>
      <c r="L63" s="573"/>
    </row>
    <row r="64" spans="1:12" ht="13.5" customHeight="1" x14ac:dyDescent="0.2">
      <c r="A64" s="786"/>
      <c r="B64" s="787"/>
      <c r="C64" s="722" t="s">
        <v>5643</v>
      </c>
      <c r="D64" s="581"/>
      <c r="E64" s="573"/>
      <c r="F64" s="22"/>
      <c r="G64" s="788"/>
      <c r="H64" s="24"/>
      <c r="I64" s="789">
        <v>3585.14</v>
      </c>
      <c r="J64" s="790"/>
      <c r="K64" s="778">
        <f t="shared" si="0"/>
        <v>5227.5100000000039</v>
      </c>
      <c r="L64" s="573"/>
    </row>
    <row r="65" spans="1:12" ht="13.5" customHeight="1" x14ac:dyDescent="0.2">
      <c r="A65" s="786"/>
      <c r="B65" s="787"/>
      <c r="C65" s="722" t="s">
        <v>5644</v>
      </c>
      <c r="D65" s="581"/>
      <c r="E65" s="573"/>
      <c r="F65" s="22"/>
      <c r="G65" s="788"/>
      <c r="H65" s="24"/>
      <c r="I65" s="789">
        <v>185</v>
      </c>
      <c r="J65" s="790"/>
      <c r="K65" s="778">
        <f t="shared" si="0"/>
        <v>5412.5100000000039</v>
      </c>
      <c r="L65" s="573"/>
    </row>
    <row r="66" spans="1:12" ht="13.5" customHeight="1" x14ac:dyDescent="0.2">
      <c r="A66" s="786"/>
      <c r="B66" s="787"/>
      <c r="C66" s="722" t="s">
        <v>5589</v>
      </c>
      <c r="D66" s="581"/>
      <c r="E66" s="573"/>
      <c r="F66" s="22"/>
      <c r="G66" s="788"/>
      <c r="H66" s="24">
        <v>140</v>
      </c>
      <c r="I66" s="789"/>
      <c r="J66" s="790"/>
      <c r="K66" s="778">
        <f t="shared" si="0"/>
        <v>5272.5100000000039</v>
      </c>
      <c r="L66" s="573"/>
    </row>
    <row r="67" spans="1:12" ht="13.5" customHeight="1" x14ac:dyDescent="0.2">
      <c r="A67" s="786"/>
      <c r="B67" s="787"/>
      <c r="C67" s="722" t="s">
        <v>5590</v>
      </c>
      <c r="D67" s="581"/>
      <c r="E67" s="573"/>
      <c r="F67" s="22"/>
      <c r="G67" s="788"/>
      <c r="H67" s="24">
        <v>70</v>
      </c>
      <c r="I67" s="789"/>
      <c r="J67" s="790"/>
      <c r="K67" s="778">
        <f t="shared" si="0"/>
        <v>5202.5100000000039</v>
      </c>
      <c r="L67" s="573"/>
    </row>
    <row r="68" spans="1:12" ht="13.5" customHeight="1" x14ac:dyDescent="0.2">
      <c r="A68" s="786"/>
      <c r="B68" s="787"/>
      <c r="C68" s="722" t="s">
        <v>5591</v>
      </c>
      <c r="D68" s="581"/>
      <c r="E68" s="573"/>
      <c r="F68" s="22"/>
      <c r="G68" s="788"/>
      <c r="H68" s="24">
        <v>600</v>
      </c>
      <c r="I68" s="789"/>
      <c r="J68" s="790"/>
      <c r="K68" s="778">
        <f t="shared" si="0"/>
        <v>4602.5100000000039</v>
      </c>
      <c r="L68" s="573"/>
    </row>
    <row r="69" spans="1:12" ht="13.5" customHeight="1" x14ac:dyDescent="0.2">
      <c r="A69" s="786"/>
      <c r="B69" s="787"/>
      <c r="C69" s="722" t="s">
        <v>5592</v>
      </c>
      <c r="D69" s="581"/>
      <c r="E69" s="573"/>
      <c r="F69" s="22"/>
      <c r="G69" s="788"/>
      <c r="H69" s="24">
        <v>250</v>
      </c>
      <c r="I69" s="789"/>
      <c r="J69" s="790"/>
      <c r="K69" s="778">
        <f t="shared" ref="K69:K132" si="1">K68-H69+I69</f>
        <v>4352.5100000000039</v>
      </c>
      <c r="L69" s="573"/>
    </row>
    <row r="70" spans="1:12" ht="13.5" customHeight="1" x14ac:dyDescent="0.2">
      <c r="A70" s="786"/>
      <c r="B70" s="787"/>
      <c r="C70" s="722" t="s">
        <v>5593</v>
      </c>
      <c r="D70" s="581"/>
      <c r="E70" s="573"/>
      <c r="F70" s="22"/>
      <c r="G70" s="788"/>
      <c r="H70" s="24">
        <v>300</v>
      </c>
      <c r="I70" s="789"/>
      <c r="J70" s="790"/>
      <c r="K70" s="778">
        <f t="shared" si="1"/>
        <v>4052.5100000000039</v>
      </c>
      <c r="L70" s="573"/>
    </row>
    <row r="71" spans="1:12" ht="13.5" customHeight="1" x14ac:dyDescent="0.2">
      <c r="A71" s="786"/>
      <c r="B71" s="787"/>
      <c r="C71" s="722" t="s">
        <v>5645</v>
      </c>
      <c r="D71" s="581"/>
      <c r="E71" s="573"/>
      <c r="F71" s="22"/>
      <c r="G71" s="788"/>
      <c r="H71" s="24">
        <v>21</v>
      </c>
      <c r="I71" s="789"/>
      <c r="J71" s="790"/>
      <c r="K71" s="778">
        <f t="shared" si="1"/>
        <v>4031.5100000000039</v>
      </c>
      <c r="L71" s="573"/>
    </row>
    <row r="72" spans="1:12" ht="13.5" customHeight="1" x14ac:dyDescent="0.2">
      <c r="A72" s="786"/>
      <c r="B72" s="787"/>
      <c r="C72" s="722" t="s">
        <v>5646</v>
      </c>
      <c r="D72" s="581"/>
      <c r="E72" s="573"/>
      <c r="F72" s="22"/>
      <c r="G72" s="788"/>
      <c r="H72" s="24"/>
      <c r="I72" s="789">
        <v>1314.27</v>
      </c>
      <c r="J72" s="790">
        <v>5345.7800000000043</v>
      </c>
      <c r="K72" s="778">
        <f t="shared" si="1"/>
        <v>5345.7800000000043</v>
      </c>
      <c r="L72" s="573"/>
    </row>
    <row r="73" spans="1:12" ht="13.5" customHeight="1" x14ac:dyDescent="0.2">
      <c r="A73" s="786"/>
      <c r="B73" s="787"/>
      <c r="C73" s="722" t="s">
        <v>5647</v>
      </c>
      <c r="D73" s="581" t="s">
        <v>5648</v>
      </c>
      <c r="E73" s="573" t="s">
        <v>5649</v>
      </c>
      <c r="F73" s="22" t="s">
        <v>549</v>
      </c>
      <c r="G73" s="792"/>
      <c r="H73" s="24"/>
      <c r="I73" s="789"/>
      <c r="J73" s="790"/>
      <c r="K73" s="778">
        <f t="shared" si="1"/>
        <v>5345.7800000000043</v>
      </c>
      <c r="L73" s="573"/>
    </row>
    <row r="74" spans="1:12" ht="13.5" customHeight="1" x14ac:dyDescent="0.2">
      <c r="A74" s="786"/>
      <c r="B74" s="787"/>
      <c r="C74" s="722" t="s">
        <v>5650</v>
      </c>
      <c r="D74" s="581" t="s">
        <v>5651</v>
      </c>
      <c r="E74" s="573" t="s">
        <v>5652</v>
      </c>
      <c r="F74" s="22" t="s">
        <v>549</v>
      </c>
      <c r="G74" s="792"/>
      <c r="H74" s="24"/>
      <c r="I74" s="789"/>
      <c r="J74" s="790"/>
      <c r="K74" s="778">
        <f t="shared" si="1"/>
        <v>5345.7800000000043</v>
      </c>
      <c r="L74" s="573"/>
    </row>
    <row r="75" spans="1:12" ht="13.5" customHeight="1" x14ac:dyDescent="0.2">
      <c r="A75" s="786"/>
      <c r="B75" s="787"/>
      <c r="C75" s="722" t="s">
        <v>5568</v>
      </c>
      <c r="D75" s="581" t="s">
        <v>5653</v>
      </c>
      <c r="E75" s="573" t="s">
        <v>549</v>
      </c>
      <c r="F75" s="162" t="s">
        <v>5654</v>
      </c>
      <c r="G75" s="792" t="s">
        <v>5655</v>
      </c>
      <c r="H75" s="24"/>
      <c r="I75" s="789"/>
      <c r="J75" s="790"/>
      <c r="K75" s="778">
        <f t="shared" si="1"/>
        <v>5345.7800000000043</v>
      </c>
      <c r="L75" s="573"/>
    </row>
    <row r="76" spans="1:12" ht="13.5" customHeight="1" x14ac:dyDescent="0.2">
      <c r="A76" s="786">
        <v>42961</v>
      </c>
      <c r="B76" s="787"/>
      <c r="C76" s="722" t="s">
        <v>5568</v>
      </c>
      <c r="D76" s="581"/>
      <c r="E76" s="573"/>
      <c r="F76" s="22"/>
      <c r="G76" s="788"/>
      <c r="H76" s="174">
        <v>185</v>
      </c>
      <c r="I76" s="789"/>
      <c r="J76" s="790"/>
      <c r="K76" s="778">
        <f t="shared" si="1"/>
        <v>5160.7800000000043</v>
      </c>
      <c r="L76" s="573"/>
    </row>
    <row r="77" spans="1:12" ht="13.5" customHeight="1" x14ac:dyDescent="0.2">
      <c r="A77" s="786"/>
      <c r="B77" s="787"/>
      <c r="C77" s="722" t="s">
        <v>5656</v>
      </c>
      <c r="D77" s="581"/>
      <c r="E77" s="573"/>
      <c r="F77" s="22"/>
      <c r="G77" s="788"/>
      <c r="H77" s="24"/>
      <c r="I77" s="789">
        <v>170</v>
      </c>
      <c r="J77" s="790"/>
      <c r="K77" s="778">
        <f t="shared" si="1"/>
        <v>5330.7800000000043</v>
      </c>
      <c r="L77" s="573"/>
    </row>
    <row r="78" spans="1:12" ht="13.5" customHeight="1" x14ac:dyDescent="0.2">
      <c r="A78" s="786"/>
      <c r="B78" s="787"/>
      <c r="C78" s="722" t="s">
        <v>5657</v>
      </c>
      <c r="D78" s="581"/>
      <c r="E78" s="573"/>
      <c r="F78" s="22"/>
      <c r="G78" s="788"/>
      <c r="H78" s="24"/>
      <c r="I78" s="789">
        <v>190</v>
      </c>
      <c r="J78" s="790"/>
      <c r="K78" s="778">
        <f t="shared" si="1"/>
        <v>5520.7800000000043</v>
      </c>
      <c r="L78" s="573"/>
    </row>
    <row r="79" spans="1:12" ht="13.5" customHeight="1" x14ac:dyDescent="0.2">
      <c r="A79" s="786"/>
      <c r="B79" s="787"/>
      <c r="C79" s="722" t="s">
        <v>5658</v>
      </c>
      <c r="D79" s="581"/>
      <c r="E79" s="573"/>
      <c r="F79" s="22"/>
      <c r="G79" s="788"/>
      <c r="H79" s="24">
        <v>3.35</v>
      </c>
      <c r="I79" s="789"/>
      <c r="J79" s="790"/>
      <c r="K79" s="778">
        <f t="shared" si="1"/>
        <v>5517.4300000000039</v>
      </c>
      <c r="L79" s="573"/>
    </row>
    <row r="80" spans="1:12" ht="13.5" customHeight="1" x14ac:dyDescent="0.2">
      <c r="A80" s="786"/>
      <c r="B80" s="787"/>
      <c r="C80" s="722" t="s">
        <v>5659</v>
      </c>
      <c r="D80" s="581"/>
      <c r="E80" s="573"/>
      <c r="F80" s="22"/>
      <c r="G80" s="788"/>
      <c r="H80" s="24">
        <v>17</v>
      </c>
      <c r="I80" s="789"/>
      <c r="J80" s="790"/>
      <c r="K80" s="778">
        <f t="shared" si="1"/>
        <v>5500.4300000000039</v>
      </c>
      <c r="L80" s="573"/>
    </row>
    <row r="81" spans="1:12" ht="13.5" customHeight="1" x14ac:dyDescent="0.2">
      <c r="A81" s="786"/>
      <c r="B81" s="787"/>
      <c r="C81" s="722" t="s">
        <v>5660</v>
      </c>
      <c r="D81" s="581"/>
      <c r="E81" s="573"/>
      <c r="F81" s="22"/>
      <c r="G81" s="788"/>
      <c r="H81" s="24">
        <v>6.3</v>
      </c>
      <c r="I81" s="789"/>
      <c r="J81" s="790"/>
      <c r="K81" s="778">
        <f t="shared" si="1"/>
        <v>5494.1300000000037</v>
      </c>
      <c r="L81" s="573"/>
    </row>
    <row r="82" spans="1:12" ht="13.5" customHeight="1" x14ac:dyDescent="0.2">
      <c r="A82" s="786"/>
      <c r="B82" s="787"/>
      <c r="C82" s="722" t="s">
        <v>5661</v>
      </c>
      <c r="D82" s="581"/>
      <c r="E82" s="573"/>
      <c r="F82" s="22"/>
      <c r="G82" s="788"/>
      <c r="H82" s="24">
        <v>90</v>
      </c>
      <c r="I82" s="789"/>
      <c r="J82" s="790"/>
      <c r="K82" s="778">
        <f t="shared" si="1"/>
        <v>5404.1300000000037</v>
      </c>
      <c r="L82" s="573"/>
    </row>
    <row r="83" spans="1:12" ht="13.5" customHeight="1" x14ac:dyDescent="0.2">
      <c r="A83" s="786"/>
      <c r="B83" s="787"/>
      <c r="C83" s="722" t="s">
        <v>5662</v>
      </c>
      <c r="D83" s="581"/>
      <c r="E83" s="573"/>
      <c r="F83" s="22"/>
      <c r="G83" s="788"/>
      <c r="H83" s="24"/>
      <c r="I83" s="789">
        <v>942</v>
      </c>
      <c r="J83" s="790"/>
      <c r="K83" s="778">
        <f t="shared" si="1"/>
        <v>6346.1300000000037</v>
      </c>
      <c r="L83" s="573"/>
    </row>
    <row r="84" spans="1:12" ht="13.5" customHeight="1" x14ac:dyDescent="0.2">
      <c r="A84" s="786"/>
      <c r="B84" s="787"/>
      <c r="C84" s="722" t="s">
        <v>5663</v>
      </c>
      <c r="D84" s="581"/>
      <c r="E84" s="573"/>
      <c r="F84" s="22"/>
      <c r="G84" s="788"/>
      <c r="H84" s="24">
        <v>21</v>
      </c>
      <c r="I84" s="789"/>
      <c r="J84" s="790">
        <v>6325.1300000000037</v>
      </c>
      <c r="K84" s="778">
        <f t="shared" si="1"/>
        <v>6325.1300000000037</v>
      </c>
      <c r="L84" s="573"/>
    </row>
    <row r="85" spans="1:12" ht="13.5" customHeight="1" x14ac:dyDescent="0.2">
      <c r="A85" s="786"/>
      <c r="B85" s="787"/>
      <c r="C85" s="722" t="s">
        <v>5664</v>
      </c>
      <c r="D85" s="581" t="s">
        <v>19</v>
      </c>
      <c r="E85" s="573" t="s">
        <v>5665</v>
      </c>
      <c r="F85" s="22" t="s">
        <v>549</v>
      </c>
      <c r="G85" s="792"/>
      <c r="H85" s="24"/>
      <c r="I85" s="789"/>
      <c r="J85" s="790"/>
      <c r="K85" s="778">
        <f t="shared" si="1"/>
        <v>6325.1300000000037</v>
      </c>
      <c r="L85" s="573"/>
    </row>
    <row r="86" spans="1:12" ht="13.5" customHeight="1" x14ac:dyDescent="0.2">
      <c r="A86" s="786"/>
      <c r="B86" s="787"/>
      <c r="C86" s="795" t="s">
        <v>5666</v>
      </c>
      <c r="D86" s="581" t="s">
        <v>19</v>
      </c>
      <c r="E86" s="573" t="s">
        <v>5667</v>
      </c>
      <c r="F86" s="22" t="s">
        <v>549</v>
      </c>
      <c r="G86" s="792"/>
      <c r="H86" s="24"/>
      <c r="I86" s="789"/>
      <c r="J86" s="790"/>
      <c r="K86" s="778">
        <f t="shared" si="1"/>
        <v>6325.1300000000037</v>
      </c>
      <c r="L86" s="573"/>
    </row>
    <row r="87" spans="1:12" ht="13.5" customHeight="1" x14ac:dyDescent="0.2">
      <c r="A87" s="786"/>
      <c r="B87" s="787"/>
      <c r="C87" s="722" t="s">
        <v>5668</v>
      </c>
      <c r="D87" s="581" t="s">
        <v>5669</v>
      </c>
      <c r="E87" s="573" t="s">
        <v>5670</v>
      </c>
      <c r="F87" s="22" t="s">
        <v>549</v>
      </c>
      <c r="G87" s="792"/>
      <c r="H87" s="24"/>
      <c r="I87" s="789"/>
      <c r="J87" s="790"/>
      <c r="K87" s="778">
        <f t="shared" si="1"/>
        <v>6325.1300000000037</v>
      </c>
      <c r="L87" s="573"/>
    </row>
    <row r="88" spans="1:12" ht="13.5" customHeight="1" x14ac:dyDescent="0.2">
      <c r="A88" s="786"/>
      <c r="B88" s="787"/>
      <c r="C88" s="722" t="s">
        <v>5568</v>
      </c>
      <c r="D88" s="581" t="s">
        <v>5671</v>
      </c>
      <c r="E88" s="573" t="s">
        <v>549</v>
      </c>
      <c r="F88" s="162" t="s">
        <v>5672</v>
      </c>
      <c r="G88" s="792" t="s">
        <v>5673</v>
      </c>
      <c r="H88" s="24"/>
      <c r="I88" s="789"/>
      <c r="J88" s="790"/>
      <c r="K88" s="778">
        <f t="shared" si="1"/>
        <v>6325.1300000000037</v>
      </c>
      <c r="L88" s="573"/>
    </row>
    <row r="89" spans="1:12" ht="13.5" customHeight="1" x14ac:dyDescent="0.2">
      <c r="A89" s="786">
        <v>42962</v>
      </c>
      <c r="B89" s="787"/>
      <c r="C89" s="722" t="s">
        <v>5674</v>
      </c>
      <c r="D89" s="581"/>
      <c r="E89" s="573"/>
      <c r="F89" s="22"/>
      <c r="G89" s="788"/>
      <c r="H89" s="24"/>
      <c r="I89" s="789">
        <v>1040</v>
      </c>
      <c r="J89" s="790"/>
      <c r="K89" s="778">
        <f t="shared" si="1"/>
        <v>7365.1300000000037</v>
      </c>
      <c r="L89" s="573"/>
    </row>
    <row r="90" spans="1:12" ht="13.5" customHeight="1" x14ac:dyDescent="0.2">
      <c r="A90" s="786"/>
      <c r="B90" s="787"/>
      <c r="C90" s="722" t="s">
        <v>5675</v>
      </c>
      <c r="D90" s="581"/>
      <c r="E90" s="573"/>
      <c r="F90" s="22"/>
      <c r="G90" s="788"/>
      <c r="H90" s="24"/>
      <c r="I90" s="789">
        <v>1580</v>
      </c>
      <c r="J90" s="790"/>
      <c r="K90" s="778">
        <f t="shared" si="1"/>
        <v>8945.1300000000047</v>
      </c>
      <c r="L90" s="573"/>
    </row>
    <row r="91" spans="1:12" ht="13.5" customHeight="1" x14ac:dyDescent="0.2">
      <c r="A91" s="786"/>
      <c r="B91" s="787"/>
      <c r="C91" s="722" t="s">
        <v>5676</v>
      </c>
      <c r="D91" s="581"/>
      <c r="E91" s="573"/>
      <c r="F91" s="22"/>
      <c r="G91" s="788"/>
      <c r="H91" s="24"/>
      <c r="I91" s="789">
        <v>1270.27</v>
      </c>
      <c r="J91" s="790"/>
      <c r="K91" s="778">
        <f t="shared" si="1"/>
        <v>10215.400000000005</v>
      </c>
      <c r="L91" s="573"/>
    </row>
    <row r="92" spans="1:12" ht="13.5" customHeight="1" x14ac:dyDescent="0.2">
      <c r="A92" s="786"/>
      <c r="B92" s="787"/>
      <c r="C92" s="722" t="s">
        <v>5568</v>
      </c>
      <c r="D92" s="581"/>
      <c r="E92" s="573"/>
      <c r="F92" s="22"/>
      <c r="G92" s="788"/>
      <c r="H92" s="174">
        <v>1580</v>
      </c>
      <c r="I92" s="789"/>
      <c r="J92" s="790"/>
      <c r="K92" s="778">
        <f t="shared" si="1"/>
        <v>8635.4000000000051</v>
      </c>
      <c r="L92" s="573" t="s">
        <v>5677</v>
      </c>
    </row>
    <row r="93" spans="1:12" ht="13.5" customHeight="1" x14ac:dyDescent="0.2">
      <c r="A93" s="786"/>
      <c r="B93" s="787"/>
      <c r="C93" s="722" t="s">
        <v>5678</v>
      </c>
      <c r="D93" s="581"/>
      <c r="E93" s="573"/>
      <c r="F93" s="22"/>
      <c r="G93" s="788"/>
      <c r="H93" s="24">
        <v>60</v>
      </c>
      <c r="I93" s="789"/>
      <c r="J93" s="790">
        <v>8575.4000000000051</v>
      </c>
      <c r="K93" s="778">
        <f t="shared" si="1"/>
        <v>8575.4000000000051</v>
      </c>
      <c r="L93" s="573"/>
    </row>
    <row r="94" spans="1:12" ht="13.5" customHeight="1" x14ac:dyDescent="0.2">
      <c r="A94" s="786"/>
      <c r="B94" s="787"/>
      <c r="C94" s="722" t="s">
        <v>5679</v>
      </c>
      <c r="D94" s="581" t="s">
        <v>19</v>
      </c>
      <c r="E94" s="573" t="s">
        <v>5680</v>
      </c>
      <c r="F94" s="22" t="s">
        <v>549</v>
      </c>
      <c r="G94" s="792"/>
      <c r="H94" s="24"/>
      <c r="I94" s="789"/>
      <c r="J94" s="790"/>
      <c r="K94" s="778">
        <f t="shared" si="1"/>
        <v>8575.4000000000051</v>
      </c>
      <c r="L94" s="573"/>
    </row>
    <row r="95" spans="1:12" ht="13.5" customHeight="1" x14ac:dyDescent="0.2">
      <c r="A95" s="786"/>
      <c r="B95" s="787"/>
      <c r="C95" s="722" t="s">
        <v>5681</v>
      </c>
      <c r="D95" s="581" t="s">
        <v>5682</v>
      </c>
      <c r="E95" s="573" t="s">
        <v>5683</v>
      </c>
      <c r="F95" s="22" t="s">
        <v>549</v>
      </c>
      <c r="G95" s="792"/>
      <c r="H95" s="24"/>
      <c r="I95" s="789"/>
      <c r="J95" s="790"/>
      <c r="K95" s="778">
        <f t="shared" si="1"/>
        <v>8575.4000000000051</v>
      </c>
      <c r="L95" s="573"/>
    </row>
    <row r="96" spans="1:12" ht="13.5" customHeight="1" x14ac:dyDescent="0.2">
      <c r="A96" s="786"/>
      <c r="B96" s="787"/>
      <c r="C96" s="722" t="s">
        <v>5684</v>
      </c>
      <c r="D96" s="581" t="s">
        <v>5685</v>
      </c>
      <c r="E96" s="573" t="s">
        <v>5686</v>
      </c>
      <c r="F96" s="22" t="s">
        <v>549</v>
      </c>
      <c r="G96" s="792"/>
      <c r="H96" s="24"/>
      <c r="I96" s="789"/>
      <c r="J96" s="790"/>
      <c r="K96" s="778">
        <f t="shared" si="1"/>
        <v>8575.4000000000051</v>
      </c>
      <c r="L96" s="573"/>
    </row>
    <row r="97" spans="1:12" ht="13.5" customHeight="1" x14ac:dyDescent="0.2">
      <c r="A97" s="786"/>
      <c r="B97" s="787"/>
      <c r="C97" s="722" t="s">
        <v>5568</v>
      </c>
      <c r="D97" s="581" t="s">
        <v>5687</v>
      </c>
      <c r="E97" s="573" t="s">
        <v>549</v>
      </c>
      <c r="F97" s="162" t="s">
        <v>5688</v>
      </c>
      <c r="G97" s="792"/>
      <c r="H97" s="24"/>
      <c r="I97" s="789"/>
      <c r="J97" s="790"/>
      <c r="K97" s="778">
        <f t="shared" si="1"/>
        <v>8575.4000000000051</v>
      </c>
      <c r="L97" s="573"/>
    </row>
    <row r="98" spans="1:12" ht="13.5" customHeight="1" x14ac:dyDescent="0.2">
      <c r="A98" s="786"/>
      <c r="B98" s="787"/>
      <c r="C98" s="722" t="s">
        <v>5689</v>
      </c>
      <c r="D98" s="581" t="s">
        <v>5690</v>
      </c>
      <c r="E98" s="573" t="s">
        <v>5691</v>
      </c>
      <c r="F98" s="22" t="s">
        <v>549</v>
      </c>
      <c r="G98" s="792"/>
      <c r="H98" s="24"/>
      <c r="I98" s="789"/>
      <c r="J98" s="790"/>
      <c r="K98" s="778">
        <f t="shared" si="1"/>
        <v>8575.4000000000051</v>
      </c>
      <c r="L98" s="573"/>
    </row>
    <row r="99" spans="1:12" ht="13.5" customHeight="1" x14ac:dyDescent="0.2">
      <c r="A99" s="786"/>
      <c r="B99" s="787"/>
      <c r="C99" s="722" t="s">
        <v>5692</v>
      </c>
      <c r="D99" s="581" t="s">
        <v>5693</v>
      </c>
      <c r="E99" s="573" t="s">
        <v>5694</v>
      </c>
      <c r="F99" s="22" t="s">
        <v>549</v>
      </c>
      <c r="G99" s="792" t="s">
        <v>5695</v>
      </c>
      <c r="H99" s="24"/>
      <c r="I99" s="789"/>
      <c r="J99" s="790"/>
      <c r="K99" s="778">
        <f t="shared" si="1"/>
        <v>8575.4000000000051</v>
      </c>
      <c r="L99" s="573"/>
    </row>
    <row r="100" spans="1:12" ht="13.5" customHeight="1" x14ac:dyDescent="0.2">
      <c r="A100" s="786">
        <v>42963</v>
      </c>
      <c r="B100" s="787"/>
      <c r="C100" s="722" t="s">
        <v>5568</v>
      </c>
      <c r="D100" s="581"/>
      <c r="E100" s="573"/>
      <c r="F100" s="22"/>
      <c r="G100" s="788"/>
      <c r="H100" s="174">
        <v>1600</v>
      </c>
      <c r="I100" s="789"/>
      <c r="J100" s="790"/>
      <c r="K100" s="778">
        <f t="shared" si="1"/>
        <v>6975.4000000000051</v>
      </c>
      <c r="L100" s="573"/>
    </row>
    <row r="101" spans="1:12" ht="13.5" customHeight="1" x14ac:dyDescent="0.2">
      <c r="A101" s="786"/>
      <c r="B101" s="787"/>
      <c r="C101" s="722" t="s">
        <v>5696</v>
      </c>
      <c r="D101" s="581"/>
      <c r="E101" s="573"/>
      <c r="F101" s="22"/>
      <c r="G101" s="788"/>
      <c r="H101" s="24">
        <v>1.5</v>
      </c>
      <c r="I101" s="789"/>
      <c r="J101" s="790"/>
      <c r="K101" s="778">
        <f t="shared" si="1"/>
        <v>6973.9000000000051</v>
      </c>
      <c r="L101" s="573"/>
    </row>
    <row r="102" spans="1:12" ht="13.5" customHeight="1" x14ac:dyDescent="0.2">
      <c r="A102" s="786"/>
      <c r="B102" s="787"/>
      <c r="C102" s="722" t="s">
        <v>5697</v>
      </c>
      <c r="D102" s="581"/>
      <c r="E102" s="573"/>
      <c r="F102" s="22"/>
      <c r="G102" s="788"/>
      <c r="H102" s="24">
        <v>4.45</v>
      </c>
      <c r="I102" s="789"/>
      <c r="J102" s="790"/>
      <c r="K102" s="778">
        <f t="shared" si="1"/>
        <v>6969.4500000000053</v>
      </c>
      <c r="L102" s="573"/>
    </row>
    <row r="103" spans="1:12" ht="13.5" customHeight="1" x14ac:dyDescent="0.2">
      <c r="A103" s="786"/>
      <c r="B103" s="787"/>
      <c r="C103" s="722" t="s">
        <v>5698</v>
      </c>
      <c r="D103" s="581"/>
      <c r="E103" s="573"/>
      <c r="F103" s="22"/>
      <c r="G103" s="788"/>
      <c r="H103" s="24">
        <v>9.5</v>
      </c>
      <c r="I103" s="789"/>
      <c r="J103" s="790"/>
      <c r="K103" s="778">
        <f t="shared" si="1"/>
        <v>6959.9500000000053</v>
      </c>
      <c r="L103" s="573"/>
    </row>
    <row r="104" spans="1:12" ht="13.5" customHeight="1" x14ac:dyDescent="0.2">
      <c r="A104" s="786"/>
      <c r="B104" s="787"/>
      <c r="C104" s="722" t="s">
        <v>5698</v>
      </c>
      <c r="D104" s="581"/>
      <c r="E104" s="573"/>
      <c r="F104" s="22"/>
      <c r="G104" s="788"/>
      <c r="H104" s="24">
        <v>15</v>
      </c>
      <c r="I104" s="789"/>
      <c r="J104" s="790"/>
      <c r="K104" s="778">
        <f t="shared" si="1"/>
        <v>6944.9500000000053</v>
      </c>
      <c r="L104" s="573"/>
    </row>
    <row r="105" spans="1:12" ht="13.5" customHeight="1" x14ac:dyDescent="0.2">
      <c r="A105" s="786"/>
      <c r="B105" s="787"/>
      <c r="C105" s="722" t="s">
        <v>5596</v>
      </c>
      <c r="D105" s="581"/>
      <c r="E105" s="573"/>
      <c r="F105" s="22"/>
      <c r="G105" s="788"/>
      <c r="H105" s="24">
        <v>500</v>
      </c>
      <c r="I105" s="789"/>
      <c r="J105" s="790">
        <v>6444.9500000000053</v>
      </c>
      <c r="K105" s="778">
        <f t="shared" si="1"/>
        <v>6444.9500000000053</v>
      </c>
      <c r="L105" s="573"/>
    </row>
    <row r="106" spans="1:12" ht="13.5" customHeight="1" x14ac:dyDescent="0.2">
      <c r="A106" s="786"/>
      <c r="B106" s="787"/>
      <c r="C106" s="722" t="s">
        <v>5699</v>
      </c>
      <c r="D106" s="581" t="s">
        <v>5700</v>
      </c>
      <c r="E106" s="573" t="s">
        <v>5701</v>
      </c>
      <c r="F106" s="22" t="s">
        <v>549</v>
      </c>
      <c r="G106" s="792"/>
      <c r="H106" s="24"/>
      <c r="I106" s="789"/>
      <c r="J106" s="790"/>
      <c r="K106" s="778">
        <f t="shared" si="1"/>
        <v>6444.9500000000053</v>
      </c>
      <c r="L106" s="573"/>
    </row>
    <row r="107" spans="1:12" ht="13.5" customHeight="1" x14ac:dyDescent="0.2">
      <c r="A107" s="786"/>
      <c r="B107" s="787"/>
      <c r="C107" s="722" t="s">
        <v>5702</v>
      </c>
      <c r="D107" s="581" t="s">
        <v>19</v>
      </c>
      <c r="E107" s="573" t="s">
        <v>5703</v>
      </c>
      <c r="F107" s="22" t="s">
        <v>549</v>
      </c>
      <c r="G107" s="792"/>
      <c r="H107" s="24"/>
      <c r="I107" s="789"/>
      <c r="J107" s="790"/>
      <c r="K107" s="778">
        <f t="shared" si="1"/>
        <v>6444.9500000000053</v>
      </c>
      <c r="L107" s="573"/>
    </row>
    <row r="108" spans="1:12" ht="13.5" customHeight="1" x14ac:dyDescent="0.2">
      <c r="A108" s="786"/>
      <c r="B108" s="787"/>
      <c r="C108" s="795" t="s">
        <v>5704</v>
      </c>
      <c r="D108" s="581" t="s">
        <v>19</v>
      </c>
      <c r="E108" s="573" t="s">
        <v>5705</v>
      </c>
      <c r="F108" s="22" t="s">
        <v>549</v>
      </c>
      <c r="G108" s="792"/>
      <c r="H108" s="24"/>
      <c r="I108" s="789"/>
      <c r="J108" s="790"/>
      <c r="K108" s="778">
        <f t="shared" si="1"/>
        <v>6444.9500000000053</v>
      </c>
      <c r="L108" s="573"/>
    </row>
    <row r="109" spans="1:12" ht="13.5" customHeight="1" x14ac:dyDescent="0.2">
      <c r="A109" s="786"/>
      <c r="B109" s="787"/>
      <c r="C109" s="722" t="s">
        <v>5706</v>
      </c>
      <c r="D109" s="581" t="s">
        <v>19</v>
      </c>
      <c r="E109" s="573" t="s">
        <v>5707</v>
      </c>
      <c r="F109" s="22" t="s">
        <v>549</v>
      </c>
      <c r="G109" s="792"/>
      <c r="H109" s="24"/>
      <c r="I109" s="789"/>
      <c r="J109" s="790"/>
      <c r="K109" s="778">
        <f t="shared" si="1"/>
        <v>6444.9500000000053</v>
      </c>
      <c r="L109" s="573"/>
    </row>
    <row r="110" spans="1:12" ht="13.5" customHeight="1" x14ac:dyDescent="0.2">
      <c r="A110" s="786"/>
      <c r="B110" s="787"/>
      <c r="C110" s="795" t="s">
        <v>5708</v>
      </c>
      <c r="D110" s="581" t="s">
        <v>19</v>
      </c>
      <c r="E110" s="573" t="s">
        <v>549</v>
      </c>
      <c r="F110" s="22" t="s">
        <v>5709</v>
      </c>
      <c r="G110" s="792"/>
      <c r="H110" s="24"/>
      <c r="I110" s="789"/>
      <c r="J110" s="790"/>
      <c r="K110" s="778">
        <f t="shared" si="1"/>
        <v>6444.9500000000053</v>
      </c>
      <c r="L110" s="573"/>
    </row>
    <row r="111" spans="1:12" ht="13.5" customHeight="1" x14ac:dyDescent="0.2">
      <c r="A111" s="786"/>
      <c r="B111" s="787"/>
      <c r="C111" s="722" t="s">
        <v>5568</v>
      </c>
      <c r="D111" s="581" t="s">
        <v>5710</v>
      </c>
      <c r="E111" s="573" t="s">
        <v>549</v>
      </c>
      <c r="F111" s="162" t="s">
        <v>5711</v>
      </c>
      <c r="G111" s="792"/>
      <c r="H111" s="24"/>
      <c r="I111" s="789"/>
      <c r="J111" s="790"/>
      <c r="K111" s="778">
        <f t="shared" si="1"/>
        <v>6444.9500000000053</v>
      </c>
      <c r="L111" s="573"/>
    </row>
    <row r="112" spans="1:12" ht="13.5" customHeight="1" x14ac:dyDescent="0.2">
      <c r="A112" s="786"/>
      <c r="B112" s="787"/>
      <c r="C112" s="793" t="s">
        <v>5578</v>
      </c>
      <c r="D112" s="581" t="s">
        <v>19</v>
      </c>
      <c r="E112" s="573" t="s">
        <v>549</v>
      </c>
      <c r="F112" s="22" t="s">
        <v>5579</v>
      </c>
      <c r="G112" s="792" t="s">
        <v>5712</v>
      </c>
      <c r="H112" s="24"/>
      <c r="I112" s="789"/>
      <c r="J112" s="790"/>
      <c r="K112" s="778">
        <f t="shared" si="1"/>
        <v>6444.9500000000053</v>
      </c>
      <c r="L112" s="573"/>
    </row>
    <row r="113" spans="1:12" ht="13.5" customHeight="1" x14ac:dyDescent="0.2">
      <c r="A113" s="786">
        <v>42964</v>
      </c>
      <c r="B113" s="787"/>
      <c r="C113" s="722" t="s">
        <v>5593</v>
      </c>
      <c r="D113" s="581"/>
      <c r="E113" s="573"/>
      <c r="F113" s="22"/>
      <c r="G113" s="788"/>
      <c r="H113" s="24">
        <v>240</v>
      </c>
      <c r="I113" s="789"/>
      <c r="J113" s="790">
        <v>6204.9500000000053</v>
      </c>
      <c r="K113" s="778">
        <f t="shared" si="1"/>
        <v>6204.9500000000053</v>
      </c>
      <c r="L113" s="573"/>
    </row>
    <row r="114" spans="1:12" ht="13.5" customHeight="1" x14ac:dyDescent="0.2">
      <c r="A114" s="786"/>
      <c r="B114" s="787"/>
      <c r="C114" s="722" t="s">
        <v>5713</v>
      </c>
      <c r="D114" s="581" t="s">
        <v>3335</v>
      </c>
      <c r="E114" s="573" t="s">
        <v>5714</v>
      </c>
      <c r="F114" s="22" t="s">
        <v>549</v>
      </c>
      <c r="G114" s="792" t="s">
        <v>5715</v>
      </c>
      <c r="H114" s="24"/>
      <c r="I114" s="789"/>
      <c r="J114" s="790"/>
      <c r="K114" s="778">
        <f t="shared" si="1"/>
        <v>6204.9500000000053</v>
      </c>
      <c r="L114" s="573"/>
    </row>
    <row r="115" spans="1:12" ht="13.5" customHeight="1" x14ac:dyDescent="0.2">
      <c r="A115" s="786">
        <v>42965</v>
      </c>
      <c r="B115" s="787"/>
      <c r="C115" s="722" t="s">
        <v>5716</v>
      </c>
      <c r="D115" s="581"/>
      <c r="E115" s="573"/>
      <c r="F115" s="22"/>
      <c r="G115" s="788"/>
      <c r="H115" s="24">
        <v>5000</v>
      </c>
      <c r="I115" s="789"/>
      <c r="J115" s="790"/>
      <c r="K115" s="778">
        <f t="shared" si="1"/>
        <v>1204.9500000000053</v>
      </c>
      <c r="L115" s="573"/>
    </row>
    <row r="116" spans="1:12" ht="13.5" customHeight="1" x14ac:dyDescent="0.2">
      <c r="A116" s="786"/>
      <c r="B116" s="787"/>
      <c r="C116" s="722" t="s">
        <v>5589</v>
      </c>
      <c r="D116" s="581"/>
      <c r="E116" s="573"/>
      <c r="F116" s="22"/>
      <c r="G116" s="788"/>
      <c r="H116" s="24">
        <v>140</v>
      </c>
      <c r="I116" s="789"/>
      <c r="J116" s="790"/>
      <c r="K116" s="778">
        <f t="shared" si="1"/>
        <v>1064.9500000000053</v>
      </c>
      <c r="L116" s="573"/>
    </row>
    <row r="117" spans="1:12" ht="13.5" customHeight="1" x14ac:dyDescent="0.2">
      <c r="A117" s="786"/>
      <c r="B117" s="787"/>
      <c r="C117" s="722" t="s">
        <v>5590</v>
      </c>
      <c r="D117" s="581"/>
      <c r="E117" s="573"/>
      <c r="F117" s="22"/>
      <c r="G117" s="788"/>
      <c r="H117" s="24">
        <v>70</v>
      </c>
      <c r="I117" s="789"/>
      <c r="J117" s="790"/>
      <c r="K117" s="778">
        <f t="shared" si="1"/>
        <v>994.95000000000528</v>
      </c>
      <c r="L117" s="573"/>
    </row>
    <row r="118" spans="1:12" ht="13.5" customHeight="1" x14ac:dyDescent="0.2">
      <c r="A118" s="786"/>
      <c r="B118" s="787"/>
      <c r="C118" s="722" t="s">
        <v>5591</v>
      </c>
      <c r="D118" s="581"/>
      <c r="E118" s="573"/>
      <c r="F118" s="22"/>
      <c r="G118" s="788"/>
      <c r="H118" s="24">
        <v>600</v>
      </c>
      <c r="I118" s="789"/>
      <c r="J118" s="790"/>
      <c r="K118" s="778">
        <f t="shared" si="1"/>
        <v>394.95000000000528</v>
      </c>
      <c r="L118" s="573"/>
    </row>
    <row r="119" spans="1:12" ht="13.5" customHeight="1" x14ac:dyDescent="0.2">
      <c r="A119" s="786"/>
      <c r="B119" s="787"/>
      <c r="C119" s="722" t="s">
        <v>5592</v>
      </c>
      <c r="D119" s="581"/>
      <c r="E119" s="573"/>
      <c r="F119" s="22"/>
      <c r="G119" s="788"/>
      <c r="H119" s="24">
        <v>250</v>
      </c>
      <c r="I119" s="789"/>
      <c r="J119" s="790"/>
      <c r="K119" s="778">
        <f t="shared" si="1"/>
        <v>144.95000000000528</v>
      </c>
      <c r="L119" s="573"/>
    </row>
    <row r="120" spans="1:12" ht="13.5" customHeight="1" x14ac:dyDescent="0.2">
      <c r="A120" s="786"/>
      <c r="B120" s="787"/>
      <c r="C120" s="722" t="s">
        <v>5660</v>
      </c>
      <c r="D120" s="581"/>
      <c r="E120" s="573"/>
      <c r="F120" s="22"/>
      <c r="G120" s="788"/>
      <c r="H120" s="24">
        <v>18.38</v>
      </c>
      <c r="I120" s="789"/>
      <c r="J120" s="790">
        <v>126.57000000000528</v>
      </c>
      <c r="K120" s="778">
        <f t="shared" si="1"/>
        <v>126.57000000000528</v>
      </c>
      <c r="L120" s="573"/>
    </row>
    <row r="121" spans="1:12" ht="13.5" customHeight="1" x14ac:dyDescent="0.2">
      <c r="A121" s="786">
        <v>42968</v>
      </c>
      <c r="B121" s="787"/>
      <c r="C121" s="722" t="s">
        <v>5717</v>
      </c>
      <c r="D121" s="581"/>
      <c r="E121" s="573"/>
      <c r="F121" s="22"/>
      <c r="G121" s="788"/>
      <c r="H121" s="24">
        <v>22.3</v>
      </c>
      <c r="I121" s="789"/>
      <c r="J121" s="790">
        <v>104.27000000000528</v>
      </c>
      <c r="K121" s="778">
        <f t="shared" si="1"/>
        <v>104.27000000000528</v>
      </c>
      <c r="L121" s="573"/>
    </row>
    <row r="122" spans="1:12" ht="13.5" customHeight="1" x14ac:dyDescent="0.2">
      <c r="A122" s="786"/>
      <c r="B122" s="787"/>
      <c r="C122" s="722" t="s">
        <v>5627</v>
      </c>
      <c r="D122" s="581" t="s">
        <v>1333</v>
      </c>
      <c r="E122" s="794" t="s">
        <v>5718</v>
      </c>
      <c r="F122" s="22" t="s">
        <v>549</v>
      </c>
      <c r="G122" s="792"/>
      <c r="H122" s="24"/>
      <c r="I122" s="789"/>
      <c r="J122" s="790"/>
      <c r="K122" s="778">
        <f t="shared" si="1"/>
        <v>104.27000000000528</v>
      </c>
      <c r="L122" s="573"/>
    </row>
    <row r="123" spans="1:12" ht="13.5" customHeight="1" x14ac:dyDescent="0.2">
      <c r="A123" s="786"/>
      <c r="B123" s="787"/>
      <c r="C123" s="722" t="s">
        <v>5719</v>
      </c>
      <c r="D123" s="581" t="s">
        <v>5720</v>
      </c>
      <c r="E123" s="573" t="s">
        <v>5721</v>
      </c>
      <c r="F123" s="22" t="s">
        <v>549</v>
      </c>
      <c r="G123" s="792"/>
      <c r="H123" s="24"/>
      <c r="I123" s="789"/>
      <c r="J123" s="790"/>
      <c r="K123" s="778">
        <f t="shared" si="1"/>
        <v>104.27000000000528</v>
      </c>
      <c r="L123" s="573"/>
    </row>
    <row r="124" spans="1:12" ht="13.5" customHeight="1" x14ac:dyDescent="0.2">
      <c r="A124" s="786"/>
      <c r="B124" s="787"/>
      <c r="C124" s="793" t="s">
        <v>5578</v>
      </c>
      <c r="D124" s="581" t="s">
        <v>19</v>
      </c>
      <c r="E124" s="573" t="s">
        <v>549</v>
      </c>
      <c r="F124" s="22" t="s">
        <v>5722</v>
      </c>
      <c r="G124" s="792" t="s">
        <v>5723</v>
      </c>
      <c r="H124" s="24"/>
      <c r="I124" s="789"/>
      <c r="J124" s="790"/>
      <c r="K124" s="778">
        <f t="shared" si="1"/>
        <v>104.27000000000528</v>
      </c>
      <c r="L124" s="573"/>
    </row>
    <row r="125" spans="1:12" ht="13.5" customHeight="1" x14ac:dyDescent="0.2">
      <c r="A125" s="786">
        <v>42969</v>
      </c>
      <c r="B125" s="787"/>
      <c r="C125" s="722" t="s">
        <v>5724</v>
      </c>
      <c r="D125" s="581"/>
      <c r="E125" s="573"/>
      <c r="F125" s="22"/>
      <c r="G125" s="788"/>
      <c r="H125" s="24"/>
      <c r="I125" s="796">
        <v>1000</v>
      </c>
      <c r="J125" s="790"/>
      <c r="K125" s="778">
        <f t="shared" si="1"/>
        <v>1104.2700000000052</v>
      </c>
      <c r="L125" s="573"/>
    </row>
    <row r="126" spans="1:12" ht="13.5" customHeight="1" x14ac:dyDescent="0.2">
      <c r="A126" s="786"/>
      <c r="B126" s="787"/>
      <c r="C126" s="722" t="s">
        <v>5725</v>
      </c>
      <c r="D126" s="581"/>
      <c r="E126" s="573"/>
      <c r="F126" s="22"/>
      <c r="G126" s="788"/>
      <c r="H126" s="24">
        <v>200</v>
      </c>
      <c r="I126" s="789"/>
      <c r="J126" s="790">
        <v>904.27000000000521</v>
      </c>
      <c r="K126" s="778">
        <f t="shared" si="1"/>
        <v>904.27000000000521</v>
      </c>
      <c r="L126" s="573"/>
    </row>
    <row r="127" spans="1:12" ht="13.5" customHeight="1" x14ac:dyDescent="0.2">
      <c r="A127" s="786"/>
      <c r="B127" s="787"/>
      <c r="C127" s="793" t="s">
        <v>5726</v>
      </c>
      <c r="D127" s="581" t="s">
        <v>19</v>
      </c>
      <c r="E127" s="573" t="s">
        <v>5727</v>
      </c>
      <c r="F127" s="22" t="s">
        <v>549</v>
      </c>
      <c r="G127" s="792"/>
      <c r="H127" s="24"/>
      <c r="I127" s="789"/>
      <c r="J127" s="790"/>
      <c r="K127" s="778">
        <f t="shared" si="1"/>
        <v>904.27000000000521</v>
      </c>
      <c r="L127" s="573"/>
    </row>
    <row r="128" spans="1:12" ht="13.5" customHeight="1" x14ac:dyDescent="0.2">
      <c r="A128" s="786"/>
      <c r="B128" s="787"/>
      <c r="C128" s="793" t="s">
        <v>109</v>
      </c>
      <c r="D128" s="581" t="s">
        <v>19</v>
      </c>
      <c r="E128" s="573" t="s">
        <v>5728</v>
      </c>
      <c r="F128" s="22" t="s">
        <v>549</v>
      </c>
      <c r="G128" s="792"/>
      <c r="H128" s="24"/>
      <c r="I128" s="789"/>
      <c r="J128" s="790"/>
      <c r="K128" s="778">
        <f t="shared" si="1"/>
        <v>904.27000000000521</v>
      </c>
      <c r="L128" s="573"/>
    </row>
    <row r="129" spans="1:12" ht="13.5" customHeight="1" x14ac:dyDescent="0.2">
      <c r="A129" s="786"/>
      <c r="B129" s="787"/>
      <c r="C129" s="793" t="s">
        <v>127</v>
      </c>
      <c r="D129" s="581" t="s">
        <v>19</v>
      </c>
      <c r="E129" s="573" t="s">
        <v>5728</v>
      </c>
      <c r="F129" s="22" t="s">
        <v>549</v>
      </c>
      <c r="G129" s="792"/>
      <c r="H129" s="24"/>
      <c r="I129" s="789"/>
      <c r="J129" s="790"/>
      <c r="K129" s="778">
        <f t="shared" si="1"/>
        <v>904.27000000000521</v>
      </c>
      <c r="L129" s="573"/>
    </row>
    <row r="130" spans="1:12" ht="13.5" customHeight="1" x14ac:dyDescent="0.2">
      <c r="A130" s="786"/>
      <c r="B130" s="787"/>
      <c r="C130" s="793" t="s">
        <v>128</v>
      </c>
      <c r="D130" s="581" t="s">
        <v>19</v>
      </c>
      <c r="E130" s="573" t="s">
        <v>5729</v>
      </c>
      <c r="F130" s="22" t="s">
        <v>549</v>
      </c>
      <c r="G130" s="792"/>
      <c r="H130" s="24"/>
      <c r="I130" s="789"/>
      <c r="J130" s="790"/>
      <c r="K130" s="778">
        <f t="shared" si="1"/>
        <v>904.27000000000521</v>
      </c>
      <c r="L130" s="573"/>
    </row>
    <row r="131" spans="1:12" ht="13.5" customHeight="1" x14ac:dyDescent="0.2">
      <c r="A131" s="786"/>
      <c r="B131" s="787"/>
      <c r="C131" s="793" t="s">
        <v>5730</v>
      </c>
      <c r="D131" s="581" t="s">
        <v>19</v>
      </c>
      <c r="E131" s="573" t="s">
        <v>5731</v>
      </c>
      <c r="F131" s="22" t="s">
        <v>549</v>
      </c>
      <c r="G131" s="792"/>
      <c r="H131" s="24"/>
      <c r="I131" s="789"/>
      <c r="J131" s="790"/>
      <c r="K131" s="778">
        <f t="shared" si="1"/>
        <v>904.27000000000521</v>
      </c>
      <c r="L131" s="573"/>
    </row>
    <row r="132" spans="1:12" ht="13.5" customHeight="1" x14ac:dyDescent="0.2">
      <c r="A132" s="786"/>
      <c r="B132" s="787"/>
      <c r="C132" s="722" t="s">
        <v>5732</v>
      </c>
      <c r="D132" s="581" t="s">
        <v>19</v>
      </c>
      <c r="E132" s="573" t="s">
        <v>5733</v>
      </c>
      <c r="F132" s="22" t="s">
        <v>549</v>
      </c>
      <c r="G132" s="792"/>
      <c r="H132" s="24"/>
      <c r="I132" s="789"/>
      <c r="J132" s="790"/>
      <c r="K132" s="778">
        <f t="shared" si="1"/>
        <v>904.27000000000521</v>
      </c>
      <c r="L132" s="573"/>
    </row>
    <row r="133" spans="1:12" ht="13.5" customHeight="1" x14ac:dyDescent="0.2">
      <c r="A133" s="786"/>
      <c r="B133" s="787"/>
      <c r="C133" s="722" t="s">
        <v>5734</v>
      </c>
      <c r="D133" s="581" t="s">
        <v>5735</v>
      </c>
      <c r="E133" s="573" t="s">
        <v>5736</v>
      </c>
      <c r="F133" s="22" t="s">
        <v>549</v>
      </c>
      <c r="G133" s="792"/>
      <c r="H133" s="24"/>
      <c r="I133" s="789"/>
      <c r="J133" s="790"/>
      <c r="K133" s="778">
        <f t="shared" ref="K133:K162" si="2">K132-H133+I133</f>
        <v>904.27000000000521</v>
      </c>
      <c r="L133" s="573"/>
    </row>
    <row r="134" spans="1:12" ht="13.5" customHeight="1" x14ac:dyDescent="0.2">
      <c r="A134" s="786"/>
      <c r="B134" s="787"/>
      <c r="C134" s="722" t="s">
        <v>5737</v>
      </c>
      <c r="D134" s="581" t="s">
        <v>5738</v>
      </c>
      <c r="E134" s="573" t="s">
        <v>5739</v>
      </c>
      <c r="F134" s="22" t="s">
        <v>549</v>
      </c>
      <c r="G134" s="792" t="s">
        <v>5740</v>
      </c>
      <c r="H134" s="24"/>
      <c r="I134" s="789"/>
      <c r="J134" s="790"/>
      <c r="K134" s="778">
        <f t="shared" si="2"/>
        <v>904.27000000000521</v>
      </c>
      <c r="L134" s="573"/>
    </row>
    <row r="135" spans="1:12" ht="13.5" customHeight="1" x14ac:dyDescent="0.2">
      <c r="A135" s="786" t="s">
        <v>5741</v>
      </c>
      <c r="B135" s="787"/>
      <c r="C135" s="722" t="s">
        <v>5742</v>
      </c>
      <c r="D135" s="581" t="s">
        <v>5743</v>
      </c>
      <c r="E135" s="573" t="s">
        <v>5744</v>
      </c>
      <c r="F135" s="22" t="s">
        <v>549</v>
      </c>
      <c r="G135" s="792"/>
      <c r="H135" s="24"/>
      <c r="I135" s="789"/>
      <c r="J135" s="790"/>
      <c r="K135" s="778">
        <f t="shared" si="2"/>
        <v>904.27000000000521</v>
      </c>
      <c r="L135" s="573"/>
    </row>
    <row r="136" spans="1:12" ht="13.5" customHeight="1" x14ac:dyDescent="0.2">
      <c r="A136" s="786"/>
      <c r="B136" s="787"/>
      <c r="C136" s="795" t="s">
        <v>5708</v>
      </c>
      <c r="D136" s="581" t="s">
        <v>19</v>
      </c>
      <c r="E136" s="573" t="s">
        <v>549</v>
      </c>
      <c r="F136" s="22" t="s">
        <v>5745</v>
      </c>
      <c r="G136" s="792" t="s">
        <v>5746</v>
      </c>
      <c r="H136" s="24"/>
      <c r="I136" s="789"/>
      <c r="J136" s="790"/>
      <c r="K136" s="778">
        <f t="shared" si="2"/>
        <v>904.27000000000521</v>
      </c>
      <c r="L136" s="573"/>
    </row>
    <row r="137" spans="1:12" ht="13.5" customHeight="1" x14ac:dyDescent="0.2">
      <c r="A137" s="786">
        <v>42972</v>
      </c>
      <c r="B137" s="787"/>
      <c r="C137" s="722" t="s">
        <v>5591</v>
      </c>
      <c r="D137" s="581"/>
      <c r="E137" s="573"/>
      <c r="F137" s="22"/>
      <c r="G137" s="788"/>
      <c r="H137" s="24">
        <v>600</v>
      </c>
      <c r="I137" s="789"/>
      <c r="J137" s="790"/>
      <c r="K137" s="778">
        <f t="shared" si="2"/>
        <v>304.27000000000521</v>
      </c>
      <c r="L137" s="573"/>
    </row>
    <row r="138" spans="1:12" ht="13.5" customHeight="1" x14ac:dyDescent="0.2">
      <c r="A138" s="786"/>
      <c r="B138" s="787"/>
      <c r="C138" s="722" t="s">
        <v>5592</v>
      </c>
      <c r="D138" s="581"/>
      <c r="E138" s="573"/>
      <c r="F138" s="22"/>
      <c r="G138" s="788"/>
      <c r="H138" s="24">
        <v>250</v>
      </c>
      <c r="I138" s="789"/>
      <c r="J138" s="790"/>
      <c r="K138" s="778">
        <f t="shared" si="2"/>
        <v>54.270000000005211</v>
      </c>
      <c r="L138" s="573"/>
    </row>
    <row r="139" spans="1:12" ht="13.5" customHeight="1" x14ac:dyDescent="0.2">
      <c r="A139" s="786"/>
      <c r="B139" s="787"/>
      <c r="C139" s="722" t="s">
        <v>5593</v>
      </c>
      <c r="D139" s="581"/>
      <c r="E139" s="573"/>
      <c r="F139" s="22"/>
      <c r="G139" s="788"/>
      <c r="H139" s="24">
        <v>60</v>
      </c>
      <c r="I139" s="789"/>
      <c r="J139" s="790"/>
      <c r="K139" s="778">
        <f t="shared" si="2"/>
        <v>-5.7299999999947886</v>
      </c>
      <c r="L139" s="573"/>
    </row>
    <row r="140" spans="1:12" ht="13.5" customHeight="1" x14ac:dyDescent="0.2">
      <c r="A140" s="786"/>
      <c r="B140" s="787"/>
      <c r="C140" s="722" t="s">
        <v>5589</v>
      </c>
      <c r="D140" s="581"/>
      <c r="E140" s="573"/>
      <c r="F140" s="22"/>
      <c r="G140" s="788"/>
      <c r="H140" s="24">
        <v>140</v>
      </c>
      <c r="I140" s="789"/>
      <c r="J140" s="790"/>
      <c r="K140" s="778">
        <f t="shared" si="2"/>
        <v>-145.72999999999479</v>
      </c>
      <c r="L140" s="573"/>
    </row>
    <row r="141" spans="1:12" ht="13.5" customHeight="1" x14ac:dyDescent="0.2">
      <c r="A141" s="786"/>
      <c r="B141" s="787"/>
      <c r="C141" s="722" t="s">
        <v>5590</v>
      </c>
      <c r="D141" s="581"/>
      <c r="E141" s="573"/>
      <c r="F141" s="22"/>
      <c r="G141" s="788"/>
      <c r="H141" s="24">
        <v>70</v>
      </c>
      <c r="I141" s="789"/>
      <c r="J141" s="790"/>
      <c r="K141" s="778">
        <f t="shared" si="2"/>
        <v>-215.72999999999479</v>
      </c>
      <c r="L141" s="573"/>
    </row>
    <row r="142" spans="1:12" ht="13.5" customHeight="1" x14ac:dyDescent="0.2">
      <c r="A142" s="786"/>
      <c r="B142" s="787"/>
      <c r="C142" s="722" t="s">
        <v>5747</v>
      </c>
      <c r="D142" s="581"/>
      <c r="E142" s="573"/>
      <c r="F142" s="22"/>
      <c r="G142" s="788"/>
      <c r="H142" s="24"/>
      <c r="I142" s="789">
        <v>1360</v>
      </c>
      <c r="J142" s="790">
        <v>1144.2700000000052</v>
      </c>
      <c r="K142" s="778">
        <f t="shared" si="2"/>
        <v>1144.2700000000052</v>
      </c>
      <c r="L142" s="573"/>
    </row>
    <row r="143" spans="1:12" ht="13.5" customHeight="1" x14ac:dyDescent="0.2">
      <c r="A143" s="786">
        <v>42975</v>
      </c>
      <c r="B143" s="787"/>
      <c r="C143" s="722" t="s">
        <v>5748</v>
      </c>
      <c r="D143" s="581"/>
      <c r="E143" s="573"/>
      <c r="F143" s="22"/>
      <c r="G143" s="788"/>
      <c r="H143" s="24">
        <v>5.75</v>
      </c>
      <c r="I143" s="789"/>
      <c r="J143" s="790"/>
      <c r="K143" s="778">
        <f t="shared" si="2"/>
        <v>1138.5200000000052</v>
      </c>
      <c r="L143" s="573"/>
    </row>
    <row r="144" spans="1:12" ht="13.5" customHeight="1" x14ac:dyDescent="0.2">
      <c r="A144" s="786"/>
      <c r="B144" s="787"/>
      <c r="C144" s="722" t="s">
        <v>5749</v>
      </c>
      <c r="D144" s="581"/>
      <c r="E144" s="573"/>
      <c r="F144" s="22"/>
      <c r="G144" s="788"/>
      <c r="H144" s="24">
        <v>19.5</v>
      </c>
      <c r="I144" s="789"/>
      <c r="J144" s="790"/>
      <c r="K144" s="778">
        <f t="shared" si="2"/>
        <v>1119.0200000000052</v>
      </c>
      <c r="L144" s="573"/>
    </row>
    <row r="145" spans="1:12" ht="13.5" customHeight="1" x14ac:dyDescent="0.2">
      <c r="A145" s="786"/>
      <c r="B145" s="787"/>
      <c r="C145" s="722" t="s">
        <v>5750</v>
      </c>
      <c r="D145" s="581"/>
      <c r="E145" s="573"/>
      <c r="F145" s="22"/>
      <c r="G145" s="788"/>
      <c r="H145" s="24">
        <v>14</v>
      </c>
      <c r="I145" s="789"/>
      <c r="J145" s="790"/>
      <c r="K145" s="778">
        <f t="shared" si="2"/>
        <v>1105.0200000000052</v>
      </c>
      <c r="L145" s="573"/>
    </row>
    <row r="146" spans="1:12" ht="13.5" customHeight="1" x14ac:dyDescent="0.2">
      <c r="A146" s="786"/>
      <c r="B146" s="787"/>
      <c r="C146" s="722" t="s">
        <v>5751</v>
      </c>
      <c r="D146" s="581"/>
      <c r="E146" s="573"/>
      <c r="F146" s="22"/>
      <c r="G146" s="788"/>
      <c r="H146" s="24">
        <v>17.579999999999998</v>
      </c>
      <c r="I146" s="789"/>
      <c r="J146" s="790"/>
      <c r="K146" s="778">
        <f t="shared" si="2"/>
        <v>1087.4400000000053</v>
      </c>
      <c r="L146" s="573"/>
    </row>
    <row r="147" spans="1:12" ht="13.5" customHeight="1" x14ac:dyDescent="0.2">
      <c r="A147" s="786"/>
      <c r="B147" s="787"/>
      <c r="C147" s="722" t="s">
        <v>5752</v>
      </c>
      <c r="D147" s="581"/>
      <c r="E147" s="573"/>
      <c r="F147" s="22"/>
      <c r="G147" s="788"/>
      <c r="H147" s="24">
        <v>100</v>
      </c>
      <c r="I147" s="789"/>
      <c r="J147" s="790"/>
      <c r="K147" s="778">
        <f t="shared" si="2"/>
        <v>987.44000000000528</v>
      </c>
      <c r="L147" s="573"/>
    </row>
    <row r="148" spans="1:12" ht="13.5" customHeight="1" x14ac:dyDescent="0.2">
      <c r="A148" s="786"/>
      <c r="B148" s="787"/>
      <c r="C148" s="722" t="s">
        <v>5753</v>
      </c>
      <c r="D148" s="581" t="s">
        <v>5754</v>
      </c>
      <c r="E148" s="573" t="s">
        <v>5755</v>
      </c>
      <c r="F148" s="22" t="s">
        <v>549</v>
      </c>
      <c r="G148" s="792"/>
      <c r="H148" s="24"/>
      <c r="I148" s="789"/>
      <c r="J148" s="790"/>
      <c r="K148" s="778">
        <f t="shared" si="2"/>
        <v>987.44000000000528</v>
      </c>
      <c r="L148" s="573"/>
    </row>
    <row r="149" spans="1:12" ht="13.5" customHeight="1" x14ac:dyDescent="0.2">
      <c r="A149" s="786"/>
      <c r="B149" s="787"/>
      <c r="C149" s="793" t="s">
        <v>5578</v>
      </c>
      <c r="D149" s="581" t="s">
        <v>19</v>
      </c>
      <c r="E149" s="573" t="s">
        <v>549</v>
      </c>
      <c r="F149" s="22" t="s">
        <v>5640</v>
      </c>
      <c r="G149" s="792" t="s">
        <v>5756</v>
      </c>
      <c r="H149" s="24"/>
      <c r="I149" s="789"/>
      <c r="J149" s="790">
        <v>987.44</v>
      </c>
      <c r="K149" s="778">
        <f t="shared" si="2"/>
        <v>987.44000000000528</v>
      </c>
      <c r="L149" s="573"/>
    </row>
    <row r="150" spans="1:12" ht="13.5" customHeight="1" x14ac:dyDescent="0.2">
      <c r="A150" s="786">
        <v>42976</v>
      </c>
      <c r="B150" s="787"/>
      <c r="C150" s="722" t="s">
        <v>5698</v>
      </c>
      <c r="D150" s="581"/>
      <c r="E150" s="573"/>
      <c r="F150" s="22"/>
      <c r="G150" s="788"/>
      <c r="H150" s="24">
        <v>8</v>
      </c>
      <c r="I150" s="789"/>
      <c r="J150" s="790">
        <v>979.44000000000528</v>
      </c>
      <c r="K150" s="778">
        <f t="shared" si="2"/>
        <v>979.44000000000528</v>
      </c>
      <c r="L150" s="573"/>
    </row>
    <row r="151" spans="1:12" ht="13.5" customHeight="1" x14ac:dyDescent="0.2">
      <c r="A151" s="786">
        <v>42977</v>
      </c>
      <c r="B151" s="787"/>
      <c r="C151" s="722" t="s">
        <v>5757</v>
      </c>
      <c r="D151" s="581"/>
      <c r="E151" s="573"/>
      <c r="F151" s="22"/>
      <c r="G151" s="788"/>
      <c r="H151" s="24">
        <v>20.45</v>
      </c>
      <c r="I151" s="789"/>
      <c r="J151" s="790"/>
      <c r="K151" s="778">
        <f t="shared" si="2"/>
        <v>958.99000000000524</v>
      </c>
      <c r="L151" s="573"/>
    </row>
    <row r="152" spans="1:12" ht="13.5" customHeight="1" x14ac:dyDescent="0.2">
      <c r="A152" s="786"/>
      <c r="B152" s="787"/>
      <c r="C152" s="722" t="s">
        <v>5758</v>
      </c>
      <c r="D152" s="581"/>
      <c r="E152" s="573"/>
      <c r="F152" s="22"/>
      <c r="G152" s="788"/>
      <c r="H152" s="24">
        <v>0.7</v>
      </c>
      <c r="I152" s="789"/>
      <c r="J152" s="790"/>
      <c r="K152" s="778">
        <f t="shared" si="2"/>
        <v>958.29000000000519</v>
      </c>
      <c r="L152" s="573"/>
    </row>
    <row r="153" spans="1:12" ht="13.5" customHeight="1" x14ac:dyDescent="0.2">
      <c r="A153" s="786"/>
      <c r="B153" s="787"/>
      <c r="C153" s="722" t="s">
        <v>5759</v>
      </c>
      <c r="D153" s="581"/>
      <c r="E153" s="573"/>
      <c r="F153" s="22"/>
      <c r="G153" s="788"/>
      <c r="H153" s="24">
        <v>6.45</v>
      </c>
      <c r="I153" s="789"/>
      <c r="J153" s="790"/>
      <c r="K153" s="778">
        <f t="shared" si="2"/>
        <v>951.84000000000515</v>
      </c>
      <c r="L153" s="573"/>
    </row>
    <row r="154" spans="1:12" ht="13.5" customHeight="1" x14ac:dyDescent="0.2">
      <c r="A154" s="786"/>
      <c r="B154" s="787"/>
      <c r="C154" s="722" t="s">
        <v>5760</v>
      </c>
      <c r="D154" s="581"/>
      <c r="E154" s="573"/>
      <c r="F154" s="22"/>
      <c r="G154" s="788"/>
      <c r="H154" s="24">
        <v>16</v>
      </c>
      <c r="I154" s="789"/>
      <c r="J154" s="790"/>
      <c r="K154" s="778">
        <f t="shared" si="2"/>
        <v>935.84000000000515</v>
      </c>
      <c r="L154" s="573"/>
    </row>
    <row r="155" spans="1:12" ht="13.5" customHeight="1" x14ac:dyDescent="0.2">
      <c r="A155" s="786"/>
      <c r="B155" s="787"/>
      <c r="C155" s="722" t="s">
        <v>5600</v>
      </c>
      <c r="D155" s="581"/>
      <c r="E155" s="573"/>
      <c r="F155" s="22"/>
      <c r="G155" s="788"/>
      <c r="H155" s="24">
        <v>15.52</v>
      </c>
      <c r="I155" s="789"/>
      <c r="J155" s="790"/>
      <c r="K155" s="778">
        <f t="shared" si="2"/>
        <v>920.32000000000517</v>
      </c>
      <c r="L155" s="573"/>
    </row>
    <row r="156" spans="1:12" ht="13.5" customHeight="1" x14ac:dyDescent="0.2">
      <c r="A156" s="786"/>
      <c r="B156" s="787"/>
      <c r="C156" s="722" t="s">
        <v>5761</v>
      </c>
      <c r="D156" s="581"/>
      <c r="E156" s="573"/>
      <c r="F156" s="22"/>
      <c r="G156" s="788"/>
      <c r="H156" s="24">
        <v>2.9</v>
      </c>
      <c r="I156" s="789"/>
      <c r="J156" s="790"/>
      <c r="K156" s="778">
        <f t="shared" si="2"/>
        <v>917.42000000000519</v>
      </c>
      <c r="L156" s="573"/>
    </row>
    <row r="157" spans="1:12" ht="13.5" customHeight="1" x14ac:dyDescent="0.2">
      <c r="A157" s="786"/>
      <c r="B157" s="787"/>
      <c r="C157" s="722" t="s">
        <v>5762</v>
      </c>
      <c r="D157" s="581"/>
      <c r="E157" s="573"/>
      <c r="F157" s="22"/>
      <c r="G157" s="788"/>
      <c r="H157" s="24">
        <v>17</v>
      </c>
      <c r="I157" s="789"/>
      <c r="J157" s="790"/>
      <c r="K157" s="778">
        <f t="shared" si="2"/>
        <v>900.42000000000519</v>
      </c>
      <c r="L157" s="573"/>
    </row>
    <row r="158" spans="1:12" ht="13.5" customHeight="1" x14ac:dyDescent="0.2">
      <c r="A158" s="786"/>
      <c r="B158" s="787"/>
      <c r="C158" s="722" t="s">
        <v>5763</v>
      </c>
      <c r="D158" s="581"/>
      <c r="E158" s="573"/>
      <c r="F158" s="22"/>
      <c r="G158" s="788"/>
      <c r="H158" s="24">
        <v>7</v>
      </c>
      <c r="I158" s="789"/>
      <c r="J158" s="790"/>
      <c r="K158" s="778">
        <f t="shared" si="2"/>
        <v>893.42000000000519</v>
      </c>
      <c r="L158" s="573"/>
    </row>
    <row r="159" spans="1:12" ht="13.5" customHeight="1" x14ac:dyDescent="0.2">
      <c r="A159" s="786"/>
      <c r="B159" s="787"/>
      <c r="C159" s="722" t="s">
        <v>5764</v>
      </c>
      <c r="D159" s="581"/>
      <c r="E159" s="573"/>
      <c r="F159" s="22"/>
      <c r="G159" s="788"/>
      <c r="H159" s="24">
        <v>44.99</v>
      </c>
      <c r="I159" s="789"/>
      <c r="J159" s="790"/>
      <c r="K159" s="778">
        <f t="shared" si="2"/>
        <v>848.43000000000518</v>
      </c>
      <c r="L159" s="573"/>
    </row>
    <row r="160" spans="1:12" ht="13.5" customHeight="1" x14ac:dyDescent="0.2">
      <c r="A160" s="786"/>
      <c r="B160" s="787"/>
      <c r="C160" s="722" t="s">
        <v>1002</v>
      </c>
      <c r="D160" s="581"/>
      <c r="E160" s="573"/>
      <c r="F160" s="22"/>
      <c r="G160" s="788"/>
      <c r="H160" s="24">
        <v>200</v>
      </c>
      <c r="I160" s="789"/>
      <c r="J160" s="790"/>
      <c r="K160" s="778">
        <f t="shared" si="2"/>
        <v>648.43000000000518</v>
      </c>
      <c r="L160" s="573" t="s">
        <v>5677</v>
      </c>
    </row>
    <row r="161" spans="1:12" ht="13.5" customHeight="1" x14ac:dyDescent="0.2">
      <c r="A161" s="786"/>
      <c r="B161" s="787"/>
      <c r="C161" s="722" t="s">
        <v>5765</v>
      </c>
      <c r="D161" s="581"/>
      <c r="E161" s="573"/>
      <c r="F161" s="22"/>
      <c r="G161" s="788"/>
      <c r="H161" s="24">
        <v>1.55</v>
      </c>
      <c r="I161" s="789"/>
      <c r="J161" s="797"/>
      <c r="K161" s="778">
        <f t="shared" si="2"/>
        <v>646.88000000000523</v>
      </c>
      <c r="L161" s="573"/>
    </row>
    <row r="162" spans="1:12" ht="13.5" customHeight="1" x14ac:dyDescent="0.2">
      <c r="A162" s="786" t="s">
        <v>5766</v>
      </c>
      <c r="B162" s="787"/>
      <c r="C162" s="722" t="s">
        <v>5767</v>
      </c>
      <c r="D162" s="581" t="s">
        <v>5768</v>
      </c>
      <c r="E162" s="573" t="s">
        <v>5769</v>
      </c>
      <c r="F162" s="22" t="s">
        <v>549</v>
      </c>
      <c r="G162" s="798" t="s">
        <v>5770</v>
      </c>
      <c r="H162" s="24"/>
      <c r="I162" s="789"/>
      <c r="J162" s="790"/>
      <c r="K162" s="799">
        <f t="shared" si="2"/>
        <v>646.88000000000523</v>
      </c>
      <c r="L162" s="573"/>
    </row>
    <row r="163" spans="1:12" ht="13.5" customHeight="1" thickBot="1" x14ac:dyDescent="0.25">
      <c r="A163" s="800"/>
      <c r="B163" s="801"/>
      <c r="C163" s="802"/>
      <c r="D163" s="803"/>
      <c r="E163" s="804"/>
      <c r="F163" s="805"/>
      <c r="G163" s="806"/>
      <c r="H163" s="807"/>
      <c r="I163" s="808"/>
      <c r="J163" s="805"/>
      <c r="L163" s="573"/>
    </row>
    <row r="164" spans="1:12" ht="13.5" customHeight="1" thickBot="1" x14ac:dyDescent="0.25">
      <c r="A164" s="561" t="s">
        <v>2</v>
      </c>
      <c r="B164" s="562"/>
      <c r="C164" s="562" t="s">
        <v>481</v>
      </c>
      <c r="D164" s="562" t="s">
        <v>4</v>
      </c>
      <c r="E164" s="562" t="s">
        <v>5</v>
      </c>
      <c r="F164" s="562" t="s">
        <v>6</v>
      </c>
      <c r="G164" s="564" t="s">
        <v>7</v>
      </c>
      <c r="H164" s="1385" t="s">
        <v>482</v>
      </c>
      <c r="I164" s="1386"/>
      <c r="J164" s="1387"/>
    </row>
    <row r="165" spans="1:12" ht="13.5" customHeight="1" x14ac:dyDescent="0.2">
      <c r="A165" s="568" t="s">
        <v>5554</v>
      </c>
      <c r="B165" s="569"/>
      <c r="C165" s="570" t="s">
        <v>8</v>
      </c>
      <c r="D165" s="581">
        <v>0</v>
      </c>
      <c r="E165" s="804"/>
      <c r="F165" s="573"/>
      <c r="G165" s="809">
        <v>10</v>
      </c>
      <c r="H165" s="810"/>
      <c r="I165" s="811"/>
      <c r="J165" s="812">
        <v>40215.870000000003</v>
      </c>
      <c r="L165" s="804"/>
    </row>
    <row r="166" spans="1:12" ht="13.5" customHeight="1" x14ac:dyDescent="0.2">
      <c r="A166" s="578"/>
      <c r="B166" s="569"/>
      <c r="C166" s="569" t="s">
        <v>5771</v>
      </c>
      <c r="D166" s="581" t="s">
        <v>5772</v>
      </c>
      <c r="E166" s="582">
        <v>-950.84</v>
      </c>
      <c r="F166" s="573"/>
      <c r="G166" s="580"/>
      <c r="H166" s="575"/>
      <c r="I166" s="576"/>
      <c r="J166" s="577">
        <v>40215.870000000003</v>
      </c>
      <c r="L166" s="572"/>
    </row>
    <row r="167" spans="1:12" ht="13.5" customHeight="1" x14ac:dyDescent="0.2">
      <c r="A167" s="578"/>
      <c r="B167" s="569"/>
      <c r="C167" s="569" t="s">
        <v>5773</v>
      </c>
      <c r="D167" s="581" t="s">
        <v>5774</v>
      </c>
      <c r="E167" s="582">
        <v>-568.61</v>
      </c>
      <c r="F167" s="573"/>
      <c r="G167" s="580"/>
      <c r="H167" s="575"/>
      <c r="I167" s="576"/>
      <c r="J167" s="577">
        <v>40215.870000000003</v>
      </c>
      <c r="L167" s="572"/>
    </row>
    <row r="168" spans="1:12" ht="13.5" customHeight="1" x14ac:dyDescent="0.2">
      <c r="A168" s="578"/>
      <c r="B168" s="569"/>
      <c r="C168" s="795" t="s">
        <v>5708</v>
      </c>
      <c r="D168" s="581">
        <v>0</v>
      </c>
      <c r="E168" s="572"/>
      <c r="F168" s="579">
        <v>1519.45</v>
      </c>
      <c r="G168" s="580">
        <v>10</v>
      </c>
      <c r="H168" s="575">
        <v>1519.45</v>
      </c>
      <c r="I168" s="576"/>
      <c r="J168" s="577">
        <v>38696.420000000006</v>
      </c>
      <c r="L168" s="572"/>
    </row>
    <row r="169" spans="1:12" ht="13.5" customHeight="1" x14ac:dyDescent="0.2">
      <c r="A169" s="578">
        <v>42949</v>
      </c>
      <c r="B169" s="569"/>
      <c r="C169" s="722" t="s">
        <v>5775</v>
      </c>
      <c r="D169" s="581">
        <v>941000</v>
      </c>
      <c r="E169" s="582">
        <v>-67.44</v>
      </c>
      <c r="F169" s="573"/>
      <c r="G169" s="580"/>
      <c r="H169" s="575"/>
      <c r="I169" s="576"/>
      <c r="J169" s="577">
        <v>38696.420000000006</v>
      </c>
      <c r="L169" s="572"/>
    </row>
    <row r="170" spans="1:12" ht="13.5" customHeight="1" x14ac:dyDescent="0.2">
      <c r="A170" s="578"/>
      <c r="B170" s="569"/>
      <c r="C170" s="569" t="s">
        <v>5776</v>
      </c>
      <c r="D170" s="581" t="s">
        <v>5777</v>
      </c>
      <c r="E170" s="582">
        <v>-207.66</v>
      </c>
      <c r="F170" s="573"/>
      <c r="G170" s="580"/>
      <c r="H170" s="575"/>
      <c r="I170" s="576"/>
      <c r="J170" s="577">
        <v>38696.420000000006</v>
      </c>
      <c r="L170" s="572"/>
    </row>
    <row r="171" spans="1:12" ht="13.5" customHeight="1" x14ac:dyDescent="0.2">
      <c r="A171" s="578"/>
      <c r="B171" s="569"/>
      <c r="C171" s="569" t="s">
        <v>5778</v>
      </c>
      <c r="D171" s="581" t="s">
        <v>5779</v>
      </c>
      <c r="E171" s="582">
        <v>-111.37</v>
      </c>
      <c r="F171" s="573"/>
      <c r="G171" s="580"/>
      <c r="H171" s="575"/>
      <c r="I171" s="576"/>
      <c r="J171" s="577">
        <v>38696.420000000006</v>
      </c>
      <c r="L171" s="572"/>
    </row>
    <row r="172" spans="1:12" ht="13.5" customHeight="1" x14ac:dyDescent="0.2">
      <c r="A172" s="578"/>
      <c r="B172" s="569"/>
      <c r="C172" s="795" t="s">
        <v>5708</v>
      </c>
      <c r="D172" s="581">
        <v>0</v>
      </c>
      <c r="E172" s="572"/>
      <c r="F172" s="579">
        <v>386.47</v>
      </c>
      <c r="G172" s="580">
        <v>10</v>
      </c>
      <c r="H172" s="575">
        <v>386.47</v>
      </c>
      <c r="I172" s="576"/>
      <c r="J172" s="577">
        <v>38309.950000000004</v>
      </c>
      <c r="L172" s="572"/>
    </row>
    <row r="173" spans="1:12" ht="13.5" customHeight="1" x14ac:dyDescent="0.2">
      <c r="A173" s="578">
        <v>42951</v>
      </c>
      <c r="B173" s="569"/>
      <c r="C173" s="569" t="s">
        <v>5780</v>
      </c>
      <c r="D173" s="581">
        <v>0</v>
      </c>
      <c r="E173" s="582">
        <v>-32.78</v>
      </c>
      <c r="F173" s="573"/>
      <c r="G173" s="580"/>
      <c r="H173" s="575"/>
      <c r="I173" s="576"/>
      <c r="J173" s="577">
        <v>38309.950000000004</v>
      </c>
      <c r="L173" s="572"/>
    </row>
    <row r="174" spans="1:12" ht="13.5" customHeight="1" x14ac:dyDescent="0.2">
      <c r="A174" s="578"/>
      <c r="B174" s="569" t="s">
        <v>591</v>
      </c>
      <c r="C174" s="722" t="s">
        <v>5781</v>
      </c>
      <c r="D174" s="581">
        <v>774209</v>
      </c>
      <c r="E174" s="572"/>
      <c r="F174" s="579">
        <v>2296.13</v>
      </c>
      <c r="G174" s="580"/>
      <c r="H174" s="575"/>
      <c r="I174" s="576"/>
      <c r="J174" s="577">
        <v>38309.950000000004</v>
      </c>
      <c r="L174" s="572"/>
    </row>
    <row r="175" spans="1:12" ht="13.5" customHeight="1" x14ac:dyDescent="0.2">
      <c r="A175" s="578"/>
      <c r="B175" s="569"/>
      <c r="C175" s="795" t="s">
        <v>5708</v>
      </c>
      <c r="D175" s="581">
        <v>0</v>
      </c>
      <c r="E175" s="572"/>
      <c r="F175" s="579">
        <v>32.78</v>
      </c>
      <c r="G175" s="580">
        <v>2306.13</v>
      </c>
      <c r="H175" s="575">
        <v>32.78</v>
      </c>
      <c r="I175" s="576"/>
      <c r="J175" s="577">
        <v>38277.170000000006</v>
      </c>
      <c r="L175" s="572"/>
    </row>
    <row r="176" spans="1:12" ht="13.5" customHeight="1" x14ac:dyDescent="0.2">
      <c r="A176" s="578">
        <v>42954</v>
      </c>
      <c r="B176" s="569"/>
      <c r="C176" s="569" t="s">
        <v>5782</v>
      </c>
      <c r="D176" s="581">
        <v>0</v>
      </c>
      <c r="E176" s="582">
        <v>-100.94</v>
      </c>
      <c r="F176" s="573"/>
      <c r="G176" s="580"/>
      <c r="H176" s="575"/>
      <c r="I176" s="576"/>
      <c r="J176" s="577">
        <v>38277.170000000006</v>
      </c>
      <c r="L176" s="572"/>
    </row>
    <row r="177" spans="1:12" ht="13.5" customHeight="1" x14ac:dyDescent="0.2">
      <c r="A177" s="578"/>
      <c r="B177" s="569"/>
      <c r="C177" s="569" t="s">
        <v>5783</v>
      </c>
      <c r="D177" s="581">
        <v>501000</v>
      </c>
      <c r="E177" s="582">
        <v>-1420.55</v>
      </c>
      <c r="F177" s="573"/>
      <c r="G177" s="580"/>
      <c r="H177" s="575"/>
      <c r="I177" s="576"/>
      <c r="J177" s="577">
        <v>38277.170000000006</v>
      </c>
      <c r="L177" s="572"/>
    </row>
    <row r="178" spans="1:12" ht="13.5" customHeight="1" x14ac:dyDescent="0.2">
      <c r="A178" s="578"/>
      <c r="B178" s="569"/>
      <c r="C178" s="569" t="s">
        <v>177</v>
      </c>
      <c r="D178" s="581">
        <v>711000</v>
      </c>
      <c r="E178" s="582">
        <v>-307.26</v>
      </c>
      <c r="F178" s="573"/>
      <c r="G178" s="580"/>
      <c r="H178" s="575"/>
      <c r="I178" s="576"/>
      <c r="J178" s="577">
        <v>38277.170000000006</v>
      </c>
      <c r="L178" s="572"/>
    </row>
    <row r="179" spans="1:12" ht="13.5" customHeight="1" x14ac:dyDescent="0.2">
      <c r="A179" s="578"/>
      <c r="B179" s="569"/>
      <c r="C179" s="569" t="s">
        <v>1737</v>
      </c>
      <c r="D179" s="581">
        <v>4557</v>
      </c>
      <c r="E179" s="813">
        <v>-2296.13</v>
      </c>
      <c r="F179" s="579"/>
      <c r="G179" s="580"/>
      <c r="H179" s="575"/>
      <c r="I179" s="576"/>
      <c r="J179" s="577">
        <v>38277.170000000006</v>
      </c>
      <c r="L179" s="572"/>
    </row>
    <row r="180" spans="1:12" ht="13.5" customHeight="1" x14ac:dyDescent="0.2">
      <c r="A180" s="578"/>
      <c r="B180" s="569"/>
      <c r="C180" s="795" t="s">
        <v>5708</v>
      </c>
      <c r="D180" s="581">
        <v>0</v>
      </c>
      <c r="E180" s="572"/>
      <c r="F180" s="579">
        <v>1828.75</v>
      </c>
      <c r="G180" s="580">
        <v>10</v>
      </c>
      <c r="H180" s="575">
        <v>1828.75</v>
      </c>
      <c r="I180" s="576"/>
      <c r="J180" s="577">
        <v>36448.420000000006</v>
      </c>
      <c r="L180" s="572"/>
    </row>
    <row r="181" spans="1:12" ht="13.5" customHeight="1" x14ac:dyDescent="0.2">
      <c r="A181" s="578">
        <v>42955</v>
      </c>
      <c r="B181" s="569"/>
      <c r="C181" s="569" t="s">
        <v>5784</v>
      </c>
      <c r="D181" s="581">
        <v>257</v>
      </c>
      <c r="E181" s="582">
        <v>-704.78</v>
      </c>
      <c r="F181" s="573"/>
      <c r="G181" s="580">
        <v>-694.78</v>
      </c>
      <c r="H181" s="575"/>
      <c r="I181" s="576"/>
      <c r="J181" s="577">
        <v>36448.420000000006</v>
      </c>
      <c r="L181" s="572"/>
    </row>
    <row r="182" spans="1:12" ht="13.5" customHeight="1" x14ac:dyDescent="0.2">
      <c r="A182" s="578"/>
      <c r="B182" s="569"/>
      <c r="C182" s="795" t="s">
        <v>5708</v>
      </c>
      <c r="D182" s="581">
        <v>0</v>
      </c>
      <c r="E182" s="572"/>
      <c r="F182" s="579">
        <v>704.78</v>
      </c>
      <c r="G182" s="580">
        <v>10</v>
      </c>
      <c r="H182" s="575">
        <v>704.78</v>
      </c>
      <c r="I182" s="576"/>
      <c r="J182" s="577">
        <v>35743.640000000007</v>
      </c>
      <c r="L182" s="572"/>
    </row>
    <row r="183" spans="1:12" ht="13.5" customHeight="1" x14ac:dyDescent="0.2">
      <c r="A183" s="578">
        <v>42956</v>
      </c>
      <c r="B183" s="569"/>
      <c r="C183" s="569" t="s">
        <v>5785</v>
      </c>
      <c r="D183" s="581" t="s">
        <v>5786</v>
      </c>
      <c r="E183" s="582">
        <v>-105.05</v>
      </c>
      <c r="F183" s="573"/>
      <c r="G183" s="580"/>
      <c r="H183" s="575"/>
      <c r="I183" s="576"/>
      <c r="J183" s="577">
        <v>35743.640000000007</v>
      </c>
      <c r="L183" s="572"/>
    </row>
    <row r="184" spans="1:12" ht="13.5" customHeight="1" x14ac:dyDescent="0.2">
      <c r="A184" s="578"/>
      <c r="B184" s="569"/>
      <c r="C184" s="795" t="s">
        <v>5708</v>
      </c>
      <c r="D184" s="581">
        <v>0</v>
      </c>
      <c r="E184" s="572"/>
      <c r="F184" s="579">
        <v>105.05</v>
      </c>
      <c r="G184" s="580">
        <v>10</v>
      </c>
      <c r="H184" s="575">
        <v>105.05</v>
      </c>
      <c r="I184" s="576"/>
      <c r="J184" s="577">
        <v>35638.590000000004</v>
      </c>
      <c r="L184" s="572"/>
    </row>
    <row r="185" spans="1:12" ht="13.5" customHeight="1" x14ac:dyDescent="0.2">
      <c r="A185" s="578">
        <v>42957</v>
      </c>
      <c r="B185" s="569" t="s">
        <v>591</v>
      </c>
      <c r="C185" s="569" t="s">
        <v>1737</v>
      </c>
      <c r="D185" s="581">
        <v>774297</v>
      </c>
      <c r="E185" s="582"/>
      <c r="F185" s="814">
        <v>2296.13</v>
      </c>
      <c r="G185" s="580">
        <v>2306.13</v>
      </c>
      <c r="H185" s="575"/>
      <c r="I185" s="576"/>
      <c r="J185" s="577">
        <v>35638.590000000004</v>
      </c>
      <c r="L185" s="572"/>
    </row>
    <row r="186" spans="1:12" ht="13.5" customHeight="1" x14ac:dyDescent="0.2">
      <c r="A186" s="578">
        <v>42958</v>
      </c>
      <c r="B186" s="569"/>
      <c r="C186" s="795" t="s">
        <v>5787</v>
      </c>
      <c r="D186" s="581">
        <v>0</v>
      </c>
      <c r="E186" s="582">
        <v>-2296.13</v>
      </c>
      <c r="F186" s="573"/>
      <c r="G186" s="580">
        <v>10</v>
      </c>
      <c r="H186" s="575"/>
      <c r="I186" s="576">
        <v>2296.13</v>
      </c>
      <c r="J186" s="577">
        <v>37934.720000000001</v>
      </c>
      <c r="L186" s="572"/>
    </row>
    <row r="187" spans="1:12" ht="13.5" customHeight="1" x14ac:dyDescent="0.2">
      <c r="A187" s="578">
        <v>42962</v>
      </c>
      <c r="B187" s="569"/>
      <c r="C187" s="795" t="s">
        <v>5788</v>
      </c>
      <c r="D187" s="581">
        <v>10815</v>
      </c>
      <c r="E187" s="572"/>
      <c r="F187" s="579">
        <v>2200</v>
      </c>
      <c r="G187" s="580"/>
      <c r="H187" s="575"/>
      <c r="I187" s="576"/>
      <c r="J187" s="577">
        <v>37934.720000000001</v>
      </c>
      <c r="L187" s="572"/>
    </row>
    <row r="188" spans="1:12" ht="13.5" customHeight="1" x14ac:dyDescent="0.2">
      <c r="A188" s="578"/>
      <c r="B188" s="569"/>
      <c r="C188" s="795" t="s">
        <v>5789</v>
      </c>
      <c r="D188" s="581">
        <v>371000</v>
      </c>
      <c r="E188" s="582">
        <v>-708</v>
      </c>
      <c r="F188" s="573"/>
      <c r="G188" s="580"/>
      <c r="H188" s="575"/>
      <c r="I188" s="576"/>
      <c r="J188" s="577">
        <v>37934.720000000001</v>
      </c>
      <c r="L188" s="572"/>
    </row>
    <row r="189" spans="1:12" ht="13.5" customHeight="1" x14ac:dyDescent="0.2">
      <c r="A189" s="578"/>
      <c r="B189" s="569"/>
      <c r="C189" s="795" t="s">
        <v>5787</v>
      </c>
      <c r="D189" s="581">
        <v>0</v>
      </c>
      <c r="E189" s="582">
        <v>-1492</v>
      </c>
      <c r="F189" s="573"/>
      <c r="G189" s="580">
        <v>10</v>
      </c>
      <c r="H189" s="575"/>
      <c r="I189" s="576">
        <v>1492</v>
      </c>
      <c r="J189" s="577">
        <v>39426.720000000001</v>
      </c>
      <c r="L189" s="572"/>
    </row>
    <row r="190" spans="1:12" ht="13.5" customHeight="1" x14ac:dyDescent="0.2">
      <c r="A190" s="578">
        <v>42963</v>
      </c>
      <c r="B190" s="569"/>
      <c r="C190" s="795" t="s">
        <v>5790</v>
      </c>
      <c r="D190" s="581">
        <v>422667</v>
      </c>
      <c r="E190" s="582">
        <v>-5000</v>
      </c>
      <c r="F190" s="573"/>
      <c r="G190" s="580">
        <v>-4990</v>
      </c>
      <c r="H190" s="575"/>
      <c r="I190" s="576"/>
      <c r="J190" s="577">
        <v>39426.720000000001</v>
      </c>
      <c r="L190" s="572"/>
    </row>
    <row r="191" spans="1:12" ht="13.5" customHeight="1" x14ac:dyDescent="0.2">
      <c r="A191" s="578"/>
      <c r="B191" s="569"/>
      <c r="C191" s="795" t="s">
        <v>5791</v>
      </c>
      <c r="D191" s="581">
        <v>0</v>
      </c>
      <c r="E191" s="572"/>
      <c r="F191" s="579">
        <v>5478.55</v>
      </c>
      <c r="G191" s="580"/>
      <c r="H191" s="575"/>
      <c r="I191" s="576"/>
      <c r="J191" s="577">
        <v>39426.720000000001</v>
      </c>
      <c r="L191" s="572"/>
    </row>
    <row r="192" spans="1:12" ht="13.5" customHeight="1" x14ac:dyDescent="0.2">
      <c r="A192" s="578"/>
      <c r="B192" s="569"/>
      <c r="C192" s="569" t="s">
        <v>5792</v>
      </c>
      <c r="D192" s="581" t="s">
        <v>5793</v>
      </c>
      <c r="E192" s="582">
        <v>-219</v>
      </c>
      <c r="F192" s="573"/>
      <c r="G192" s="580"/>
      <c r="H192" s="575"/>
      <c r="I192" s="576"/>
      <c r="J192" s="577">
        <v>39426.720000000001</v>
      </c>
      <c r="L192" s="572"/>
    </row>
    <row r="193" spans="1:13" ht="13.5" customHeight="1" x14ac:dyDescent="0.2">
      <c r="A193" s="578"/>
      <c r="B193" s="569"/>
      <c r="C193" s="722" t="s">
        <v>5794</v>
      </c>
      <c r="D193" s="581" t="s">
        <v>5795</v>
      </c>
      <c r="E193" s="582">
        <v>-749.6</v>
      </c>
      <c r="F193" s="573"/>
      <c r="G193" s="580"/>
      <c r="H193" s="575"/>
      <c r="I193" s="576"/>
      <c r="J193" s="577">
        <v>39426.720000000001</v>
      </c>
      <c r="L193" s="572"/>
    </row>
    <row r="194" spans="1:13" ht="13.5" customHeight="1" x14ac:dyDescent="0.2">
      <c r="A194" s="578"/>
      <c r="B194" s="569"/>
      <c r="C194" s="795" t="s">
        <v>5796</v>
      </c>
      <c r="D194" s="581" t="s">
        <v>5797</v>
      </c>
      <c r="E194" s="582">
        <v>-393.36</v>
      </c>
      <c r="F194" s="573"/>
      <c r="G194" s="580"/>
      <c r="H194" s="575"/>
      <c r="I194" s="576"/>
      <c r="J194" s="577">
        <v>39426.720000000001</v>
      </c>
      <c r="L194" s="572"/>
    </row>
    <row r="195" spans="1:13" ht="13.5" customHeight="1" x14ac:dyDescent="0.2">
      <c r="A195" s="578"/>
      <c r="B195" s="569"/>
      <c r="C195" s="795" t="s">
        <v>5708</v>
      </c>
      <c r="D195" s="581">
        <v>0</v>
      </c>
      <c r="E195" s="572"/>
      <c r="F195" s="579">
        <v>883.41</v>
      </c>
      <c r="G195" s="580">
        <v>10</v>
      </c>
      <c r="H195" s="575">
        <v>883.41</v>
      </c>
      <c r="I195" s="576"/>
      <c r="J195" s="577">
        <v>38543.31</v>
      </c>
      <c r="L195" s="572"/>
    </row>
    <row r="196" spans="1:13" ht="13.5" customHeight="1" x14ac:dyDescent="0.2">
      <c r="A196" s="578">
        <v>42965</v>
      </c>
      <c r="B196" s="569"/>
      <c r="C196" s="569" t="s">
        <v>198</v>
      </c>
      <c r="D196" s="581">
        <v>301000</v>
      </c>
      <c r="E196" s="582">
        <v>-1583.65</v>
      </c>
      <c r="F196" s="573"/>
      <c r="G196" s="580"/>
      <c r="H196" s="575"/>
      <c r="I196" s="576"/>
      <c r="J196" s="577">
        <v>38543.31</v>
      </c>
      <c r="L196" s="572"/>
    </row>
    <row r="197" spans="1:13" ht="13.5" customHeight="1" x14ac:dyDescent="0.2">
      <c r="A197" s="578"/>
      <c r="B197" s="569"/>
      <c r="C197" s="795" t="s">
        <v>5708</v>
      </c>
      <c r="D197" s="581">
        <v>0</v>
      </c>
      <c r="E197" s="572"/>
      <c r="F197" s="579">
        <v>1583.65</v>
      </c>
      <c r="G197" s="580">
        <v>10</v>
      </c>
      <c r="H197" s="575">
        <v>1583.65</v>
      </c>
      <c r="I197" s="576"/>
      <c r="J197" s="577">
        <v>36959.659999999996</v>
      </c>
      <c r="L197" s="572"/>
    </row>
    <row r="198" spans="1:13" ht="13.5" customHeight="1" x14ac:dyDescent="0.2">
      <c r="A198" s="578">
        <v>42968</v>
      </c>
      <c r="B198" s="569"/>
      <c r="C198" s="795" t="s">
        <v>5798</v>
      </c>
      <c r="D198" s="581">
        <v>0</v>
      </c>
      <c r="E198" s="582">
        <v>-72</v>
      </c>
      <c r="F198" s="573"/>
      <c r="G198" s="580"/>
      <c r="H198" s="575"/>
      <c r="I198" s="576"/>
      <c r="J198" s="577">
        <v>36959.659999999996</v>
      </c>
      <c r="L198" s="572"/>
    </row>
    <row r="199" spans="1:13" ht="13.5" customHeight="1" x14ac:dyDescent="0.2">
      <c r="A199" s="578"/>
      <c r="B199" s="569"/>
      <c r="C199" s="569" t="s">
        <v>5799</v>
      </c>
      <c r="D199" s="581">
        <v>461000</v>
      </c>
      <c r="E199" s="582">
        <v>-4995</v>
      </c>
      <c r="F199" s="573"/>
      <c r="G199" s="580"/>
      <c r="H199" s="575"/>
      <c r="I199" s="576"/>
      <c r="J199" s="577">
        <v>36959.659999999996</v>
      </c>
      <c r="L199" s="572"/>
    </row>
    <row r="200" spans="1:13" ht="13.5" customHeight="1" x14ac:dyDescent="0.2">
      <c r="A200" s="578"/>
      <c r="B200" s="569"/>
      <c r="C200" s="795" t="s">
        <v>5800</v>
      </c>
      <c r="D200" s="581">
        <v>0</v>
      </c>
      <c r="E200" s="582">
        <v>-20000</v>
      </c>
      <c r="F200" s="573"/>
      <c r="G200" s="580"/>
      <c r="H200" s="575"/>
      <c r="I200" s="576"/>
      <c r="J200" s="577">
        <v>36959.659999999996</v>
      </c>
      <c r="L200" s="815"/>
      <c r="M200" s="816"/>
    </row>
    <row r="201" spans="1:13" ht="13.5" customHeight="1" x14ac:dyDescent="0.2">
      <c r="A201" s="578"/>
      <c r="B201" s="569"/>
      <c r="C201" s="569" t="s">
        <v>5801</v>
      </c>
      <c r="D201" s="581">
        <v>0</v>
      </c>
      <c r="E201" s="582">
        <v>-1650</v>
      </c>
      <c r="F201" s="573"/>
      <c r="G201" s="580"/>
      <c r="H201" s="575"/>
      <c r="I201" s="576"/>
      <c r="J201" s="577">
        <v>36959.659999999996</v>
      </c>
      <c r="L201" s="572"/>
    </row>
    <row r="202" spans="1:13" ht="13.5" customHeight="1" x14ac:dyDescent="0.2">
      <c r="A202" s="578"/>
      <c r="B202" s="569"/>
      <c r="C202" s="569" t="s">
        <v>5802</v>
      </c>
      <c r="D202" s="581" t="s">
        <v>5803</v>
      </c>
      <c r="E202" s="582">
        <v>-560</v>
      </c>
      <c r="F202" s="573"/>
      <c r="G202" s="580"/>
      <c r="H202" s="575"/>
      <c r="I202" s="576"/>
      <c r="J202" s="577">
        <v>36959.659999999996</v>
      </c>
      <c r="L202" s="572"/>
    </row>
    <row r="203" spans="1:13" ht="13.5" customHeight="1" x14ac:dyDescent="0.2">
      <c r="A203" s="578"/>
      <c r="B203" s="569"/>
      <c r="C203" s="795" t="s">
        <v>5708</v>
      </c>
      <c r="D203" s="581">
        <v>0</v>
      </c>
      <c r="E203" s="572"/>
      <c r="F203" s="579">
        <v>37029.949999999997</v>
      </c>
      <c r="G203" s="580">
        <v>9762.9500000000007</v>
      </c>
      <c r="H203" s="575">
        <v>37029.949999999997</v>
      </c>
      <c r="I203" s="576">
        <v>70.290000000000006</v>
      </c>
      <c r="J203" s="577">
        <v>-8.6686213762732223E-13</v>
      </c>
      <c r="L203" s="572"/>
    </row>
    <row r="204" spans="1:13" ht="13.5" customHeight="1" x14ac:dyDescent="0.2">
      <c r="A204" s="578">
        <v>42969</v>
      </c>
      <c r="B204" s="569"/>
      <c r="C204" s="795" t="s">
        <v>5798</v>
      </c>
      <c r="D204" s="581">
        <v>0</v>
      </c>
      <c r="E204" s="582">
        <v>-8.6999999999999993</v>
      </c>
      <c r="F204" s="573"/>
      <c r="G204" s="580"/>
      <c r="H204" s="575"/>
      <c r="I204" s="576"/>
      <c r="J204" s="577">
        <v>-8.6686213762732223E-13</v>
      </c>
      <c r="L204" s="572"/>
    </row>
    <row r="205" spans="1:13" ht="13.5" customHeight="1" x14ac:dyDescent="0.2">
      <c r="A205" s="578"/>
      <c r="B205" s="569"/>
      <c r="C205" s="795" t="s">
        <v>199</v>
      </c>
      <c r="D205" s="581">
        <v>0</v>
      </c>
      <c r="E205" s="582">
        <v>-72.36</v>
      </c>
      <c r="F205" s="573"/>
      <c r="G205" s="580"/>
      <c r="H205" s="575"/>
      <c r="I205" s="576"/>
      <c r="J205" s="577">
        <v>-8.6686213762732223E-13</v>
      </c>
      <c r="L205" s="572"/>
    </row>
    <row r="206" spans="1:13" ht="13.5" customHeight="1" x14ac:dyDescent="0.2">
      <c r="A206" s="578"/>
      <c r="B206" s="569" t="s">
        <v>591</v>
      </c>
      <c r="C206" s="569" t="s">
        <v>5804</v>
      </c>
      <c r="D206" s="581">
        <v>774220</v>
      </c>
      <c r="E206" s="572"/>
      <c r="F206" s="579">
        <v>8464</v>
      </c>
      <c r="G206" s="580"/>
      <c r="H206" s="575"/>
      <c r="I206" s="576"/>
      <c r="J206" s="577">
        <v>-8.6686213762732223E-13</v>
      </c>
      <c r="L206" s="572"/>
    </row>
    <row r="207" spans="1:13" ht="13.5" customHeight="1" x14ac:dyDescent="0.2">
      <c r="A207" s="578"/>
      <c r="B207" s="569"/>
      <c r="C207" s="795" t="s">
        <v>5787</v>
      </c>
      <c r="D207" s="581">
        <v>0</v>
      </c>
      <c r="E207" s="582">
        <v>-9681.89</v>
      </c>
      <c r="F207" s="573"/>
      <c r="G207" s="580">
        <v>8464</v>
      </c>
      <c r="H207" s="575"/>
      <c r="I207" s="576">
        <v>9681.89</v>
      </c>
      <c r="J207" s="577">
        <v>9681.89</v>
      </c>
      <c r="L207" s="572"/>
    </row>
    <row r="208" spans="1:13" ht="13.5" customHeight="1" x14ac:dyDescent="0.2">
      <c r="A208" s="578">
        <v>42970</v>
      </c>
      <c r="B208" s="569"/>
      <c r="C208" s="795" t="s">
        <v>5787</v>
      </c>
      <c r="D208" s="581">
        <v>0</v>
      </c>
      <c r="E208" s="582">
        <v>-8464</v>
      </c>
      <c r="F208" s="573"/>
      <c r="G208" s="580">
        <v>0</v>
      </c>
      <c r="H208" s="575"/>
      <c r="I208" s="576">
        <v>8464</v>
      </c>
      <c r="J208" s="577">
        <v>18145.89</v>
      </c>
      <c r="L208" s="572"/>
    </row>
    <row r="209" spans="1:14" ht="13.5" customHeight="1" x14ac:dyDescent="0.2">
      <c r="A209" s="578">
        <v>42971</v>
      </c>
      <c r="B209" s="569"/>
      <c r="C209" s="569" t="s">
        <v>5805</v>
      </c>
      <c r="D209" s="581">
        <v>263</v>
      </c>
      <c r="E209" s="582">
        <v>-115</v>
      </c>
      <c r="F209" s="573"/>
      <c r="G209" s="580"/>
      <c r="H209" s="575"/>
      <c r="I209" s="576"/>
      <c r="J209" s="577">
        <v>18145.89</v>
      </c>
      <c r="L209" s="572"/>
    </row>
    <row r="210" spans="1:14" ht="13.5" customHeight="1" x14ac:dyDescent="0.2">
      <c r="A210" s="578"/>
      <c r="B210" s="569"/>
      <c r="C210" s="795" t="s">
        <v>5708</v>
      </c>
      <c r="D210" s="581">
        <v>0</v>
      </c>
      <c r="E210" s="572"/>
      <c r="F210" s="579">
        <v>115</v>
      </c>
      <c r="G210" s="580">
        <v>0</v>
      </c>
      <c r="H210" s="575">
        <v>115</v>
      </c>
      <c r="I210" s="576"/>
      <c r="J210" s="577">
        <v>18030.89</v>
      </c>
      <c r="L210" s="572"/>
    </row>
    <row r="211" spans="1:14" ht="13.5" customHeight="1" x14ac:dyDescent="0.2">
      <c r="A211" s="578">
        <v>42972</v>
      </c>
      <c r="B211" s="569"/>
      <c r="C211" s="795" t="s">
        <v>5798</v>
      </c>
      <c r="D211" s="581">
        <v>0</v>
      </c>
      <c r="E211" s="582">
        <v>-9.9</v>
      </c>
      <c r="F211" s="573"/>
      <c r="G211" s="580"/>
      <c r="H211" s="575"/>
      <c r="I211" s="576"/>
      <c r="J211" s="577">
        <v>18030.89</v>
      </c>
      <c r="L211" s="572"/>
    </row>
    <row r="212" spans="1:14" ht="13.5" customHeight="1" x14ac:dyDescent="0.2">
      <c r="A212" s="578"/>
      <c r="B212" s="569"/>
      <c r="C212" s="795" t="s">
        <v>194</v>
      </c>
      <c r="D212" s="581">
        <v>0</v>
      </c>
      <c r="E212" s="582">
        <v>-118.64</v>
      </c>
      <c r="F212" s="573"/>
      <c r="G212" s="580"/>
      <c r="H212" s="575"/>
      <c r="I212" s="576"/>
      <c r="J212" s="577">
        <v>18030.89</v>
      </c>
      <c r="L212" s="572"/>
    </row>
    <row r="213" spans="1:14" ht="13.5" customHeight="1" x14ac:dyDescent="0.2">
      <c r="A213" s="578"/>
      <c r="B213" s="569"/>
      <c r="C213" s="795" t="s">
        <v>195</v>
      </c>
      <c r="D213" s="581">
        <v>0</v>
      </c>
      <c r="E213" s="582">
        <v>-547.54999999999995</v>
      </c>
      <c r="F213" s="573"/>
      <c r="G213" s="580"/>
      <c r="H213" s="575"/>
      <c r="I213" s="576"/>
      <c r="J213" s="577">
        <v>18030.89</v>
      </c>
      <c r="L213" s="572"/>
      <c r="N213" s="97">
        <v>5800.01</v>
      </c>
    </row>
    <row r="214" spans="1:14" ht="13.5" customHeight="1" x14ac:dyDescent="0.2">
      <c r="A214" s="578"/>
      <c r="B214" s="569"/>
      <c r="C214" s="795" t="s">
        <v>5708</v>
      </c>
      <c r="D214" s="581">
        <v>0</v>
      </c>
      <c r="E214" s="572"/>
      <c r="F214" s="579">
        <v>676.09</v>
      </c>
      <c r="G214" s="580">
        <v>0</v>
      </c>
      <c r="H214" s="575">
        <v>676.09</v>
      </c>
      <c r="I214" s="576"/>
      <c r="J214" s="577">
        <v>17354.8</v>
      </c>
      <c r="L214" s="572"/>
    </row>
    <row r="215" spans="1:14" ht="13.5" customHeight="1" x14ac:dyDescent="0.2">
      <c r="A215" s="578">
        <v>42976</v>
      </c>
      <c r="B215" s="569"/>
      <c r="C215" s="569" t="s">
        <v>5806</v>
      </c>
      <c r="D215" s="581">
        <v>0</v>
      </c>
      <c r="E215" s="582">
        <v>-5800.01</v>
      </c>
      <c r="F215" s="573"/>
      <c r="G215" s="580"/>
      <c r="H215" s="575"/>
      <c r="I215" s="576"/>
      <c r="J215" s="577">
        <v>17354.8</v>
      </c>
      <c r="L215" s="572"/>
    </row>
    <row r="216" spans="1:14" ht="13.5" customHeight="1" x14ac:dyDescent="0.2">
      <c r="A216" s="578"/>
      <c r="B216" s="569"/>
      <c r="C216" s="795" t="s">
        <v>5708</v>
      </c>
      <c r="D216" s="581">
        <v>0</v>
      </c>
      <c r="E216" s="572"/>
      <c r="F216" s="579">
        <v>5800.01</v>
      </c>
      <c r="G216" s="580">
        <v>0</v>
      </c>
      <c r="H216" s="575">
        <v>5800.01</v>
      </c>
      <c r="I216" s="576"/>
      <c r="J216" s="577">
        <v>11554.789999999999</v>
      </c>
      <c r="L216" s="572"/>
    </row>
    <row r="217" spans="1:14" ht="13.5" customHeight="1" x14ac:dyDescent="0.2">
      <c r="A217" s="578">
        <v>42977</v>
      </c>
      <c r="B217" s="569"/>
      <c r="C217" s="795" t="s">
        <v>5798</v>
      </c>
      <c r="D217" s="581">
        <v>0</v>
      </c>
      <c r="E217" s="582">
        <v>-8.6999999999999993</v>
      </c>
      <c r="F217" s="573"/>
      <c r="G217" s="580"/>
      <c r="H217" s="575"/>
      <c r="I217" s="576"/>
      <c r="J217" s="577">
        <v>11554.789999999999</v>
      </c>
      <c r="L217" s="572"/>
    </row>
    <row r="218" spans="1:14" ht="13.5" customHeight="1" x14ac:dyDescent="0.2">
      <c r="A218" s="578"/>
      <c r="B218" s="569"/>
      <c r="C218" s="795" t="s">
        <v>5708</v>
      </c>
      <c r="D218" s="581">
        <v>0</v>
      </c>
      <c r="E218" s="572"/>
      <c r="F218" s="579">
        <v>8.6999999999999993</v>
      </c>
      <c r="G218" s="580">
        <v>0</v>
      </c>
      <c r="H218" s="575">
        <v>8.6999999999999993</v>
      </c>
      <c r="I218" s="576"/>
      <c r="J218" s="577">
        <v>11546.089999999998</v>
      </c>
      <c r="L218" s="572"/>
    </row>
    <row r="219" spans="1:14" ht="13.5" customHeight="1" x14ac:dyDescent="0.2">
      <c r="A219" s="578">
        <v>42978</v>
      </c>
      <c r="B219" s="569"/>
      <c r="C219" s="569" t="s">
        <v>5775</v>
      </c>
      <c r="D219" s="581">
        <v>581000</v>
      </c>
      <c r="E219" s="582">
        <v>-60.13</v>
      </c>
      <c r="F219" s="573"/>
      <c r="G219" s="580"/>
      <c r="H219" s="575"/>
      <c r="I219" s="576"/>
      <c r="J219" s="577">
        <v>11546.089999999998</v>
      </c>
      <c r="L219" s="572">
        <v>20011.38</v>
      </c>
    </row>
    <row r="220" spans="1:14" ht="13.5" customHeight="1" x14ac:dyDescent="0.2">
      <c r="A220" s="578"/>
      <c r="B220" s="569"/>
      <c r="C220" s="569" t="s">
        <v>5807</v>
      </c>
      <c r="D220" s="581">
        <v>264</v>
      </c>
      <c r="E220" s="582">
        <v>-950.84</v>
      </c>
      <c r="F220" s="573"/>
      <c r="G220" s="580"/>
      <c r="H220" s="575"/>
      <c r="I220" s="576"/>
      <c r="J220" s="577">
        <v>11546.089999999998</v>
      </c>
      <c r="L220" s="572">
        <v>9968.01</v>
      </c>
      <c r="N220" s="791"/>
    </row>
    <row r="221" spans="1:14" ht="13.5" customHeight="1" x14ac:dyDescent="0.2">
      <c r="A221" s="578"/>
      <c r="B221" s="569"/>
      <c r="C221" s="569" t="s">
        <v>5808</v>
      </c>
      <c r="D221" s="581">
        <v>265</v>
      </c>
      <c r="E221" s="582">
        <v>-568.61</v>
      </c>
      <c r="F221" s="573"/>
      <c r="G221" s="580"/>
      <c r="H221" s="575"/>
      <c r="I221" s="576"/>
      <c r="J221" s="577">
        <v>11546.089999999998</v>
      </c>
      <c r="L221" s="572">
        <v>0</v>
      </c>
    </row>
    <row r="222" spans="1:14" ht="13.5" customHeight="1" x14ac:dyDescent="0.2">
      <c r="A222" s="578"/>
      <c r="B222" s="569"/>
      <c r="C222" s="795" t="s">
        <v>5708</v>
      </c>
      <c r="D222" s="581">
        <v>0</v>
      </c>
      <c r="E222" s="572"/>
      <c r="F222" s="579">
        <v>1579.58</v>
      </c>
      <c r="G222" s="817">
        <v>0</v>
      </c>
      <c r="H222" s="575">
        <v>1579.58</v>
      </c>
      <c r="I222" s="576"/>
      <c r="J222" s="577">
        <v>9966.5099999999984</v>
      </c>
      <c r="L222" s="572">
        <v>29979.39</v>
      </c>
    </row>
    <row r="223" spans="1:14" ht="13.5" customHeight="1" x14ac:dyDescent="0.2">
      <c r="A223" s="578"/>
      <c r="B223" s="569"/>
      <c r="C223" s="795" t="s">
        <v>20</v>
      </c>
      <c r="D223" s="581"/>
      <c r="E223" s="572"/>
      <c r="F223" s="573"/>
      <c r="G223" s="574"/>
      <c r="H223" s="575"/>
      <c r="I223" s="576">
        <v>1.5</v>
      </c>
      <c r="J223" s="818">
        <v>9968.0099999999984</v>
      </c>
      <c r="L223" s="572"/>
    </row>
    <row r="224" spans="1:14" ht="13.5" customHeight="1" x14ac:dyDescent="0.2">
      <c r="A224" s="578"/>
      <c r="B224" s="569"/>
      <c r="C224" s="795" t="s">
        <v>5809</v>
      </c>
      <c r="D224" s="581"/>
      <c r="E224" s="572"/>
      <c r="F224" s="573"/>
      <c r="G224" s="574"/>
      <c r="H224" s="575"/>
      <c r="I224" s="576"/>
      <c r="J224" s="818">
        <v>20011.38</v>
      </c>
      <c r="L224" s="572"/>
    </row>
    <row r="225" spans="1:13" ht="13.5" customHeight="1" x14ac:dyDescent="0.2">
      <c r="A225" s="578"/>
      <c r="B225" s="569"/>
      <c r="C225" s="819" t="s">
        <v>5810</v>
      </c>
      <c r="D225" s="581"/>
      <c r="E225" s="572"/>
      <c r="F225" s="573"/>
      <c r="G225" s="574"/>
      <c r="H225" s="575"/>
      <c r="I225" s="576"/>
      <c r="J225" s="818">
        <v>29979.39</v>
      </c>
      <c r="L225" s="572"/>
    </row>
    <row r="226" spans="1:13" s="823" customFormat="1" ht="13.5" customHeight="1" thickBot="1" x14ac:dyDescent="0.25">
      <c r="A226" s="820"/>
      <c r="B226" s="795"/>
      <c r="C226" s="795"/>
      <c r="D226" s="803"/>
      <c r="E226" s="804"/>
      <c r="F226" s="782"/>
      <c r="G226" s="806"/>
      <c r="H226" s="810"/>
      <c r="I226" s="811"/>
      <c r="J226" s="821"/>
      <c r="K226" s="822"/>
      <c r="L226" s="804"/>
    </row>
    <row r="227" spans="1:13" ht="13.5" customHeight="1" thickBot="1" x14ac:dyDescent="0.25">
      <c r="A227" s="561" t="s">
        <v>2</v>
      </c>
      <c r="B227" s="562"/>
      <c r="C227" s="562" t="s">
        <v>525</v>
      </c>
      <c r="D227" s="562" t="s">
        <v>4</v>
      </c>
      <c r="E227" s="562" t="s">
        <v>5</v>
      </c>
      <c r="F227" s="562" t="s">
        <v>6</v>
      </c>
      <c r="G227" s="564" t="s">
        <v>7</v>
      </c>
      <c r="H227" s="824"/>
      <c r="I227" s="565"/>
      <c r="J227" s="825"/>
    </row>
    <row r="228" spans="1:13" ht="13.5" customHeight="1" x14ac:dyDescent="0.2">
      <c r="A228" s="568" t="s">
        <v>5554</v>
      </c>
      <c r="B228" s="569"/>
      <c r="C228" s="570" t="s">
        <v>8</v>
      </c>
      <c r="D228" s="581"/>
      <c r="E228" s="804"/>
      <c r="F228" s="573"/>
      <c r="G228" s="809">
        <v>7479.5699999999979</v>
      </c>
      <c r="H228" s="810"/>
      <c r="I228" s="811"/>
      <c r="J228" s="821"/>
      <c r="L228" s="804"/>
    </row>
    <row r="229" spans="1:13" s="823" customFormat="1" ht="13.5" customHeight="1" x14ac:dyDescent="0.2">
      <c r="A229" s="820">
        <v>43316</v>
      </c>
      <c r="B229" s="795"/>
      <c r="C229" s="569" t="s">
        <v>815</v>
      </c>
      <c r="D229" s="803"/>
      <c r="E229" s="582">
        <v>833.93</v>
      </c>
      <c r="F229" s="782"/>
      <c r="G229" s="806">
        <v>6645.6399999999976</v>
      </c>
      <c r="H229" s="810"/>
      <c r="I229" s="811"/>
      <c r="J229" s="821"/>
      <c r="K229" s="822"/>
      <c r="L229" s="804"/>
    </row>
    <row r="230" spans="1:13" s="823" customFormat="1" ht="13.5" customHeight="1" x14ac:dyDescent="0.2">
      <c r="A230" s="820">
        <v>43319</v>
      </c>
      <c r="B230" s="795"/>
      <c r="C230" s="569" t="s">
        <v>5811</v>
      </c>
      <c r="D230" s="803"/>
      <c r="E230" s="582">
        <v>500</v>
      </c>
      <c r="F230" s="782"/>
      <c r="G230" s="806">
        <v>6145.6399999999976</v>
      </c>
      <c r="H230" s="810"/>
      <c r="I230" s="811"/>
      <c r="J230" s="821"/>
      <c r="K230" s="822"/>
      <c r="L230" s="804"/>
    </row>
    <row r="231" spans="1:13" s="823" customFormat="1" ht="13.5" customHeight="1" x14ac:dyDescent="0.2">
      <c r="A231" s="820">
        <v>43320</v>
      </c>
      <c r="B231" s="795"/>
      <c r="C231" s="722" t="s">
        <v>5618</v>
      </c>
      <c r="D231" s="803"/>
      <c r="E231" s="582">
        <v>21.9</v>
      </c>
      <c r="F231" s="782"/>
      <c r="G231" s="806">
        <v>6123.739999999998</v>
      </c>
      <c r="H231" s="810"/>
      <c r="I231" s="811"/>
      <c r="J231" s="821"/>
      <c r="K231" s="822"/>
      <c r="L231" s="804"/>
    </row>
    <row r="232" spans="1:13" s="823" customFormat="1" ht="13.5" customHeight="1" x14ac:dyDescent="0.2">
      <c r="A232" s="820">
        <v>43327</v>
      </c>
      <c r="B232" s="795"/>
      <c r="C232" s="569" t="s">
        <v>1171</v>
      </c>
      <c r="D232" s="803"/>
      <c r="E232" s="582">
        <v>60</v>
      </c>
      <c r="F232" s="782"/>
      <c r="G232" s="806">
        <v>6063.739999999998</v>
      </c>
      <c r="H232" s="810"/>
      <c r="I232" s="811"/>
      <c r="J232" s="821"/>
      <c r="K232" s="822"/>
      <c r="L232" s="804"/>
      <c r="M232" s="826"/>
    </row>
    <row r="233" spans="1:13" s="823" customFormat="1" ht="13.5" customHeight="1" x14ac:dyDescent="0.2">
      <c r="A233" s="820">
        <v>43343</v>
      </c>
      <c r="B233" s="795"/>
      <c r="C233" s="795" t="s">
        <v>5812</v>
      </c>
      <c r="D233" s="803"/>
      <c r="E233" s="804"/>
      <c r="F233" s="579">
        <v>355</v>
      </c>
      <c r="G233" s="809">
        <v>6418.739999999998</v>
      </c>
      <c r="H233" s="810"/>
      <c r="I233" s="811"/>
      <c r="J233" s="821"/>
      <c r="K233" s="822"/>
      <c r="L233" s="804"/>
      <c r="M233" s="826"/>
    </row>
    <row r="234" spans="1:13" s="823" customFormat="1" ht="13.5" customHeight="1" thickBot="1" x14ac:dyDescent="0.25">
      <c r="A234" s="820"/>
      <c r="B234" s="795"/>
      <c r="C234" s="795"/>
      <c r="D234" s="803"/>
      <c r="E234" s="804"/>
      <c r="F234" s="782"/>
      <c r="G234" s="806"/>
      <c r="H234" s="810"/>
      <c r="I234" s="811"/>
      <c r="J234" s="821"/>
      <c r="K234" s="822"/>
      <c r="L234" s="804"/>
    </row>
    <row r="235" spans="1:13" ht="13.5" customHeight="1" thickBot="1" x14ac:dyDescent="0.25">
      <c r="A235" s="561" t="s">
        <v>2</v>
      </c>
      <c r="B235" s="562"/>
      <c r="C235" s="562" t="s">
        <v>534</v>
      </c>
      <c r="D235" s="563" t="s">
        <v>4</v>
      </c>
      <c r="E235" s="562" t="s">
        <v>5</v>
      </c>
      <c r="F235" s="562" t="s">
        <v>6</v>
      </c>
      <c r="G235" s="564" t="s">
        <v>7</v>
      </c>
      <c r="H235" s="824"/>
      <c r="I235" s="565"/>
      <c r="J235" s="825"/>
      <c r="K235" s="827"/>
    </row>
    <row r="236" spans="1:13" ht="13.5" customHeight="1" x14ac:dyDescent="0.2">
      <c r="A236" s="568">
        <v>42370</v>
      </c>
      <c r="B236" s="569"/>
      <c r="C236" s="570" t="s">
        <v>8</v>
      </c>
      <c r="D236" s="571"/>
      <c r="E236" s="804"/>
      <c r="F236" s="573"/>
      <c r="G236" s="809">
        <v>27143.14</v>
      </c>
      <c r="H236" s="810"/>
      <c r="I236" s="811"/>
      <c r="J236" s="821"/>
      <c r="K236" s="827"/>
      <c r="L236" s="804"/>
    </row>
    <row r="237" spans="1:13" ht="13.5" customHeight="1" x14ac:dyDescent="0.2">
      <c r="A237" s="578">
        <v>42723</v>
      </c>
      <c r="B237" s="569"/>
      <c r="C237" s="795" t="s">
        <v>1206</v>
      </c>
      <c r="D237" s="571"/>
      <c r="E237" s="804"/>
      <c r="F237" s="579">
        <v>256.86</v>
      </c>
      <c r="G237" s="806">
        <v>27400</v>
      </c>
      <c r="H237" s="810"/>
      <c r="I237" s="811"/>
      <c r="J237" s="821"/>
      <c r="K237" s="827"/>
      <c r="L237" s="804"/>
    </row>
    <row r="238" spans="1:13" ht="13.5" customHeight="1" x14ac:dyDescent="0.2">
      <c r="A238" s="820">
        <v>42740</v>
      </c>
      <c r="B238" s="569"/>
      <c r="C238" s="569" t="s">
        <v>1206</v>
      </c>
      <c r="D238" s="571"/>
      <c r="E238" s="804"/>
      <c r="F238" s="579">
        <v>2000</v>
      </c>
      <c r="G238" s="806">
        <v>29400</v>
      </c>
      <c r="H238" s="810"/>
      <c r="I238" s="811"/>
      <c r="J238" s="821"/>
      <c r="K238" s="827"/>
      <c r="L238" s="804"/>
    </row>
    <row r="239" spans="1:13" s="823" customFormat="1" ht="13.5" customHeight="1" x14ac:dyDescent="0.2">
      <c r="A239" s="820">
        <v>42754</v>
      </c>
      <c r="B239" s="795"/>
      <c r="C239" s="795" t="s">
        <v>5813</v>
      </c>
      <c r="D239" s="828"/>
      <c r="E239" s="582">
        <v>2400</v>
      </c>
      <c r="F239" s="782"/>
      <c r="G239" s="806">
        <v>27000</v>
      </c>
      <c r="H239" s="810"/>
      <c r="I239" s="811"/>
      <c r="J239" s="821"/>
      <c r="K239" s="829"/>
      <c r="L239" s="804"/>
    </row>
    <row r="240" spans="1:13" s="823" customFormat="1" ht="13.5" customHeight="1" x14ac:dyDescent="0.2">
      <c r="A240" s="820">
        <v>42782</v>
      </c>
      <c r="B240" s="795"/>
      <c r="C240" s="795" t="s">
        <v>5814</v>
      </c>
      <c r="D240" s="828"/>
      <c r="E240" s="582">
        <v>2500</v>
      </c>
      <c r="F240" s="782"/>
      <c r="G240" s="806">
        <v>24500</v>
      </c>
      <c r="H240" s="810"/>
      <c r="I240" s="811"/>
      <c r="J240" s="821"/>
      <c r="K240" s="829"/>
      <c r="L240" s="804"/>
    </row>
    <row r="241" spans="1:13" s="823" customFormat="1" ht="13.5" customHeight="1" x14ac:dyDescent="0.2">
      <c r="A241" s="820">
        <v>42789</v>
      </c>
      <c r="B241" s="795"/>
      <c r="C241" s="795" t="s">
        <v>5814</v>
      </c>
      <c r="D241" s="828"/>
      <c r="E241" s="582">
        <v>2000</v>
      </c>
      <c r="F241" s="782"/>
      <c r="G241" s="806">
        <v>22500</v>
      </c>
      <c r="H241" s="810"/>
      <c r="I241" s="811"/>
      <c r="J241" s="821"/>
      <c r="K241" s="829"/>
      <c r="L241" s="804"/>
    </row>
    <row r="242" spans="1:13" s="823" customFormat="1" ht="13.5" customHeight="1" x14ac:dyDescent="0.2">
      <c r="A242" s="820">
        <v>42849</v>
      </c>
      <c r="B242" s="795"/>
      <c r="C242" s="795" t="s">
        <v>5814</v>
      </c>
      <c r="D242" s="828"/>
      <c r="E242" s="582">
        <v>1500</v>
      </c>
      <c r="F242" s="782"/>
      <c r="G242" s="806">
        <v>21000</v>
      </c>
      <c r="H242" s="810"/>
      <c r="I242" s="811"/>
      <c r="J242" s="821"/>
      <c r="K242" s="829"/>
      <c r="L242" s="804"/>
    </row>
    <row r="243" spans="1:13" s="823" customFormat="1" ht="13.5" customHeight="1" x14ac:dyDescent="0.2">
      <c r="A243" s="578">
        <v>42933</v>
      </c>
      <c r="B243" s="569"/>
      <c r="C243" s="569" t="s">
        <v>5814</v>
      </c>
      <c r="D243" s="571"/>
      <c r="E243" s="582">
        <v>9000</v>
      </c>
      <c r="F243" s="782"/>
      <c r="G243" s="806">
        <v>12000</v>
      </c>
      <c r="H243" s="810"/>
      <c r="I243" s="811"/>
      <c r="J243" s="821"/>
      <c r="K243" s="829"/>
      <c r="L243" s="804"/>
    </row>
    <row r="244" spans="1:13" s="823" customFormat="1" ht="13.5" customHeight="1" x14ac:dyDescent="0.2">
      <c r="A244" s="820">
        <v>43328</v>
      </c>
      <c r="B244" s="795"/>
      <c r="C244" s="569" t="s">
        <v>5814</v>
      </c>
      <c r="D244" s="803"/>
      <c r="E244" s="579">
        <v>5000</v>
      </c>
      <c r="F244" s="573"/>
      <c r="G244" s="809">
        <v>7000</v>
      </c>
      <c r="H244" s="810"/>
      <c r="I244" s="811"/>
      <c r="J244" s="821"/>
      <c r="K244" s="822"/>
      <c r="L244" s="804"/>
      <c r="M244" s="826"/>
    </row>
    <row r="245" spans="1:13" ht="13.5" customHeight="1" thickBot="1" x14ac:dyDescent="0.25">
      <c r="A245" s="578"/>
      <c r="B245" s="569"/>
      <c r="C245" s="569"/>
      <c r="D245" s="581"/>
      <c r="E245" s="572"/>
      <c r="F245" s="573"/>
      <c r="G245" s="580"/>
      <c r="H245" s="575"/>
      <c r="I245" s="576"/>
      <c r="J245" s="577"/>
      <c r="L245" s="572"/>
    </row>
    <row r="246" spans="1:13" ht="13.5" customHeight="1" thickBot="1" x14ac:dyDescent="0.25">
      <c r="A246" s="561" t="s">
        <v>2</v>
      </c>
      <c r="B246" s="562"/>
      <c r="C246" s="562" t="s">
        <v>536</v>
      </c>
      <c r="D246" s="562"/>
      <c r="E246" s="562"/>
      <c r="F246" s="562"/>
      <c r="G246" s="564" t="s">
        <v>7</v>
      </c>
      <c r="H246" s="779" t="s">
        <v>5</v>
      </c>
      <c r="I246" s="780" t="s">
        <v>6</v>
      </c>
      <c r="J246" s="781" t="s">
        <v>7</v>
      </c>
    </row>
    <row r="247" spans="1:13" ht="13.5" customHeight="1" x14ac:dyDescent="0.2">
      <c r="A247" s="568" t="s">
        <v>5554</v>
      </c>
      <c r="B247" s="585"/>
      <c r="C247" s="570" t="s">
        <v>537</v>
      </c>
      <c r="D247" s="830"/>
      <c r="E247" s="821"/>
      <c r="F247" s="821"/>
      <c r="G247" s="809"/>
      <c r="H247" s="810"/>
      <c r="I247" s="811"/>
      <c r="J247" s="812">
        <v>-420.52999999999884</v>
      </c>
    </row>
    <row r="248" spans="1:13" ht="13.5" customHeight="1" x14ac:dyDescent="0.2">
      <c r="A248" s="831">
        <v>43314</v>
      </c>
      <c r="B248" s="603"/>
      <c r="C248" s="569" t="s">
        <v>5815</v>
      </c>
      <c r="D248" s="832"/>
      <c r="E248" s="577"/>
      <c r="F248" s="577"/>
      <c r="G248" s="580"/>
      <c r="H248" s="575">
        <v>7.98</v>
      </c>
      <c r="I248" s="575"/>
      <c r="J248" s="577">
        <f>J247-H248+I248</f>
        <v>-428.50999999999885</v>
      </c>
      <c r="L248" s="791"/>
      <c r="M248" s="791"/>
    </row>
    <row r="249" spans="1:13" ht="13.5" customHeight="1" x14ac:dyDescent="0.2">
      <c r="A249" s="831"/>
      <c r="B249" s="603"/>
      <c r="C249" s="722" t="s">
        <v>5816</v>
      </c>
      <c r="D249" s="832"/>
      <c r="E249" s="577"/>
      <c r="F249" s="577"/>
      <c r="G249" s="580"/>
      <c r="H249" s="575">
        <v>19.95</v>
      </c>
      <c r="I249" s="575"/>
      <c r="J249" s="577">
        <f t="shared" ref="J249:J266" si="3">J248-H249+I249</f>
        <v>-448.45999999999884</v>
      </c>
      <c r="L249" s="791"/>
      <c r="M249" s="791"/>
    </row>
    <row r="250" spans="1:13" ht="13.5" customHeight="1" x14ac:dyDescent="0.2">
      <c r="A250" s="831">
        <v>43315</v>
      </c>
      <c r="B250" s="603"/>
      <c r="C250" s="722" t="s">
        <v>5817</v>
      </c>
      <c r="D250" s="832"/>
      <c r="E250" s="577"/>
      <c r="F250" s="577"/>
      <c r="G250" s="580"/>
      <c r="H250" s="575">
        <v>13</v>
      </c>
      <c r="I250" s="575"/>
      <c r="J250" s="577">
        <f t="shared" si="3"/>
        <v>-461.45999999999884</v>
      </c>
      <c r="L250" s="791"/>
      <c r="M250" s="791"/>
    </row>
    <row r="251" spans="1:13" ht="13.5" customHeight="1" x14ac:dyDescent="0.2">
      <c r="A251" s="831"/>
      <c r="B251" s="603"/>
      <c r="C251" s="569" t="s">
        <v>5818</v>
      </c>
      <c r="D251" s="832"/>
      <c r="E251" s="577"/>
      <c r="F251" s="577"/>
      <c r="G251" s="580"/>
      <c r="H251" s="575">
        <v>6.5</v>
      </c>
      <c r="I251" s="575"/>
      <c r="J251" s="577">
        <f t="shared" si="3"/>
        <v>-467.95999999999884</v>
      </c>
      <c r="L251" s="791"/>
      <c r="M251" s="791"/>
    </row>
    <row r="252" spans="1:13" ht="13.5" customHeight="1" x14ac:dyDescent="0.2">
      <c r="A252" s="831">
        <v>43321</v>
      </c>
      <c r="B252" s="603"/>
      <c r="C252" s="722" t="s">
        <v>5627</v>
      </c>
      <c r="D252" s="832"/>
      <c r="E252" s="577"/>
      <c r="F252" s="577"/>
      <c r="G252" s="580"/>
      <c r="H252" s="575"/>
      <c r="I252" s="833">
        <v>3000</v>
      </c>
      <c r="J252" s="577">
        <f t="shared" si="3"/>
        <v>2532.0400000000013</v>
      </c>
      <c r="L252" s="791"/>
      <c r="M252" s="791"/>
    </row>
    <row r="253" spans="1:13" ht="13.5" customHeight="1" x14ac:dyDescent="0.2">
      <c r="A253" s="831">
        <v>43324</v>
      </c>
      <c r="B253" s="603"/>
      <c r="C253" s="722" t="s">
        <v>5819</v>
      </c>
      <c r="D253" s="832"/>
      <c r="E253" s="577"/>
      <c r="F253" s="577"/>
      <c r="G253" s="580"/>
      <c r="H253" s="575">
        <v>27.5</v>
      </c>
      <c r="I253" s="575"/>
      <c r="J253" s="577">
        <f t="shared" si="3"/>
        <v>2504.5400000000013</v>
      </c>
      <c r="L253" s="791"/>
      <c r="M253" s="791"/>
    </row>
    <row r="254" spans="1:13" ht="13.5" customHeight="1" x14ac:dyDescent="0.2">
      <c r="A254" s="831">
        <v>43333</v>
      </c>
      <c r="B254" s="603"/>
      <c r="C254" s="722" t="s">
        <v>5820</v>
      </c>
      <c r="D254" s="832"/>
      <c r="E254" s="577"/>
      <c r="F254" s="577"/>
      <c r="G254" s="580"/>
      <c r="H254" s="575">
        <v>50</v>
      </c>
      <c r="I254" s="575"/>
      <c r="J254" s="577">
        <f t="shared" si="3"/>
        <v>2454.5400000000013</v>
      </c>
      <c r="L254" s="791"/>
      <c r="M254" s="791"/>
    </row>
    <row r="255" spans="1:13" ht="13.5" customHeight="1" x14ac:dyDescent="0.2">
      <c r="A255" s="831"/>
      <c r="B255" s="603"/>
      <c r="C255" s="722" t="s">
        <v>5627</v>
      </c>
      <c r="D255" s="832"/>
      <c r="E255" s="577"/>
      <c r="F255" s="577"/>
      <c r="G255" s="580"/>
      <c r="H255" s="575"/>
      <c r="I255" s="833">
        <v>1500</v>
      </c>
      <c r="J255" s="577">
        <f t="shared" si="3"/>
        <v>3954.5400000000013</v>
      </c>
      <c r="L255" s="791"/>
      <c r="M255" s="791"/>
    </row>
    <row r="256" spans="1:13" ht="13.5" customHeight="1" x14ac:dyDescent="0.2">
      <c r="A256" s="831">
        <v>43334</v>
      </c>
      <c r="B256" s="603"/>
      <c r="C256" s="722" t="s">
        <v>5821</v>
      </c>
      <c r="D256" s="832"/>
      <c r="E256" s="577"/>
      <c r="F256" s="577"/>
      <c r="G256" s="580"/>
      <c r="H256" s="575">
        <v>12.7</v>
      </c>
      <c r="I256" s="575"/>
      <c r="J256" s="577">
        <f t="shared" si="3"/>
        <v>3941.8400000000015</v>
      </c>
      <c r="L256" s="791"/>
      <c r="M256" s="791"/>
    </row>
    <row r="257" spans="1:13" ht="13.5" customHeight="1" x14ac:dyDescent="0.2">
      <c r="A257" s="831"/>
      <c r="B257" s="603"/>
      <c r="C257" s="722" t="s">
        <v>5821</v>
      </c>
      <c r="D257" s="832"/>
      <c r="E257" s="577"/>
      <c r="F257" s="577"/>
      <c r="G257" s="580"/>
      <c r="H257" s="575">
        <v>1.8</v>
      </c>
      <c r="I257" s="575"/>
      <c r="J257" s="577">
        <f t="shared" si="3"/>
        <v>3940.0400000000013</v>
      </c>
      <c r="L257" s="791"/>
      <c r="M257" s="791"/>
    </row>
    <row r="258" spans="1:13" ht="13.5" customHeight="1" x14ac:dyDescent="0.2">
      <c r="A258" s="831"/>
      <c r="B258" s="603"/>
      <c r="C258" s="722" t="s">
        <v>5822</v>
      </c>
      <c r="D258" s="832"/>
      <c r="E258" s="577"/>
      <c r="F258" s="577"/>
      <c r="G258" s="580"/>
      <c r="H258" s="575">
        <v>5</v>
      </c>
      <c r="I258" s="575"/>
      <c r="J258" s="577">
        <f t="shared" si="3"/>
        <v>3935.0400000000013</v>
      </c>
      <c r="L258" s="791"/>
      <c r="M258" s="791"/>
    </row>
    <row r="259" spans="1:13" ht="13.5" customHeight="1" x14ac:dyDescent="0.2">
      <c r="A259" s="831"/>
      <c r="B259" s="603"/>
      <c r="C259" s="722" t="s">
        <v>5823</v>
      </c>
      <c r="D259" s="832"/>
      <c r="E259" s="577"/>
      <c r="F259" s="577"/>
      <c r="G259" s="580"/>
      <c r="H259" s="575">
        <v>4.5</v>
      </c>
      <c r="I259" s="575"/>
      <c r="J259" s="577">
        <f t="shared" si="3"/>
        <v>3930.5400000000013</v>
      </c>
      <c r="L259" s="791"/>
      <c r="M259" s="791"/>
    </row>
    <row r="260" spans="1:13" ht="13.5" customHeight="1" x14ac:dyDescent="0.2">
      <c r="A260" s="831"/>
      <c r="B260" s="603"/>
      <c r="C260" s="722" t="s">
        <v>5824</v>
      </c>
      <c r="D260" s="832"/>
      <c r="E260" s="577"/>
      <c r="F260" s="577"/>
      <c r="G260" s="580"/>
      <c r="H260" s="575">
        <v>206.8</v>
      </c>
      <c r="I260" s="575"/>
      <c r="J260" s="577">
        <f t="shared" si="3"/>
        <v>3723.7400000000011</v>
      </c>
      <c r="L260" s="791"/>
      <c r="M260" s="791"/>
    </row>
    <row r="261" spans="1:13" ht="13.5" customHeight="1" x14ac:dyDescent="0.2">
      <c r="A261" s="831"/>
      <c r="B261" s="603"/>
      <c r="C261" s="722" t="s">
        <v>5825</v>
      </c>
      <c r="D261" s="832"/>
      <c r="E261" s="577"/>
      <c r="F261" s="577"/>
      <c r="G261" s="580"/>
      <c r="H261" s="575">
        <v>12</v>
      </c>
      <c r="I261" s="575"/>
      <c r="J261" s="577">
        <f t="shared" si="3"/>
        <v>3711.7400000000011</v>
      </c>
      <c r="L261" s="791"/>
      <c r="M261" s="791"/>
    </row>
    <row r="262" spans="1:13" ht="13.5" customHeight="1" x14ac:dyDescent="0.2">
      <c r="A262" s="831"/>
      <c r="B262" s="603"/>
      <c r="C262" s="722" t="s">
        <v>5826</v>
      </c>
      <c r="D262" s="832"/>
      <c r="E262" s="577"/>
      <c r="F262" s="577"/>
      <c r="G262" s="580"/>
      <c r="H262" s="833">
        <v>1000</v>
      </c>
      <c r="I262" s="575"/>
      <c r="J262" s="577">
        <f t="shared" si="3"/>
        <v>2711.7400000000011</v>
      </c>
      <c r="L262" s="791"/>
      <c r="M262" s="791"/>
    </row>
    <row r="263" spans="1:13" ht="13.5" customHeight="1" x14ac:dyDescent="0.2">
      <c r="A263" s="831"/>
      <c r="B263" s="603"/>
      <c r="C263" s="722" t="s">
        <v>1002</v>
      </c>
      <c r="D263" s="832"/>
      <c r="E263" s="577"/>
      <c r="F263" s="577"/>
      <c r="G263" s="580"/>
      <c r="H263" s="575">
        <v>800</v>
      </c>
      <c r="I263" s="575"/>
      <c r="J263" s="577">
        <f t="shared" si="3"/>
        <v>1911.7400000000011</v>
      </c>
      <c r="K263" s="834"/>
      <c r="L263" s="791"/>
      <c r="M263" s="791"/>
    </row>
    <row r="264" spans="1:13" ht="13.5" customHeight="1" x14ac:dyDescent="0.2">
      <c r="A264" s="831">
        <v>43335</v>
      </c>
      <c r="B264" s="603"/>
      <c r="C264" s="722" t="s">
        <v>5827</v>
      </c>
      <c r="D264" s="832"/>
      <c r="E264" s="577"/>
      <c r="F264" s="577"/>
      <c r="G264" s="580"/>
      <c r="H264" s="575">
        <v>12.58</v>
      </c>
      <c r="I264" s="575"/>
      <c r="J264" s="577">
        <f t="shared" si="3"/>
        <v>1899.1600000000012</v>
      </c>
      <c r="L264" s="791"/>
      <c r="M264" s="791"/>
    </row>
    <row r="265" spans="1:13" ht="13.5" customHeight="1" x14ac:dyDescent="0.2">
      <c r="A265" s="831">
        <v>43342</v>
      </c>
      <c r="B265" s="603"/>
      <c r="C265" s="722" t="s">
        <v>5821</v>
      </c>
      <c r="D265" s="832"/>
      <c r="E265" s="577"/>
      <c r="F265" s="577"/>
      <c r="G265" s="580"/>
      <c r="H265" s="575">
        <v>2.9</v>
      </c>
      <c r="I265" s="575"/>
      <c r="J265" s="577">
        <f t="shared" si="3"/>
        <v>1896.2600000000011</v>
      </c>
      <c r="L265" s="791"/>
      <c r="M265" s="791"/>
    </row>
    <row r="266" spans="1:13" ht="13.5" customHeight="1" x14ac:dyDescent="0.2">
      <c r="A266" s="831"/>
      <c r="B266" s="603"/>
      <c r="C266" s="722" t="s">
        <v>5828</v>
      </c>
      <c r="D266" s="832"/>
      <c r="E266" s="577"/>
      <c r="F266" s="577"/>
      <c r="G266" s="580"/>
      <c r="H266" s="575">
        <v>350</v>
      </c>
      <c r="I266" s="575"/>
      <c r="J266" s="835">
        <f t="shared" si="3"/>
        <v>1546.2600000000011</v>
      </c>
      <c r="L266" s="791"/>
      <c r="M266" s="791"/>
    </row>
    <row r="267" spans="1:13" ht="13.5" customHeight="1" thickBot="1" x14ac:dyDescent="0.25">
      <c r="A267" s="207"/>
      <c r="B267" s="207"/>
      <c r="C267" s="208"/>
      <c r="D267" s="208"/>
      <c r="E267" s="208"/>
      <c r="F267" s="208"/>
      <c r="G267" s="836"/>
      <c r="H267" s="423"/>
      <c r="I267" s="423"/>
      <c r="J267" s="837"/>
      <c r="L267" s="791"/>
    </row>
    <row r="268" spans="1:13" ht="13.5" customHeight="1" thickBot="1" x14ac:dyDescent="0.25">
      <c r="A268" s="838"/>
      <c r="B268" s="839"/>
      <c r="C268" s="840" t="s">
        <v>539</v>
      </c>
      <c r="D268" s="841"/>
      <c r="E268" s="824"/>
      <c r="F268" s="824"/>
      <c r="G268" s="842" t="s">
        <v>7</v>
      </c>
      <c r="H268" s="824"/>
      <c r="I268" s="824"/>
      <c r="J268" s="825"/>
      <c r="L268" s="791"/>
    </row>
    <row r="269" spans="1:13" ht="13.5" customHeight="1" x14ac:dyDescent="0.2">
      <c r="A269" s="843" t="s">
        <v>540</v>
      </c>
      <c r="B269" s="843"/>
      <c r="C269" s="844" t="s">
        <v>541</v>
      </c>
      <c r="D269" s="845"/>
      <c r="E269" s="846"/>
      <c r="F269" s="846"/>
      <c r="G269" s="847">
        <v>29979.39</v>
      </c>
      <c r="H269" s="846"/>
      <c r="I269" s="846"/>
      <c r="J269" s="846"/>
    </row>
    <row r="270" spans="1:13" ht="13.5" customHeight="1" x14ac:dyDescent="0.2">
      <c r="A270" s="585" t="s">
        <v>1785</v>
      </c>
      <c r="B270" s="585"/>
      <c r="C270" s="795" t="s">
        <v>542</v>
      </c>
      <c r="D270" s="803"/>
      <c r="E270" s="782"/>
      <c r="F270" s="782"/>
      <c r="G270" s="847">
        <v>20408.5</v>
      </c>
      <c r="H270" s="782"/>
      <c r="I270" s="782"/>
      <c r="J270" s="782"/>
    </row>
    <row r="271" spans="1:13" ht="13.5" customHeight="1" x14ac:dyDescent="0.2">
      <c r="A271" s="585"/>
      <c r="B271" s="585"/>
      <c r="C271" s="819" t="s">
        <v>543</v>
      </c>
      <c r="D271" s="803"/>
      <c r="E271" s="782"/>
      <c r="F271" s="782"/>
      <c r="G271" s="783">
        <v>50387.89</v>
      </c>
      <c r="H271" s="782"/>
      <c r="I271" s="782"/>
      <c r="J271" s="782"/>
    </row>
    <row r="272" spans="1:13" ht="13.5" customHeight="1" x14ac:dyDescent="0.2">
      <c r="A272" s="585"/>
      <c r="B272" s="585"/>
      <c r="C272" s="795"/>
      <c r="D272" s="803"/>
      <c r="E272" s="782"/>
      <c r="F272" s="782"/>
      <c r="G272" s="783"/>
      <c r="H272" s="782"/>
      <c r="I272" s="782"/>
      <c r="J272" s="782"/>
      <c r="L272" s="791"/>
    </row>
    <row r="273" spans="1:10" ht="13.5" customHeight="1" x14ac:dyDescent="0.2">
      <c r="A273" s="585"/>
      <c r="B273" s="585"/>
      <c r="C273" s="819" t="s">
        <v>544</v>
      </c>
      <c r="D273" s="803"/>
      <c r="E273" s="782"/>
      <c r="F273" s="782"/>
      <c r="G273" s="783">
        <v>660.56000000000404</v>
      </c>
      <c r="H273" s="782"/>
      <c r="I273" s="782"/>
      <c r="J273" s="782"/>
    </row>
    <row r="274" spans="1:10" ht="13.5" customHeight="1" x14ac:dyDescent="0.2">
      <c r="A274" s="585"/>
      <c r="B274" s="585"/>
      <c r="C274" s="795"/>
      <c r="D274" s="803"/>
      <c r="E274" s="782"/>
      <c r="F274" s="782"/>
      <c r="G274" s="847"/>
      <c r="H274" s="782"/>
      <c r="I274" s="782"/>
      <c r="J274" s="782"/>
    </row>
    <row r="275" spans="1:10" ht="13.5" customHeight="1" x14ac:dyDescent="0.2">
      <c r="A275" s="76"/>
      <c r="B275" s="76"/>
      <c r="C275" s="819" t="s">
        <v>545</v>
      </c>
      <c r="D275" s="78"/>
      <c r="E275" s="78"/>
      <c r="F275" s="78"/>
      <c r="G275" s="783">
        <v>51048.450000000004</v>
      </c>
      <c r="H275" s="424"/>
      <c r="I275" s="424"/>
      <c r="J275" s="782"/>
    </row>
    <row r="276" spans="1:10" ht="13.5" customHeight="1" thickBot="1" x14ac:dyDescent="0.25">
      <c r="A276" s="76"/>
      <c r="B276" s="76"/>
      <c r="C276" s="78"/>
      <c r="D276" s="78"/>
      <c r="E276" s="78"/>
      <c r="F276" s="78"/>
      <c r="G276" s="847"/>
      <c r="H276" s="424"/>
      <c r="I276" s="424"/>
      <c r="J276" s="782"/>
    </row>
    <row r="277" spans="1:10" ht="13.5" customHeight="1" thickBot="1" x14ac:dyDescent="0.25">
      <c r="A277" s="848" t="s">
        <v>5829</v>
      </c>
      <c r="B277" s="839"/>
      <c r="C277" s="840" t="s">
        <v>5830</v>
      </c>
      <c r="D277" s="841"/>
      <c r="E277" s="824"/>
      <c r="F277" s="824"/>
      <c r="G277" s="842" t="s">
        <v>7</v>
      </c>
      <c r="H277" s="824"/>
      <c r="I277" s="824"/>
      <c r="J277" s="825"/>
    </row>
    <row r="278" spans="1:10" ht="13.5" customHeight="1" x14ac:dyDescent="0.2">
      <c r="A278" s="585"/>
      <c r="B278" s="585"/>
      <c r="C278" s="795" t="s">
        <v>5831</v>
      </c>
      <c r="D278" s="803"/>
      <c r="E278" s="782"/>
      <c r="F278" s="782"/>
      <c r="G278" s="847">
        <v>37000</v>
      </c>
      <c r="H278" s="782"/>
      <c r="I278" s="782"/>
      <c r="J278" s="782"/>
    </row>
    <row r="279" spans="1:10" ht="13.5" customHeight="1" x14ac:dyDescent="0.2">
      <c r="A279" s="79">
        <v>42145</v>
      </c>
      <c r="B279" s="585"/>
      <c r="C279" s="795" t="s">
        <v>5832</v>
      </c>
      <c r="D279" s="803"/>
      <c r="E279" s="782">
        <v>5000</v>
      </c>
      <c r="F279" s="782"/>
      <c r="G279" s="847">
        <v>32000</v>
      </c>
      <c r="H279" s="782"/>
      <c r="I279" s="782"/>
      <c r="J279" s="782"/>
    </row>
    <row r="280" spans="1:10" ht="13.5" customHeight="1" x14ac:dyDescent="0.2">
      <c r="A280" s="79">
        <v>42216</v>
      </c>
      <c r="B280" s="79"/>
      <c r="C280" s="795" t="s">
        <v>5832</v>
      </c>
      <c r="D280" s="78"/>
      <c r="E280" s="782">
        <v>5000</v>
      </c>
      <c r="F280" s="782"/>
      <c r="G280" s="847">
        <v>27000</v>
      </c>
      <c r="H280" s="424"/>
      <c r="I280" s="424"/>
      <c r="J280" s="782"/>
    </row>
    <row r="281" spans="1:10" ht="13.5" customHeight="1" x14ac:dyDescent="0.2">
      <c r="A281" s="79">
        <v>42311</v>
      </c>
      <c r="B281" s="79"/>
      <c r="C281" s="795" t="s">
        <v>5833</v>
      </c>
      <c r="D281" s="78"/>
      <c r="E281" s="782">
        <v>3000</v>
      </c>
      <c r="F281" s="782"/>
      <c r="G281" s="847">
        <v>24000</v>
      </c>
      <c r="H281" s="424"/>
      <c r="I281" s="424"/>
      <c r="J281" s="782"/>
    </row>
    <row r="282" spans="1:10" ht="13.5" customHeight="1" x14ac:dyDescent="0.2">
      <c r="A282" s="79">
        <v>42349</v>
      </c>
      <c r="B282" s="79"/>
      <c r="C282" s="795" t="s">
        <v>5833</v>
      </c>
      <c r="D282" s="78"/>
      <c r="E282" s="782">
        <v>3000</v>
      </c>
      <c r="F282" s="78"/>
      <c r="G282" s="847">
        <v>21000</v>
      </c>
      <c r="H282" s="424"/>
      <c r="I282" s="424"/>
      <c r="J282" s="782"/>
    </row>
    <row r="283" spans="1:10" ht="13.5" customHeight="1" x14ac:dyDescent="0.2">
      <c r="A283" s="849">
        <v>42390</v>
      </c>
      <c r="B283" s="585"/>
      <c r="C283" s="795" t="s">
        <v>5833</v>
      </c>
      <c r="D283" s="78"/>
      <c r="E283" s="782">
        <v>3000</v>
      </c>
      <c r="F283" s="78"/>
      <c r="G283" s="847">
        <v>18000</v>
      </c>
      <c r="H283" s="424"/>
      <c r="I283" s="424"/>
      <c r="J283" s="782"/>
    </row>
    <row r="284" spans="1:10" ht="13.5" customHeight="1" x14ac:dyDescent="0.2">
      <c r="A284" s="79">
        <v>42432</v>
      </c>
      <c r="B284" s="76"/>
      <c r="C284" s="795" t="s">
        <v>5833</v>
      </c>
      <c r="D284" s="803"/>
      <c r="E284" s="782">
        <v>1500</v>
      </c>
      <c r="F284" s="782"/>
      <c r="G284" s="847">
        <v>16500</v>
      </c>
      <c r="H284" s="424"/>
      <c r="I284" s="424"/>
      <c r="J284" s="782"/>
    </row>
    <row r="285" spans="1:10" ht="13.5" customHeight="1" x14ac:dyDescent="0.2">
      <c r="A285" s="79">
        <v>42509</v>
      </c>
      <c r="B285" s="76"/>
      <c r="C285" s="795" t="s">
        <v>5834</v>
      </c>
      <c r="D285" s="803"/>
      <c r="E285" s="782">
        <v>1500</v>
      </c>
      <c r="F285" s="782"/>
      <c r="G285" s="847">
        <v>15000</v>
      </c>
      <c r="H285" s="424"/>
      <c r="I285" s="424"/>
      <c r="J285" s="782"/>
    </row>
    <row r="286" spans="1:10" ht="13.5" customHeight="1" x14ac:dyDescent="0.2">
      <c r="A286" s="79">
        <v>42537</v>
      </c>
      <c r="B286" s="76"/>
      <c r="C286" s="795" t="s">
        <v>5835</v>
      </c>
      <c r="D286" s="803"/>
      <c r="E286" s="782">
        <v>1500</v>
      </c>
      <c r="F286" s="782"/>
      <c r="G286" s="847">
        <v>13500</v>
      </c>
      <c r="H286" s="424"/>
      <c r="I286" s="424"/>
      <c r="J286" s="782"/>
    </row>
    <row r="287" spans="1:10" ht="13.5" customHeight="1" x14ac:dyDescent="0.2">
      <c r="A287" s="79">
        <v>42566</v>
      </c>
      <c r="B287" s="76"/>
      <c r="C287" s="795" t="s">
        <v>5835</v>
      </c>
      <c r="D287" s="78"/>
      <c r="E287" s="782">
        <v>1500</v>
      </c>
      <c r="F287" s="78"/>
      <c r="G287" s="847">
        <v>12000</v>
      </c>
      <c r="H287" s="424"/>
      <c r="I287" s="424"/>
      <c r="J287" s="782"/>
    </row>
    <row r="288" spans="1:10" ht="13.5" customHeight="1" x14ac:dyDescent="0.2">
      <c r="A288" s="79">
        <v>42590</v>
      </c>
      <c r="B288" s="76"/>
      <c r="C288" s="795" t="s">
        <v>5835</v>
      </c>
      <c r="D288" s="78"/>
      <c r="E288" s="782">
        <v>1500</v>
      </c>
      <c r="F288" s="78"/>
      <c r="G288" s="847">
        <v>10500</v>
      </c>
      <c r="H288" s="424"/>
      <c r="I288" s="424"/>
      <c r="J288" s="782"/>
    </row>
    <row r="289" spans="1:10" ht="13.5" customHeight="1" x14ac:dyDescent="0.2">
      <c r="A289" s="79">
        <v>42612</v>
      </c>
      <c r="B289" s="76"/>
      <c r="C289" s="795" t="s">
        <v>5835</v>
      </c>
      <c r="D289" s="78"/>
      <c r="E289" s="782">
        <v>1500</v>
      </c>
      <c r="F289" s="78"/>
      <c r="G289" s="847">
        <v>9000</v>
      </c>
      <c r="H289" s="424"/>
      <c r="I289" s="424"/>
      <c r="J289" s="782"/>
    </row>
    <row r="290" spans="1:10" ht="13.5" customHeight="1" x14ac:dyDescent="0.2">
      <c r="A290" s="79">
        <v>42634</v>
      </c>
      <c r="B290" s="76"/>
      <c r="C290" s="795" t="s">
        <v>5835</v>
      </c>
      <c r="D290" s="78"/>
      <c r="E290" s="782">
        <v>1500</v>
      </c>
      <c r="F290" s="78"/>
      <c r="G290" s="847">
        <v>7500</v>
      </c>
      <c r="H290" s="424"/>
      <c r="I290" s="424"/>
      <c r="J290" s="782"/>
    </row>
    <row r="291" spans="1:10" ht="13.5" customHeight="1" x14ac:dyDescent="0.2">
      <c r="A291" s="79">
        <v>42683</v>
      </c>
      <c r="B291" s="585"/>
      <c r="C291" s="795" t="s">
        <v>5836</v>
      </c>
      <c r="D291" s="803"/>
      <c r="E291" s="782">
        <v>2000</v>
      </c>
      <c r="F291" s="782"/>
      <c r="G291" s="847">
        <v>5500</v>
      </c>
      <c r="H291" s="782"/>
      <c r="I291" s="782"/>
      <c r="J291" s="782"/>
    </row>
    <row r="292" spans="1:10" ht="13.5" customHeight="1" x14ac:dyDescent="0.2">
      <c r="A292" s="79">
        <v>42719</v>
      </c>
      <c r="B292" s="585"/>
      <c r="C292" s="795" t="s">
        <v>5837</v>
      </c>
      <c r="D292" s="803"/>
      <c r="E292" s="782">
        <v>500</v>
      </c>
      <c r="F292" s="782"/>
      <c r="G292" s="847">
        <v>5000</v>
      </c>
      <c r="H292" s="782"/>
      <c r="I292" s="782"/>
      <c r="J292" s="782"/>
    </row>
    <row r="293" spans="1:10" ht="13.5" customHeight="1" x14ac:dyDescent="0.2">
      <c r="A293" s="79">
        <v>42775</v>
      </c>
      <c r="B293" s="585"/>
      <c r="C293" s="795" t="s">
        <v>5838</v>
      </c>
      <c r="D293" s="803"/>
      <c r="E293" s="782">
        <v>500</v>
      </c>
      <c r="F293" s="782"/>
      <c r="G293" s="847">
        <v>4500</v>
      </c>
      <c r="H293" s="782"/>
      <c r="I293" s="782"/>
      <c r="J293" s="782"/>
    </row>
    <row r="294" spans="1:10" ht="13.5" customHeight="1" x14ac:dyDescent="0.2">
      <c r="A294" s="79">
        <v>42836</v>
      </c>
      <c r="B294" s="585"/>
      <c r="C294" s="795" t="s">
        <v>5839</v>
      </c>
      <c r="D294" s="803"/>
      <c r="E294" s="782">
        <v>500</v>
      </c>
      <c r="F294" s="782"/>
      <c r="G294" s="847">
        <v>4000</v>
      </c>
      <c r="H294" s="782"/>
      <c r="I294" s="782"/>
      <c r="J294" s="782"/>
    </row>
    <row r="295" spans="1:10" ht="13.5" customHeight="1" x14ac:dyDescent="0.2">
      <c r="A295" s="79">
        <v>42870</v>
      </c>
      <c r="B295" s="585"/>
      <c r="C295" s="795" t="s">
        <v>5840</v>
      </c>
      <c r="D295" s="803"/>
      <c r="E295" s="782">
        <v>500</v>
      </c>
      <c r="F295" s="782"/>
      <c r="G295" s="847">
        <v>3500</v>
      </c>
      <c r="H295" s="782"/>
      <c r="I295" s="782"/>
      <c r="J295" s="782"/>
    </row>
    <row r="296" spans="1:10" ht="13.5" customHeight="1" x14ac:dyDescent="0.2">
      <c r="A296" s="79">
        <v>42902</v>
      </c>
      <c r="B296" s="585"/>
      <c r="C296" s="795" t="s">
        <v>5841</v>
      </c>
      <c r="D296" s="803"/>
      <c r="E296" s="782">
        <v>500</v>
      </c>
      <c r="F296" s="782"/>
      <c r="G296" s="847">
        <v>3000</v>
      </c>
      <c r="H296" s="782"/>
      <c r="I296" s="782"/>
      <c r="J296" s="782"/>
    </row>
    <row r="297" spans="1:10" ht="13.5" customHeight="1" x14ac:dyDescent="0.2">
      <c r="A297" s="79">
        <v>42933</v>
      </c>
      <c r="B297" s="585"/>
      <c r="C297" s="795" t="s">
        <v>5842</v>
      </c>
      <c r="D297" s="803"/>
      <c r="E297" s="782">
        <v>500</v>
      </c>
      <c r="F297" s="782"/>
      <c r="G297" s="847">
        <v>2500</v>
      </c>
      <c r="H297" s="782"/>
      <c r="I297" s="782"/>
      <c r="J297" s="782"/>
    </row>
    <row r="298" spans="1:10" ht="13.5" customHeight="1" x14ac:dyDescent="0.2">
      <c r="A298" s="79">
        <v>42963</v>
      </c>
      <c r="B298" s="585"/>
      <c r="C298" s="795" t="s">
        <v>5704</v>
      </c>
      <c r="D298" s="803"/>
      <c r="E298" s="782">
        <v>500</v>
      </c>
      <c r="F298" s="782"/>
      <c r="G298" s="783">
        <v>2000</v>
      </c>
      <c r="H298" s="782"/>
      <c r="I298" s="782"/>
      <c r="J298" s="782"/>
    </row>
    <row r="299" spans="1:10" ht="13.5" customHeight="1" thickBot="1" x14ac:dyDescent="0.25">
      <c r="A299" s="76"/>
      <c r="B299" s="76"/>
      <c r="C299" s="78"/>
      <c r="D299" s="78"/>
      <c r="E299" s="78"/>
      <c r="F299" s="78"/>
      <c r="G299" s="847"/>
      <c r="H299" s="424"/>
      <c r="I299" s="424"/>
      <c r="J299" s="782"/>
    </row>
    <row r="300" spans="1:10" ht="13.5" customHeight="1" thickBot="1" x14ac:dyDescent="0.25">
      <c r="A300" s="848" t="s">
        <v>5829</v>
      </c>
      <c r="B300" s="839"/>
      <c r="C300" s="840" t="s">
        <v>5843</v>
      </c>
      <c r="D300" s="841"/>
      <c r="E300" s="824"/>
      <c r="F300" s="824"/>
      <c r="G300" s="842" t="s">
        <v>7</v>
      </c>
      <c r="H300" s="824"/>
      <c r="I300" s="824"/>
      <c r="J300" s="825"/>
    </row>
    <row r="301" spans="1:10" ht="13.5" customHeight="1" x14ac:dyDescent="0.2">
      <c r="A301" s="585"/>
      <c r="B301" s="585"/>
      <c r="C301" s="795" t="s">
        <v>5831</v>
      </c>
      <c r="D301" s="803"/>
      <c r="E301" s="782"/>
      <c r="F301" s="782"/>
      <c r="G301" s="847">
        <v>6000</v>
      </c>
      <c r="H301" s="782"/>
      <c r="I301" s="782"/>
      <c r="J301" s="782"/>
    </row>
    <row r="302" spans="1:10" ht="13.5" customHeight="1" x14ac:dyDescent="0.2">
      <c r="A302" s="79">
        <v>42594</v>
      </c>
      <c r="B302" s="585"/>
      <c r="C302" s="795" t="s">
        <v>5844</v>
      </c>
      <c r="D302" s="803"/>
      <c r="E302" s="782">
        <v>2000</v>
      </c>
      <c r="F302" s="782"/>
      <c r="G302" s="847">
        <v>4000</v>
      </c>
      <c r="H302" s="782"/>
      <c r="I302" s="782"/>
      <c r="J302" s="782"/>
    </row>
    <row r="303" spans="1:10" ht="13.5" customHeight="1" x14ac:dyDescent="0.2">
      <c r="A303" s="79">
        <v>42682</v>
      </c>
      <c r="B303" s="79"/>
      <c r="C303" s="795" t="s">
        <v>5845</v>
      </c>
      <c r="D303" s="78"/>
      <c r="E303" s="782">
        <v>3500</v>
      </c>
      <c r="F303" s="782"/>
      <c r="G303" s="847">
        <v>500</v>
      </c>
      <c r="H303" s="424"/>
      <c r="I303" s="424"/>
      <c r="J303" s="782"/>
    </row>
    <row r="304" spans="1:10" ht="13.5" customHeight="1" x14ac:dyDescent="0.2">
      <c r="A304" s="79"/>
      <c r="B304" s="79"/>
      <c r="C304" s="78"/>
      <c r="D304" s="78"/>
      <c r="E304" s="78"/>
      <c r="F304" s="78"/>
      <c r="G304" s="847"/>
      <c r="H304" s="424"/>
      <c r="I304" s="424"/>
      <c r="J304" s="782"/>
    </row>
    <row r="305" spans="1:10" ht="13.5" customHeight="1" thickBot="1" x14ac:dyDescent="0.25">
      <c r="A305" s="79"/>
      <c r="B305" s="79"/>
      <c r="C305" s="78"/>
      <c r="D305" s="78"/>
      <c r="E305" s="78"/>
      <c r="F305" s="78"/>
      <c r="G305" s="847"/>
      <c r="H305" s="424"/>
      <c r="I305" s="424"/>
      <c r="J305" s="782"/>
    </row>
    <row r="306" spans="1:10" ht="13.5" customHeight="1" thickBot="1" x14ac:dyDescent="0.25">
      <c r="A306" s="848" t="s">
        <v>5829</v>
      </c>
      <c r="B306" s="839"/>
      <c r="C306" s="840" t="s">
        <v>5846</v>
      </c>
      <c r="D306" s="841"/>
      <c r="E306" s="824"/>
      <c r="F306" s="824"/>
      <c r="G306" s="842" t="s">
        <v>7</v>
      </c>
      <c r="H306" s="424"/>
      <c r="I306" s="424"/>
      <c r="J306" s="782"/>
    </row>
    <row r="307" spans="1:10" ht="13.5" customHeight="1" x14ac:dyDescent="0.2">
      <c r="A307" s="79"/>
      <c r="B307" s="585"/>
      <c r="C307" s="795" t="s">
        <v>5831</v>
      </c>
      <c r="D307" s="803"/>
      <c r="E307" s="782"/>
      <c r="F307" s="782"/>
      <c r="G307" s="847">
        <v>1400</v>
      </c>
      <c r="H307" s="424"/>
      <c r="I307" s="424"/>
      <c r="J307" s="782"/>
    </row>
    <row r="308" spans="1:10" ht="13.5" customHeight="1" x14ac:dyDescent="0.2">
      <c r="A308" s="79">
        <v>42465</v>
      </c>
      <c r="B308" s="585"/>
      <c r="C308" s="795" t="s">
        <v>5847</v>
      </c>
      <c r="D308" s="803"/>
      <c r="E308" s="782">
        <v>123.9</v>
      </c>
      <c r="F308" s="782"/>
      <c r="G308" s="847">
        <v>1276.0999999999999</v>
      </c>
      <c r="H308" s="424"/>
      <c r="I308" s="424"/>
      <c r="J308" s="782"/>
    </row>
    <row r="309" spans="1:10" ht="13.5" customHeight="1" x14ac:dyDescent="0.2">
      <c r="A309" s="79"/>
      <c r="B309" s="585"/>
      <c r="C309" s="795" t="s">
        <v>5848</v>
      </c>
      <c r="D309" s="803"/>
      <c r="E309" s="782">
        <v>150</v>
      </c>
      <c r="F309" s="782"/>
      <c r="G309" s="847">
        <v>1126.0999999999999</v>
      </c>
      <c r="H309" s="424"/>
      <c r="I309" s="424"/>
      <c r="J309" s="782"/>
    </row>
    <row r="310" spans="1:10" ht="13.5" customHeight="1" x14ac:dyDescent="0.2">
      <c r="A310" s="79">
        <v>42543</v>
      </c>
      <c r="B310" s="585"/>
      <c r="C310" s="795" t="s">
        <v>5849</v>
      </c>
      <c r="D310" s="803"/>
      <c r="E310" s="782">
        <v>176.9</v>
      </c>
      <c r="F310" s="782"/>
      <c r="G310" s="847">
        <v>949.19999999999993</v>
      </c>
      <c r="H310" s="782"/>
      <c r="I310" s="782"/>
      <c r="J310" s="782"/>
    </row>
    <row r="311" spans="1:10" ht="13.5" customHeight="1" x14ac:dyDescent="0.2">
      <c r="A311" s="79"/>
      <c r="B311" s="79"/>
      <c r="C311" s="795" t="s">
        <v>5850</v>
      </c>
      <c r="D311" s="78"/>
      <c r="E311" s="782">
        <v>105.5</v>
      </c>
      <c r="F311" s="782"/>
      <c r="G311" s="847">
        <v>843.69999999999993</v>
      </c>
      <c r="H311" s="782"/>
      <c r="I311" s="782"/>
      <c r="J311" s="782"/>
    </row>
    <row r="312" spans="1:10" ht="13.5" customHeight="1" x14ac:dyDescent="0.2">
      <c r="A312" s="79"/>
      <c r="B312" s="79"/>
      <c r="C312" s="78" t="s">
        <v>5851</v>
      </c>
      <c r="D312" s="78"/>
      <c r="E312" s="782">
        <v>37.5</v>
      </c>
      <c r="F312" s="782"/>
      <c r="G312" s="847">
        <v>806.19999999999993</v>
      </c>
      <c r="H312" s="424"/>
      <c r="I312" s="424"/>
      <c r="J312" s="782"/>
    </row>
    <row r="313" spans="1:10" ht="13.5" customHeight="1" x14ac:dyDescent="0.2">
      <c r="A313" s="79">
        <v>42576</v>
      </c>
      <c r="B313" s="79"/>
      <c r="C313" s="78" t="s">
        <v>5852</v>
      </c>
      <c r="D313" s="78"/>
      <c r="E313" s="782">
        <v>39.9</v>
      </c>
      <c r="F313" s="782"/>
      <c r="G313" s="847">
        <v>766.3</v>
      </c>
      <c r="H313" s="424"/>
      <c r="I313" s="424"/>
      <c r="J313" s="782"/>
    </row>
    <row r="314" spans="1:10" ht="13.5" customHeight="1" x14ac:dyDescent="0.2">
      <c r="A314" s="79">
        <v>42600</v>
      </c>
      <c r="B314" s="79"/>
      <c r="C314" s="850" t="s">
        <v>5853</v>
      </c>
      <c r="D314" s="78"/>
      <c r="E314" s="782">
        <v>11.8</v>
      </c>
      <c r="F314" s="782"/>
      <c r="G314" s="847">
        <v>754.5</v>
      </c>
      <c r="H314" s="424"/>
      <c r="I314" s="424"/>
      <c r="J314" s="782"/>
    </row>
    <row r="315" spans="1:10" ht="13.5" customHeight="1" x14ac:dyDescent="0.2">
      <c r="A315" s="79">
        <v>42611</v>
      </c>
      <c r="B315" s="79"/>
      <c r="C315" s="795" t="s">
        <v>5854</v>
      </c>
      <c r="D315" s="78"/>
      <c r="E315" s="782">
        <v>176.9</v>
      </c>
      <c r="F315" s="782"/>
      <c r="G315" s="847">
        <v>577.6</v>
      </c>
      <c r="H315" s="424"/>
      <c r="I315" s="424"/>
      <c r="J315" s="782"/>
    </row>
    <row r="316" spans="1:10" ht="13.5" customHeight="1" x14ac:dyDescent="0.2">
      <c r="A316" s="79">
        <v>42633</v>
      </c>
      <c r="B316" s="585"/>
      <c r="C316" s="795" t="s">
        <v>5855</v>
      </c>
      <c r="D316" s="803"/>
      <c r="E316" s="782">
        <v>5</v>
      </c>
      <c r="F316" s="782"/>
      <c r="G316" s="847">
        <v>572.6</v>
      </c>
      <c r="H316" s="782"/>
      <c r="I316" s="782"/>
      <c r="J316" s="782"/>
    </row>
    <row r="317" spans="1:10" ht="13.5" customHeight="1" x14ac:dyDescent="0.2">
      <c r="A317" s="79">
        <v>42664</v>
      </c>
      <c r="B317" s="851"/>
      <c r="C317" s="852" t="s">
        <v>5856</v>
      </c>
      <c r="D317" s="803"/>
      <c r="E317" s="782">
        <v>95</v>
      </c>
      <c r="F317" s="782"/>
      <c r="G317" s="847">
        <v>477.6</v>
      </c>
      <c r="H317" s="782"/>
      <c r="I317" s="782"/>
      <c r="J317" s="782"/>
    </row>
    <row r="318" spans="1:10" ht="13.5" customHeight="1" x14ac:dyDescent="0.2">
      <c r="A318" s="79">
        <v>42704</v>
      </c>
      <c r="B318" s="79"/>
      <c r="C318" s="78" t="s">
        <v>5857</v>
      </c>
      <c r="D318" s="78"/>
      <c r="E318" s="782">
        <v>31.7</v>
      </c>
      <c r="F318" s="782"/>
      <c r="G318" s="847">
        <v>445.90000000000003</v>
      </c>
      <c r="H318" s="424"/>
      <c r="I318" s="424"/>
      <c r="J318" s="782"/>
    </row>
    <row r="319" spans="1:10" ht="13.5" customHeight="1" x14ac:dyDescent="0.2">
      <c r="A319" s="79">
        <v>42705</v>
      </c>
      <c r="B319" s="79"/>
      <c r="C319" s="78" t="s">
        <v>5858</v>
      </c>
      <c r="D319" s="803"/>
      <c r="E319" s="782">
        <v>14.4</v>
      </c>
      <c r="F319" s="782"/>
      <c r="G319" s="847">
        <v>431.50000000000006</v>
      </c>
      <c r="H319" s="424"/>
      <c r="I319" s="424"/>
      <c r="J319" s="782"/>
    </row>
    <row r="320" spans="1:10" ht="13.5" customHeight="1" x14ac:dyDescent="0.2">
      <c r="A320" s="79">
        <v>42716</v>
      </c>
      <c r="B320" s="79"/>
      <c r="C320" s="78" t="s">
        <v>5847</v>
      </c>
      <c r="D320" s="78"/>
      <c r="E320" s="782">
        <v>120</v>
      </c>
      <c r="F320" s="782"/>
      <c r="G320" s="847">
        <v>311.50000000000006</v>
      </c>
      <c r="H320" s="424"/>
      <c r="I320" s="424"/>
      <c r="J320" s="782"/>
    </row>
    <row r="321" spans="1:10" ht="13.5" customHeight="1" x14ac:dyDescent="0.2">
      <c r="A321" s="79">
        <v>42718</v>
      </c>
      <c r="B321" s="79"/>
      <c r="C321" s="78" t="s">
        <v>5859</v>
      </c>
      <c r="D321" s="803"/>
      <c r="E321" s="782">
        <v>23.7</v>
      </c>
      <c r="F321" s="782"/>
      <c r="G321" s="847">
        <v>287.80000000000007</v>
      </c>
      <c r="H321" s="424"/>
      <c r="I321" s="424"/>
      <c r="J321" s="782"/>
    </row>
    <row r="322" spans="1:10" ht="13.5" customHeight="1" x14ac:dyDescent="0.2">
      <c r="A322" s="79">
        <v>42759</v>
      </c>
      <c r="B322" s="851"/>
      <c r="C322" s="853" t="s">
        <v>5860</v>
      </c>
      <c r="D322" s="78"/>
      <c r="E322" s="782">
        <v>1</v>
      </c>
      <c r="F322" s="782"/>
      <c r="G322" s="847">
        <v>286.80000000000007</v>
      </c>
      <c r="H322" s="782"/>
      <c r="I322" s="782"/>
      <c r="J322" s="782"/>
    </row>
    <row r="323" spans="1:10" ht="13.5" customHeight="1" x14ac:dyDescent="0.2">
      <c r="A323" s="79">
        <v>42765</v>
      </c>
      <c r="B323" s="79"/>
      <c r="C323" s="78" t="s">
        <v>5861</v>
      </c>
      <c r="D323" s="803"/>
      <c r="E323" s="782">
        <v>45</v>
      </c>
      <c r="F323" s="782"/>
      <c r="G323" s="847">
        <v>241.80000000000007</v>
      </c>
      <c r="H323" s="424"/>
      <c r="I323" s="424"/>
      <c r="J323" s="782"/>
    </row>
    <row r="324" spans="1:10" ht="13.5" customHeight="1" x14ac:dyDescent="0.2">
      <c r="A324" s="79">
        <v>42899</v>
      </c>
      <c r="B324" s="79"/>
      <c r="C324" s="78" t="s">
        <v>5862</v>
      </c>
      <c r="D324" s="78"/>
      <c r="E324" s="782">
        <v>130</v>
      </c>
      <c r="F324" s="782"/>
      <c r="G324" s="847">
        <v>111.80000000000007</v>
      </c>
      <c r="H324" s="424"/>
      <c r="I324" s="424"/>
      <c r="J324" s="782"/>
    </row>
    <row r="325" spans="1:10" ht="13.5" customHeight="1" x14ac:dyDescent="0.2">
      <c r="A325" s="79"/>
      <c r="B325" s="79"/>
      <c r="C325" s="78"/>
      <c r="D325" s="78"/>
      <c r="E325" s="782"/>
      <c r="F325" s="782"/>
      <c r="G325" s="847"/>
      <c r="H325" s="424"/>
      <c r="I325" s="424"/>
      <c r="J325" s="782"/>
    </row>
    <row r="326" spans="1:10" ht="13.5" customHeight="1" x14ac:dyDescent="0.2">
      <c r="A326" s="843"/>
      <c r="B326" s="851"/>
      <c r="C326" s="852"/>
      <c r="D326" s="803"/>
      <c r="E326" s="782"/>
      <c r="F326" s="782"/>
      <c r="G326" s="847"/>
      <c r="H326" s="782"/>
      <c r="I326" s="782"/>
      <c r="J326" s="782"/>
    </row>
    <row r="327" spans="1:10" ht="13.5" customHeight="1" x14ac:dyDescent="0.2">
      <c r="A327" s="79"/>
      <c r="B327" s="79"/>
      <c r="C327" s="78"/>
      <c r="D327" s="78"/>
      <c r="E327" s="782"/>
      <c r="F327" s="782"/>
      <c r="G327" s="847"/>
      <c r="H327" s="424"/>
      <c r="I327" s="424"/>
      <c r="J327" s="782"/>
    </row>
    <row r="328" spans="1:10" ht="13.5" customHeight="1" x14ac:dyDescent="0.2">
      <c r="A328" s="79"/>
      <c r="B328" s="79"/>
      <c r="C328" s="78"/>
      <c r="D328" s="78"/>
      <c r="E328" s="782"/>
      <c r="F328" s="782"/>
      <c r="G328" s="847"/>
      <c r="H328" s="424"/>
      <c r="I328" s="424"/>
      <c r="J328" s="782"/>
    </row>
    <row r="329" spans="1:10" ht="13.5" customHeight="1" x14ac:dyDescent="0.2">
      <c r="A329" s="79"/>
      <c r="B329" s="79"/>
      <c r="C329" s="78"/>
      <c r="D329" s="78"/>
      <c r="E329" s="78"/>
      <c r="F329" s="78"/>
      <c r="G329" s="847"/>
      <c r="H329" s="424"/>
      <c r="I329" s="424"/>
      <c r="J329" s="782"/>
    </row>
    <row r="330" spans="1:10" ht="13.5" customHeight="1" x14ac:dyDescent="0.2">
      <c r="A330" s="79"/>
      <c r="B330" s="79"/>
      <c r="C330" s="78"/>
      <c r="D330" s="78"/>
      <c r="E330" s="78"/>
      <c r="F330" s="78"/>
      <c r="G330" s="847"/>
      <c r="H330" s="424"/>
      <c r="I330" s="424"/>
      <c r="J330" s="782"/>
    </row>
    <row r="331" spans="1:10" ht="13.5" customHeight="1" x14ac:dyDescent="0.2">
      <c r="A331" s="79"/>
      <c r="B331" s="79"/>
      <c r="C331" s="78"/>
      <c r="D331" s="78"/>
      <c r="E331" s="78"/>
      <c r="F331" s="78"/>
      <c r="G331" s="847"/>
      <c r="H331" s="424"/>
      <c r="I331" s="424"/>
      <c r="J331" s="782"/>
    </row>
    <row r="332" spans="1:10" ht="13.5" customHeight="1" x14ac:dyDescent="0.2">
      <c r="A332" s="79"/>
      <c r="B332" s="79"/>
      <c r="C332" s="78"/>
      <c r="D332" s="78"/>
      <c r="E332" s="78"/>
      <c r="F332" s="78"/>
      <c r="G332" s="847"/>
      <c r="H332" s="424"/>
      <c r="I332" s="424"/>
      <c r="J332" s="782"/>
    </row>
    <row r="333" spans="1:10" ht="13.5" customHeight="1" x14ac:dyDescent="0.2">
      <c r="A333" s="79"/>
      <c r="B333" s="79"/>
      <c r="C333" s="78"/>
      <c r="D333" s="78"/>
      <c r="E333" s="78"/>
      <c r="F333" s="78"/>
      <c r="G333" s="847"/>
      <c r="H333" s="424"/>
      <c r="I333" s="424"/>
      <c r="J333" s="782"/>
    </row>
    <row r="334" spans="1:10" ht="13.5" customHeight="1" x14ac:dyDescent="0.2">
      <c r="A334" s="79"/>
      <c r="B334" s="79"/>
      <c r="C334" s="78"/>
      <c r="D334" s="78"/>
      <c r="E334" s="78"/>
      <c r="F334" s="78"/>
      <c r="G334" s="783"/>
      <c r="H334" s="424"/>
      <c r="I334" s="424"/>
      <c r="J334" s="854"/>
    </row>
    <row r="335" spans="1:10" ht="13.5" customHeight="1" x14ac:dyDescent="0.2">
      <c r="A335" s="585"/>
      <c r="B335" s="585"/>
      <c r="C335" s="795"/>
      <c r="D335" s="803"/>
      <c r="E335" s="782"/>
      <c r="F335" s="782"/>
      <c r="G335" s="847"/>
      <c r="H335" s="855"/>
      <c r="I335" s="782"/>
      <c r="J335" s="782"/>
    </row>
    <row r="336" spans="1:10" ht="13.5" customHeight="1" x14ac:dyDescent="0.2">
      <c r="A336" s="585"/>
      <c r="B336" s="585"/>
      <c r="C336" s="795"/>
      <c r="D336" s="803"/>
      <c r="E336" s="782"/>
      <c r="F336" s="782"/>
      <c r="G336" s="847"/>
      <c r="H336" s="855"/>
      <c r="I336" s="782"/>
      <c r="J336" s="782"/>
    </row>
    <row r="337" spans="1:10" ht="13.5" customHeight="1" x14ac:dyDescent="0.2">
      <c r="A337" s="585"/>
      <c r="B337" s="585"/>
      <c r="C337" s="795"/>
      <c r="D337" s="803"/>
      <c r="E337" s="782"/>
      <c r="F337" s="782"/>
      <c r="G337" s="847"/>
      <c r="H337" s="855"/>
      <c r="I337" s="782"/>
      <c r="J337" s="782"/>
    </row>
    <row r="338" spans="1:10" ht="13.5" customHeight="1" x14ac:dyDescent="0.2">
      <c r="A338" s="585"/>
      <c r="B338" s="585"/>
      <c r="C338" s="795"/>
      <c r="D338" s="803"/>
      <c r="E338" s="782"/>
      <c r="F338" s="782"/>
      <c r="G338" s="847"/>
      <c r="H338" s="855"/>
      <c r="I338" s="782"/>
      <c r="J338" s="782"/>
    </row>
    <row r="339" spans="1:10" ht="13.5" customHeight="1" x14ac:dyDescent="0.2">
      <c r="A339" s="585"/>
      <c r="B339" s="585"/>
      <c r="C339" s="795"/>
      <c r="D339" s="803"/>
      <c r="E339" s="782"/>
      <c r="F339" s="782"/>
      <c r="G339" s="847"/>
      <c r="H339" s="855"/>
      <c r="I339" s="782"/>
      <c r="J339" s="782"/>
    </row>
    <row r="340" spans="1:10" ht="13.5" customHeight="1" x14ac:dyDescent="0.2">
      <c r="A340" s="585"/>
      <c r="B340" s="585"/>
      <c r="C340" s="795"/>
      <c r="D340" s="803"/>
      <c r="E340" s="782"/>
      <c r="F340" s="782"/>
      <c r="G340" s="847"/>
      <c r="H340" s="855"/>
      <c r="I340" s="782"/>
      <c r="J340" s="782"/>
    </row>
    <row r="341" spans="1:10" ht="13.5" customHeight="1" x14ac:dyDescent="0.2">
      <c r="A341" s="585"/>
      <c r="B341" s="585"/>
      <c r="C341" s="795"/>
      <c r="D341" s="803"/>
      <c r="E341" s="782"/>
      <c r="F341" s="782"/>
      <c r="G341" s="847"/>
      <c r="H341" s="855"/>
      <c r="I341" s="782"/>
      <c r="J341" s="782"/>
    </row>
    <row r="342" spans="1:10" ht="13.5" customHeight="1" x14ac:dyDescent="0.2">
      <c r="A342" s="585"/>
      <c r="B342" s="585"/>
      <c r="C342" s="795"/>
      <c r="D342" s="803"/>
      <c r="E342" s="782"/>
      <c r="F342" s="782"/>
      <c r="G342" s="847"/>
      <c r="H342" s="855"/>
      <c r="I342" s="782"/>
      <c r="J342" s="782"/>
    </row>
    <row r="343" spans="1:10" ht="13.5" customHeight="1" x14ac:dyDescent="0.2">
      <c r="A343" s="585"/>
      <c r="B343" s="585"/>
      <c r="C343" s="795"/>
      <c r="D343" s="803"/>
      <c r="E343" s="782"/>
      <c r="F343" s="782"/>
      <c r="G343" s="847"/>
      <c r="H343" s="855"/>
      <c r="I343" s="782"/>
      <c r="J343" s="782"/>
    </row>
    <row r="344" spans="1:10" ht="13.5" customHeight="1" x14ac:dyDescent="0.2">
      <c r="A344" s="585"/>
      <c r="B344" s="585"/>
      <c r="C344" s="795"/>
      <c r="D344" s="803"/>
      <c r="E344" s="782"/>
      <c r="F344" s="782"/>
      <c r="G344" s="847"/>
      <c r="H344" s="855"/>
      <c r="I344" s="782"/>
      <c r="J344" s="782"/>
    </row>
    <row r="345" spans="1:10" ht="13.5" customHeight="1" x14ac:dyDescent="0.2">
      <c r="A345" s="585"/>
      <c r="B345" s="585"/>
      <c r="C345" s="795"/>
      <c r="D345" s="803"/>
      <c r="E345" s="782"/>
      <c r="F345" s="782"/>
      <c r="G345" s="847"/>
      <c r="H345" s="855"/>
      <c r="I345" s="782"/>
      <c r="J345" s="782"/>
    </row>
    <row r="346" spans="1:10" ht="13.5" customHeight="1" x14ac:dyDescent="0.2">
      <c r="A346" s="585"/>
      <c r="B346" s="585"/>
      <c r="C346" s="795"/>
      <c r="D346" s="803"/>
      <c r="E346" s="782"/>
      <c r="F346" s="782"/>
      <c r="G346" s="847"/>
      <c r="H346" s="855"/>
      <c r="I346" s="782"/>
      <c r="J346" s="782"/>
    </row>
    <row r="347" spans="1:10" ht="13.5" customHeight="1" x14ac:dyDescent="0.2">
      <c r="A347" s="585"/>
      <c r="B347" s="585"/>
      <c r="C347" s="795"/>
      <c r="D347" s="803"/>
      <c r="E347" s="782"/>
      <c r="F347" s="782"/>
      <c r="G347" s="847"/>
      <c r="H347" s="855"/>
      <c r="I347" s="782"/>
      <c r="J347" s="782"/>
    </row>
    <row r="348" spans="1:10" ht="13.5" customHeight="1" x14ac:dyDescent="0.2">
      <c r="A348" s="585"/>
      <c r="B348" s="585"/>
      <c r="C348" s="795"/>
      <c r="D348" s="803"/>
      <c r="E348" s="782"/>
      <c r="F348" s="782"/>
      <c r="G348" s="847"/>
      <c r="H348" s="855"/>
      <c r="I348" s="782"/>
      <c r="J348" s="782"/>
    </row>
    <row r="349" spans="1:10" ht="13.5" customHeight="1" x14ac:dyDescent="0.2">
      <c r="A349" s="585"/>
      <c r="B349" s="585"/>
      <c r="C349" s="795"/>
      <c r="D349" s="803"/>
      <c r="E349" s="782"/>
      <c r="F349" s="782"/>
      <c r="G349" s="847"/>
      <c r="H349" s="855"/>
      <c r="I349" s="782"/>
      <c r="J349" s="782"/>
    </row>
    <row r="350" spans="1:10" ht="13.5" customHeight="1" x14ac:dyDescent="0.2">
      <c r="A350" s="585"/>
      <c r="B350" s="585"/>
      <c r="C350" s="795"/>
      <c r="D350" s="803"/>
      <c r="E350" s="782"/>
      <c r="F350" s="782"/>
      <c r="G350" s="847"/>
      <c r="H350" s="855"/>
      <c r="I350" s="782"/>
      <c r="J350" s="782"/>
    </row>
    <row r="351" spans="1:10" ht="13.5" customHeight="1" x14ac:dyDescent="0.2">
      <c r="A351" s="585"/>
      <c r="B351" s="585"/>
      <c r="C351" s="795"/>
      <c r="D351" s="803"/>
      <c r="E351" s="782"/>
      <c r="F351" s="782"/>
      <c r="G351" s="847"/>
      <c r="H351" s="855"/>
      <c r="I351" s="782"/>
      <c r="J351" s="782"/>
    </row>
    <row r="352" spans="1:10" ht="13.5" customHeight="1" x14ac:dyDescent="0.2">
      <c r="A352" s="585"/>
      <c r="B352" s="585"/>
      <c r="C352" s="795"/>
      <c r="D352" s="803"/>
      <c r="E352" s="782"/>
      <c r="F352" s="782"/>
      <c r="G352" s="847"/>
      <c r="H352" s="855"/>
      <c r="I352" s="782"/>
      <c r="J352" s="782"/>
    </row>
    <row r="353" spans="1:10" ht="13.5" customHeight="1" x14ac:dyDescent="0.2">
      <c r="A353" s="585"/>
      <c r="B353" s="585"/>
      <c r="C353" s="795"/>
      <c r="D353" s="803"/>
      <c r="E353" s="782"/>
      <c r="F353" s="782"/>
      <c r="G353" s="847"/>
      <c r="H353" s="855"/>
      <c r="I353" s="782"/>
      <c r="J353" s="782"/>
    </row>
    <row r="354" spans="1:10" ht="13.5" customHeight="1" x14ac:dyDescent="0.2">
      <c r="A354" s="585"/>
      <c r="B354" s="585"/>
      <c r="C354" s="795"/>
      <c r="D354" s="803"/>
      <c r="E354" s="782"/>
      <c r="F354" s="782"/>
      <c r="G354" s="847"/>
      <c r="H354" s="855"/>
      <c r="I354" s="782"/>
      <c r="J354" s="782"/>
    </row>
    <row r="355" spans="1:10" ht="13.5" customHeight="1" x14ac:dyDescent="0.2">
      <c r="A355" s="585"/>
      <c r="B355" s="585"/>
      <c r="C355" s="795"/>
      <c r="D355" s="803"/>
      <c r="E355" s="782"/>
      <c r="F355" s="782"/>
      <c r="G355" s="847"/>
      <c r="H355" s="855"/>
      <c r="I355" s="782"/>
      <c r="J355" s="782"/>
    </row>
    <row r="356" spans="1:10" ht="13.5" customHeight="1" x14ac:dyDescent="0.2">
      <c r="A356" s="585"/>
      <c r="B356" s="585"/>
      <c r="C356" s="795"/>
      <c r="D356" s="803"/>
      <c r="E356" s="782"/>
      <c r="F356" s="782"/>
      <c r="G356" s="847"/>
      <c r="H356" s="855"/>
      <c r="I356" s="782"/>
      <c r="J356" s="782"/>
    </row>
    <row r="357" spans="1:10" ht="13.5" customHeight="1" x14ac:dyDescent="0.2">
      <c r="A357" s="585"/>
      <c r="B357" s="585"/>
      <c r="C357" s="795"/>
      <c r="D357" s="803"/>
      <c r="E357" s="782"/>
      <c r="F357" s="782"/>
      <c r="G357" s="847"/>
      <c r="H357" s="855"/>
      <c r="I357" s="782"/>
      <c r="J357" s="782"/>
    </row>
    <row r="358" spans="1:10" ht="13.5" customHeight="1" x14ac:dyDescent="0.2">
      <c r="A358" s="585"/>
      <c r="B358" s="585"/>
      <c r="C358" s="795"/>
      <c r="D358" s="803"/>
      <c r="E358" s="782"/>
      <c r="F358" s="782"/>
      <c r="G358" s="847"/>
      <c r="H358" s="855"/>
      <c r="I358" s="782"/>
      <c r="J358" s="782"/>
    </row>
    <row r="359" spans="1:10" ht="13.5" customHeight="1" x14ac:dyDescent="0.2">
      <c r="A359" s="585"/>
      <c r="B359" s="585"/>
      <c r="C359" s="795"/>
      <c r="D359" s="803"/>
      <c r="E359" s="782"/>
      <c r="F359" s="782"/>
      <c r="G359" s="847"/>
      <c r="H359" s="855"/>
      <c r="I359" s="782"/>
      <c r="J359" s="782"/>
    </row>
    <row r="360" spans="1:10" ht="13.5" customHeight="1" x14ac:dyDescent="0.2">
      <c r="A360" s="585"/>
      <c r="B360" s="585"/>
      <c r="C360" s="795"/>
      <c r="D360" s="803"/>
      <c r="E360" s="782"/>
      <c r="F360" s="782"/>
      <c r="G360" s="847"/>
      <c r="H360" s="855"/>
      <c r="I360" s="782"/>
      <c r="J360" s="782"/>
    </row>
    <row r="361" spans="1:10" ht="13.5" customHeight="1" x14ac:dyDescent="0.2">
      <c r="A361" s="585"/>
      <c r="B361" s="585"/>
      <c r="C361" s="795"/>
      <c r="D361" s="803"/>
      <c r="E361" s="782"/>
      <c r="F361" s="782"/>
      <c r="G361" s="847"/>
      <c r="H361" s="855"/>
      <c r="I361" s="782"/>
      <c r="J361" s="782"/>
    </row>
    <row r="362" spans="1:10" ht="13.5" customHeight="1" x14ac:dyDescent="0.2">
      <c r="A362" s="585"/>
      <c r="B362" s="585"/>
      <c r="C362" s="795"/>
      <c r="D362" s="803"/>
      <c r="E362" s="782"/>
      <c r="F362" s="782"/>
      <c r="G362" s="847"/>
      <c r="H362" s="855"/>
      <c r="I362" s="782"/>
      <c r="J362" s="782"/>
    </row>
    <row r="363" spans="1:10" ht="13.5" customHeight="1" x14ac:dyDescent="0.2">
      <c r="A363" s="585"/>
      <c r="B363" s="585"/>
      <c r="C363" s="795"/>
      <c r="D363" s="803"/>
      <c r="E363" s="782"/>
      <c r="F363" s="782"/>
      <c r="G363" s="847"/>
      <c r="H363" s="855"/>
      <c r="I363" s="782"/>
      <c r="J363" s="782"/>
    </row>
    <row r="364" spans="1:10" ht="13.5" customHeight="1" x14ac:dyDescent="0.2">
      <c r="A364" s="585"/>
      <c r="B364" s="585"/>
      <c r="C364" s="795"/>
      <c r="D364" s="803"/>
      <c r="E364" s="782"/>
      <c r="F364" s="782"/>
      <c r="G364" s="847"/>
      <c r="H364" s="855"/>
      <c r="I364" s="782"/>
      <c r="J364" s="782"/>
    </row>
    <row r="365" spans="1:10" ht="13.5" customHeight="1" x14ac:dyDescent="0.2">
      <c r="A365" s="585"/>
      <c r="B365" s="585"/>
      <c r="C365" s="795"/>
      <c r="D365" s="803"/>
      <c r="E365" s="782"/>
      <c r="F365" s="782"/>
      <c r="G365" s="847"/>
      <c r="H365" s="855"/>
      <c r="I365" s="782"/>
      <c r="J365" s="782"/>
    </row>
    <row r="366" spans="1:10" ht="13.5" customHeight="1" x14ac:dyDescent="0.2">
      <c r="A366" s="585"/>
      <c r="B366" s="585"/>
      <c r="C366" s="795"/>
      <c r="D366" s="803"/>
      <c r="E366" s="782"/>
      <c r="F366" s="782"/>
      <c r="G366" s="847"/>
      <c r="H366" s="855"/>
      <c r="I366" s="782"/>
      <c r="J366" s="782"/>
    </row>
    <row r="367" spans="1:10" ht="13.5" customHeight="1" x14ac:dyDescent="0.2">
      <c r="A367" s="585"/>
      <c r="B367" s="585"/>
      <c r="C367" s="795"/>
      <c r="D367" s="803"/>
      <c r="E367" s="782"/>
      <c r="F367" s="782"/>
      <c r="G367" s="847"/>
      <c r="H367" s="855"/>
      <c r="I367" s="782"/>
      <c r="J367" s="782"/>
    </row>
    <row r="368" spans="1:10" ht="13.5" customHeight="1" x14ac:dyDescent="0.2">
      <c r="A368" s="585"/>
      <c r="B368" s="585"/>
      <c r="C368" s="795"/>
      <c r="D368" s="803"/>
      <c r="E368" s="782"/>
      <c r="F368" s="782"/>
      <c r="G368" s="847"/>
      <c r="H368" s="855"/>
      <c r="I368" s="782"/>
      <c r="J368" s="782"/>
    </row>
    <row r="369" spans="1:10" ht="13.5" customHeight="1" x14ac:dyDescent="0.2">
      <c r="A369" s="585"/>
      <c r="B369" s="585"/>
      <c r="C369" s="795"/>
      <c r="D369" s="803"/>
      <c r="E369" s="782"/>
      <c r="F369" s="782"/>
      <c r="G369" s="847"/>
      <c r="H369" s="855"/>
      <c r="I369" s="782"/>
      <c r="J369" s="782"/>
    </row>
    <row r="370" spans="1:10" ht="13.5" customHeight="1" x14ac:dyDescent="0.2">
      <c r="A370" s="585"/>
      <c r="B370" s="585"/>
      <c r="C370" s="795"/>
      <c r="D370" s="803"/>
      <c r="E370" s="782"/>
      <c r="F370" s="782"/>
      <c r="G370" s="847"/>
      <c r="H370" s="855"/>
      <c r="I370" s="782"/>
      <c r="J370" s="782"/>
    </row>
    <row r="371" spans="1:10" ht="13.5" customHeight="1" x14ac:dyDescent="0.2">
      <c r="A371" s="585"/>
      <c r="B371" s="585"/>
      <c r="C371" s="795"/>
      <c r="D371" s="803"/>
      <c r="E371" s="782"/>
      <c r="F371" s="782"/>
      <c r="G371" s="847"/>
      <c r="H371" s="855"/>
      <c r="I371" s="782"/>
      <c r="J371" s="782"/>
    </row>
    <row r="372" spans="1:10" ht="13.5" customHeight="1" x14ac:dyDescent="0.2">
      <c r="A372" s="585"/>
      <c r="B372" s="585"/>
      <c r="C372" s="795"/>
      <c r="D372" s="803"/>
      <c r="E372" s="782"/>
      <c r="F372" s="782"/>
      <c r="G372" s="847"/>
      <c r="H372" s="855"/>
      <c r="I372" s="782"/>
      <c r="J372" s="782"/>
    </row>
    <row r="373" spans="1:10" ht="13.5" customHeight="1" x14ac:dyDescent="0.2">
      <c r="A373" s="585"/>
      <c r="B373" s="585"/>
      <c r="C373" s="795"/>
      <c r="D373" s="803"/>
      <c r="E373" s="782"/>
      <c r="F373" s="782"/>
      <c r="G373" s="847"/>
      <c r="H373" s="855"/>
      <c r="I373" s="782"/>
      <c r="J373" s="782"/>
    </row>
    <row r="374" spans="1:10" ht="13.5" customHeight="1" x14ac:dyDescent="0.2">
      <c r="A374" s="585"/>
      <c r="B374" s="585"/>
      <c r="C374" s="795"/>
      <c r="D374" s="803"/>
      <c r="E374" s="782"/>
      <c r="F374" s="782"/>
      <c r="G374" s="847"/>
      <c r="H374" s="855"/>
      <c r="I374" s="782"/>
      <c r="J374" s="782"/>
    </row>
    <row r="375" spans="1:10" ht="13.5" customHeight="1" x14ac:dyDescent="0.2">
      <c r="A375" s="585"/>
      <c r="B375" s="585"/>
      <c r="C375" s="795"/>
      <c r="D375" s="803"/>
      <c r="E375" s="782"/>
      <c r="F375" s="782"/>
      <c r="G375" s="847"/>
      <c r="H375" s="856"/>
      <c r="I375" s="782"/>
      <c r="J375" s="782"/>
    </row>
    <row r="376" spans="1:10" ht="13.5" customHeight="1" x14ac:dyDescent="0.2">
      <c r="A376" s="585"/>
      <c r="B376" s="585"/>
      <c r="C376" s="795"/>
      <c r="D376" s="803"/>
      <c r="E376" s="782"/>
      <c r="F376" s="782"/>
      <c r="G376" s="847"/>
      <c r="H376" s="856"/>
      <c r="I376" s="782"/>
      <c r="J376" s="782"/>
    </row>
    <row r="377" spans="1:10" ht="13.5" customHeight="1" x14ac:dyDescent="0.2">
      <c r="A377" s="849"/>
      <c r="B377" s="585"/>
      <c r="C377" s="823"/>
      <c r="D377" s="803"/>
      <c r="E377" s="782"/>
      <c r="F377" s="782"/>
      <c r="G377" s="847"/>
      <c r="H377" s="425"/>
      <c r="I377" s="782"/>
      <c r="J377" s="782"/>
    </row>
    <row r="378" spans="1:10" ht="13.5" customHeight="1" x14ac:dyDescent="0.2">
      <c r="A378" s="585"/>
      <c r="B378" s="585"/>
      <c r="C378" s="795"/>
      <c r="D378" s="803"/>
      <c r="E378" s="782"/>
      <c r="F378" s="782"/>
      <c r="G378" s="847"/>
      <c r="H378" s="856"/>
      <c r="I378" s="782"/>
      <c r="J378" s="782"/>
    </row>
    <row r="379" spans="1:10" ht="13.5" customHeight="1" x14ac:dyDescent="0.2">
      <c r="A379" s="585"/>
      <c r="B379" s="585"/>
      <c r="C379" s="795"/>
      <c r="D379" s="803"/>
      <c r="E379" s="782"/>
      <c r="F379" s="782"/>
      <c r="G379" s="847"/>
      <c r="H379" s="856"/>
      <c r="I379" s="782"/>
      <c r="J379" s="782"/>
    </row>
    <row r="380" spans="1:10" ht="13.5" customHeight="1" x14ac:dyDescent="0.2">
      <c r="A380" s="849"/>
      <c r="B380" s="585"/>
      <c r="C380" s="857"/>
      <c r="D380" s="803"/>
      <c r="E380" s="782"/>
      <c r="F380" s="782"/>
      <c r="G380" s="847"/>
      <c r="H380" s="856"/>
      <c r="I380" s="782"/>
      <c r="J380" s="782"/>
    </row>
    <row r="381" spans="1:10" ht="13.5" customHeight="1" x14ac:dyDescent="0.2">
      <c r="A381" s="849"/>
      <c r="B381" s="585"/>
      <c r="C381" s="795"/>
      <c r="D381" s="803"/>
      <c r="E381" s="782"/>
      <c r="F381" s="782"/>
      <c r="G381" s="847"/>
      <c r="H381" s="856"/>
      <c r="I381" s="782"/>
      <c r="J381" s="782"/>
    </row>
    <row r="382" spans="1:10" ht="13.5" customHeight="1" x14ac:dyDescent="0.2">
      <c r="A382" s="849"/>
      <c r="B382" s="585"/>
      <c r="C382" s="795"/>
      <c r="D382" s="803"/>
      <c r="E382" s="782"/>
      <c r="F382" s="782"/>
      <c r="G382" s="847"/>
      <c r="H382" s="425"/>
      <c r="I382" s="782"/>
      <c r="J382" s="782"/>
    </row>
    <row r="383" spans="1:10" ht="13.5" customHeight="1" x14ac:dyDescent="0.2">
      <c r="A383" s="849"/>
      <c r="B383" s="585"/>
      <c r="C383" s="823"/>
      <c r="D383" s="803"/>
      <c r="E383" s="782"/>
      <c r="F383" s="782"/>
      <c r="G383" s="847"/>
      <c r="H383" s="856"/>
      <c r="I383" s="782"/>
      <c r="J383" s="782"/>
    </row>
    <row r="384" spans="1:10" ht="13.5" customHeight="1" x14ac:dyDescent="0.2">
      <c r="A384" s="585"/>
      <c r="B384" s="585"/>
      <c r="C384" s="795"/>
      <c r="D384" s="803"/>
      <c r="E384" s="782"/>
      <c r="F384" s="782"/>
      <c r="G384" s="847"/>
      <c r="H384" s="856"/>
      <c r="I384" s="782"/>
      <c r="J384" s="782"/>
    </row>
    <row r="385" spans="1:10" ht="13.5" customHeight="1" x14ac:dyDescent="0.2">
      <c r="A385" s="849"/>
      <c r="B385" s="585"/>
      <c r="C385" s="795"/>
      <c r="D385" s="803"/>
      <c r="E385" s="782"/>
      <c r="F385" s="782"/>
      <c r="G385" s="847"/>
      <c r="H385" s="425"/>
      <c r="I385" s="782"/>
      <c r="J385" s="782"/>
    </row>
    <row r="386" spans="1:10" ht="13.5" customHeight="1" x14ac:dyDescent="0.2">
      <c r="A386" s="849"/>
      <c r="B386" s="585"/>
      <c r="C386" s="823"/>
      <c r="D386" s="803"/>
      <c r="E386" s="782"/>
      <c r="F386" s="782"/>
      <c r="G386" s="847"/>
      <c r="H386" s="425"/>
      <c r="I386" s="782"/>
      <c r="J386" s="782"/>
    </row>
    <row r="387" spans="1:10" ht="13.5" customHeight="1" x14ac:dyDescent="0.2">
      <c r="A387" s="585"/>
      <c r="B387" s="585"/>
      <c r="C387" s="795"/>
      <c r="D387" s="803"/>
      <c r="E387" s="782"/>
      <c r="F387" s="782"/>
      <c r="G387" s="847"/>
      <c r="H387" s="856"/>
      <c r="I387" s="782"/>
      <c r="J387" s="782"/>
    </row>
    <row r="388" spans="1:10" ht="13.5" customHeight="1" x14ac:dyDescent="0.2">
      <c r="A388" s="849"/>
      <c r="B388" s="585"/>
      <c r="C388" s="795"/>
      <c r="D388" s="803"/>
      <c r="E388" s="782"/>
      <c r="F388" s="782"/>
      <c r="G388" s="847"/>
      <c r="H388" s="425"/>
      <c r="I388" s="782"/>
      <c r="J388" s="782"/>
    </row>
    <row r="389" spans="1:10" ht="13.5" customHeight="1" x14ac:dyDescent="0.2">
      <c r="A389" s="849"/>
      <c r="B389" s="585"/>
      <c r="C389" s="823"/>
      <c r="D389" s="803"/>
      <c r="E389" s="782"/>
      <c r="F389" s="782"/>
      <c r="G389" s="847"/>
      <c r="H389" s="425"/>
      <c r="I389" s="782"/>
      <c r="J389" s="782"/>
    </row>
    <row r="390" spans="1:10" ht="13.5" customHeight="1" x14ac:dyDescent="0.2">
      <c r="A390" s="585"/>
      <c r="B390" s="585"/>
      <c r="C390" s="795"/>
      <c r="D390" s="803"/>
      <c r="E390" s="782"/>
      <c r="F390" s="782"/>
      <c r="G390" s="847"/>
      <c r="H390" s="856"/>
      <c r="I390" s="782"/>
      <c r="J390" s="782"/>
    </row>
    <row r="391" spans="1:10" ht="13.5" customHeight="1" x14ac:dyDescent="0.2">
      <c r="A391" s="585"/>
      <c r="B391" s="585"/>
      <c r="C391" s="795"/>
      <c r="D391" s="803"/>
      <c r="E391" s="782"/>
      <c r="F391" s="782"/>
      <c r="G391" s="847"/>
      <c r="H391" s="856"/>
      <c r="I391" s="782"/>
      <c r="J391" s="782"/>
    </row>
    <row r="392" spans="1:10" ht="13.5" customHeight="1" x14ac:dyDescent="0.2">
      <c r="A392" s="585"/>
      <c r="B392" s="585"/>
      <c r="C392" s="795"/>
      <c r="D392" s="803"/>
      <c r="E392" s="782"/>
      <c r="F392" s="782"/>
      <c r="G392" s="847"/>
      <c r="H392" s="855"/>
      <c r="I392" s="782"/>
      <c r="J392" s="782"/>
    </row>
    <row r="393" spans="1:10" ht="13.5" customHeight="1" x14ac:dyDescent="0.2">
      <c r="A393" s="849"/>
      <c r="B393" s="585"/>
      <c r="C393" s="858"/>
      <c r="D393" s="803"/>
      <c r="E393" s="782"/>
      <c r="F393" s="782"/>
      <c r="G393" s="847"/>
      <c r="H393" s="855"/>
      <c r="I393" s="782"/>
      <c r="J393" s="782"/>
    </row>
    <row r="394" spans="1:10" ht="13.5" customHeight="1" x14ac:dyDescent="0.2">
      <c r="A394" s="849"/>
      <c r="B394" s="585"/>
      <c r="C394" s="857"/>
      <c r="D394" s="803"/>
      <c r="E394" s="782"/>
      <c r="F394" s="782"/>
      <c r="G394" s="847"/>
      <c r="H394" s="855"/>
      <c r="I394" s="782"/>
      <c r="J394" s="782"/>
    </row>
    <row r="395" spans="1:10" ht="13.5" customHeight="1" x14ac:dyDescent="0.2">
      <c r="A395" s="849"/>
      <c r="B395" s="585"/>
      <c r="C395" s="859"/>
      <c r="D395" s="803"/>
      <c r="E395" s="782"/>
      <c r="F395" s="782"/>
      <c r="G395" s="847"/>
      <c r="H395" s="855"/>
      <c r="I395" s="782"/>
      <c r="J395" s="782"/>
    </row>
    <row r="396" spans="1:10" ht="13.5" customHeight="1" x14ac:dyDescent="0.2">
      <c r="A396" s="849"/>
      <c r="B396" s="585"/>
      <c r="C396" s="860"/>
      <c r="D396" s="803"/>
      <c r="E396" s="782"/>
      <c r="F396" s="782"/>
      <c r="G396" s="847"/>
      <c r="H396" s="855"/>
      <c r="I396" s="782"/>
      <c r="J396" s="782"/>
    </row>
    <row r="397" spans="1:10" ht="13.5" customHeight="1" x14ac:dyDescent="0.2">
      <c r="A397" s="831"/>
      <c r="B397" s="603"/>
      <c r="C397" s="569"/>
      <c r="D397" s="581"/>
      <c r="E397" s="573"/>
      <c r="F397" s="573"/>
      <c r="G397" s="792"/>
      <c r="H397" s="861"/>
      <c r="I397" s="573"/>
      <c r="J397" s="782"/>
    </row>
    <row r="398" spans="1:10" ht="13.5" customHeight="1" x14ac:dyDescent="0.2">
      <c r="A398" s="603"/>
      <c r="B398" s="603"/>
      <c r="C398" s="569"/>
      <c r="D398" s="581"/>
      <c r="E398" s="573"/>
      <c r="F398" s="573"/>
      <c r="G398" s="792"/>
      <c r="H398" s="862"/>
      <c r="I398" s="573"/>
      <c r="J398" s="782"/>
    </row>
    <row r="399" spans="1:10" ht="13.5" customHeight="1" x14ac:dyDescent="0.2">
      <c r="A399" s="603"/>
      <c r="B399" s="603"/>
      <c r="C399" s="569"/>
      <c r="D399" s="581"/>
      <c r="E399" s="573"/>
      <c r="F399" s="573"/>
      <c r="G399" s="792"/>
      <c r="H399" s="861"/>
      <c r="I399" s="573"/>
      <c r="J399" s="782"/>
    </row>
    <row r="400" spans="1:10" ht="13.5" customHeight="1" x14ac:dyDescent="0.2">
      <c r="A400" s="831"/>
      <c r="B400" s="603"/>
      <c r="D400" s="581"/>
      <c r="E400" s="573"/>
      <c r="F400" s="573"/>
      <c r="G400" s="792"/>
      <c r="H400" s="861"/>
      <c r="I400" s="573"/>
      <c r="J400" s="782"/>
    </row>
    <row r="401" spans="1:10" ht="13.5" customHeight="1" x14ac:dyDescent="0.2">
      <c r="A401" s="603"/>
      <c r="B401" s="603"/>
      <c r="C401" s="569"/>
      <c r="D401" s="581"/>
      <c r="E401" s="573"/>
      <c r="F401" s="573"/>
      <c r="G401" s="792"/>
      <c r="H401" s="862"/>
      <c r="I401" s="573"/>
      <c r="J401" s="782"/>
    </row>
    <row r="402" spans="1:10" ht="13.5" customHeight="1" x14ac:dyDescent="0.2">
      <c r="A402" s="603"/>
      <c r="B402" s="603"/>
      <c r="C402" s="569"/>
      <c r="D402" s="581"/>
      <c r="E402" s="573"/>
      <c r="F402" s="573"/>
      <c r="G402" s="792"/>
      <c r="H402" s="862"/>
      <c r="I402" s="573"/>
      <c r="J402" s="782"/>
    </row>
    <row r="403" spans="1:10" ht="13.5" customHeight="1" x14ac:dyDescent="0.2">
      <c r="A403" s="603"/>
      <c r="B403" s="603"/>
      <c r="C403" s="569"/>
      <c r="D403" s="581"/>
      <c r="E403" s="573"/>
      <c r="F403" s="573"/>
      <c r="G403" s="792"/>
      <c r="H403" s="862"/>
      <c r="I403" s="573"/>
      <c r="J403" s="782"/>
    </row>
    <row r="404" spans="1:10" ht="13.5" customHeight="1" x14ac:dyDescent="0.2">
      <c r="A404" s="831"/>
      <c r="B404" s="603"/>
      <c r="C404" s="634"/>
      <c r="D404" s="581"/>
      <c r="E404" s="573"/>
      <c r="F404" s="573"/>
      <c r="G404" s="792"/>
      <c r="H404" s="426"/>
      <c r="I404" s="573"/>
      <c r="J404" s="782"/>
    </row>
    <row r="405" spans="1:10" ht="13.5" customHeight="1" x14ac:dyDescent="0.2">
      <c r="A405" s="831"/>
      <c r="B405" s="603"/>
      <c r="C405" s="634"/>
      <c r="D405" s="581"/>
      <c r="E405" s="573"/>
      <c r="F405" s="573"/>
      <c r="G405" s="792"/>
      <c r="H405" s="862"/>
      <c r="I405" s="573"/>
      <c r="J405" s="782"/>
    </row>
    <row r="406" spans="1:10" ht="13.5" customHeight="1" x14ac:dyDescent="0.2">
      <c r="A406" s="831"/>
      <c r="B406" s="603"/>
      <c r="D406" s="581"/>
      <c r="E406" s="573"/>
      <c r="F406" s="573"/>
      <c r="G406" s="792"/>
      <c r="H406" s="426"/>
      <c r="I406" s="573"/>
      <c r="J406" s="782"/>
    </row>
    <row r="407" spans="1:10" ht="13.5" customHeight="1" x14ac:dyDescent="0.2">
      <c r="A407" s="603"/>
      <c r="B407" s="603"/>
      <c r="C407" s="569"/>
      <c r="D407" s="581"/>
      <c r="E407" s="573"/>
      <c r="F407" s="573"/>
      <c r="G407" s="792"/>
      <c r="H407" s="861"/>
      <c r="I407" s="573"/>
      <c r="J407" s="782"/>
    </row>
    <row r="408" spans="1:10" ht="13.5" customHeight="1" x14ac:dyDescent="0.2">
      <c r="A408" s="603"/>
      <c r="B408" s="603"/>
      <c r="C408" s="569"/>
      <c r="D408" s="581"/>
      <c r="E408" s="573"/>
      <c r="F408" s="573"/>
      <c r="G408" s="792"/>
      <c r="H408" s="861"/>
      <c r="I408" s="573"/>
      <c r="J408" s="782"/>
    </row>
    <row r="409" spans="1:10" ht="13.5" customHeight="1" x14ac:dyDescent="0.2">
      <c r="A409" s="603"/>
      <c r="B409" s="603"/>
      <c r="C409" s="569"/>
      <c r="D409" s="581"/>
      <c r="E409" s="573"/>
      <c r="F409" s="573"/>
      <c r="G409" s="792"/>
      <c r="H409" s="861"/>
      <c r="I409" s="573"/>
      <c r="J409" s="782"/>
    </row>
    <row r="410" spans="1:10" ht="13.5" customHeight="1" x14ac:dyDescent="0.2">
      <c r="A410" s="603"/>
      <c r="B410" s="603"/>
      <c r="C410" s="569"/>
      <c r="D410" s="581"/>
      <c r="E410" s="573"/>
      <c r="F410" s="573"/>
      <c r="G410" s="792"/>
      <c r="H410" s="861"/>
      <c r="I410" s="573"/>
      <c r="J410" s="782"/>
    </row>
    <row r="411" spans="1:10" x14ac:dyDescent="0.2">
      <c r="A411" s="863"/>
      <c r="B411" s="864"/>
      <c r="C411" s="865"/>
      <c r="D411" s="634"/>
      <c r="E411" s="634"/>
      <c r="F411" s="634"/>
      <c r="G411" s="634"/>
      <c r="H411" s="427"/>
      <c r="I411" s="572"/>
      <c r="J411" s="804"/>
    </row>
  </sheetData>
  <mergeCells count="4">
    <mergeCell ref="A1:C1"/>
    <mergeCell ref="D1:G1"/>
    <mergeCell ref="H1:J1"/>
    <mergeCell ref="H164:J164"/>
  </mergeCells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535"/>
  <sheetViews>
    <sheetView topLeftCell="A238" zoomScale="80" zoomScaleNormal="80" workbookViewId="0">
      <selection activeCell="B255" sqref="B255"/>
    </sheetView>
  </sheetViews>
  <sheetFormatPr defaultColWidth="9" defaultRowHeight="12.75" x14ac:dyDescent="0.2"/>
  <cols>
    <col min="1" max="1" width="14" style="724" bestFit="1" customWidth="1"/>
    <col min="2" max="2" width="86.75" style="634" bestFit="1" customWidth="1"/>
    <col min="3" max="3" width="13.75" style="634" bestFit="1" customWidth="1"/>
    <col min="4" max="4" width="11.125" style="634" bestFit="1" customWidth="1"/>
    <col min="5" max="5" width="9.875" style="97" bestFit="1" customWidth="1"/>
    <col min="6" max="6" width="11.875" style="866" customWidth="1"/>
    <col min="7" max="7" width="11.25" style="97" bestFit="1" customWidth="1"/>
    <col min="8" max="8" width="9" style="97"/>
    <col min="9" max="9" width="8.75" style="97" bestFit="1" customWidth="1"/>
    <col min="10" max="10" width="11.375" style="97" customWidth="1"/>
    <col min="11" max="16384" width="9" style="97"/>
  </cols>
  <sheetData>
    <row r="1" spans="1:10" x14ac:dyDescent="0.2">
      <c r="B1" s="866"/>
      <c r="C1" s="866"/>
      <c r="D1" s="866"/>
    </row>
    <row r="2" spans="1:10" x14ac:dyDescent="0.2">
      <c r="B2" s="866"/>
      <c r="C2" s="866"/>
      <c r="D2" s="866"/>
      <c r="F2" s="97" t="s">
        <v>218</v>
      </c>
      <c r="G2" s="97" t="s">
        <v>219</v>
      </c>
      <c r="H2" s="97" t="s">
        <v>220</v>
      </c>
      <c r="I2" s="97" t="s">
        <v>221</v>
      </c>
      <c r="J2" s="97" t="s">
        <v>222</v>
      </c>
    </row>
    <row r="3" spans="1:10" x14ac:dyDescent="0.2">
      <c r="A3" s="724" t="s">
        <v>3762</v>
      </c>
      <c r="B3" s="569" t="s">
        <v>5599</v>
      </c>
      <c r="C3" s="867"/>
      <c r="D3" s="868">
        <v>920</v>
      </c>
      <c r="F3" s="402">
        <v>1049.8</v>
      </c>
      <c r="G3" s="402">
        <v>80</v>
      </c>
      <c r="H3" s="402"/>
      <c r="I3" s="402">
        <v>49.8</v>
      </c>
      <c r="J3" s="618">
        <f t="shared" ref="J3:J12" si="0">F3-G3-H3-I3</f>
        <v>920</v>
      </c>
    </row>
    <row r="4" spans="1:10" ht="13.5" customHeight="1" x14ac:dyDescent="0.2">
      <c r="A4" s="724" t="s">
        <v>3762</v>
      </c>
      <c r="B4" s="795" t="s">
        <v>5624</v>
      </c>
      <c r="C4" s="869" t="s">
        <v>549</v>
      </c>
      <c r="D4" s="870">
        <v>860</v>
      </c>
      <c r="F4" s="402" t="s">
        <v>5626</v>
      </c>
      <c r="G4" s="402">
        <v>80</v>
      </c>
      <c r="H4" s="402"/>
      <c r="I4" s="402"/>
      <c r="J4" s="618">
        <f t="shared" si="0"/>
        <v>860</v>
      </c>
    </row>
    <row r="5" spans="1:10" ht="13.5" customHeight="1" x14ac:dyDescent="0.2">
      <c r="A5" s="724" t="s">
        <v>3762</v>
      </c>
      <c r="B5" s="569" t="s">
        <v>5617</v>
      </c>
      <c r="C5" s="867"/>
      <c r="D5" s="868">
        <v>940</v>
      </c>
      <c r="F5" s="402">
        <v>1020</v>
      </c>
      <c r="G5" s="402">
        <v>80</v>
      </c>
      <c r="H5" s="402"/>
      <c r="I5" s="402"/>
      <c r="J5" s="618">
        <f t="shared" si="0"/>
        <v>940</v>
      </c>
    </row>
    <row r="6" spans="1:10" ht="13.5" customHeight="1" x14ac:dyDescent="0.2">
      <c r="A6" s="724" t="s">
        <v>3762</v>
      </c>
      <c r="B6" s="569" t="s">
        <v>5674</v>
      </c>
      <c r="C6" s="867"/>
      <c r="D6" s="868">
        <v>960</v>
      </c>
      <c r="F6" s="402">
        <v>1040</v>
      </c>
      <c r="G6" s="402">
        <v>80</v>
      </c>
      <c r="H6" s="402"/>
      <c r="I6" s="402"/>
      <c r="J6" s="618">
        <f t="shared" si="0"/>
        <v>960</v>
      </c>
    </row>
    <row r="7" spans="1:10" ht="13.5" customHeight="1" x14ac:dyDescent="0.2">
      <c r="A7" s="724" t="s">
        <v>3762</v>
      </c>
      <c r="B7" s="569" t="s">
        <v>5662</v>
      </c>
      <c r="C7" s="867"/>
      <c r="D7" s="868">
        <v>862</v>
      </c>
      <c r="F7" s="402">
        <v>942</v>
      </c>
      <c r="G7" s="402">
        <v>80</v>
      </c>
      <c r="H7" s="402"/>
      <c r="I7" s="402"/>
      <c r="J7" s="618">
        <f t="shared" si="0"/>
        <v>862</v>
      </c>
    </row>
    <row r="8" spans="1:10" ht="13.5" customHeight="1" x14ac:dyDescent="0.2">
      <c r="A8" s="724" t="s">
        <v>3762</v>
      </c>
      <c r="B8" s="569" t="s">
        <v>5675</v>
      </c>
      <c r="C8" s="867"/>
      <c r="D8" s="868">
        <v>1500</v>
      </c>
      <c r="F8" s="402">
        <v>1580</v>
      </c>
      <c r="G8" s="402">
        <v>80</v>
      </c>
      <c r="H8" s="402"/>
      <c r="I8" s="402"/>
      <c r="J8" s="618">
        <f t="shared" si="0"/>
        <v>1500</v>
      </c>
    </row>
    <row r="9" spans="1:10" ht="13.5" customHeight="1" x14ac:dyDescent="0.2">
      <c r="A9" s="724" t="s">
        <v>3762</v>
      </c>
      <c r="B9" s="569" t="s">
        <v>5567</v>
      </c>
      <c r="C9" s="867"/>
      <c r="D9" s="868">
        <v>435.4</v>
      </c>
      <c r="F9" s="402">
        <v>435.4</v>
      </c>
      <c r="G9" s="402"/>
      <c r="H9" s="402"/>
      <c r="I9" s="402"/>
      <c r="J9" s="618">
        <f t="shared" si="0"/>
        <v>435.4</v>
      </c>
    </row>
    <row r="10" spans="1:10" ht="13.5" customHeight="1" x14ac:dyDescent="0.2">
      <c r="A10" s="724" t="s">
        <v>3762</v>
      </c>
      <c r="B10" s="569" t="s">
        <v>5646</v>
      </c>
      <c r="C10" s="867"/>
      <c r="D10" s="868">
        <v>1200</v>
      </c>
      <c r="F10" s="402">
        <v>1314.27</v>
      </c>
      <c r="G10" s="402">
        <v>80</v>
      </c>
      <c r="H10" s="402"/>
      <c r="I10" s="402">
        <v>34.270000000000003</v>
      </c>
      <c r="J10" s="618">
        <f t="shared" si="0"/>
        <v>1200</v>
      </c>
    </row>
    <row r="11" spans="1:10" ht="13.5" customHeight="1" x14ac:dyDescent="0.2">
      <c r="A11" s="724" t="s">
        <v>3762</v>
      </c>
      <c r="B11" s="569" t="s">
        <v>5676</v>
      </c>
      <c r="C11" s="867"/>
      <c r="D11" s="868">
        <v>1150</v>
      </c>
      <c r="F11" s="402">
        <v>1270.27</v>
      </c>
      <c r="G11" s="402">
        <v>80</v>
      </c>
      <c r="H11" s="402"/>
      <c r="I11" s="402">
        <v>40.270000000000003</v>
      </c>
      <c r="J11" s="618">
        <f t="shared" si="0"/>
        <v>1150</v>
      </c>
    </row>
    <row r="12" spans="1:10" ht="13.5" customHeight="1" x14ac:dyDescent="0.2">
      <c r="A12" s="724" t="s">
        <v>3762</v>
      </c>
      <c r="B12" s="569" t="s">
        <v>4091</v>
      </c>
      <c r="C12" s="867"/>
      <c r="D12" s="868">
        <v>900</v>
      </c>
      <c r="F12" s="871">
        <v>0</v>
      </c>
      <c r="G12" s="871">
        <v>0</v>
      </c>
      <c r="H12" s="871">
        <v>0</v>
      </c>
      <c r="I12" s="871">
        <v>0</v>
      </c>
      <c r="J12" s="872">
        <f t="shared" si="0"/>
        <v>0</v>
      </c>
    </row>
    <row r="13" spans="1:10" ht="13.5" customHeight="1" x14ac:dyDescent="0.2">
      <c r="A13" s="724" t="s">
        <v>3762</v>
      </c>
      <c r="B13" s="569" t="s">
        <v>10</v>
      </c>
      <c r="C13" s="867"/>
      <c r="D13" s="868">
        <v>640</v>
      </c>
      <c r="F13" s="97"/>
      <c r="G13" s="97">
        <f>SUM(G3:G12)</f>
        <v>640</v>
      </c>
      <c r="I13" s="97">
        <f>SUM(I3:I12)</f>
        <v>124.34</v>
      </c>
    </row>
    <row r="14" spans="1:10" x14ac:dyDescent="0.2">
      <c r="D14" s="873"/>
      <c r="F14" s="97"/>
    </row>
    <row r="15" spans="1:10" ht="13.5" customHeight="1" x14ac:dyDescent="0.2">
      <c r="A15" s="724" t="s">
        <v>3762</v>
      </c>
      <c r="B15" s="569" t="s">
        <v>5863</v>
      </c>
      <c r="C15" s="867" t="s">
        <v>5864</v>
      </c>
      <c r="D15" s="868" t="s">
        <v>5864</v>
      </c>
      <c r="F15" s="402" t="s">
        <v>5864</v>
      </c>
      <c r="G15" s="402" t="s">
        <v>5864</v>
      </c>
      <c r="H15" s="402" t="s">
        <v>5864</v>
      </c>
      <c r="I15" s="402" t="s">
        <v>5864</v>
      </c>
      <c r="J15" s="618" t="s">
        <v>5864</v>
      </c>
    </row>
    <row r="16" spans="1:10" ht="13.5" customHeight="1" x14ac:dyDescent="0.2">
      <c r="A16" s="724" t="s">
        <v>3762</v>
      </c>
      <c r="B16" s="569" t="s">
        <v>5643</v>
      </c>
      <c r="C16" s="867"/>
      <c r="D16" s="868">
        <v>3500</v>
      </c>
      <c r="F16" s="402">
        <v>3585.14</v>
      </c>
      <c r="G16" s="402"/>
      <c r="H16" s="402"/>
      <c r="I16" s="402">
        <v>85.14</v>
      </c>
      <c r="J16" s="618">
        <f>F16-G16-H16-I16</f>
        <v>3500</v>
      </c>
    </row>
    <row r="17" spans="1:10" ht="13.5" customHeight="1" x14ac:dyDescent="0.2">
      <c r="A17" s="724" t="s">
        <v>3762</v>
      </c>
      <c r="B17" s="569" t="s">
        <v>5622</v>
      </c>
      <c r="C17" s="867"/>
      <c r="D17" s="868">
        <v>2000.0300000000002</v>
      </c>
      <c r="F17" s="402">
        <v>2051.9</v>
      </c>
      <c r="G17" s="402"/>
      <c r="H17" s="402"/>
      <c r="I17" s="402">
        <v>51.87</v>
      </c>
      <c r="J17" s="618">
        <f>F17-G17-H17-I17</f>
        <v>2000.0300000000002</v>
      </c>
    </row>
    <row r="18" spans="1:10" ht="13.5" customHeight="1" x14ac:dyDescent="0.2">
      <c r="A18" s="724" t="s">
        <v>3762</v>
      </c>
      <c r="B18" s="569" t="s">
        <v>5747</v>
      </c>
      <c r="C18" s="867"/>
      <c r="D18" s="874">
        <v>1360</v>
      </c>
      <c r="F18" s="402">
        <v>1360</v>
      </c>
      <c r="G18" s="402"/>
      <c r="H18" s="402"/>
      <c r="I18" s="402"/>
      <c r="J18" s="618">
        <f>F18-G18-H18-I18</f>
        <v>1360</v>
      </c>
    </row>
    <row r="19" spans="1:10" ht="13.5" customHeight="1" x14ac:dyDescent="0.2">
      <c r="A19" s="724" t="s">
        <v>3762</v>
      </c>
      <c r="B19" s="569" t="s">
        <v>5604</v>
      </c>
      <c r="C19" s="867"/>
      <c r="D19" s="634">
        <v>1971.4099999999999</v>
      </c>
      <c r="F19" s="402">
        <v>2147.83</v>
      </c>
      <c r="G19" s="402"/>
      <c r="H19" s="402"/>
      <c r="I19" s="402">
        <v>176.42</v>
      </c>
      <c r="J19" s="618">
        <f>F19-G19-H19-I19</f>
        <v>1971.4099999999999</v>
      </c>
    </row>
    <row r="20" spans="1:10" ht="13.5" customHeight="1" x14ac:dyDescent="0.2">
      <c r="B20" s="569"/>
      <c r="C20" s="867"/>
      <c r="D20" s="576"/>
      <c r="F20" s="102"/>
      <c r="G20" s="102"/>
      <c r="H20" s="102"/>
      <c r="I20" s="102">
        <f>SUM(I15:I19)</f>
        <v>313.42999999999995</v>
      </c>
      <c r="J20" s="875"/>
    </row>
    <row r="21" spans="1:10" ht="13.5" customHeight="1" x14ac:dyDescent="0.2">
      <c r="A21" s="724" t="s">
        <v>3762</v>
      </c>
      <c r="B21" s="569" t="s">
        <v>5656</v>
      </c>
      <c r="C21" s="867"/>
      <c r="D21" s="876">
        <v>170</v>
      </c>
      <c r="F21" s="97"/>
    </row>
    <row r="22" spans="1:10" ht="13.5" customHeight="1" x14ac:dyDescent="0.2">
      <c r="A22" s="724" t="s">
        <v>3762</v>
      </c>
      <c r="B22" s="569" t="s">
        <v>5644</v>
      </c>
      <c r="C22" s="867"/>
      <c r="D22" s="876">
        <v>185</v>
      </c>
      <c r="F22" s="97"/>
      <c r="H22" s="725" t="s">
        <v>3766</v>
      </c>
      <c r="I22" s="402">
        <f>SUM(I20,I13)</f>
        <v>437.77</v>
      </c>
    </row>
    <row r="23" spans="1:10" ht="13.5" customHeight="1" x14ac:dyDescent="0.2">
      <c r="A23" s="724" t="s">
        <v>3762</v>
      </c>
      <c r="B23" s="569" t="s">
        <v>5582</v>
      </c>
      <c r="C23" s="867"/>
      <c r="D23" s="876">
        <v>190</v>
      </c>
      <c r="F23" s="97"/>
    </row>
    <row r="24" spans="1:10" ht="13.5" customHeight="1" x14ac:dyDescent="0.2">
      <c r="A24" s="724" t="s">
        <v>3762</v>
      </c>
      <c r="B24" s="569" t="s">
        <v>5657</v>
      </c>
      <c r="C24" s="867"/>
      <c r="D24" s="876">
        <v>190</v>
      </c>
      <c r="F24" s="97"/>
    </row>
    <row r="25" spans="1:10" ht="13.5" customHeight="1" x14ac:dyDescent="0.2">
      <c r="A25" s="724" t="s">
        <v>3762</v>
      </c>
      <c r="B25" s="569" t="s">
        <v>5642</v>
      </c>
      <c r="C25" s="867"/>
      <c r="D25" s="876">
        <v>185</v>
      </c>
      <c r="F25" s="97"/>
    </row>
    <row r="26" spans="1:10" ht="13.5" customHeight="1" x14ac:dyDescent="0.2">
      <c r="A26" s="724" t="s">
        <v>3762</v>
      </c>
      <c r="B26" s="569" t="s">
        <v>5597</v>
      </c>
      <c r="C26" s="867"/>
      <c r="D26" s="876">
        <v>170</v>
      </c>
      <c r="F26" s="97"/>
    </row>
    <row r="27" spans="1:10" ht="13.5" customHeight="1" x14ac:dyDescent="0.2">
      <c r="A27" s="724" t="s">
        <v>3762</v>
      </c>
      <c r="B27" s="569" t="s">
        <v>5556</v>
      </c>
      <c r="C27" s="869"/>
      <c r="D27" s="876">
        <v>200</v>
      </c>
      <c r="E27" s="791"/>
      <c r="F27" s="97"/>
    </row>
    <row r="28" spans="1:10" ht="13.5" customHeight="1" x14ac:dyDescent="0.2">
      <c r="A28" s="724" t="s">
        <v>3762</v>
      </c>
      <c r="B28" s="569" t="s">
        <v>5603</v>
      </c>
      <c r="C28" s="867"/>
      <c r="D28" s="876">
        <v>60</v>
      </c>
      <c r="F28" s="97"/>
    </row>
    <row r="29" spans="1:10" ht="13.5" customHeight="1" x14ac:dyDescent="0.2">
      <c r="A29" s="724" t="s">
        <v>3762</v>
      </c>
      <c r="B29" s="569" t="s">
        <v>5621</v>
      </c>
      <c r="C29" s="867"/>
      <c r="D29" s="876">
        <v>50</v>
      </c>
      <c r="F29" s="97"/>
    </row>
    <row r="30" spans="1:10" ht="13.5" customHeight="1" x14ac:dyDescent="0.2">
      <c r="A30" s="724" t="s">
        <v>3762</v>
      </c>
      <c r="B30" s="569" t="s">
        <v>5595</v>
      </c>
      <c r="C30" s="867"/>
      <c r="D30" s="876">
        <v>60</v>
      </c>
      <c r="E30" s="877">
        <f>SUM(D21:D30)</f>
        <v>1460</v>
      </c>
      <c r="F30" s="97"/>
    </row>
    <row r="31" spans="1:10" ht="13.5" customHeight="1" x14ac:dyDescent="0.2">
      <c r="A31" s="724" t="s">
        <v>3762</v>
      </c>
      <c r="B31" s="569" t="s">
        <v>5865</v>
      </c>
      <c r="C31" s="867"/>
      <c r="D31" s="868">
        <v>3000</v>
      </c>
      <c r="F31" s="97"/>
    </row>
    <row r="32" spans="1:10" ht="13.5" customHeight="1" x14ac:dyDescent="0.2">
      <c r="A32" s="724" t="s">
        <v>221</v>
      </c>
      <c r="B32" s="569" t="s">
        <v>1792</v>
      </c>
      <c r="C32" s="867"/>
      <c r="D32" s="868">
        <v>437.77</v>
      </c>
      <c r="F32" s="97"/>
    </row>
    <row r="33" spans="1:12" ht="13.5" customHeight="1" x14ac:dyDescent="0.2">
      <c r="B33" s="569"/>
      <c r="C33" s="867"/>
      <c r="D33" s="878">
        <f>SUM(D3:D32)</f>
        <v>24096.61</v>
      </c>
      <c r="F33" s="97"/>
    </row>
    <row r="34" spans="1:12" ht="13.5" customHeight="1" x14ac:dyDescent="0.2">
      <c r="B34" s="569"/>
      <c r="C34" s="867"/>
      <c r="D34" s="576"/>
      <c r="E34" s="879"/>
      <c r="F34" s="879"/>
      <c r="G34" s="879"/>
      <c r="H34" s="879"/>
      <c r="I34" s="879"/>
      <c r="J34" s="879"/>
      <c r="K34" s="879"/>
      <c r="L34" s="879"/>
    </row>
    <row r="35" spans="1:12" ht="13.5" customHeight="1" x14ac:dyDescent="0.2">
      <c r="A35" s="724" t="s">
        <v>3762</v>
      </c>
      <c r="B35" s="569" t="s">
        <v>5781</v>
      </c>
      <c r="C35" s="572"/>
      <c r="D35" s="618">
        <v>2250</v>
      </c>
      <c r="E35" s="879"/>
      <c r="F35" s="880">
        <v>2296.13</v>
      </c>
      <c r="G35" s="109" t="s">
        <v>5864</v>
      </c>
      <c r="H35" s="109" t="s">
        <v>5864</v>
      </c>
      <c r="I35" s="109">
        <v>46.13</v>
      </c>
      <c r="J35" s="618">
        <v>2250</v>
      </c>
      <c r="K35" s="879"/>
      <c r="L35" s="879"/>
    </row>
    <row r="36" spans="1:12" ht="13.5" customHeight="1" x14ac:dyDescent="0.2">
      <c r="A36" s="724" t="s">
        <v>3762</v>
      </c>
      <c r="B36" s="569" t="s">
        <v>5804</v>
      </c>
      <c r="C36" s="572"/>
      <c r="D36" s="618">
        <v>7500</v>
      </c>
      <c r="E36" s="879"/>
      <c r="F36" s="880">
        <v>7964</v>
      </c>
      <c r="G36" s="109" t="s">
        <v>5864</v>
      </c>
      <c r="H36" s="109" t="s">
        <v>5864</v>
      </c>
      <c r="I36" s="109">
        <v>464</v>
      </c>
      <c r="J36" s="618">
        <v>7500</v>
      </c>
      <c r="K36" s="879"/>
      <c r="L36" s="879"/>
    </row>
    <row r="37" spans="1:12" ht="13.5" customHeight="1" x14ac:dyDescent="0.2">
      <c r="A37" s="724" t="s">
        <v>3762</v>
      </c>
      <c r="B37" s="722" t="s">
        <v>5866</v>
      </c>
      <c r="C37" s="572"/>
      <c r="D37" s="618">
        <v>500</v>
      </c>
      <c r="E37" s="879"/>
      <c r="F37" s="880">
        <v>500</v>
      </c>
      <c r="G37" s="109" t="s">
        <v>5864</v>
      </c>
      <c r="H37" s="109" t="s">
        <v>5864</v>
      </c>
      <c r="I37" s="109" t="s">
        <v>5864</v>
      </c>
      <c r="J37" s="618">
        <v>500</v>
      </c>
      <c r="K37" s="879"/>
      <c r="L37" s="879"/>
    </row>
    <row r="38" spans="1:12" ht="13.5" customHeight="1" x14ac:dyDescent="0.2">
      <c r="A38" s="724" t="s">
        <v>3762</v>
      </c>
      <c r="B38" s="795" t="s">
        <v>5788</v>
      </c>
      <c r="C38" s="572"/>
      <c r="D38" s="618">
        <v>2200</v>
      </c>
      <c r="E38" s="879"/>
      <c r="F38" s="880">
        <v>2200</v>
      </c>
      <c r="G38" s="109" t="s">
        <v>5864</v>
      </c>
      <c r="H38" s="109" t="s">
        <v>5864</v>
      </c>
      <c r="I38" s="109" t="s">
        <v>5864</v>
      </c>
      <c r="J38" s="618">
        <v>2200</v>
      </c>
      <c r="K38" s="879"/>
      <c r="L38" s="879"/>
    </row>
    <row r="39" spans="1:12" ht="13.5" customHeight="1" x14ac:dyDescent="0.2">
      <c r="A39" s="724" t="s">
        <v>3762</v>
      </c>
      <c r="B39" s="569" t="s">
        <v>5791</v>
      </c>
      <c r="C39" s="572"/>
      <c r="D39" s="618">
        <v>5478.55</v>
      </c>
      <c r="E39" s="879"/>
      <c r="F39" s="880">
        <v>5478.55</v>
      </c>
      <c r="G39" s="109" t="s">
        <v>5864</v>
      </c>
      <c r="H39" s="109" t="s">
        <v>5864</v>
      </c>
      <c r="I39" s="109" t="s">
        <v>5864</v>
      </c>
      <c r="J39" s="618">
        <v>5478.55</v>
      </c>
      <c r="K39" s="879"/>
      <c r="L39" s="879"/>
    </row>
    <row r="40" spans="1:12" ht="13.5" customHeight="1" x14ac:dyDescent="0.2">
      <c r="A40" s="724" t="s">
        <v>3762</v>
      </c>
      <c r="B40" s="722" t="s">
        <v>5867</v>
      </c>
      <c r="C40" s="572"/>
      <c r="D40" s="618" t="s">
        <v>5864</v>
      </c>
      <c r="E40" s="879"/>
      <c r="F40" s="881">
        <v>0</v>
      </c>
      <c r="G40" s="109" t="s">
        <v>5864</v>
      </c>
      <c r="H40" s="109" t="s">
        <v>5864</v>
      </c>
      <c r="I40" s="109" t="s">
        <v>5864</v>
      </c>
      <c r="J40" s="618" t="s">
        <v>5864</v>
      </c>
      <c r="K40" s="879"/>
      <c r="L40" s="879"/>
    </row>
    <row r="41" spans="1:12" ht="13.5" customHeight="1" x14ac:dyDescent="0.2">
      <c r="A41" s="724" t="s">
        <v>221</v>
      </c>
      <c r="B41" s="722" t="s">
        <v>3542</v>
      </c>
      <c r="C41" s="882"/>
      <c r="D41" s="881">
        <v>510.13</v>
      </c>
      <c r="E41" s="879"/>
      <c r="F41" s="883"/>
      <c r="G41" s="883"/>
      <c r="H41" s="883"/>
      <c r="I41" s="883"/>
      <c r="J41" s="884"/>
      <c r="K41" s="879"/>
      <c r="L41" s="879"/>
    </row>
    <row r="42" spans="1:12" ht="13.5" customHeight="1" x14ac:dyDescent="0.2">
      <c r="B42" s="569"/>
      <c r="C42" s="867"/>
      <c r="D42" s="878">
        <f>SUM(D35:D41)</f>
        <v>18438.68</v>
      </c>
      <c r="E42" s="879"/>
      <c r="F42" s="885"/>
      <c r="G42" s="885"/>
      <c r="H42" s="885"/>
      <c r="I42" s="886">
        <f>SUM(I35:I40)</f>
        <v>510.13</v>
      </c>
      <c r="J42" s="887"/>
      <c r="K42" s="879"/>
      <c r="L42" s="879"/>
    </row>
    <row r="43" spans="1:12" ht="13.5" customHeight="1" x14ac:dyDescent="0.2">
      <c r="B43" s="795"/>
      <c r="C43" s="572"/>
      <c r="D43" s="573"/>
      <c r="E43" s="879"/>
      <c r="F43" s="879"/>
      <c r="G43" s="879"/>
      <c r="H43" s="879"/>
      <c r="I43" s="879"/>
      <c r="J43" s="879"/>
      <c r="K43" s="879"/>
      <c r="L43" s="879"/>
    </row>
    <row r="44" spans="1:12" ht="13.5" customHeight="1" x14ac:dyDescent="0.2">
      <c r="A44" s="724" t="s">
        <v>223</v>
      </c>
      <c r="B44" s="795" t="s">
        <v>5787</v>
      </c>
      <c r="C44" s="874">
        <v>9681.89</v>
      </c>
      <c r="D44" s="573"/>
      <c r="E44" s="879"/>
      <c r="F44" s="879"/>
      <c r="G44" s="879"/>
      <c r="H44" s="879"/>
      <c r="I44" s="879"/>
      <c r="J44" s="879"/>
      <c r="K44" s="879"/>
      <c r="L44" s="879"/>
    </row>
    <row r="45" spans="1:12" ht="13.5" customHeight="1" x14ac:dyDescent="0.2">
      <c r="A45" s="724" t="s">
        <v>223</v>
      </c>
      <c r="B45" s="795" t="s">
        <v>5787</v>
      </c>
      <c r="C45" s="874">
        <v>8464</v>
      </c>
      <c r="D45" s="573"/>
      <c r="E45" s="879"/>
      <c r="F45" s="879"/>
      <c r="G45" s="879"/>
      <c r="H45" s="879"/>
      <c r="I45" s="879"/>
      <c r="J45" s="879"/>
      <c r="K45" s="879"/>
      <c r="L45" s="879"/>
    </row>
    <row r="46" spans="1:12" ht="13.5" customHeight="1" x14ac:dyDescent="0.2">
      <c r="A46" s="724" t="s">
        <v>223</v>
      </c>
      <c r="B46" s="795" t="s">
        <v>5787</v>
      </c>
      <c r="C46" s="874">
        <v>2296.13</v>
      </c>
      <c r="D46" s="573"/>
      <c r="E46" s="879"/>
      <c r="F46" s="879"/>
      <c r="G46" s="879"/>
      <c r="H46" s="879"/>
      <c r="I46" s="879"/>
      <c r="J46" s="879"/>
      <c r="K46" s="879"/>
      <c r="L46" s="879"/>
    </row>
    <row r="47" spans="1:12" ht="13.5" customHeight="1" x14ac:dyDescent="0.2">
      <c r="A47" s="724" t="s">
        <v>223</v>
      </c>
      <c r="B47" s="795" t="s">
        <v>5787</v>
      </c>
      <c r="C47" s="874">
        <v>1492</v>
      </c>
      <c r="D47" s="573"/>
      <c r="F47" s="97"/>
    </row>
    <row r="48" spans="1:12" ht="13.5" customHeight="1" x14ac:dyDescent="0.2">
      <c r="A48" s="724" t="s">
        <v>223</v>
      </c>
      <c r="B48" s="795" t="s">
        <v>5800</v>
      </c>
      <c r="C48" s="874">
        <v>20000</v>
      </c>
      <c r="D48" s="573"/>
      <c r="F48" s="97"/>
    </row>
    <row r="49" spans="1:6" ht="13.5" customHeight="1" x14ac:dyDescent="0.2">
      <c r="A49" s="724" t="s">
        <v>223</v>
      </c>
      <c r="B49" s="795" t="s">
        <v>5708</v>
      </c>
      <c r="C49" s="888">
        <v>-2000</v>
      </c>
      <c r="D49" s="889"/>
      <c r="E49" s="866"/>
      <c r="F49" s="97"/>
    </row>
    <row r="50" spans="1:6" ht="13.5" customHeight="1" x14ac:dyDescent="0.2">
      <c r="A50" s="724" t="s">
        <v>223</v>
      </c>
      <c r="B50" s="795" t="s">
        <v>5708</v>
      </c>
      <c r="C50" s="888">
        <v>-7500</v>
      </c>
      <c r="D50" s="889"/>
      <c r="E50" s="866"/>
      <c r="F50" s="97"/>
    </row>
    <row r="51" spans="1:6" ht="13.5" customHeight="1" x14ac:dyDescent="0.2">
      <c r="A51" s="724" t="s">
        <v>223</v>
      </c>
      <c r="B51" s="795" t="s">
        <v>5708</v>
      </c>
      <c r="C51" s="890">
        <v>-8.6999999999999993</v>
      </c>
      <c r="D51" s="573"/>
      <c r="E51" s="866"/>
      <c r="F51" s="97"/>
    </row>
    <row r="52" spans="1:6" ht="13.5" customHeight="1" x14ac:dyDescent="0.2">
      <c r="A52" s="724" t="s">
        <v>223</v>
      </c>
      <c r="B52" s="795" t="s">
        <v>5708</v>
      </c>
      <c r="C52" s="890">
        <v>-32.78</v>
      </c>
      <c r="D52" s="573"/>
      <c r="E52" s="866"/>
      <c r="F52" s="891"/>
    </row>
    <row r="53" spans="1:6" ht="13.5" customHeight="1" x14ac:dyDescent="0.2">
      <c r="A53" s="724" t="s">
        <v>223</v>
      </c>
      <c r="B53" s="795" t="s">
        <v>5708</v>
      </c>
      <c r="C53" s="890">
        <v>-105.05</v>
      </c>
      <c r="D53" s="573"/>
      <c r="E53" s="866"/>
      <c r="F53" s="97"/>
    </row>
    <row r="54" spans="1:6" ht="13.5" customHeight="1" x14ac:dyDescent="0.2">
      <c r="A54" s="724" t="s">
        <v>223</v>
      </c>
      <c r="B54" s="795" t="s">
        <v>5708</v>
      </c>
      <c r="C54" s="890">
        <v>-115</v>
      </c>
      <c r="D54" s="573"/>
      <c r="E54" s="866"/>
      <c r="F54" s="97"/>
    </row>
    <row r="55" spans="1:6" ht="13.5" customHeight="1" x14ac:dyDescent="0.2">
      <c r="A55" s="724" t="s">
        <v>223</v>
      </c>
      <c r="B55" s="795" t="s">
        <v>5708</v>
      </c>
      <c r="C55" s="890">
        <v>-386.47</v>
      </c>
      <c r="D55" s="573"/>
      <c r="E55" s="866"/>
      <c r="F55" s="97"/>
    </row>
    <row r="56" spans="1:6" ht="13.5" customHeight="1" x14ac:dyDescent="0.2">
      <c r="A56" s="724" t="s">
        <v>223</v>
      </c>
      <c r="B56" s="795" t="s">
        <v>5708</v>
      </c>
      <c r="C56" s="890">
        <v>-676.09</v>
      </c>
      <c r="D56" s="573"/>
      <c r="E56" s="866"/>
      <c r="F56" s="97"/>
    </row>
    <row r="57" spans="1:6" ht="13.5" customHeight="1" x14ac:dyDescent="0.2">
      <c r="A57" s="724" t="s">
        <v>223</v>
      </c>
      <c r="B57" s="795" t="s">
        <v>5708</v>
      </c>
      <c r="C57" s="890">
        <v>-704.78</v>
      </c>
      <c r="D57" s="573"/>
      <c r="E57" s="866"/>
      <c r="F57" s="97"/>
    </row>
    <row r="58" spans="1:6" ht="13.5" customHeight="1" x14ac:dyDescent="0.2">
      <c r="A58" s="724" t="s">
        <v>223</v>
      </c>
      <c r="B58" s="795" t="s">
        <v>5708</v>
      </c>
      <c r="C58" s="890">
        <v>-883.41</v>
      </c>
      <c r="D58" s="573"/>
      <c r="E58" s="866"/>
    </row>
    <row r="59" spans="1:6" ht="13.5" customHeight="1" x14ac:dyDescent="0.2">
      <c r="A59" s="724" t="s">
        <v>223</v>
      </c>
      <c r="B59" s="795" t="s">
        <v>5708</v>
      </c>
      <c r="C59" s="890">
        <v>-1519.45</v>
      </c>
      <c r="D59" s="573"/>
      <c r="E59" s="866"/>
    </row>
    <row r="60" spans="1:6" ht="13.5" customHeight="1" x14ac:dyDescent="0.2">
      <c r="A60" s="724" t="s">
        <v>223</v>
      </c>
      <c r="B60" s="795" t="s">
        <v>5708</v>
      </c>
      <c r="C60" s="890">
        <v>-1579.58</v>
      </c>
      <c r="D60" s="573"/>
      <c r="E60" s="866"/>
    </row>
    <row r="61" spans="1:6" ht="13.5" customHeight="1" x14ac:dyDescent="0.2">
      <c r="A61" s="724" t="s">
        <v>223</v>
      </c>
      <c r="B61" s="795" t="s">
        <v>5708</v>
      </c>
      <c r="C61" s="890">
        <v>-1583.65</v>
      </c>
      <c r="D61" s="573"/>
      <c r="E61" s="866"/>
    </row>
    <row r="62" spans="1:6" ht="13.5" customHeight="1" x14ac:dyDescent="0.2">
      <c r="A62" s="724" t="s">
        <v>223</v>
      </c>
      <c r="B62" s="795" t="s">
        <v>5708</v>
      </c>
      <c r="C62" s="890">
        <v>-1828.75</v>
      </c>
      <c r="D62" s="573"/>
      <c r="E62" s="866"/>
      <c r="F62" s="97"/>
    </row>
    <row r="63" spans="1:6" ht="13.5" customHeight="1" x14ac:dyDescent="0.2">
      <c r="A63" s="724" t="s">
        <v>223</v>
      </c>
      <c r="B63" s="795" t="s">
        <v>5708</v>
      </c>
      <c r="C63" s="890">
        <v>-5800.01</v>
      </c>
      <c r="D63" s="573"/>
      <c r="E63" s="866"/>
      <c r="F63" s="97"/>
    </row>
    <row r="64" spans="1:6" ht="13.5" customHeight="1" x14ac:dyDescent="0.2">
      <c r="A64" s="724" t="s">
        <v>223</v>
      </c>
      <c r="B64" s="795" t="s">
        <v>5708</v>
      </c>
      <c r="C64" s="890">
        <v>-37029.949999999997</v>
      </c>
      <c r="D64" s="573"/>
      <c r="E64" s="866"/>
      <c r="F64" s="97"/>
    </row>
    <row r="65" spans="1:6" ht="13.5" customHeight="1" x14ac:dyDescent="0.2">
      <c r="B65" s="795"/>
      <c r="C65" s="892">
        <f>SUM(C44:C64)</f>
        <v>-19819.649999999994</v>
      </c>
      <c r="D65" s="893"/>
      <c r="F65" s="97"/>
    </row>
    <row r="66" spans="1:6" ht="13.5" customHeight="1" x14ac:dyDescent="0.2">
      <c r="B66" s="795"/>
      <c r="C66" s="572"/>
      <c r="D66" s="573"/>
      <c r="F66" s="97"/>
    </row>
    <row r="67" spans="1:6" ht="13.5" customHeight="1" x14ac:dyDescent="0.2">
      <c r="A67" s="724" t="s">
        <v>224</v>
      </c>
      <c r="B67" s="795" t="s">
        <v>128</v>
      </c>
      <c r="C67" s="874">
        <v>32.549999999999997</v>
      </c>
      <c r="D67" s="889" t="s">
        <v>549</v>
      </c>
      <c r="F67" s="97"/>
    </row>
    <row r="68" spans="1:6" ht="13.5" customHeight="1" x14ac:dyDescent="0.2">
      <c r="A68" s="724" t="s">
        <v>224</v>
      </c>
      <c r="B68" s="569" t="s">
        <v>5751</v>
      </c>
      <c r="C68" s="867">
        <v>17.579999999999998</v>
      </c>
      <c r="D68" s="576"/>
    </row>
    <row r="69" spans="1:6" ht="13.5" customHeight="1" x14ac:dyDescent="0.2">
      <c r="A69" s="724" t="s">
        <v>224</v>
      </c>
      <c r="B69" s="795" t="s">
        <v>5609</v>
      </c>
      <c r="C69" s="874">
        <v>435.59</v>
      </c>
      <c r="D69" s="894" t="s">
        <v>549</v>
      </c>
    </row>
    <row r="70" spans="1:6" ht="13.5" customHeight="1" x14ac:dyDescent="0.2">
      <c r="A70" s="724" t="s">
        <v>224</v>
      </c>
      <c r="B70" s="569" t="s">
        <v>5818</v>
      </c>
      <c r="C70" s="577">
        <v>6.5</v>
      </c>
      <c r="D70" s="577"/>
    </row>
    <row r="71" spans="1:6" ht="13.5" customHeight="1" x14ac:dyDescent="0.2">
      <c r="A71" s="724" t="s">
        <v>224</v>
      </c>
      <c r="B71" s="569" t="s">
        <v>5868</v>
      </c>
      <c r="C71" s="895">
        <v>560</v>
      </c>
      <c r="D71" s="577"/>
    </row>
    <row r="72" spans="1:6" ht="13.5" customHeight="1" x14ac:dyDescent="0.2">
      <c r="B72" s="569"/>
      <c r="C72" s="896">
        <f>SUM(C67:C71)</f>
        <v>1052.22</v>
      </c>
      <c r="D72" s="894"/>
    </row>
    <row r="73" spans="1:6" ht="13.5" customHeight="1" x14ac:dyDescent="0.2">
      <c r="B73" s="569"/>
      <c r="C73" s="874"/>
      <c r="D73" s="894"/>
    </row>
    <row r="74" spans="1:6" ht="13.5" customHeight="1" x14ac:dyDescent="0.2">
      <c r="A74" s="724" t="s">
        <v>224</v>
      </c>
      <c r="B74" s="569" t="s">
        <v>5590</v>
      </c>
      <c r="C74" s="897">
        <v>70</v>
      </c>
      <c r="D74" s="576"/>
    </row>
    <row r="75" spans="1:6" ht="13.5" customHeight="1" x14ac:dyDescent="0.2">
      <c r="A75" s="724" t="s">
        <v>224</v>
      </c>
      <c r="B75" s="569" t="s">
        <v>5590</v>
      </c>
      <c r="C75" s="897">
        <v>70</v>
      </c>
      <c r="D75" s="576"/>
    </row>
    <row r="76" spans="1:6" ht="13.5" customHeight="1" x14ac:dyDescent="0.2">
      <c r="A76" s="724" t="s">
        <v>224</v>
      </c>
      <c r="B76" s="569" t="s">
        <v>5590</v>
      </c>
      <c r="C76" s="897">
        <v>70</v>
      </c>
      <c r="D76" s="889"/>
      <c r="F76" s="97"/>
    </row>
    <row r="77" spans="1:6" ht="13.5" customHeight="1" x14ac:dyDescent="0.2">
      <c r="A77" s="724" t="s">
        <v>224</v>
      </c>
      <c r="B77" s="569" t="s">
        <v>5590</v>
      </c>
      <c r="C77" s="897">
        <v>70</v>
      </c>
      <c r="D77" s="576"/>
    </row>
    <row r="78" spans="1:6" ht="13.5" customHeight="1" x14ac:dyDescent="0.2">
      <c r="A78" s="724" t="s">
        <v>224</v>
      </c>
      <c r="B78" s="569" t="s">
        <v>5589</v>
      </c>
      <c r="C78" s="897">
        <v>140</v>
      </c>
      <c r="D78" s="576"/>
      <c r="F78" s="97"/>
    </row>
    <row r="79" spans="1:6" ht="13.5" customHeight="1" x14ac:dyDescent="0.2">
      <c r="A79" s="724" t="s">
        <v>224</v>
      </c>
      <c r="B79" s="569" t="s">
        <v>5589</v>
      </c>
      <c r="C79" s="897">
        <v>140</v>
      </c>
      <c r="D79" s="576"/>
    </row>
    <row r="80" spans="1:6" ht="13.5" customHeight="1" x14ac:dyDescent="0.2">
      <c r="A80" s="724" t="s">
        <v>224</v>
      </c>
      <c r="B80" s="569" t="s">
        <v>5589</v>
      </c>
      <c r="C80" s="897">
        <v>140</v>
      </c>
      <c r="D80" s="889"/>
    </row>
    <row r="81" spans="1:6" ht="13.5" customHeight="1" x14ac:dyDescent="0.2">
      <c r="A81" s="724" t="s">
        <v>224</v>
      </c>
      <c r="B81" s="569" t="s">
        <v>5589</v>
      </c>
      <c r="C81" s="897">
        <v>140</v>
      </c>
      <c r="D81" s="898">
        <f>C82-D82</f>
        <v>560</v>
      </c>
    </row>
    <row r="82" spans="1:6" ht="13.5" customHeight="1" x14ac:dyDescent="0.2">
      <c r="B82" s="569"/>
      <c r="C82" s="899">
        <f>SUM(C74:C81)</f>
        <v>840</v>
      </c>
      <c r="D82" s="900">
        <f>C82/3</f>
        <v>280</v>
      </c>
    </row>
    <row r="83" spans="1:6" ht="13.5" customHeight="1" x14ac:dyDescent="0.2">
      <c r="B83" s="569"/>
      <c r="C83" s="577"/>
      <c r="D83" s="577"/>
    </row>
    <row r="84" spans="1:6" ht="13.5" customHeight="1" x14ac:dyDescent="0.2">
      <c r="A84" s="724" t="s">
        <v>225</v>
      </c>
      <c r="B84" s="795" t="s">
        <v>5789</v>
      </c>
      <c r="C84" s="896">
        <v>708</v>
      </c>
      <c r="D84" s="573"/>
    </row>
    <row r="85" spans="1:6" ht="13.5" customHeight="1" x14ac:dyDescent="0.2">
      <c r="B85" s="795"/>
      <c r="C85" s="901"/>
      <c r="D85" s="573"/>
    </row>
    <row r="86" spans="1:6" ht="13.5" customHeight="1" x14ac:dyDescent="0.2">
      <c r="B86" s="795"/>
      <c r="C86" s="901"/>
      <c r="D86" s="901"/>
    </row>
    <row r="87" spans="1:6" ht="13.5" customHeight="1" x14ac:dyDescent="0.2">
      <c r="A87" s="724" t="s">
        <v>224</v>
      </c>
      <c r="B87" s="569" t="s">
        <v>5668</v>
      </c>
      <c r="C87" s="874">
        <v>93</v>
      </c>
      <c r="D87" s="894" t="s">
        <v>549</v>
      </c>
    </row>
    <row r="88" spans="1:6" ht="13.5" customHeight="1" x14ac:dyDescent="0.2">
      <c r="A88" s="724" t="s">
        <v>226</v>
      </c>
      <c r="B88" s="569" t="s">
        <v>5767</v>
      </c>
      <c r="C88" s="874">
        <v>58.91</v>
      </c>
      <c r="D88" s="902" t="s">
        <v>549</v>
      </c>
      <c r="F88" s="97"/>
    </row>
    <row r="89" spans="1:6" ht="13.5" customHeight="1" x14ac:dyDescent="0.2">
      <c r="A89" s="724" t="s">
        <v>226</v>
      </c>
      <c r="B89" s="569" t="s">
        <v>5661</v>
      </c>
      <c r="C89" s="867">
        <v>90</v>
      </c>
      <c r="D89" s="576"/>
    </row>
    <row r="90" spans="1:6" ht="13.5" customHeight="1" x14ac:dyDescent="0.2">
      <c r="A90" s="724" t="s">
        <v>226</v>
      </c>
      <c r="B90" s="569" t="s">
        <v>5758</v>
      </c>
      <c r="C90" s="867">
        <v>0.7</v>
      </c>
      <c r="D90" s="889"/>
    </row>
    <row r="91" spans="1:6" ht="13.5" customHeight="1" x14ac:dyDescent="0.2">
      <c r="A91" s="724" t="s">
        <v>226</v>
      </c>
      <c r="B91" s="795" t="s">
        <v>127</v>
      </c>
      <c r="C91" s="874">
        <v>23.34</v>
      </c>
      <c r="D91" s="889" t="s">
        <v>549</v>
      </c>
    </row>
    <row r="92" spans="1:6" ht="13.5" customHeight="1" x14ac:dyDescent="0.2">
      <c r="A92" s="724" t="s">
        <v>226</v>
      </c>
      <c r="B92" s="795" t="s">
        <v>5726</v>
      </c>
      <c r="C92" s="874">
        <v>16.059999999999999</v>
      </c>
      <c r="D92" s="889" t="s">
        <v>549</v>
      </c>
    </row>
    <row r="93" spans="1:6" ht="13.5" customHeight="1" x14ac:dyDescent="0.2">
      <c r="A93" s="724" t="s">
        <v>226</v>
      </c>
      <c r="B93" s="795" t="s">
        <v>109</v>
      </c>
      <c r="C93" s="874">
        <v>23.34</v>
      </c>
      <c r="D93" s="889" t="s">
        <v>549</v>
      </c>
    </row>
    <row r="94" spans="1:6" ht="13.5" customHeight="1" x14ac:dyDescent="0.2">
      <c r="A94" s="724" t="s">
        <v>226</v>
      </c>
      <c r="B94" s="795" t="s">
        <v>5607</v>
      </c>
      <c r="C94" s="874">
        <v>57.75</v>
      </c>
      <c r="D94" s="894" t="s">
        <v>549</v>
      </c>
    </row>
    <row r="95" spans="1:6" ht="13.5" customHeight="1" x14ac:dyDescent="0.2">
      <c r="A95" s="724" t="s">
        <v>226</v>
      </c>
      <c r="B95" s="569" t="s">
        <v>5713</v>
      </c>
      <c r="C95" s="874">
        <v>240.49</v>
      </c>
      <c r="D95" s="889" t="s">
        <v>549</v>
      </c>
    </row>
    <row r="96" spans="1:6" ht="13.5" customHeight="1" x14ac:dyDescent="0.2">
      <c r="A96" s="724" t="s">
        <v>226</v>
      </c>
      <c r="B96" s="569" t="s">
        <v>5702</v>
      </c>
      <c r="C96" s="874">
        <v>51.62</v>
      </c>
      <c r="D96" s="894" t="s">
        <v>549</v>
      </c>
    </row>
    <row r="97" spans="1:6" ht="13.5" customHeight="1" x14ac:dyDescent="0.2">
      <c r="A97" s="724" t="s">
        <v>226</v>
      </c>
      <c r="B97" s="569" t="s">
        <v>5575</v>
      </c>
      <c r="C97" s="874">
        <v>400</v>
      </c>
      <c r="D97" s="894" t="s">
        <v>549</v>
      </c>
    </row>
    <row r="98" spans="1:6" ht="13.5" customHeight="1" x14ac:dyDescent="0.2">
      <c r="A98" s="724" t="s">
        <v>226</v>
      </c>
      <c r="B98" s="569" t="s">
        <v>5820</v>
      </c>
      <c r="C98" s="577">
        <v>50</v>
      </c>
      <c r="D98" s="577"/>
      <c r="F98" s="97"/>
    </row>
    <row r="99" spans="1:6" ht="13.5" customHeight="1" x14ac:dyDescent="0.2">
      <c r="A99" s="724" t="s">
        <v>226</v>
      </c>
      <c r="B99" s="766" t="s">
        <v>5869</v>
      </c>
      <c r="C99" s="577">
        <f>442/2</f>
        <v>221</v>
      </c>
      <c r="D99" s="577"/>
      <c r="F99" s="97"/>
    </row>
    <row r="100" spans="1:6" ht="13.5" customHeight="1" x14ac:dyDescent="0.2">
      <c r="B100" s="766"/>
      <c r="C100" s="903">
        <f>SUM(C87:C99)</f>
        <v>1326.21</v>
      </c>
      <c r="D100" s="577"/>
      <c r="F100" s="97"/>
    </row>
    <row r="101" spans="1:6" ht="13.5" customHeight="1" x14ac:dyDescent="0.2">
      <c r="B101" s="569"/>
      <c r="C101" s="577"/>
      <c r="D101" s="577"/>
      <c r="F101" s="97"/>
    </row>
    <row r="102" spans="1:6" ht="13.5" customHeight="1" x14ac:dyDescent="0.2">
      <c r="A102" s="724" t="s">
        <v>226</v>
      </c>
      <c r="B102" s="795" t="s">
        <v>199</v>
      </c>
      <c r="C102" s="874">
        <v>72.36</v>
      </c>
      <c r="D102" s="573"/>
    </row>
    <row r="103" spans="1:6" ht="13.5" customHeight="1" x14ac:dyDescent="0.2">
      <c r="A103" s="724" t="s">
        <v>226</v>
      </c>
      <c r="B103" s="569" t="s">
        <v>5663</v>
      </c>
      <c r="C103" s="867">
        <v>21</v>
      </c>
      <c r="D103" s="576"/>
    </row>
    <row r="104" spans="1:6" ht="13.5" customHeight="1" x14ac:dyDescent="0.2">
      <c r="A104" s="724" t="s">
        <v>226</v>
      </c>
      <c r="B104" s="569" t="s">
        <v>5782</v>
      </c>
      <c r="C104" s="874">
        <v>100.94</v>
      </c>
      <c r="D104" s="573"/>
    </row>
    <row r="105" spans="1:6" ht="13.5" customHeight="1" x14ac:dyDescent="0.2">
      <c r="A105" s="724" t="s">
        <v>226</v>
      </c>
      <c r="B105" s="569" t="s">
        <v>5645</v>
      </c>
      <c r="C105" s="867">
        <v>21</v>
      </c>
      <c r="D105" s="576"/>
    </row>
    <row r="106" spans="1:6" ht="13.5" customHeight="1" x14ac:dyDescent="0.2">
      <c r="A106" s="724" t="s">
        <v>226</v>
      </c>
      <c r="B106" s="569" t="s">
        <v>5583</v>
      </c>
      <c r="C106" s="874">
        <v>13</v>
      </c>
      <c r="D106" s="894" t="s">
        <v>549</v>
      </c>
    </row>
    <row r="107" spans="1:6" ht="13.5" customHeight="1" x14ac:dyDescent="0.2">
      <c r="A107" s="724" t="s">
        <v>226</v>
      </c>
      <c r="B107" s="569" t="s">
        <v>5706</v>
      </c>
      <c r="C107" s="874">
        <v>7500</v>
      </c>
      <c r="D107" s="889" t="s">
        <v>549</v>
      </c>
    </row>
    <row r="108" spans="1:6" ht="13.5" customHeight="1" x14ac:dyDescent="0.2">
      <c r="A108" s="724" t="s">
        <v>226</v>
      </c>
      <c r="B108" s="569" t="s">
        <v>5827</v>
      </c>
      <c r="C108" s="577">
        <v>12.58</v>
      </c>
      <c r="D108" s="577"/>
      <c r="F108" s="97"/>
    </row>
    <row r="109" spans="1:6" ht="13.5" customHeight="1" x14ac:dyDescent="0.2">
      <c r="A109" s="724" t="s">
        <v>226</v>
      </c>
      <c r="B109" s="569" t="s">
        <v>5764</v>
      </c>
      <c r="C109" s="867">
        <v>44.99</v>
      </c>
      <c r="D109" s="889"/>
      <c r="F109" s="97"/>
    </row>
    <row r="110" spans="1:6" ht="13.5" customHeight="1" x14ac:dyDescent="0.2">
      <c r="A110" s="724" t="s">
        <v>226</v>
      </c>
      <c r="B110" s="766" t="s">
        <v>5869</v>
      </c>
      <c r="C110" s="577">
        <f>442/2</f>
        <v>221</v>
      </c>
      <c r="D110" s="577"/>
      <c r="F110" s="97"/>
    </row>
    <row r="111" spans="1:6" ht="13.5" customHeight="1" x14ac:dyDescent="0.2">
      <c r="B111" s="569"/>
      <c r="C111" s="896">
        <f>SUM(C102:C110)</f>
        <v>8006.87</v>
      </c>
      <c r="D111" s="901"/>
      <c r="F111" s="97"/>
    </row>
    <row r="112" spans="1:6" ht="13.5" customHeight="1" x14ac:dyDescent="0.2">
      <c r="B112" s="569"/>
      <c r="C112" s="874"/>
      <c r="D112" s="894"/>
      <c r="F112" s="97"/>
    </row>
    <row r="113" spans="1:6" ht="13.5" customHeight="1" x14ac:dyDescent="0.2">
      <c r="A113" s="724" t="s">
        <v>229</v>
      </c>
      <c r="B113" s="569" t="s">
        <v>5732</v>
      </c>
      <c r="C113" s="874">
        <v>106.04</v>
      </c>
      <c r="D113" s="889" t="s">
        <v>549</v>
      </c>
    </row>
    <row r="114" spans="1:6" ht="13.5" customHeight="1" x14ac:dyDescent="0.2">
      <c r="A114" s="724" t="s">
        <v>229</v>
      </c>
      <c r="B114" s="569" t="s">
        <v>5562</v>
      </c>
      <c r="C114" s="867">
        <v>11.9</v>
      </c>
      <c r="D114" s="894"/>
    </row>
    <row r="115" spans="1:6" ht="13.5" customHeight="1" x14ac:dyDescent="0.2">
      <c r="A115" s="724" t="s">
        <v>229</v>
      </c>
      <c r="B115" s="569" t="s">
        <v>5561</v>
      </c>
      <c r="C115" s="867">
        <v>25.9</v>
      </c>
      <c r="D115" s="894"/>
    </row>
    <row r="116" spans="1:6" ht="13.5" customHeight="1" x14ac:dyDescent="0.2">
      <c r="A116" s="724" t="s">
        <v>229</v>
      </c>
      <c r="B116" s="569" t="s">
        <v>4091</v>
      </c>
      <c r="C116" s="904">
        <v>900</v>
      </c>
      <c r="D116" s="576"/>
    </row>
    <row r="117" spans="1:6" ht="13.5" customHeight="1" x14ac:dyDescent="0.2">
      <c r="A117" s="724" t="s">
        <v>229</v>
      </c>
      <c r="B117" s="569" t="s">
        <v>5566</v>
      </c>
      <c r="C117" s="867">
        <v>100</v>
      </c>
      <c r="D117" s="894"/>
    </row>
    <row r="118" spans="1:6" ht="13.5" customHeight="1" x14ac:dyDescent="0.2">
      <c r="A118" s="724" t="s">
        <v>243</v>
      </c>
      <c r="B118" s="569" t="s">
        <v>5734</v>
      </c>
      <c r="C118" s="874">
        <v>187.45</v>
      </c>
      <c r="D118" s="889" t="s">
        <v>549</v>
      </c>
    </row>
    <row r="119" spans="1:6" ht="13.5" customHeight="1" x14ac:dyDescent="0.2">
      <c r="A119" s="724" t="s">
        <v>229</v>
      </c>
      <c r="B119" s="569" t="s">
        <v>5815</v>
      </c>
      <c r="C119" s="577">
        <v>7.98</v>
      </c>
      <c r="D119" s="577"/>
    </row>
    <row r="120" spans="1:6" ht="13.5" customHeight="1" x14ac:dyDescent="0.2">
      <c r="A120" s="724" t="s">
        <v>229</v>
      </c>
      <c r="B120" s="569" t="s">
        <v>5601</v>
      </c>
      <c r="C120" s="867">
        <v>5.0999999999999996</v>
      </c>
      <c r="D120" s="576"/>
    </row>
    <row r="121" spans="1:6" ht="13.5" customHeight="1" x14ac:dyDescent="0.2">
      <c r="A121" s="724" t="s">
        <v>229</v>
      </c>
      <c r="B121" s="569" t="s">
        <v>5748</v>
      </c>
      <c r="C121" s="867">
        <v>5.75</v>
      </c>
      <c r="D121" s="576"/>
    </row>
    <row r="122" spans="1:6" ht="13.5" customHeight="1" x14ac:dyDescent="0.2">
      <c r="A122" s="724" t="s">
        <v>229</v>
      </c>
      <c r="B122" s="569" t="s">
        <v>5563</v>
      </c>
      <c r="C122" s="867">
        <v>11.3</v>
      </c>
      <c r="D122" s="894"/>
    </row>
    <row r="123" spans="1:6" ht="13.5" customHeight="1" x14ac:dyDescent="0.2">
      <c r="A123" s="724" t="s">
        <v>229</v>
      </c>
      <c r="B123" s="569" t="s">
        <v>5759</v>
      </c>
      <c r="C123" s="867">
        <v>6.45</v>
      </c>
      <c r="D123" s="889"/>
    </row>
    <row r="124" spans="1:6" ht="13.5" customHeight="1" x14ac:dyDescent="0.2">
      <c r="A124" s="724" t="s">
        <v>229</v>
      </c>
      <c r="B124" s="569" t="s">
        <v>5658</v>
      </c>
      <c r="C124" s="867">
        <v>3.35</v>
      </c>
      <c r="D124" s="576"/>
    </row>
    <row r="125" spans="1:6" ht="13.5" customHeight="1" x14ac:dyDescent="0.2">
      <c r="A125" s="724" t="s">
        <v>229</v>
      </c>
      <c r="B125" s="569" t="s">
        <v>5565</v>
      </c>
      <c r="C125" s="867">
        <v>6.99</v>
      </c>
      <c r="D125" s="894"/>
    </row>
    <row r="126" spans="1:6" ht="13.5" customHeight="1" x14ac:dyDescent="0.2">
      <c r="A126" s="724" t="s">
        <v>229</v>
      </c>
      <c r="B126" s="569" t="s">
        <v>5660</v>
      </c>
      <c r="C126" s="867">
        <v>6.3</v>
      </c>
      <c r="D126" s="576"/>
    </row>
    <row r="127" spans="1:6" ht="13.5" customHeight="1" x14ac:dyDescent="0.2">
      <c r="A127" s="724" t="s">
        <v>229</v>
      </c>
      <c r="B127" s="569" t="s">
        <v>5660</v>
      </c>
      <c r="C127" s="867">
        <v>18.38</v>
      </c>
      <c r="D127" s="889"/>
      <c r="F127" s="97"/>
    </row>
    <row r="128" spans="1:6" ht="13.5" customHeight="1" x14ac:dyDescent="0.2">
      <c r="A128" s="724" t="s">
        <v>229</v>
      </c>
      <c r="B128" s="569" t="s">
        <v>5689</v>
      </c>
      <c r="C128" s="874">
        <v>39.450000000000003</v>
      </c>
      <c r="D128" s="894" t="s">
        <v>549</v>
      </c>
    </row>
    <row r="129" spans="1:6" ht="13.5" customHeight="1" x14ac:dyDescent="0.2">
      <c r="A129" s="724" t="s">
        <v>229</v>
      </c>
      <c r="B129" s="569" t="s">
        <v>5600</v>
      </c>
      <c r="C129" s="867">
        <v>12</v>
      </c>
      <c r="D129" s="576"/>
    </row>
    <row r="130" spans="1:6" ht="13.5" customHeight="1" x14ac:dyDescent="0.2">
      <c r="A130" s="724" t="s">
        <v>229</v>
      </c>
      <c r="B130" s="569" t="s">
        <v>5600</v>
      </c>
      <c r="C130" s="867">
        <v>15.52</v>
      </c>
      <c r="D130" s="889"/>
    </row>
    <row r="131" spans="1:6" ht="13.5" customHeight="1" x14ac:dyDescent="0.2">
      <c r="A131" s="724" t="s">
        <v>229</v>
      </c>
      <c r="B131" s="569" t="s">
        <v>5801</v>
      </c>
      <c r="C131" s="874">
        <v>1650</v>
      </c>
      <c r="D131" s="573"/>
    </row>
    <row r="132" spans="1:6" ht="13.5" customHeight="1" x14ac:dyDescent="0.2">
      <c r="A132" s="724" t="s">
        <v>229</v>
      </c>
      <c r="B132" s="569" t="s">
        <v>5620</v>
      </c>
      <c r="C132" s="867">
        <v>500</v>
      </c>
      <c r="D132" s="576"/>
    </row>
    <row r="133" spans="1:6" ht="13.5" customHeight="1" x14ac:dyDescent="0.2">
      <c r="A133" s="724" t="s">
        <v>229</v>
      </c>
      <c r="B133" s="569" t="s">
        <v>5619</v>
      </c>
      <c r="C133" s="867">
        <v>1000</v>
      </c>
      <c r="D133" s="576"/>
    </row>
    <row r="134" spans="1:6" ht="13.5" customHeight="1" x14ac:dyDescent="0.2">
      <c r="A134" s="724" t="s">
        <v>229</v>
      </c>
      <c r="B134" s="569" t="s">
        <v>5870</v>
      </c>
      <c r="C134" s="905">
        <v>280</v>
      </c>
      <c r="D134" s="573"/>
    </row>
    <row r="135" spans="1:6" ht="13.5" customHeight="1" x14ac:dyDescent="0.2">
      <c r="B135" s="569"/>
      <c r="C135" s="874">
        <f>SUM(C113:C134)</f>
        <v>4899.8599999999997</v>
      </c>
      <c r="D135" s="901">
        <f>C135/2</f>
        <v>2449.9299999999998</v>
      </c>
    </row>
    <row r="136" spans="1:6" ht="13.5" customHeight="1" x14ac:dyDescent="0.2">
      <c r="B136" s="569"/>
      <c r="C136" s="874"/>
      <c r="D136" s="573"/>
      <c r="E136" s="866"/>
    </row>
    <row r="137" spans="1:6" ht="13.5" customHeight="1" x14ac:dyDescent="0.2">
      <c r="A137" s="724" t="s">
        <v>418</v>
      </c>
      <c r="B137" s="569" t="s">
        <v>177</v>
      </c>
      <c r="C137" s="874">
        <v>307.26</v>
      </c>
      <c r="D137" s="573"/>
    </row>
    <row r="138" spans="1:6" ht="13.5" customHeight="1" x14ac:dyDescent="0.2">
      <c r="A138" s="724" t="s">
        <v>418</v>
      </c>
      <c r="B138" s="569" t="s">
        <v>5778</v>
      </c>
      <c r="C138" s="874">
        <v>111.37</v>
      </c>
      <c r="D138" s="573"/>
    </row>
    <row r="139" spans="1:6" ht="13.5" customHeight="1" x14ac:dyDescent="0.2">
      <c r="A139" s="724" t="s">
        <v>418</v>
      </c>
      <c r="B139" s="569" t="s">
        <v>5780</v>
      </c>
      <c r="C139" s="874">
        <v>32.78</v>
      </c>
      <c r="D139" s="573"/>
    </row>
    <row r="140" spans="1:6" ht="13.5" customHeight="1" x14ac:dyDescent="0.2">
      <c r="B140" s="569"/>
      <c r="C140" s="896">
        <f>SUM(C137:C139)</f>
        <v>451.40999999999997</v>
      </c>
      <c r="D140" s="901"/>
    </row>
    <row r="141" spans="1:6" ht="13.5" customHeight="1" x14ac:dyDescent="0.2">
      <c r="B141" s="569"/>
      <c r="C141" s="874"/>
      <c r="D141" s="573"/>
    </row>
    <row r="142" spans="1:6" ht="13.5" customHeight="1" x14ac:dyDescent="0.2">
      <c r="A142" s="724" t="s">
        <v>231</v>
      </c>
      <c r="B142" s="569" t="s">
        <v>198</v>
      </c>
      <c r="C142" s="896">
        <v>1583.65</v>
      </c>
      <c r="D142" s="573"/>
      <c r="F142" s="97"/>
    </row>
    <row r="143" spans="1:6" ht="13.5" customHeight="1" x14ac:dyDescent="0.2">
      <c r="B143" s="569"/>
      <c r="C143" s="874"/>
      <c r="D143" s="573"/>
      <c r="F143" s="97"/>
    </row>
    <row r="144" spans="1:6" ht="13.5" customHeight="1" x14ac:dyDescent="0.2">
      <c r="A144" s="724" t="s">
        <v>5871</v>
      </c>
      <c r="B144" s="569" t="s">
        <v>5737</v>
      </c>
      <c r="C144" s="874">
        <v>80</v>
      </c>
      <c r="D144" s="889" t="s">
        <v>549</v>
      </c>
    </row>
    <row r="145" spans="1:6" ht="13.5" customHeight="1" x14ac:dyDescent="0.2">
      <c r="A145" s="724" t="s">
        <v>244</v>
      </c>
      <c r="B145" s="569" t="s">
        <v>5678</v>
      </c>
      <c r="C145" s="867">
        <v>60</v>
      </c>
      <c r="D145" s="576"/>
      <c r="F145" s="97"/>
    </row>
    <row r="146" spans="1:6" ht="13.5" customHeight="1" x14ac:dyDescent="0.2">
      <c r="A146" s="724" t="s">
        <v>244</v>
      </c>
      <c r="B146" s="569" t="s">
        <v>5753</v>
      </c>
      <c r="C146" s="874">
        <v>240</v>
      </c>
      <c r="D146" s="889" t="s">
        <v>549</v>
      </c>
    </row>
    <row r="147" spans="1:6" ht="13.5" customHeight="1" x14ac:dyDescent="0.2">
      <c r="A147" s="724" t="s">
        <v>244</v>
      </c>
      <c r="B147" s="569" t="s">
        <v>5824</v>
      </c>
      <c r="C147" s="577">
        <v>206.8</v>
      </c>
      <c r="D147" s="577"/>
    </row>
    <row r="148" spans="1:6" ht="13.5" customHeight="1" x14ac:dyDescent="0.2">
      <c r="B148" s="569"/>
      <c r="C148" s="899">
        <f>SUM(C144:C147)</f>
        <v>586.79999999999995</v>
      </c>
      <c r="D148" s="818">
        <f>'Ago17(2)'!C148/2</f>
        <v>293.39999999999998</v>
      </c>
    </row>
    <row r="149" spans="1:6" ht="13.5" customHeight="1" x14ac:dyDescent="0.2">
      <c r="B149" s="569"/>
      <c r="C149" s="577"/>
      <c r="D149" s="577"/>
    </row>
    <row r="150" spans="1:6" ht="13.5" customHeight="1" x14ac:dyDescent="0.2">
      <c r="A150" s="724" t="s">
        <v>232</v>
      </c>
      <c r="B150" s="569" t="s">
        <v>5872</v>
      </c>
      <c r="C150" s="874">
        <v>704.78</v>
      </c>
      <c r="D150" s="573"/>
    </row>
    <row r="151" spans="1:6" ht="13.5" customHeight="1" x14ac:dyDescent="0.2">
      <c r="A151" s="724" t="s">
        <v>232</v>
      </c>
      <c r="B151" s="569" t="s">
        <v>5873</v>
      </c>
      <c r="C151" s="867">
        <v>200</v>
      </c>
      <c r="D151" s="576"/>
    </row>
    <row r="152" spans="1:6" ht="13.5" customHeight="1" x14ac:dyDescent="0.2">
      <c r="A152" s="724" t="s">
        <v>232</v>
      </c>
      <c r="B152" s="569" t="s">
        <v>5874</v>
      </c>
      <c r="C152" s="867">
        <v>19.5</v>
      </c>
      <c r="D152" s="576"/>
    </row>
    <row r="153" spans="1:6" ht="13.5" customHeight="1" x14ac:dyDescent="0.2">
      <c r="A153" s="724" t="s">
        <v>232</v>
      </c>
      <c r="B153" s="569" t="s">
        <v>5875</v>
      </c>
      <c r="C153" s="867">
        <v>34.4</v>
      </c>
      <c r="D153" s="894"/>
    </row>
    <row r="154" spans="1:6" ht="13.5" customHeight="1" x14ac:dyDescent="0.2">
      <c r="A154" s="724" t="s">
        <v>232</v>
      </c>
      <c r="B154" s="569" t="s">
        <v>5876</v>
      </c>
      <c r="C154" s="867">
        <v>16</v>
      </c>
      <c r="D154" s="889"/>
    </row>
    <row r="155" spans="1:6" ht="13.5" customHeight="1" x14ac:dyDescent="0.2">
      <c r="A155" s="724" t="s">
        <v>232</v>
      </c>
      <c r="B155" s="569" t="s">
        <v>5602</v>
      </c>
      <c r="C155" s="867">
        <v>17</v>
      </c>
      <c r="D155" s="576"/>
    </row>
    <row r="156" spans="1:6" ht="13.5" customHeight="1" x14ac:dyDescent="0.2">
      <c r="A156" s="724" t="s">
        <v>232</v>
      </c>
      <c r="B156" s="569" t="s">
        <v>5659</v>
      </c>
      <c r="C156" s="867">
        <v>17</v>
      </c>
      <c r="D156" s="576"/>
    </row>
    <row r="157" spans="1:6" ht="13.5" customHeight="1" x14ac:dyDescent="0.2">
      <c r="A157" s="724" t="s">
        <v>232</v>
      </c>
      <c r="B157" s="569" t="s">
        <v>5877</v>
      </c>
      <c r="C157" s="867">
        <v>14</v>
      </c>
      <c r="D157" s="576"/>
    </row>
    <row r="158" spans="1:6" ht="13.5" customHeight="1" x14ac:dyDescent="0.2">
      <c r="A158" s="724" t="s">
        <v>232</v>
      </c>
      <c r="B158" s="569" t="s">
        <v>5605</v>
      </c>
      <c r="C158" s="867">
        <v>35</v>
      </c>
      <c r="D158" s="576"/>
    </row>
    <row r="159" spans="1:6" ht="13.5" customHeight="1" x14ac:dyDescent="0.2">
      <c r="A159" s="724" t="s">
        <v>232</v>
      </c>
      <c r="B159" s="569" t="s">
        <v>5635</v>
      </c>
      <c r="C159" s="874">
        <v>8</v>
      </c>
      <c r="D159" s="894" t="s">
        <v>549</v>
      </c>
    </row>
    <row r="160" spans="1:6" ht="13.5" customHeight="1" x14ac:dyDescent="0.2">
      <c r="A160" s="724" t="s">
        <v>232</v>
      </c>
      <c r="B160" s="569" t="s">
        <v>5635</v>
      </c>
      <c r="C160" s="874">
        <v>7.83</v>
      </c>
      <c r="D160" s="894" t="s">
        <v>549</v>
      </c>
    </row>
    <row r="161" spans="1:6" ht="13.5" customHeight="1" x14ac:dyDescent="0.2">
      <c r="A161" s="724" t="s">
        <v>232</v>
      </c>
      <c r="B161" s="569" t="s">
        <v>5878</v>
      </c>
      <c r="C161" s="874">
        <v>749.6</v>
      </c>
      <c r="D161" s="573"/>
    </row>
    <row r="162" spans="1:6" ht="13.5" customHeight="1" x14ac:dyDescent="0.2">
      <c r="A162" s="724" t="s">
        <v>232</v>
      </c>
      <c r="B162" s="795" t="s">
        <v>5879</v>
      </c>
      <c r="C162" s="874">
        <v>393.36</v>
      </c>
      <c r="D162" s="573"/>
    </row>
    <row r="163" spans="1:6" ht="13.5" customHeight="1" x14ac:dyDescent="0.2">
      <c r="A163" s="724" t="s">
        <v>232</v>
      </c>
      <c r="B163" s="569" t="s">
        <v>5593</v>
      </c>
      <c r="C163" s="867">
        <v>60</v>
      </c>
      <c r="D163" s="576"/>
    </row>
    <row r="164" spans="1:6" ht="13.5" customHeight="1" x14ac:dyDescent="0.2">
      <c r="A164" s="724" t="s">
        <v>232</v>
      </c>
      <c r="B164" s="569" t="s">
        <v>5593</v>
      </c>
      <c r="C164" s="867">
        <v>240</v>
      </c>
      <c r="D164" s="889"/>
    </row>
    <row r="165" spans="1:6" ht="13.5" customHeight="1" x14ac:dyDescent="0.2">
      <c r="A165" s="724" t="s">
        <v>232</v>
      </c>
      <c r="B165" s="569" t="s">
        <v>5593</v>
      </c>
      <c r="C165" s="867">
        <v>300</v>
      </c>
      <c r="D165" s="576"/>
      <c r="F165" s="97"/>
    </row>
    <row r="166" spans="1:6" ht="13.5" customHeight="1" x14ac:dyDescent="0.2">
      <c r="A166" s="724" t="s">
        <v>232</v>
      </c>
      <c r="B166" s="569" t="s">
        <v>5593</v>
      </c>
      <c r="C166" s="867">
        <v>300</v>
      </c>
      <c r="D166" s="576"/>
      <c r="F166" s="97"/>
    </row>
    <row r="167" spans="1:6" ht="13.5" customHeight="1" x14ac:dyDescent="0.2">
      <c r="A167" s="724" t="s">
        <v>232</v>
      </c>
      <c r="B167" s="569" t="s">
        <v>5591</v>
      </c>
      <c r="C167" s="867">
        <v>600</v>
      </c>
      <c r="D167" s="576"/>
      <c r="F167" s="97"/>
    </row>
    <row r="168" spans="1:6" ht="13.5" customHeight="1" x14ac:dyDescent="0.2">
      <c r="A168" s="724" t="s">
        <v>232</v>
      </c>
      <c r="B168" s="569" t="s">
        <v>5591</v>
      </c>
      <c r="C168" s="867">
        <v>600</v>
      </c>
      <c r="D168" s="576"/>
      <c r="F168" s="97"/>
    </row>
    <row r="169" spans="1:6" ht="13.5" customHeight="1" x14ac:dyDescent="0.2">
      <c r="A169" s="724" t="s">
        <v>232</v>
      </c>
      <c r="B169" s="569" t="s">
        <v>5591</v>
      </c>
      <c r="C169" s="867">
        <v>600</v>
      </c>
      <c r="D169" s="889"/>
      <c r="F169" s="97"/>
    </row>
    <row r="170" spans="1:6" ht="13.5" customHeight="1" x14ac:dyDescent="0.2">
      <c r="A170" s="724" t="s">
        <v>232</v>
      </c>
      <c r="B170" s="569" t="s">
        <v>5591</v>
      </c>
      <c r="C170" s="867">
        <v>600</v>
      </c>
      <c r="D170" s="576"/>
    </row>
    <row r="171" spans="1:6" ht="13.5" customHeight="1" x14ac:dyDescent="0.2">
      <c r="A171" s="724" t="s">
        <v>232</v>
      </c>
      <c r="B171" s="569" t="s">
        <v>5594</v>
      </c>
      <c r="C171" s="867">
        <v>200</v>
      </c>
      <c r="D171" s="576"/>
    </row>
    <row r="172" spans="1:6" ht="13.5" customHeight="1" x14ac:dyDescent="0.2">
      <c r="A172" s="724" t="s">
        <v>232</v>
      </c>
      <c r="B172" s="569" t="s">
        <v>5592</v>
      </c>
      <c r="C172" s="867">
        <v>250</v>
      </c>
      <c r="D172" s="576"/>
      <c r="F172" s="97"/>
    </row>
    <row r="173" spans="1:6" ht="13.5" customHeight="1" x14ac:dyDescent="0.2">
      <c r="A173" s="724" t="s">
        <v>232</v>
      </c>
      <c r="B173" s="569" t="s">
        <v>5592</v>
      </c>
      <c r="C173" s="867">
        <v>250</v>
      </c>
      <c r="D173" s="576"/>
      <c r="F173" s="97"/>
    </row>
    <row r="174" spans="1:6" ht="13.5" customHeight="1" x14ac:dyDescent="0.2">
      <c r="A174" s="724" t="s">
        <v>232</v>
      </c>
      <c r="B174" s="569" t="s">
        <v>5592</v>
      </c>
      <c r="C174" s="867">
        <v>250</v>
      </c>
      <c r="D174" s="889"/>
      <c r="F174" s="97"/>
    </row>
    <row r="175" spans="1:6" ht="13.5" customHeight="1" x14ac:dyDescent="0.2">
      <c r="A175" s="724" t="s">
        <v>232</v>
      </c>
      <c r="B175" s="569" t="s">
        <v>5592</v>
      </c>
      <c r="C175" s="867">
        <v>250</v>
      </c>
      <c r="D175" s="576"/>
      <c r="F175" s="97"/>
    </row>
    <row r="176" spans="1:6" ht="13.5" customHeight="1" x14ac:dyDescent="0.2">
      <c r="A176" s="724" t="s">
        <v>232</v>
      </c>
      <c r="B176" s="569" t="s">
        <v>5880</v>
      </c>
      <c r="C176" s="874">
        <v>950.84</v>
      </c>
      <c r="D176" s="573"/>
      <c r="F176" s="97"/>
    </row>
    <row r="177" spans="1:6" ht="13.5" customHeight="1" x14ac:dyDescent="0.2">
      <c r="A177" s="724" t="s">
        <v>232</v>
      </c>
      <c r="B177" s="569" t="s">
        <v>5881</v>
      </c>
      <c r="C177" s="874">
        <v>568.61</v>
      </c>
      <c r="D177" s="573"/>
      <c r="F177" s="97"/>
    </row>
    <row r="178" spans="1:6" ht="13.5" customHeight="1" x14ac:dyDescent="0.2">
      <c r="A178" s="724" t="s">
        <v>232</v>
      </c>
      <c r="B178" s="569" t="s">
        <v>5882</v>
      </c>
      <c r="C178" s="874">
        <v>950.84</v>
      </c>
      <c r="D178" s="573"/>
      <c r="F178" s="97"/>
    </row>
    <row r="179" spans="1:6" ht="13.5" customHeight="1" x14ac:dyDescent="0.2">
      <c r="A179" s="724" t="s">
        <v>232</v>
      </c>
      <c r="B179" s="569" t="s">
        <v>5883</v>
      </c>
      <c r="C179" s="874">
        <v>568.61</v>
      </c>
      <c r="D179" s="573"/>
      <c r="F179" s="97"/>
    </row>
    <row r="180" spans="1:6" ht="13.5" customHeight="1" x14ac:dyDescent="0.2">
      <c r="A180" s="724" t="s">
        <v>232</v>
      </c>
      <c r="B180" s="569" t="s">
        <v>5775</v>
      </c>
      <c r="C180" s="874">
        <v>67.44</v>
      </c>
      <c r="D180" s="573"/>
    </row>
    <row r="181" spans="1:6" ht="13.5" customHeight="1" x14ac:dyDescent="0.2">
      <c r="A181" s="724" t="s">
        <v>232</v>
      </c>
      <c r="B181" s="569" t="s">
        <v>5775</v>
      </c>
      <c r="C181" s="874">
        <v>60.13</v>
      </c>
      <c r="D181" s="573"/>
    </row>
    <row r="182" spans="1:6" ht="13.5" customHeight="1" x14ac:dyDescent="0.2">
      <c r="A182" s="724" t="s">
        <v>232</v>
      </c>
      <c r="B182" s="569" t="s">
        <v>5681</v>
      </c>
      <c r="C182" s="874">
        <v>75.900000000000006</v>
      </c>
      <c r="D182" s="894" t="s">
        <v>549</v>
      </c>
    </row>
    <row r="183" spans="1:6" ht="13.5" customHeight="1" x14ac:dyDescent="0.2">
      <c r="B183" s="569"/>
      <c r="C183" s="896">
        <f>SUM(C150:C182)</f>
        <v>9958.84</v>
      </c>
      <c r="D183" s="573"/>
    </row>
    <row r="184" spans="1:6" ht="13.5" customHeight="1" x14ac:dyDescent="0.2">
      <c r="B184" s="569"/>
      <c r="C184" s="874"/>
      <c r="D184" s="573"/>
    </row>
    <row r="185" spans="1:6" ht="13.5" customHeight="1" x14ac:dyDescent="0.2">
      <c r="A185" s="724" t="s">
        <v>234</v>
      </c>
      <c r="B185" s="569" t="s">
        <v>5819</v>
      </c>
      <c r="C185" s="577">
        <v>27.5</v>
      </c>
      <c r="D185" s="577"/>
      <c r="F185" s="97"/>
    </row>
    <row r="186" spans="1:6" ht="13.5" customHeight="1" x14ac:dyDescent="0.2">
      <c r="A186" s="724" t="s">
        <v>234</v>
      </c>
      <c r="B186" s="569" t="s">
        <v>5765</v>
      </c>
      <c r="C186" s="867">
        <v>1.55</v>
      </c>
      <c r="D186" s="889"/>
      <c r="F186" s="97"/>
    </row>
    <row r="187" spans="1:6" ht="13.5" customHeight="1" x14ac:dyDescent="0.2">
      <c r="A187" s="724" t="s">
        <v>234</v>
      </c>
      <c r="B187" s="569" t="s">
        <v>5698</v>
      </c>
      <c r="C187" s="867">
        <v>8</v>
      </c>
      <c r="D187" s="889"/>
      <c r="F187" s="97"/>
    </row>
    <row r="188" spans="1:6" ht="13.5" customHeight="1" x14ac:dyDescent="0.2">
      <c r="A188" s="724" t="s">
        <v>234</v>
      </c>
      <c r="B188" s="569" t="s">
        <v>5698</v>
      </c>
      <c r="C188" s="867">
        <v>9.5</v>
      </c>
      <c r="D188" s="576"/>
    </row>
    <row r="189" spans="1:6" ht="13.5" customHeight="1" x14ac:dyDescent="0.2">
      <c r="A189" s="724" t="s">
        <v>234</v>
      </c>
      <c r="B189" s="569" t="s">
        <v>5698</v>
      </c>
      <c r="C189" s="867">
        <v>15</v>
      </c>
      <c r="D189" s="576"/>
    </row>
    <row r="190" spans="1:6" ht="13.5" customHeight="1" x14ac:dyDescent="0.2">
      <c r="A190" s="724" t="s">
        <v>234</v>
      </c>
      <c r="B190" s="569" t="s">
        <v>5717</v>
      </c>
      <c r="C190" s="867">
        <v>22.3</v>
      </c>
      <c r="D190" s="889"/>
    </row>
    <row r="191" spans="1:6" ht="13.5" customHeight="1" x14ac:dyDescent="0.2">
      <c r="A191" s="724" t="s">
        <v>234</v>
      </c>
      <c r="B191" s="569" t="s">
        <v>5630</v>
      </c>
      <c r="C191" s="874">
        <v>158</v>
      </c>
      <c r="D191" s="894" t="s">
        <v>549</v>
      </c>
    </row>
    <row r="192" spans="1:6" ht="13.5" customHeight="1" x14ac:dyDescent="0.2">
      <c r="A192" s="724" t="s">
        <v>234</v>
      </c>
      <c r="B192" s="569" t="s">
        <v>5762</v>
      </c>
      <c r="C192" s="867">
        <v>17</v>
      </c>
      <c r="D192" s="889"/>
    </row>
    <row r="193" spans="1:6" ht="13.5" customHeight="1" x14ac:dyDescent="0.2">
      <c r="A193" s="724" t="s">
        <v>234</v>
      </c>
      <c r="B193" s="569" t="s">
        <v>5757</v>
      </c>
      <c r="C193" s="867">
        <v>20.45</v>
      </c>
      <c r="D193" s="889"/>
    </row>
    <row r="194" spans="1:6" ht="13.5" customHeight="1" x14ac:dyDescent="0.2">
      <c r="A194" s="724" t="s">
        <v>234</v>
      </c>
      <c r="B194" s="569" t="s">
        <v>5761</v>
      </c>
      <c r="C194" s="867">
        <v>2.9</v>
      </c>
      <c r="D194" s="889"/>
    </row>
    <row r="195" spans="1:6" ht="13.5" customHeight="1" x14ac:dyDescent="0.2">
      <c r="A195" s="724" t="s">
        <v>234</v>
      </c>
      <c r="B195" s="569" t="s">
        <v>5606</v>
      </c>
      <c r="C195" s="867">
        <v>24</v>
      </c>
      <c r="D195" s="576"/>
    </row>
    <row r="196" spans="1:6" ht="13.5" customHeight="1" x14ac:dyDescent="0.2">
      <c r="A196" s="724" t="s">
        <v>234</v>
      </c>
      <c r="B196" s="569" t="s">
        <v>5816</v>
      </c>
      <c r="C196" s="577">
        <v>19.95</v>
      </c>
      <c r="D196" s="577"/>
    </row>
    <row r="197" spans="1:6" ht="13.5" customHeight="1" x14ac:dyDescent="0.2">
      <c r="A197" s="724" t="s">
        <v>234</v>
      </c>
      <c r="B197" s="569" t="s">
        <v>5884</v>
      </c>
      <c r="C197" s="874">
        <v>115</v>
      </c>
      <c r="D197" s="573"/>
      <c r="F197" s="97"/>
    </row>
    <row r="198" spans="1:6" ht="13.5" customHeight="1" x14ac:dyDescent="0.2">
      <c r="A198" s="724" t="s">
        <v>234</v>
      </c>
      <c r="B198" s="569" t="s">
        <v>5885</v>
      </c>
      <c r="C198" s="874">
        <v>105.05</v>
      </c>
      <c r="D198" s="573"/>
      <c r="F198" s="97"/>
    </row>
    <row r="199" spans="1:6" ht="13.5" customHeight="1" x14ac:dyDescent="0.2">
      <c r="A199" s="724" t="s">
        <v>234</v>
      </c>
      <c r="B199" s="569" t="s">
        <v>5647</v>
      </c>
      <c r="C199" s="874">
        <v>301.39999999999998</v>
      </c>
      <c r="D199" s="894" t="s">
        <v>549</v>
      </c>
    </row>
    <row r="200" spans="1:6" ht="13.5" customHeight="1" x14ac:dyDescent="0.2">
      <c r="A200" s="724" t="s">
        <v>234</v>
      </c>
      <c r="B200" s="569" t="s">
        <v>5618</v>
      </c>
      <c r="C200" s="867">
        <v>21.9</v>
      </c>
      <c r="D200" s="576"/>
    </row>
    <row r="201" spans="1:6" ht="13.5" customHeight="1" x14ac:dyDescent="0.2">
      <c r="A201" s="724" t="s">
        <v>234</v>
      </c>
      <c r="B201" s="569" t="s">
        <v>5821</v>
      </c>
      <c r="C201" s="577">
        <v>1.8</v>
      </c>
      <c r="D201" s="577"/>
    </row>
    <row r="202" spans="1:6" ht="13.5" customHeight="1" x14ac:dyDescent="0.2">
      <c r="A202" s="724" t="s">
        <v>234</v>
      </c>
      <c r="B202" s="569" t="s">
        <v>5821</v>
      </c>
      <c r="C202" s="577">
        <v>2.9</v>
      </c>
      <c r="D202" s="577"/>
    </row>
    <row r="203" spans="1:6" ht="13.5" customHeight="1" x14ac:dyDescent="0.2">
      <c r="A203" s="724" t="s">
        <v>234</v>
      </c>
      <c r="B203" s="569" t="s">
        <v>5821</v>
      </c>
      <c r="C203" s="577">
        <v>12.7</v>
      </c>
      <c r="D203" s="577"/>
    </row>
    <row r="204" spans="1:6" ht="13.5" customHeight="1" x14ac:dyDescent="0.2">
      <c r="A204" s="724" t="s">
        <v>234</v>
      </c>
      <c r="B204" s="569" t="s">
        <v>5697</v>
      </c>
      <c r="C204" s="867">
        <v>4.45</v>
      </c>
      <c r="D204" s="576"/>
      <c r="F204" s="97"/>
    </row>
    <row r="205" spans="1:6" ht="13.5" customHeight="1" x14ac:dyDescent="0.2">
      <c r="A205" s="724" t="s">
        <v>234</v>
      </c>
      <c r="B205" s="569" t="s">
        <v>5776</v>
      </c>
      <c r="C205" s="874">
        <v>207.66</v>
      </c>
      <c r="D205" s="573"/>
      <c r="F205" s="97"/>
    </row>
    <row r="206" spans="1:6" ht="13.5" customHeight="1" x14ac:dyDescent="0.2">
      <c r="A206" s="724" t="s">
        <v>234</v>
      </c>
      <c r="B206" s="569" t="s">
        <v>5783</v>
      </c>
      <c r="C206" s="874">
        <v>1420.55</v>
      </c>
      <c r="D206" s="573"/>
    </row>
    <row r="207" spans="1:6" ht="13.5" customHeight="1" x14ac:dyDescent="0.2">
      <c r="A207" s="724" t="s">
        <v>234</v>
      </c>
      <c r="B207" s="569" t="s">
        <v>5823</v>
      </c>
      <c r="C207" s="577">
        <v>4.5</v>
      </c>
      <c r="D207" s="577"/>
    </row>
    <row r="208" spans="1:6" ht="13.5" customHeight="1" x14ac:dyDescent="0.2">
      <c r="A208" s="724" t="s">
        <v>234</v>
      </c>
      <c r="B208" s="569" t="s">
        <v>5573</v>
      </c>
      <c r="C208" s="874">
        <v>641.6</v>
      </c>
      <c r="D208" s="894" t="s">
        <v>549</v>
      </c>
    </row>
    <row r="209" spans="1:6" ht="13.5" customHeight="1" x14ac:dyDescent="0.2">
      <c r="A209" s="724" t="s">
        <v>234</v>
      </c>
      <c r="B209" s="569" t="s">
        <v>5586</v>
      </c>
      <c r="C209" s="874">
        <v>128.63</v>
      </c>
      <c r="D209" s="894" t="s">
        <v>549</v>
      </c>
    </row>
    <row r="210" spans="1:6" ht="13.5" customHeight="1" x14ac:dyDescent="0.2">
      <c r="A210" s="724" t="s">
        <v>234</v>
      </c>
      <c r="B210" s="569" t="s">
        <v>5886</v>
      </c>
      <c r="C210" s="874">
        <v>219</v>
      </c>
      <c r="D210" s="573"/>
      <c r="F210" s="97"/>
    </row>
    <row r="211" spans="1:6" ht="13.5" customHeight="1" x14ac:dyDescent="0.2">
      <c r="A211" s="724" t="s">
        <v>234</v>
      </c>
      <c r="B211" s="569" t="s">
        <v>5822</v>
      </c>
      <c r="C211" s="577">
        <v>5</v>
      </c>
      <c r="D211" s="577"/>
    </row>
    <row r="212" spans="1:6" ht="13.5" customHeight="1" x14ac:dyDescent="0.2">
      <c r="A212" s="724" t="s">
        <v>234</v>
      </c>
      <c r="B212" s="569" t="s">
        <v>5825</v>
      </c>
      <c r="C212" s="577">
        <v>12</v>
      </c>
      <c r="D212" s="577"/>
    </row>
    <row r="213" spans="1:6" ht="13.5" customHeight="1" x14ac:dyDescent="0.2">
      <c r="A213" s="724" t="s">
        <v>234</v>
      </c>
      <c r="B213" s="569" t="s">
        <v>422</v>
      </c>
      <c r="C213" s="888">
        <v>214.37</v>
      </c>
      <c r="D213" s="101"/>
      <c r="F213" s="97"/>
    </row>
    <row r="214" spans="1:6" ht="14.25" customHeight="1" x14ac:dyDescent="0.2">
      <c r="B214" s="569"/>
      <c r="C214" s="906">
        <f>SUM(C185:C213)</f>
        <v>3744.66</v>
      </c>
      <c r="D214" s="576"/>
      <c r="F214" s="97"/>
    </row>
    <row r="215" spans="1:6" ht="13.5" customHeight="1" x14ac:dyDescent="0.2">
      <c r="B215" s="569"/>
      <c r="C215" s="867"/>
      <c r="D215" s="576"/>
      <c r="F215" s="97"/>
    </row>
    <row r="216" spans="1:6" ht="13.5" customHeight="1" x14ac:dyDescent="0.2">
      <c r="A216" s="724" t="s">
        <v>234</v>
      </c>
      <c r="B216" s="569" t="s">
        <v>5696</v>
      </c>
      <c r="C216" s="867">
        <v>1.5</v>
      </c>
      <c r="D216" s="576"/>
      <c r="F216" s="97"/>
    </row>
    <row r="217" spans="1:6" ht="14.25" customHeight="1" x14ac:dyDescent="0.2">
      <c r="A217" s="724" t="s">
        <v>234</v>
      </c>
      <c r="B217" s="569" t="s">
        <v>5799</v>
      </c>
      <c r="C217" s="874">
        <v>4995</v>
      </c>
      <c r="D217" s="573"/>
    </row>
    <row r="218" spans="1:6" ht="13.5" customHeight="1" x14ac:dyDescent="0.2">
      <c r="A218" s="724" t="s">
        <v>234</v>
      </c>
      <c r="B218" s="569" t="s">
        <v>422</v>
      </c>
      <c r="C218" s="888">
        <v>214.37</v>
      </c>
      <c r="D218" s="101"/>
      <c r="F218" s="97"/>
    </row>
    <row r="219" spans="1:6" ht="13.5" customHeight="1" x14ac:dyDescent="0.2">
      <c r="B219" s="569"/>
      <c r="C219" s="906">
        <f>SUM(C216:C218)</f>
        <v>5210.87</v>
      </c>
      <c r="D219" s="907"/>
    </row>
    <row r="220" spans="1:6" ht="13.5" customHeight="1" x14ac:dyDescent="0.2">
      <c r="B220" s="569"/>
      <c r="C220" s="867"/>
      <c r="D220" s="576"/>
    </row>
    <row r="221" spans="1:6" ht="13.5" customHeight="1" x14ac:dyDescent="0.2">
      <c r="A221" s="724" t="s">
        <v>235</v>
      </c>
      <c r="B221" s="795" t="s">
        <v>195</v>
      </c>
      <c r="C221" s="874">
        <v>547.54999999999995</v>
      </c>
      <c r="D221" s="573"/>
    </row>
    <row r="222" spans="1:6" ht="13.5" customHeight="1" x14ac:dyDescent="0.2">
      <c r="A222" s="724" t="s">
        <v>235</v>
      </c>
      <c r="B222" s="795" t="s">
        <v>194</v>
      </c>
      <c r="C222" s="874">
        <v>118.64</v>
      </c>
      <c r="D222" s="573"/>
    </row>
    <row r="223" spans="1:6" ht="13.5" customHeight="1" x14ac:dyDescent="0.2">
      <c r="B223" s="795"/>
      <c r="C223" s="896">
        <f>SUM(C221:C222)</f>
        <v>666.18999999999994</v>
      </c>
      <c r="D223" s="901"/>
    </row>
    <row r="224" spans="1:6" ht="13.5" customHeight="1" x14ac:dyDescent="0.2">
      <c r="B224" s="795"/>
      <c r="C224" s="874"/>
      <c r="D224" s="573"/>
    </row>
    <row r="225" spans="1:6" ht="13.5" customHeight="1" x14ac:dyDescent="0.2">
      <c r="A225" s="724" t="s">
        <v>3764</v>
      </c>
      <c r="B225" s="795" t="s">
        <v>5704</v>
      </c>
      <c r="C225" s="908">
        <v>2100</v>
      </c>
      <c r="D225" s="909">
        <f>C225/2</f>
        <v>1050</v>
      </c>
    </row>
    <row r="226" spans="1:6" ht="13.5" customHeight="1" x14ac:dyDescent="0.2">
      <c r="B226" s="795"/>
      <c r="C226" s="874"/>
      <c r="D226" s="889"/>
    </row>
    <row r="227" spans="1:6" ht="13.5" customHeight="1" x14ac:dyDescent="0.2">
      <c r="B227" s="795"/>
      <c r="C227" s="874"/>
      <c r="D227" s="889"/>
    </row>
    <row r="228" spans="1:6" ht="13.5" customHeight="1" x14ac:dyDescent="0.2">
      <c r="A228" s="724" t="s">
        <v>236</v>
      </c>
      <c r="B228" s="795" t="s">
        <v>5730</v>
      </c>
      <c r="C228" s="874">
        <v>105.27</v>
      </c>
      <c r="D228" s="889" t="s">
        <v>549</v>
      </c>
      <c r="F228" s="97"/>
    </row>
    <row r="229" spans="1:6" ht="13.5" customHeight="1" x14ac:dyDescent="0.2">
      <c r="A229" s="724" t="s">
        <v>236</v>
      </c>
      <c r="B229" s="569" t="s">
        <v>5589</v>
      </c>
      <c r="C229" s="910">
        <v>0</v>
      </c>
      <c r="D229" s="101"/>
      <c r="F229" s="97"/>
    </row>
    <row r="230" spans="1:6" ht="13.5" customHeight="1" x14ac:dyDescent="0.2">
      <c r="A230" s="724" t="s">
        <v>236</v>
      </c>
      <c r="B230" s="569" t="s">
        <v>5887</v>
      </c>
      <c r="C230" s="867">
        <v>200</v>
      </c>
      <c r="D230" s="576"/>
    </row>
    <row r="231" spans="1:6" ht="13.5" customHeight="1" x14ac:dyDescent="0.2">
      <c r="A231" s="724" t="s">
        <v>236</v>
      </c>
      <c r="B231" s="569" t="s">
        <v>1002</v>
      </c>
      <c r="C231" s="867">
        <v>200</v>
      </c>
      <c r="D231" s="889"/>
      <c r="F231" s="97"/>
    </row>
    <row r="232" spans="1:6" ht="13.5" customHeight="1" x14ac:dyDescent="0.2">
      <c r="A232" s="724" t="s">
        <v>236</v>
      </c>
      <c r="B232" s="569" t="s">
        <v>5623</v>
      </c>
      <c r="C232" s="577">
        <v>800</v>
      </c>
      <c r="D232" s="577"/>
    </row>
    <row r="233" spans="1:6" ht="13.5" customHeight="1" x14ac:dyDescent="0.2">
      <c r="A233" s="724" t="s">
        <v>236</v>
      </c>
      <c r="B233" s="569" t="s">
        <v>5699</v>
      </c>
      <c r="C233" s="874">
        <v>165</v>
      </c>
      <c r="D233" s="894" t="s">
        <v>549</v>
      </c>
    </row>
    <row r="234" spans="1:6" ht="13.5" customHeight="1" x14ac:dyDescent="0.2">
      <c r="A234" s="724" t="s">
        <v>236</v>
      </c>
      <c r="B234" s="795" t="s">
        <v>5888</v>
      </c>
      <c r="C234" s="874">
        <v>5000</v>
      </c>
      <c r="D234" s="573"/>
    </row>
    <row r="235" spans="1:6" ht="13.5" customHeight="1" x14ac:dyDescent="0.2">
      <c r="A235" s="724" t="s">
        <v>236</v>
      </c>
      <c r="B235" s="569" t="s">
        <v>5650</v>
      </c>
      <c r="C235" s="874">
        <v>379.88</v>
      </c>
      <c r="D235" s="894" t="s">
        <v>549</v>
      </c>
    </row>
    <row r="236" spans="1:6" ht="13.5" customHeight="1" x14ac:dyDescent="0.2">
      <c r="A236" s="724" t="s">
        <v>236</v>
      </c>
      <c r="B236" s="569" t="s">
        <v>5664</v>
      </c>
      <c r="C236" s="874">
        <v>34.22</v>
      </c>
      <c r="D236" s="894" t="s">
        <v>549</v>
      </c>
      <c r="F236" s="97"/>
    </row>
    <row r="237" spans="1:6" ht="13.5" customHeight="1" x14ac:dyDescent="0.2">
      <c r="A237" s="724" t="s">
        <v>236</v>
      </c>
      <c r="B237" s="569" t="s">
        <v>5742</v>
      </c>
      <c r="C237" s="874">
        <v>900</v>
      </c>
      <c r="D237" s="889" t="s">
        <v>549</v>
      </c>
      <c r="F237" s="97"/>
    </row>
    <row r="238" spans="1:6" ht="13.5" customHeight="1" x14ac:dyDescent="0.2">
      <c r="A238" s="724" t="s">
        <v>236</v>
      </c>
      <c r="B238" s="569" t="s">
        <v>5623</v>
      </c>
      <c r="C238" s="867">
        <v>400</v>
      </c>
      <c r="D238" s="576"/>
      <c r="E238" s="97" t="s">
        <v>248</v>
      </c>
      <c r="F238" s="866" t="s">
        <v>5889</v>
      </c>
    </row>
    <row r="239" spans="1:6" ht="13.5" customHeight="1" x14ac:dyDescent="0.2">
      <c r="A239" s="724" t="s">
        <v>236</v>
      </c>
      <c r="B239" s="569" t="s">
        <v>5623</v>
      </c>
      <c r="C239" s="867">
        <v>500</v>
      </c>
      <c r="D239" s="576"/>
      <c r="E239" s="97">
        <v>342.04</v>
      </c>
      <c r="F239" s="97">
        <v>3823.768</v>
      </c>
    </row>
    <row r="240" spans="1:6" ht="13.5" customHeight="1" x14ac:dyDescent="0.2">
      <c r="B240" s="795"/>
      <c r="C240" s="874">
        <f>SUM(C228:C239)</f>
        <v>8684.3700000000008</v>
      </c>
      <c r="D240" s="911">
        <f>C240-E239-E240-F239-F240</f>
        <v>151.04200000000037</v>
      </c>
      <c r="E240" s="97">
        <v>781.81</v>
      </c>
      <c r="F240" s="97">
        <v>3585.71</v>
      </c>
    </row>
    <row r="241" spans="1:17" ht="13.5" customHeight="1" x14ac:dyDescent="0.2">
      <c r="B241" s="569"/>
      <c r="C241" s="867"/>
      <c r="D241" s="576"/>
      <c r="F241" s="97"/>
    </row>
    <row r="242" spans="1:17" ht="13.5" customHeight="1" x14ac:dyDescent="0.2">
      <c r="A242" s="724" t="s">
        <v>236</v>
      </c>
      <c r="B242" s="795" t="s">
        <v>5666</v>
      </c>
      <c r="C242" s="874">
        <v>35.28</v>
      </c>
      <c r="D242" s="894" t="s">
        <v>549</v>
      </c>
      <c r="E242" s="97" t="s">
        <v>248</v>
      </c>
      <c r="F242" s="866" t="s">
        <v>5889</v>
      </c>
    </row>
    <row r="243" spans="1:17" ht="13.5" customHeight="1" x14ac:dyDescent="0.2">
      <c r="A243" s="724" t="s">
        <v>236</v>
      </c>
      <c r="B243" s="569" t="s">
        <v>5890</v>
      </c>
      <c r="C243" s="867">
        <v>5000</v>
      </c>
      <c r="D243" s="889"/>
      <c r="E243" s="912">
        <f>1124.76</f>
        <v>1124.76</v>
      </c>
      <c r="F243" s="97" t="s">
        <v>5864</v>
      </c>
    </row>
    <row r="244" spans="1:17" ht="13.5" customHeight="1" x14ac:dyDescent="0.2">
      <c r="B244" s="795"/>
      <c r="C244" s="901">
        <f>SUM(C242:C243)</f>
        <v>5035.28</v>
      </c>
      <c r="D244" s="896">
        <f>C244-E244-E243</f>
        <v>2792.41</v>
      </c>
      <c r="E244" s="912">
        <v>1118.1099999999999</v>
      </c>
      <c r="F244" s="97" t="s">
        <v>5864</v>
      </c>
    </row>
    <row r="245" spans="1:17" ht="13.5" customHeight="1" x14ac:dyDescent="0.2">
      <c r="B245" s="795"/>
      <c r="C245" s="874"/>
      <c r="D245" s="573"/>
      <c r="F245" s="97"/>
    </row>
    <row r="246" spans="1:17" ht="13.5" customHeight="1" x14ac:dyDescent="0.2">
      <c r="A246" s="724" t="s">
        <v>237</v>
      </c>
      <c r="B246" s="569" t="s">
        <v>5684</v>
      </c>
      <c r="C246" s="874">
        <v>300</v>
      </c>
      <c r="D246" s="894" t="s">
        <v>549</v>
      </c>
      <c r="F246" s="97"/>
    </row>
    <row r="247" spans="1:17" ht="13.5" customHeight="1" x14ac:dyDescent="0.2">
      <c r="A247" s="724" t="s">
        <v>237</v>
      </c>
      <c r="B247" s="569" t="s">
        <v>5719</v>
      </c>
      <c r="C247" s="874">
        <v>480</v>
      </c>
      <c r="D247" s="889" t="s">
        <v>549</v>
      </c>
      <c r="F247" s="97"/>
    </row>
    <row r="248" spans="1:17" ht="13.5" customHeight="1" x14ac:dyDescent="0.2">
      <c r="A248" s="724" t="s">
        <v>237</v>
      </c>
      <c r="B248" s="569" t="s">
        <v>5719</v>
      </c>
      <c r="C248" s="874">
        <v>560</v>
      </c>
      <c r="D248" s="573"/>
      <c r="F248" s="97"/>
    </row>
    <row r="249" spans="1:17" ht="13.5" customHeight="1" x14ac:dyDescent="0.2">
      <c r="B249" s="569"/>
      <c r="C249" s="901">
        <f>SUM(C246:C248)</f>
        <v>1340</v>
      </c>
      <c r="D249" s="573"/>
      <c r="F249" s="97"/>
    </row>
    <row r="250" spans="1:17" ht="13.5" customHeight="1" x14ac:dyDescent="0.2">
      <c r="B250" s="569"/>
      <c r="C250" s="901"/>
      <c r="D250" s="573">
        <f>SUM(C249:C251)</f>
        <v>7140.01</v>
      </c>
      <c r="F250" s="97"/>
    </row>
    <row r="251" spans="1:17" ht="13.5" customHeight="1" x14ac:dyDescent="0.2">
      <c r="A251" s="724" t="s">
        <v>237</v>
      </c>
      <c r="B251" s="569" t="s">
        <v>5806</v>
      </c>
      <c r="C251" s="901">
        <v>5800.01</v>
      </c>
      <c r="D251" s="97"/>
    </row>
    <row r="252" spans="1:17" ht="13.5" customHeight="1" x14ac:dyDescent="0.2">
      <c r="B252" s="569"/>
      <c r="C252" s="901"/>
      <c r="D252" s="573"/>
    </row>
    <row r="253" spans="1:17" ht="13.5" customHeight="1" x14ac:dyDescent="0.2">
      <c r="B253" s="569"/>
      <c r="C253" s="874"/>
      <c r="D253" s="573"/>
    </row>
    <row r="254" spans="1:17" ht="13.5" customHeight="1" x14ac:dyDescent="0.2">
      <c r="A254" s="724" t="s">
        <v>238</v>
      </c>
      <c r="B254" s="569" t="s">
        <v>5557</v>
      </c>
      <c r="C254" s="890">
        <v>0.79</v>
      </c>
      <c r="D254" s="894" t="s">
        <v>549</v>
      </c>
      <c r="F254" s="97"/>
    </row>
    <row r="255" spans="1:17" ht="13.5" customHeight="1" x14ac:dyDescent="0.2">
      <c r="A255" s="724" t="s">
        <v>238</v>
      </c>
      <c r="B255" s="569" t="s">
        <v>5558</v>
      </c>
      <c r="C255" s="890">
        <v>10.06</v>
      </c>
      <c r="D255" s="894"/>
      <c r="F255" s="97"/>
    </row>
    <row r="256" spans="1:17" s="823" customFormat="1" ht="13.5" customHeight="1" x14ac:dyDescent="0.2">
      <c r="A256" s="724" t="s">
        <v>238</v>
      </c>
      <c r="B256" s="795" t="s">
        <v>5578</v>
      </c>
      <c r="C256" s="913">
        <v>-0.01</v>
      </c>
      <c r="D256" s="902"/>
      <c r="E256" s="97"/>
      <c r="F256" s="97"/>
      <c r="G256" s="97"/>
      <c r="H256" s="97"/>
      <c r="I256" s="97"/>
      <c r="J256" s="97"/>
      <c r="K256" s="97"/>
      <c r="L256" s="97"/>
      <c r="M256" s="97"/>
      <c r="N256" s="97"/>
      <c r="O256" s="97"/>
      <c r="P256" s="97"/>
      <c r="Q256" s="97"/>
    </row>
    <row r="257" spans="1:17" s="823" customFormat="1" ht="13.5" customHeight="1" x14ac:dyDescent="0.2">
      <c r="A257" s="724" t="s">
        <v>238</v>
      </c>
      <c r="B257" s="795" t="s">
        <v>5578</v>
      </c>
      <c r="C257" s="888">
        <v>-0.01</v>
      </c>
      <c r="D257" s="914"/>
      <c r="E257" s="97"/>
      <c r="F257" s="97"/>
      <c r="G257" s="97"/>
      <c r="H257" s="97"/>
      <c r="I257" s="97"/>
      <c r="J257" s="97"/>
      <c r="K257" s="97"/>
      <c r="L257" s="97"/>
      <c r="M257" s="97"/>
      <c r="N257" s="97"/>
      <c r="O257" s="97"/>
      <c r="P257" s="97"/>
      <c r="Q257" s="97"/>
    </row>
    <row r="258" spans="1:17" ht="13.5" customHeight="1" x14ac:dyDescent="0.2">
      <c r="A258" s="724" t="s">
        <v>238</v>
      </c>
      <c r="B258" s="795" t="s">
        <v>5578</v>
      </c>
      <c r="C258" s="913">
        <v>-0.02</v>
      </c>
      <c r="D258" s="902"/>
      <c r="F258" s="97"/>
    </row>
    <row r="259" spans="1:17" ht="13.5" customHeight="1" x14ac:dyDescent="0.2">
      <c r="A259" s="724" t="s">
        <v>238</v>
      </c>
      <c r="B259" s="795" t="s">
        <v>5578</v>
      </c>
      <c r="C259" s="888">
        <v>-0.02</v>
      </c>
      <c r="D259" s="914"/>
      <c r="F259" s="97"/>
    </row>
    <row r="260" spans="1:17" ht="13.5" customHeight="1" x14ac:dyDescent="0.2">
      <c r="A260" s="724" t="s">
        <v>238</v>
      </c>
      <c r="B260" s="795" t="s">
        <v>5578</v>
      </c>
      <c r="C260" s="888">
        <v>-0.06</v>
      </c>
      <c r="D260" s="914"/>
      <c r="F260" s="97"/>
    </row>
    <row r="261" spans="1:17" ht="13.5" customHeight="1" x14ac:dyDescent="0.2">
      <c r="A261" s="724" t="s">
        <v>238</v>
      </c>
      <c r="B261" s="795" t="s">
        <v>5798</v>
      </c>
      <c r="C261" s="890">
        <v>72</v>
      </c>
      <c r="D261" s="573"/>
    </row>
    <row r="262" spans="1:17" ht="13.5" customHeight="1" x14ac:dyDescent="0.2">
      <c r="A262" s="724" t="s">
        <v>238</v>
      </c>
      <c r="B262" s="795" t="s">
        <v>5798</v>
      </c>
      <c r="C262" s="890">
        <v>9.9</v>
      </c>
      <c r="D262" s="573"/>
    </row>
    <row r="263" spans="1:17" ht="13.5" customHeight="1" x14ac:dyDescent="0.2">
      <c r="A263" s="724" t="s">
        <v>238</v>
      </c>
      <c r="B263" s="795" t="s">
        <v>5798</v>
      </c>
      <c r="C263" s="890">
        <v>8.6999999999999993</v>
      </c>
      <c r="D263" s="573"/>
      <c r="F263" s="97"/>
    </row>
    <row r="264" spans="1:17" ht="13.5" customHeight="1" x14ac:dyDescent="0.2">
      <c r="A264" s="724" t="s">
        <v>238</v>
      </c>
      <c r="B264" s="795" t="s">
        <v>5798</v>
      </c>
      <c r="C264" s="890">
        <v>8.6999999999999993</v>
      </c>
      <c r="D264" s="573"/>
      <c r="F264" s="97"/>
    </row>
    <row r="265" spans="1:17" ht="13.5" customHeight="1" x14ac:dyDescent="0.2">
      <c r="A265" s="724" t="s">
        <v>238</v>
      </c>
      <c r="B265" s="569" t="s">
        <v>5679</v>
      </c>
      <c r="C265" s="890">
        <v>69</v>
      </c>
      <c r="D265" s="894"/>
      <c r="F265" s="97"/>
    </row>
    <row r="266" spans="1:17" ht="13.5" customHeight="1" x14ac:dyDescent="0.2">
      <c r="B266" s="569"/>
      <c r="C266" s="915">
        <f>SUM(C254:C265)</f>
        <v>179.03000000000003</v>
      </c>
      <c r="D266" s="901">
        <f>C266/2</f>
        <v>89.515000000000015</v>
      </c>
      <c r="F266" s="97"/>
    </row>
    <row r="267" spans="1:17" ht="13.5" customHeight="1" x14ac:dyDescent="0.2">
      <c r="B267" s="569"/>
      <c r="C267" s="874"/>
      <c r="D267" s="894"/>
      <c r="F267" s="97"/>
    </row>
    <row r="268" spans="1:17" ht="13.5" customHeight="1" x14ac:dyDescent="0.2">
      <c r="A268" s="724" t="s">
        <v>239</v>
      </c>
      <c r="B268" s="569" t="s">
        <v>5611</v>
      </c>
      <c r="C268" s="908">
        <v>270.10000000000002</v>
      </c>
      <c r="D268" s="916">
        <f>C268/2</f>
        <v>135.05000000000001</v>
      </c>
      <c r="F268" s="97"/>
    </row>
    <row r="269" spans="1:17" ht="13.5" customHeight="1" x14ac:dyDescent="0.2">
      <c r="B269" s="569"/>
      <c r="C269" s="874"/>
      <c r="D269" s="902"/>
      <c r="F269" s="97"/>
    </row>
    <row r="270" spans="1:17" ht="13.5" customHeight="1" x14ac:dyDescent="0.2">
      <c r="B270" s="569"/>
      <c r="C270" s="874"/>
      <c r="D270" s="902"/>
      <c r="F270" s="97"/>
    </row>
    <row r="271" spans="1:17" ht="13.5" customHeight="1" x14ac:dyDescent="0.2">
      <c r="B271" s="569"/>
      <c r="C271" s="867"/>
      <c r="D271" s="576"/>
      <c r="F271" s="97"/>
    </row>
    <row r="272" spans="1:17" ht="13.5" customHeight="1" x14ac:dyDescent="0.2">
      <c r="B272" s="569"/>
      <c r="C272" s="867"/>
      <c r="D272" s="576"/>
      <c r="F272" s="97"/>
    </row>
    <row r="274" s="97" customFormat="1" x14ac:dyDescent="0.2"/>
    <row r="275" s="97" customFormat="1" x14ac:dyDescent="0.2"/>
    <row r="276" s="97" customFormat="1" x14ac:dyDescent="0.2"/>
    <row r="277" s="97" customFormat="1" x14ac:dyDescent="0.2"/>
    <row r="278" s="97" customFormat="1" x14ac:dyDescent="0.2"/>
    <row r="279" s="97" customFormat="1" x14ac:dyDescent="0.2"/>
    <row r="280" s="97" customFormat="1" x14ac:dyDescent="0.2"/>
    <row r="281" s="97" customFormat="1" x14ac:dyDescent="0.2"/>
    <row r="282" s="97" customFormat="1" x14ac:dyDescent="0.2"/>
    <row r="283" s="97" customFormat="1" x14ac:dyDescent="0.2"/>
    <row r="284" s="97" customFormat="1" x14ac:dyDescent="0.2"/>
    <row r="285" s="97" customFormat="1" x14ac:dyDescent="0.2"/>
    <row r="286" s="97" customFormat="1" x14ac:dyDescent="0.2"/>
    <row r="287" s="97" customFormat="1" x14ac:dyDescent="0.2"/>
    <row r="288" s="97" customFormat="1" x14ac:dyDescent="0.2"/>
    <row r="289" s="97" customFormat="1" x14ac:dyDescent="0.2"/>
    <row r="290" s="97" customFormat="1" x14ac:dyDescent="0.2"/>
    <row r="291" s="97" customFormat="1" x14ac:dyDescent="0.2"/>
    <row r="292" s="97" customFormat="1" x14ac:dyDescent="0.2"/>
    <row r="293" s="97" customFormat="1" x14ac:dyDescent="0.2"/>
    <row r="294" s="97" customFormat="1" x14ac:dyDescent="0.2"/>
    <row r="295" s="97" customFormat="1" x14ac:dyDescent="0.2"/>
    <row r="296" s="97" customFormat="1" x14ac:dyDescent="0.2"/>
    <row r="297" s="97" customFormat="1" x14ac:dyDescent="0.2"/>
    <row r="298" s="97" customFormat="1" x14ac:dyDescent="0.2"/>
    <row r="299" s="97" customFormat="1" x14ac:dyDescent="0.2"/>
    <row r="300" s="97" customFormat="1" x14ac:dyDescent="0.2"/>
    <row r="301" s="97" customFormat="1" x14ac:dyDescent="0.2"/>
    <row r="302" s="97" customFormat="1" x14ac:dyDescent="0.2"/>
    <row r="303" s="97" customFormat="1" x14ac:dyDescent="0.2"/>
    <row r="304" s="97" customFormat="1" x14ac:dyDescent="0.2"/>
    <row r="305" s="97" customFormat="1" x14ac:dyDescent="0.2"/>
    <row r="306" s="97" customFormat="1" x14ac:dyDescent="0.2"/>
    <row r="307" s="97" customFormat="1" x14ac:dyDescent="0.2"/>
    <row r="308" s="97" customFormat="1" x14ac:dyDescent="0.2"/>
    <row r="309" s="97" customFormat="1" x14ac:dyDescent="0.2"/>
    <row r="310" s="97" customFormat="1" x14ac:dyDescent="0.2"/>
    <row r="311" s="97" customFormat="1" x14ac:dyDescent="0.2"/>
    <row r="312" s="97" customFormat="1" x14ac:dyDescent="0.2"/>
    <row r="313" s="97" customFormat="1" x14ac:dyDescent="0.2"/>
    <row r="314" s="97" customFormat="1" x14ac:dyDescent="0.2"/>
    <row r="315" s="97" customFormat="1" x14ac:dyDescent="0.2"/>
    <row r="316" s="97" customFormat="1" x14ac:dyDescent="0.2"/>
    <row r="317" s="97" customFormat="1" x14ac:dyDescent="0.2"/>
    <row r="318" s="97" customFormat="1" x14ac:dyDescent="0.2"/>
    <row r="319" s="97" customFormat="1" x14ac:dyDescent="0.2"/>
    <row r="320" s="97" customFormat="1" x14ac:dyDescent="0.2"/>
    <row r="321" s="97" customFormat="1" x14ac:dyDescent="0.2"/>
    <row r="322" s="97" customFormat="1" x14ac:dyDescent="0.2"/>
    <row r="323" s="97" customFormat="1" x14ac:dyDescent="0.2"/>
    <row r="324" s="97" customFormat="1" x14ac:dyDescent="0.2"/>
    <row r="325" s="97" customFormat="1" x14ac:dyDescent="0.2"/>
    <row r="326" s="97" customFormat="1" x14ac:dyDescent="0.2"/>
    <row r="327" s="97" customFormat="1" x14ac:dyDescent="0.2"/>
    <row r="328" s="97" customFormat="1" x14ac:dyDescent="0.2"/>
    <row r="329" s="97" customFormat="1" x14ac:dyDescent="0.2"/>
    <row r="330" s="97" customFormat="1" x14ac:dyDescent="0.2"/>
    <row r="331" s="97" customFormat="1" x14ac:dyDescent="0.2"/>
    <row r="332" s="97" customFormat="1" x14ac:dyDescent="0.2"/>
    <row r="333" s="97" customFormat="1" x14ac:dyDescent="0.2"/>
    <row r="334" s="97" customFormat="1" x14ac:dyDescent="0.2"/>
    <row r="335" s="97" customFormat="1" x14ac:dyDescent="0.2"/>
    <row r="336" s="97" customFormat="1" x14ac:dyDescent="0.2"/>
    <row r="337" s="97" customFormat="1" x14ac:dyDescent="0.2"/>
    <row r="338" s="97" customFormat="1" x14ac:dyDescent="0.2"/>
    <row r="339" s="97" customFormat="1" x14ac:dyDescent="0.2"/>
    <row r="340" s="97" customFormat="1" x14ac:dyDescent="0.2"/>
    <row r="341" s="97" customFormat="1" x14ac:dyDescent="0.2"/>
    <row r="342" s="97" customFormat="1" x14ac:dyDescent="0.2"/>
    <row r="343" s="97" customFormat="1" x14ac:dyDescent="0.2"/>
    <row r="344" s="97" customFormat="1" x14ac:dyDescent="0.2"/>
    <row r="345" s="97" customFormat="1" x14ac:dyDescent="0.2"/>
    <row r="346" s="97" customFormat="1" x14ac:dyDescent="0.2"/>
    <row r="347" s="97" customFormat="1" x14ac:dyDescent="0.2"/>
    <row r="348" s="97" customFormat="1" x14ac:dyDescent="0.2"/>
    <row r="349" s="97" customFormat="1" x14ac:dyDescent="0.2"/>
    <row r="350" s="97" customFormat="1" x14ac:dyDescent="0.2"/>
    <row r="351" s="97" customFormat="1" x14ac:dyDescent="0.2"/>
    <row r="352" s="97" customFormat="1" x14ac:dyDescent="0.2"/>
    <row r="353" s="97" customFormat="1" x14ac:dyDescent="0.2"/>
    <row r="354" s="97" customFormat="1" x14ac:dyDescent="0.2"/>
    <row r="355" s="97" customFormat="1" x14ac:dyDescent="0.2"/>
    <row r="356" s="97" customFormat="1" x14ac:dyDescent="0.2"/>
    <row r="357" s="97" customFormat="1" x14ac:dyDescent="0.2"/>
    <row r="358" s="97" customFormat="1" x14ac:dyDescent="0.2"/>
    <row r="359" s="97" customFormat="1" x14ac:dyDescent="0.2"/>
    <row r="360" s="97" customFormat="1" x14ac:dyDescent="0.2"/>
    <row r="361" s="97" customFormat="1" x14ac:dyDescent="0.2"/>
    <row r="362" s="97" customFormat="1" x14ac:dyDescent="0.2"/>
    <row r="363" s="97" customFormat="1" x14ac:dyDescent="0.2"/>
    <row r="364" s="97" customFormat="1" x14ac:dyDescent="0.2"/>
    <row r="365" s="97" customFormat="1" x14ac:dyDescent="0.2"/>
    <row r="366" s="97" customFormat="1" x14ac:dyDescent="0.2"/>
    <row r="367" s="97" customFormat="1" x14ac:dyDescent="0.2"/>
    <row r="368" s="97" customFormat="1" x14ac:dyDescent="0.2"/>
    <row r="369" s="97" customFormat="1" x14ac:dyDescent="0.2"/>
    <row r="370" s="97" customFormat="1" x14ac:dyDescent="0.2"/>
    <row r="371" s="97" customFormat="1" x14ac:dyDescent="0.2"/>
    <row r="372" s="97" customFormat="1" x14ac:dyDescent="0.2"/>
    <row r="373" s="97" customFormat="1" x14ac:dyDescent="0.2"/>
    <row r="374" s="97" customFormat="1" x14ac:dyDescent="0.2"/>
    <row r="375" s="97" customFormat="1" x14ac:dyDescent="0.2"/>
    <row r="376" s="97" customFormat="1" x14ac:dyDescent="0.2"/>
    <row r="377" s="97" customFormat="1" x14ac:dyDescent="0.2"/>
    <row r="378" s="97" customFormat="1" x14ac:dyDescent="0.2"/>
    <row r="379" s="97" customFormat="1" x14ac:dyDescent="0.2"/>
    <row r="380" s="97" customFormat="1" x14ac:dyDescent="0.2"/>
    <row r="381" s="97" customFormat="1" x14ac:dyDescent="0.2"/>
    <row r="382" s="97" customFormat="1" x14ac:dyDescent="0.2"/>
    <row r="383" s="97" customFormat="1" x14ac:dyDescent="0.2"/>
    <row r="384" s="97" customFormat="1" x14ac:dyDescent="0.2"/>
    <row r="385" s="97" customFormat="1" x14ac:dyDescent="0.2"/>
    <row r="386" s="97" customFormat="1" x14ac:dyDescent="0.2"/>
    <row r="387" s="97" customFormat="1" x14ac:dyDescent="0.2"/>
    <row r="388" s="97" customFormat="1" x14ac:dyDescent="0.2"/>
    <row r="389" s="97" customFormat="1" x14ac:dyDescent="0.2"/>
    <row r="390" s="97" customFormat="1" x14ac:dyDescent="0.2"/>
    <row r="391" s="97" customFormat="1" x14ac:dyDescent="0.2"/>
    <row r="392" s="97" customFormat="1" x14ac:dyDescent="0.2"/>
    <row r="393" s="97" customFormat="1" x14ac:dyDescent="0.2"/>
    <row r="394" s="97" customFormat="1" x14ac:dyDescent="0.2"/>
    <row r="395" s="97" customFormat="1" x14ac:dyDescent="0.2"/>
    <row r="396" s="97" customFormat="1" x14ac:dyDescent="0.2"/>
    <row r="397" s="97" customFormat="1" x14ac:dyDescent="0.2"/>
    <row r="398" s="97" customFormat="1" x14ac:dyDescent="0.2"/>
    <row r="399" s="97" customFormat="1" x14ac:dyDescent="0.2"/>
    <row r="400" s="97" customFormat="1" x14ac:dyDescent="0.2"/>
    <row r="401" s="97" customFormat="1" x14ac:dyDescent="0.2"/>
    <row r="402" s="97" customFormat="1" x14ac:dyDescent="0.2"/>
    <row r="403" s="97" customFormat="1" x14ac:dyDescent="0.2"/>
    <row r="404" s="97" customFormat="1" x14ac:dyDescent="0.2"/>
    <row r="405" s="97" customFormat="1" x14ac:dyDescent="0.2"/>
    <row r="406" s="97" customFormat="1" x14ac:dyDescent="0.2"/>
    <row r="407" s="97" customFormat="1" x14ac:dyDescent="0.2"/>
    <row r="408" s="97" customFormat="1" x14ac:dyDescent="0.2"/>
    <row r="409" s="97" customFormat="1" x14ac:dyDescent="0.2"/>
    <row r="410" s="97" customFormat="1" x14ac:dyDescent="0.2"/>
    <row r="411" s="97" customFormat="1" x14ac:dyDescent="0.2"/>
    <row r="412" s="97" customFormat="1" x14ac:dyDescent="0.2"/>
    <row r="413" s="97" customFormat="1" x14ac:dyDescent="0.2"/>
    <row r="414" s="97" customFormat="1" x14ac:dyDescent="0.2"/>
    <row r="415" s="97" customFormat="1" x14ac:dyDescent="0.2"/>
    <row r="416" s="97" customFormat="1" x14ac:dyDescent="0.2"/>
    <row r="417" s="97" customFormat="1" x14ac:dyDescent="0.2"/>
    <row r="418" s="97" customFormat="1" x14ac:dyDescent="0.2"/>
    <row r="419" s="97" customFormat="1" x14ac:dyDescent="0.2"/>
    <row r="420" s="97" customFormat="1" x14ac:dyDescent="0.2"/>
    <row r="421" s="97" customFormat="1" x14ac:dyDescent="0.2"/>
    <row r="422" s="97" customFormat="1" x14ac:dyDescent="0.2"/>
    <row r="423" s="97" customFormat="1" x14ac:dyDescent="0.2"/>
    <row r="424" s="97" customFormat="1" x14ac:dyDescent="0.2"/>
    <row r="425" s="97" customFormat="1" x14ac:dyDescent="0.2"/>
    <row r="426" s="97" customFormat="1" x14ac:dyDescent="0.2"/>
    <row r="427" s="97" customFormat="1" x14ac:dyDescent="0.2"/>
    <row r="428" s="97" customFormat="1" x14ac:dyDescent="0.2"/>
    <row r="429" s="97" customFormat="1" x14ac:dyDescent="0.2"/>
    <row r="430" s="97" customFormat="1" x14ac:dyDescent="0.2"/>
    <row r="431" s="97" customFormat="1" x14ac:dyDescent="0.2"/>
    <row r="432" s="97" customFormat="1" x14ac:dyDescent="0.2"/>
    <row r="433" s="97" customFormat="1" x14ac:dyDescent="0.2"/>
    <row r="434" s="97" customFormat="1" x14ac:dyDescent="0.2"/>
    <row r="435" s="97" customFormat="1" x14ac:dyDescent="0.2"/>
    <row r="436" s="97" customFormat="1" x14ac:dyDescent="0.2"/>
    <row r="437" s="97" customFormat="1" x14ac:dyDescent="0.2"/>
    <row r="438" s="97" customFormat="1" x14ac:dyDescent="0.2"/>
    <row r="439" s="97" customFormat="1" x14ac:dyDescent="0.2"/>
    <row r="440" s="97" customFormat="1" x14ac:dyDescent="0.2"/>
    <row r="441" s="97" customFormat="1" x14ac:dyDescent="0.2"/>
    <row r="442" s="97" customFormat="1" x14ac:dyDescent="0.2"/>
    <row r="443" s="97" customFormat="1" x14ac:dyDescent="0.2"/>
    <row r="444" s="97" customFormat="1" x14ac:dyDescent="0.2"/>
    <row r="445" s="97" customFormat="1" x14ac:dyDescent="0.2"/>
    <row r="446" s="97" customFormat="1" x14ac:dyDescent="0.2"/>
    <row r="447" s="97" customFormat="1" x14ac:dyDescent="0.2"/>
    <row r="448" s="97" customFormat="1" x14ac:dyDescent="0.2"/>
    <row r="449" s="97" customFormat="1" x14ac:dyDescent="0.2"/>
    <row r="450" s="97" customFormat="1" x14ac:dyDescent="0.2"/>
    <row r="451" s="97" customFormat="1" x14ac:dyDescent="0.2"/>
    <row r="452" s="97" customFormat="1" x14ac:dyDescent="0.2"/>
    <row r="453" s="97" customFormat="1" x14ac:dyDescent="0.2"/>
    <row r="454" s="97" customFormat="1" x14ac:dyDescent="0.2"/>
    <row r="455" s="97" customFormat="1" x14ac:dyDescent="0.2"/>
    <row r="456" s="97" customFormat="1" x14ac:dyDescent="0.2"/>
    <row r="457" s="97" customFormat="1" x14ac:dyDescent="0.2"/>
    <row r="458" s="97" customFormat="1" x14ac:dyDescent="0.2"/>
    <row r="459" s="97" customFormat="1" x14ac:dyDescent="0.2"/>
    <row r="460" s="97" customFormat="1" x14ac:dyDescent="0.2"/>
    <row r="461" s="97" customFormat="1" x14ac:dyDescent="0.2"/>
    <row r="462" s="97" customFormat="1" x14ac:dyDescent="0.2"/>
    <row r="463" s="97" customFormat="1" x14ac:dyDescent="0.2"/>
    <row r="464" s="97" customFormat="1" x14ac:dyDescent="0.2"/>
    <row r="465" s="97" customFormat="1" x14ac:dyDescent="0.2"/>
    <row r="466" s="97" customFormat="1" x14ac:dyDescent="0.2"/>
    <row r="467" s="97" customFormat="1" x14ac:dyDescent="0.2"/>
    <row r="468" s="97" customFormat="1" x14ac:dyDescent="0.2"/>
    <row r="469" s="97" customFormat="1" x14ac:dyDescent="0.2"/>
    <row r="470" s="97" customFormat="1" x14ac:dyDescent="0.2"/>
    <row r="471" s="97" customFormat="1" x14ac:dyDescent="0.2"/>
    <row r="472" s="97" customFormat="1" x14ac:dyDescent="0.2"/>
    <row r="473" s="97" customFormat="1" x14ac:dyDescent="0.2"/>
    <row r="474" s="97" customFormat="1" x14ac:dyDescent="0.2"/>
    <row r="475" s="97" customFormat="1" x14ac:dyDescent="0.2"/>
    <row r="476" s="97" customFormat="1" x14ac:dyDescent="0.2"/>
    <row r="477" s="97" customFormat="1" x14ac:dyDescent="0.2"/>
    <row r="478" s="97" customFormat="1" x14ac:dyDescent="0.2"/>
    <row r="479" s="97" customFormat="1" x14ac:dyDescent="0.2"/>
    <row r="480" s="97" customFormat="1" x14ac:dyDescent="0.2"/>
    <row r="481" s="97" customFormat="1" x14ac:dyDescent="0.2"/>
    <row r="482" s="97" customFormat="1" x14ac:dyDescent="0.2"/>
    <row r="483" s="97" customFormat="1" x14ac:dyDescent="0.2"/>
    <row r="484" s="97" customFormat="1" x14ac:dyDescent="0.2"/>
    <row r="485" s="97" customFormat="1" x14ac:dyDescent="0.2"/>
    <row r="486" s="97" customFormat="1" x14ac:dyDescent="0.2"/>
    <row r="487" s="97" customFormat="1" x14ac:dyDescent="0.2"/>
    <row r="488" s="97" customFormat="1" x14ac:dyDescent="0.2"/>
    <row r="489" s="97" customFormat="1" x14ac:dyDescent="0.2"/>
    <row r="490" s="97" customFormat="1" x14ac:dyDescent="0.2"/>
    <row r="491" s="97" customFormat="1" x14ac:dyDescent="0.2"/>
    <row r="492" s="97" customFormat="1" x14ac:dyDescent="0.2"/>
    <row r="493" s="97" customFormat="1" x14ac:dyDescent="0.2"/>
    <row r="494" s="97" customFormat="1" x14ac:dyDescent="0.2"/>
    <row r="495" s="97" customFormat="1" x14ac:dyDescent="0.2"/>
    <row r="496" s="97" customFormat="1" x14ac:dyDescent="0.2"/>
    <row r="497" s="97" customFormat="1" x14ac:dyDescent="0.2"/>
    <row r="498" s="97" customFormat="1" x14ac:dyDescent="0.2"/>
    <row r="499" s="97" customFormat="1" x14ac:dyDescent="0.2"/>
    <row r="500" s="97" customFormat="1" x14ac:dyDescent="0.2"/>
    <row r="501" s="97" customFormat="1" x14ac:dyDescent="0.2"/>
    <row r="502" s="97" customFormat="1" x14ac:dyDescent="0.2"/>
    <row r="503" s="97" customFormat="1" x14ac:dyDescent="0.2"/>
    <row r="504" s="97" customFormat="1" x14ac:dyDescent="0.2"/>
    <row r="505" s="97" customFormat="1" x14ac:dyDescent="0.2"/>
    <row r="506" s="97" customFormat="1" x14ac:dyDescent="0.2"/>
    <row r="507" s="97" customFormat="1" x14ac:dyDescent="0.2"/>
    <row r="508" s="97" customFormat="1" x14ac:dyDescent="0.2"/>
    <row r="509" s="97" customFormat="1" x14ac:dyDescent="0.2"/>
    <row r="510" s="97" customFormat="1" x14ac:dyDescent="0.2"/>
    <row r="511" s="97" customFormat="1" x14ac:dyDescent="0.2"/>
    <row r="512" s="97" customFormat="1" x14ac:dyDescent="0.2"/>
    <row r="513" s="97" customFormat="1" x14ac:dyDescent="0.2"/>
    <row r="514" s="97" customFormat="1" x14ac:dyDescent="0.2"/>
    <row r="515" s="97" customFormat="1" x14ac:dyDescent="0.2"/>
    <row r="516" s="97" customFormat="1" x14ac:dyDescent="0.2"/>
    <row r="517" s="97" customFormat="1" x14ac:dyDescent="0.2"/>
    <row r="518" s="97" customFormat="1" x14ac:dyDescent="0.2"/>
    <row r="519" s="97" customFormat="1" x14ac:dyDescent="0.2"/>
    <row r="520" s="97" customFormat="1" x14ac:dyDescent="0.2"/>
    <row r="521" s="97" customFormat="1" x14ac:dyDescent="0.2"/>
    <row r="522" s="97" customFormat="1" x14ac:dyDescent="0.2"/>
    <row r="523" s="97" customFormat="1" x14ac:dyDescent="0.2"/>
    <row r="524" s="97" customFormat="1" x14ac:dyDescent="0.2"/>
    <row r="525" s="97" customFormat="1" x14ac:dyDescent="0.2"/>
    <row r="526" s="97" customFormat="1" x14ac:dyDescent="0.2"/>
    <row r="527" s="97" customFormat="1" x14ac:dyDescent="0.2"/>
    <row r="528" s="97" customFormat="1" x14ac:dyDescent="0.2"/>
    <row r="529" s="97" customFormat="1" x14ac:dyDescent="0.2"/>
    <row r="530" s="97" customFormat="1" x14ac:dyDescent="0.2"/>
    <row r="531" s="97" customFormat="1" x14ac:dyDescent="0.2"/>
    <row r="532" s="97" customFormat="1" x14ac:dyDescent="0.2"/>
    <row r="533" s="97" customFormat="1" x14ac:dyDescent="0.2"/>
    <row r="534" s="97" customFormat="1" x14ac:dyDescent="0.2"/>
    <row r="535" s="97" customFormat="1" x14ac:dyDescent="0.2"/>
  </sheetData>
  <sheetProtection selectLockedCells="1" selectUnlockedCells="1"/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402"/>
  <sheetViews>
    <sheetView zoomScale="70" zoomScaleNormal="70" workbookViewId="0">
      <selection activeCell="C17" sqref="C17"/>
    </sheetView>
  </sheetViews>
  <sheetFormatPr defaultColWidth="9" defaultRowHeight="12.75" x14ac:dyDescent="0.2"/>
  <cols>
    <col min="1" max="1" width="14" style="97" customWidth="1"/>
    <col min="2" max="2" width="1.875" style="97" customWidth="1"/>
    <col min="3" max="3" width="95.875" style="97" customWidth="1"/>
    <col min="4" max="4" width="12" style="97" customWidth="1"/>
    <col min="5" max="5" width="12.375" style="866" customWidth="1"/>
    <col min="6" max="6" width="10.75" style="97" customWidth="1"/>
    <col min="7" max="7" width="11.875" style="97" customWidth="1"/>
    <col min="8" max="9" width="10.75" style="791" customWidth="1"/>
    <col min="10" max="10" width="10.875" style="826" customWidth="1"/>
    <col min="11" max="12" width="13.875" style="97" customWidth="1"/>
    <col min="13" max="13" width="10.375" style="97" customWidth="1"/>
    <col min="14" max="16384" width="9" style="97"/>
  </cols>
  <sheetData>
    <row r="1" spans="1:13" ht="13.5" customHeight="1" thickBot="1" x14ac:dyDescent="0.25">
      <c r="A1" s="1388" t="s">
        <v>5553</v>
      </c>
      <c r="B1" s="1388"/>
      <c r="C1" s="1389"/>
      <c r="D1" s="1390" t="s">
        <v>0</v>
      </c>
      <c r="E1" s="1391"/>
      <c r="F1" s="1391"/>
      <c r="G1" s="1392"/>
      <c r="H1" s="1393" t="s">
        <v>1</v>
      </c>
      <c r="I1" s="1394"/>
      <c r="J1" s="1395"/>
    </row>
    <row r="2" spans="1:13" ht="13.5" customHeight="1" thickBot="1" x14ac:dyDescent="0.25">
      <c r="A2" s="561" t="s">
        <v>2</v>
      </c>
      <c r="B2" s="562"/>
      <c r="C2" s="562" t="s">
        <v>3</v>
      </c>
      <c r="D2" s="562" t="s">
        <v>4</v>
      </c>
      <c r="E2" s="917" t="s">
        <v>5</v>
      </c>
      <c r="F2" s="562" t="s">
        <v>6</v>
      </c>
      <c r="G2" s="564" t="s">
        <v>7</v>
      </c>
      <c r="H2" s="779" t="s">
        <v>5</v>
      </c>
      <c r="I2" s="780" t="s">
        <v>6</v>
      </c>
      <c r="J2" s="781" t="s">
        <v>7</v>
      </c>
    </row>
    <row r="3" spans="1:13" ht="13.5" customHeight="1" x14ac:dyDescent="0.2">
      <c r="A3" s="568" t="s">
        <v>5891</v>
      </c>
      <c r="B3" s="603"/>
      <c r="C3" s="570" t="s">
        <v>8</v>
      </c>
      <c r="D3" s="581"/>
      <c r="E3" s="918"/>
      <c r="F3" s="919"/>
      <c r="G3" s="920">
        <v>17.989999999999998</v>
      </c>
      <c r="H3" s="15"/>
      <c r="I3" s="784"/>
      <c r="J3" s="785">
        <v>646.88000000000523</v>
      </c>
      <c r="K3" s="791">
        <v>17.989999999999998</v>
      </c>
      <c r="L3" s="791">
        <v>646.88000000000523</v>
      </c>
      <c r="M3" s="573"/>
    </row>
    <row r="4" spans="1:13" ht="13.5" customHeight="1" x14ac:dyDescent="0.2">
      <c r="A4" s="786">
        <v>42979</v>
      </c>
      <c r="B4" s="787"/>
      <c r="C4" s="722" t="s">
        <v>5892</v>
      </c>
      <c r="D4" s="581"/>
      <c r="E4" s="918"/>
      <c r="F4" s="921"/>
      <c r="G4" s="792"/>
      <c r="H4" s="24"/>
      <c r="I4" s="789">
        <v>200</v>
      </c>
      <c r="J4" s="790"/>
      <c r="K4" s="791">
        <v>17.989999999999998</v>
      </c>
      <c r="L4" s="791">
        <v>846.88000000000523</v>
      </c>
      <c r="M4" s="573"/>
    </row>
    <row r="5" spans="1:13" ht="13.5" customHeight="1" x14ac:dyDescent="0.2">
      <c r="A5" s="786"/>
      <c r="B5" s="787"/>
      <c r="C5" s="722" t="s">
        <v>5893</v>
      </c>
      <c r="D5" s="581"/>
      <c r="E5" s="918"/>
      <c r="F5" s="921"/>
      <c r="G5" s="792"/>
      <c r="H5" s="24">
        <v>6.5</v>
      </c>
      <c r="I5" s="789"/>
      <c r="J5" s="790"/>
      <c r="K5" s="791">
        <v>17.989999999999998</v>
      </c>
      <c r="L5" s="791">
        <v>840.38000000000523</v>
      </c>
      <c r="M5" s="573"/>
    </row>
    <row r="6" spans="1:13" ht="13.5" customHeight="1" x14ac:dyDescent="0.2">
      <c r="A6" s="786"/>
      <c r="B6" s="787"/>
      <c r="C6" s="722" t="s">
        <v>5589</v>
      </c>
      <c r="D6" s="581"/>
      <c r="E6" s="918"/>
      <c r="F6" s="921"/>
      <c r="G6" s="792"/>
      <c r="H6" s="24">
        <v>140</v>
      </c>
      <c r="I6" s="789"/>
      <c r="J6" s="790"/>
      <c r="K6" s="791">
        <v>17.989999999999998</v>
      </c>
      <c r="L6" s="791">
        <v>700.38000000000523</v>
      </c>
      <c r="M6" s="573"/>
    </row>
    <row r="7" spans="1:13" ht="13.5" customHeight="1" x14ac:dyDescent="0.2">
      <c r="A7" s="786"/>
      <c r="B7" s="787"/>
      <c r="C7" s="722" t="s">
        <v>5590</v>
      </c>
      <c r="D7" s="581"/>
      <c r="E7" s="918"/>
      <c r="F7" s="921"/>
      <c r="G7" s="792"/>
      <c r="H7" s="24">
        <v>70</v>
      </c>
      <c r="I7" s="789"/>
      <c r="J7" s="790"/>
      <c r="K7" s="791">
        <v>17.989999999999998</v>
      </c>
      <c r="L7" s="791">
        <v>630.38000000000523</v>
      </c>
      <c r="M7" s="573"/>
    </row>
    <row r="8" spans="1:13" ht="13.5" customHeight="1" x14ac:dyDescent="0.2">
      <c r="A8" s="786"/>
      <c r="B8" s="787"/>
      <c r="C8" s="722" t="s">
        <v>5591</v>
      </c>
      <c r="D8" s="581"/>
      <c r="E8" s="918"/>
      <c r="F8" s="921"/>
      <c r="G8" s="792"/>
      <c r="H8" s="24">
        <v>600</v>
      </c>
      <c r="I8" s="789"/>
      <c r="J8" s="790"/>
      <c r="K8" s="791">
        <v>17.989999999999998</v>
      </c>
      <c r="L8" s="791">
        <v>30.380000000005225</v>
      </c>
      <c r="M8" s="573"/>
    </row>
    <row r="9" spans="1:13" ht="13.5" customHeight="1" x14ac:dyDescent="0.2">
      <c r="A9" s="786"/>
      <c r="B9" s="787"/>
      <c r="C9" s="722" t="s">
        <v>5592</v>
      </c>
      <c r="D9" s="581"/>
      <c r="E9" s="918"/>
      <c r="F9" s="921"/>
      <c r="G9" s="792"/>
      <c r="H9" s="24">
        <v>225</v>
      </c>
      <c r="I9" s="789"/>
      <c r="J9" s="790"/>
      <c r="K9" s="791">
        <v>17.989999999999998</v>
      </c>
      <c r="L9" s="791">
        <v>-194.61999999999477</v>
      </c>
      <c r="M9" s="573"/>
    </row>
    <row r="10" spans="1:13" ht="13.5" customHeight="1" x14ac:dyDescent="0.2">
      <c r="A10" s="786"/>
      <c r="B10" s="787"/>
      <c r="C10" s="722" t="s">
        <v>5593</v>
      </c>
      <c r="D10" s="581"/>
      <c r="E10" s="918"/>
      <c r="F10" s="921"/>
      <c r="G10" s="792"/>
      <c r="H10" s="24">
        <v>300</v>
      </c>
      <c r="I10" s="789"/>
      <c r="J10" s="790"/>
      <c r="K10" s="791">
        <v>17.989999999999998</v>
      </c>
      <c r="L10" s="791">
        <v>-494.61999999999477</v>
      </c>
      <c r="M10" s="573"/>
    </row>
    <row r="11" spans="1:13" ht="13.5" customHeight="1" x14ac:dyDescent="0.2">
      <c r="A11" s="786"/>
      <c r="B11" s="787"/>
      <c r="C11" s="722" t="s">
        <v>5894</v>
      </c>
      <c r="D11" s="581"/>
      <c r="E11" s="918"/>
      <c r="F11" s="921"/>
      <c r="G11" s="792"/>
      <c r="H11" s="24"/>
      <c r="I11" s="922">
        <v>1500</v>
      </c>
      <c r="J11" s="790"/>
      <c r="K11" s="791">
        <v>17.989999999999998</v>
      </c>
      <c r="L11" s="791">
        <v>1005.3800000000052</v>
      </c>
      <c r="M11" s="573"/>
    </row>
    <row r="12" spans="1:13" ht="13.5" customHeight="1" x14ac:dyDescent="0.2">
      <c r="A12" s="786"/>
      <c r="B12" s="787"/>
      <c r="C12" s="722" t="s">
        <v>5895</v>
      </c>
      <c r="D12" s="581"/>
      <c r="E12" s="918"/>
      <c r="F12" s="921"/>
      <c r="G12" s="792"/>
      <c r="H12" s="24"/>
      <c r="I12" s="789">
        <v>355</v>
      </c>
      <c r="J12" s="790"/>
      <c r="K12" s="791">
        <v>17.989999999999998</v>
      </c>
      <c r="L12" s="791">
        <v>1360.3800000000051</v>
      </c>
      <c r="M12" s="573"/>
    </row>
    <row r="13" spans="1:13" ht="13.5" customHeight="1" x14ac:dyDescent="0.2">
      <c r="A13" s="786"/>
      <c r="B13" s="787"/>
      <c r="C13" s="722" t="s">
        <v>5623</v>
      </c>
      <c r="D13" s="581"/>
      <c r="E13" s="918"/>
      <c r="F13" s="921"/>
      <c r="G13" s="792"/>
      <c r="H13" s="24">
        <v>300</v>
      </c>
      <c r="I13" s="789"/>
      <c r="J13" s="790">
        <v>1060.3800000000051</v>
      </c>
      <c r="K13" s="791">
        <v>17.989999999999998</v>
      </c>
      <c r="L13" s="791">
        <v>1060.3800000000051</v>
      </c>
      <c r="M13" s="573"/>
    </row>
    <row r="14" spans="1:13" ht="13.5" customHeight="1" x14ac:dyDescent="0.2">
      <c r="A14" s="786"/>
      <c r="B14" s="787"/>
      <c r="C14" s="722" t="s">
        <v>5896</v>
      </c>
      <c r="D14" s="581" t="s">
        <v>5897</v>
      </c>
      <c r="E14" s="923">
        <v>-64.8</v>
      </c>
      <c r="F14" s="921" t="s">
        <v>549</v>
      </c>
      <c r="G14" s="792"/>
      <c r="H14" s="24"/>
      <c r="I14" s="789"/>
      <c r="J14" s="790"/>
      <c r="K14" s="791">
        <v>-46.81</v>
      </c>
      <c r="L14" s="791">
        <v>1060.3800000000051</v>
      </c>
      <c r="M14" s="573"/>
    </row>
    <row r="15" spans="1:13" ht="13.5" customHeight="1" x14ac:dyDescent="0.2">
      <c r="A15" s="786"/>
      <c r="B15" s="787"/>
      <c r="C15" s="722" t="s">
        <v>5894</v>
      </c>
      <c r="D15" s="581" t="s">
        <v>1333</v>
      </c>
      <c r="E15" s="924">
        <v>-1500</v>
      </c>
      <c r="F15" s="921" t="s">
        <v>549</v>
      </c>
      <c r="G15" s="792"/>
      <c r="H15" s="24"/>
      <c r="I15" s="789"/>
      <c r="J15" s="790"/>
      <c r="K15" s="791">
        <v>-1546.81</v>
      </c>
      <c r="L15" s="791">
        <v>1060.3800000000051</v>
      </c>
      <c r="M15" s="573"/>
    </row>
    <row r="16" spans="1:13" ht="13.5" customHeight="1" x14ac:dyDescent="0.2">
      <c r="A16" s="786"/>
      <c r="B16" s="787"/>
      <c r="C16" s="722" t="s">
        <v>5557</v>
      </c>
      <c r="D16" s="581" t="s">
        <v>19</v>
      </c>
      <c r="E16" s="923">
        <v>-0.77</v>
      </c>
      <c r="F16" s="921" t="s">
        <v>549</v>
      </c>
      <c r="G16" s="792"/>
      <c r="H16" s="24"/>
      <c r="I16" s="789"/>
      <c r="J16" s="790"/>
      <c r="K16" s="791">
        <v>-1547.58</v>
      </c>
      <c r="L16" s="791">
        <v>1060.3800000000051</v>
      </c>
      <c r="M16" s="573"/>
    </row>
    <row r="17" spans="1:13" ht="13.5" customHeight="1" x14ac:dyDescent="0.2">
      <c r="A17" s="786"/>
      <c r="B17" s="787"/>
      <c r="C17" s="722" t="s">
        <v>5558</v>
      </c>
      <c r="D17" s="581" t="s">
        <v>19</v>
      </c>
      <c r="E17" s="923">
        <v>-17.36</v>
      </c>
      <c r="F17" s="921" t="s">
        <v>549</v>
      </c>
      <c r="G17" s="792"/>
      <c r="H17" s="24"/>
      <c r="I17" s="789"/>
      <c r="J17" s="790"/>
      <c r="K17" s="791">
        <v>-1564.9399999999998</v>
      </c>
      <c r="L17" s="791">
        <v>1060.3800000000051</v>
      </c>
      <c r="M17" s="573"/>
    </row>
    <row r="18" spans="1:13" ht="13.5" customHeight="1" x14ac:dyDescent="0.2">
      <c r="A18" s="786"/>
      <c r="B18" s="787"/>
      <c r="C18" s="722" t="s">
        <v>5578</v>
      </c>
      <c r="D18" s="581" t="s">
        <v>19</v>
      </c>
      <c r="E18" s="923">
        <v>-52.16</v>
      </c>
      <c r="F18" s="921" t="s">
        <v>549</v>
      </c>
      <c r="G18" s="792">
        <v>-1617.1</v>
      </c>
      <c r="H18" s="24"/>
      <c r="I18" s="789"/>
      <c r="J18" s="790"/>
      <c r="K18" s="791">
        <v>-1617.1</v>
      </c>
      <c r="L18" s="791">
        <v>1060.3800000000051</v>
      </c>
      <c r="M18" s="573"/>
    </row>
    <row r="19" spans="1:13" ht="13.5" customHeight="1" x14ac:dyDescent="0.2">
      <c r="A19" s="786">
        <v>42981</v>
      </c>
      <c r="B19" s="787"/>
      <c r="C19" s="722" t="s">
        <v>5898</v>
      </c>
      <c r="D19" s="581"/>
      <c r="E19" s="918"/>
      <c r="F19" s="921"/>
      <c r="G19" s="792"/>
      <c r="H19" s="24">
        <v>180</v>
      </c>
      <c r="I19" s="789"/>
      <c r="J19" s="790"/>
      <c r="K19" s="791">
        <v>-1617.1</v>
      </c>
      <c r="L19" s="791">
        <v>880.38000000000511</v>
      </c>
      <c r="M19" s="573"/>
    </row>
    <row r="20" spans="1:13" ht="13.5" customHeight="1" x14ac:dyDescent="0.2">
      <c r="A20" s="786"/>
      <c r="B20" s="787"/>
      <c r="C20" s="722" t="s">
        <v>5899</v>
      </c>
      <c r="D20" s="581"/>
      <c r="E20" s="918"/>
      <c r="F20" s="921"/>
      <c r="G20" s="792"/>
      <c r="H20" s="24">
        <v>160</v>
      </c>
      <c r="I20" s="789"/>
      <c r="J20" s="790"/>
      <c r="K20" s="791">
        <v>-1617.1</v>
      </c>
      <c r="L20" s="791">
        <v>720.38000000000511</v>
      </c>
      <c r="M20" s="573"/>
    </row>
    <row r="21" spans="1:13" ht="13.5" customHeight="1" x14ac:dyDescent="0.2">
      <c r="A21" s="786"/>
      <c r="B21" s="787"/>
      <c r="C21" s="722" t="s">
        <v>5900</v>
      </c>
      <c r="D21" s="581"/>
      <c r="E21" s="918"/>
      <c r="F21" s="921"/>
      <c r="G21" s="792"/>
      <c r="H21" s="24">
        <v>80</v>
      </c>
      <c r="I21" s="789"/>
      <c r="J21" s="790"/>
      <c r="K21" s="791">
        <v>-1617.1</v>
      </c>
      <c r="L21" s="791">
        <v>640.38000000000511</v>
      </c>
      <c r="M21" s="573"/>
    </row>
    <row r="22" spans="1:13" ht="13.5" customHeight="1" x14ac:dyDescent="0.2">
      <c r="A22" s="786"/>
      <c r="B22" s="787"/>
      <c r="C22" s="722" t="s">
        <v>5901</v>
      </c>
      <c r="D22" s="581"/>
      <c r="E22" s="918"/>
      <c r="F22" s="921"/>
      <c r="G22" s="792"/>
      <c r="H22" s="24">
        <v>70</v>
      </c>
      <c r="I22" s="789"/>
      <c r="J22" s="790"/>
      <c r="K22" s="791">
        <v>-1617.1</v>
      </c>
      <c r="L22" s="791">
        <v>570.38000000000511</v>
      </c>
      <c r="M22" s="573"/>
    </row>
    <row r="23" spans="1:13" ht="13.5" customHeight="1" x14ac:dyDescent="0.2">
      <c r="A23" s="786">
        <v>42982</v>
      </c>
      <c r="B23" s="787"/>
      <c r="C23" s="722" t="s">
        <v>5902</v>
      </c>
      <c r="D23" s="581"/>
      <c r="E23" s="918"/>
      <c r="F23" s="921"/>
      <c r="G23" s="792"/>
      <c r="H23" s="24"/>
      <c r="I23" s="789">
        <v>1430</v>
      </c>
      <c r="J23" s="790"/>
      <c r="K23" s="791">
        <v>-1617.1</v>
      </c>
      <c r="L23" s="791">
        <v>2000.3800000000051</v>
      </c>
      <c r="M23" s="573"/>
    </row>
    <row r="24" spans="1:13" ht="13.5" customHeight="1" x14ac:dyDescent="0.2">
      <c r="A24" s="786"/>
      <c r="B24" s="787"/>
      <c r="C24" s="722" t="s">
        <v>5903</v>
      </c>
      <c r="D24" s="581"/>
      <c r="E24" s="918"/>
      <c r="F24" s="921"/>
      <c r="G24" s="792"/>
      <c r="H24" s="24"/>
      <c r="I24" s="789">
        <v>60</v>
      </c>
      <c r="J24" s="790"/>
      <c r="K24" s="791">
        <v>-1617.1</v>
      </c>
      <c r="L24" s="791">
        <v>2060.3800000000051</v>
      </c>
      <c r="M24" s="573"/>
    </row>
    <row r="25" spans="1:13" ht="13.5" customHeight="1" x14ac:dyDescent="0.2">
      <c r="A25" s="786"/>
      <c r="B25" s="787"/>
      <c r="C25" s="722" t="s">
        <v>5904</v>
      </c>
      <c r="D25" s="581"/>
      <c r="E25" s="918"/>
      <c r="F25" s="921"/>
      <c r="G25" s="792"/>
      <c r="H25" s="24"/>
      <c r="I25" s="789">
        <v>2296.13</v>
      </c>
      <c r="J25" s="790"/>
      <c r="K25" s="791">
        <v>-1617.1</v>
      </c>
      <c r="L25" s="791">
        <v>4356.5100000000057</v>
      </c>
      <c r="M25" s="573"/>
    </row>
    <row r="26" spans="1:13" ht="13.5" customHeight="1" x14ac:dyDescent="0.2">
      <c r="A26" s="786"/>
      <c r="B26" s="787"/>
      <c r="C26" s="722" t="s">
        <v>5623</v>
      </c>
      <c r="D26" s="581"/>
      <c r="E26" s="918"/>
      <c r="F26" s="921"/>
      <c r="G26" s="792"/>
      <c r="H26" s="24">
        <v>100</v>
      </c>
      <c r="I26" s="789"/>
      <c r="J26" s="790">
        <v>4256.5100000000057</v>
      </c>
      <c r="K26" s="791">
        <v>-1617.1</v>
      </c>
      <c r="L26" s="791">
        <v>4256.5100000000057</v>
      </c>
      <c r="M26" s="573"/>
    </row>
    <row r="27" spans="1:13" ht="13.5" customHeight="1" x14ac:dyDescent="0.2">
      <c r="A27" s="786"/>
      <c r="B27" s="787"/>
      <c r="C27" s="722" t="s">
        <v>5905</v>
      </c>
      <c r="D27" s="581" t="s">
        <v>5906</v>
      </c>
      <c r="E27" s="925">
        <v>-350</v>
      </c>
      <c r="F27" s="921" t="s">
        <v>549</v>
      </c>
      <c r="G27" s="792">
        <v>-1967.1</v>
      </c>
      <c r="H27" s="24"/>
      <c r="I27" s="789"/>
      <c r="J27" s="790"/>
      <c r="K27" s="791">
        <v>-1967.1</v>
      </c>
      <c r="L27" s="791">
        <v>4256.5100000000057</v>
      </c>
      <c r="M27" s="573"/>
    </row>
    <row r="28" spans="1:13" ht="13.5" customHeight="1" x14ac:dyDescent="0.2">
      <c r="A28" s="786">
        <v>42983</v>
      </c>
      <c r="B28" s="787"/>
      <c r="C28" s="722" t="s">
        <v>5907</v>
      </c>
      <c r="D28" s="581"/>
      <c r="E28" s="918"/>
      <c r="F28" s="921"/>
      <c r="G28" s="792"/>
      <c r="H28" s="174">
        <v>2296.13</v>
      </c>
      <c r="I28" s="789"/>
      <c r="J28" s="790"/>
      <c r="K28" s="791">
        <v>-1967.1</v>
      </c>
      <c r="L28" s="791">
        <v>1960.3800000000056</v>
      </c>
      <c r="M28" s="573"/>
    </row>
    <row r="29" spans="1:13" ht="13.5" customHeight="1" x14ac:dyDescent="0.2">
      <c r="A29" s="786"/>
      <c r="B29" s="787"/>
      <c r="C29" s="722" t="s">
        <v>5908</v>
      </c>
      <c r="D29" s="581"/>
      <c r="E29" s="918"/>
      <c r="F29" s="921"/>
      <c r="G29" s="792"/>
      <c r="H29" s="24"/>
      <c r="I29" s="789">
        <v>890</v>
      </c>
      <c r="J29" s="790"/>
      <c r="K29" s="791">
        <v>-1967.1</v>
      </c>
      <c r="L29" s="791">
        <v>2850.3800000000056</v>
      </c>
      <c r="M29" s="573"/>
    </row>
    <row r="30" spans="1:13" ht="13.5" customHeight="1" x14ac:dyDescent="0.2">
      <c r="A30" s="786"/>
      <c r="B30" s="787"/>
      <c r="C30" s="722" t="s">
        <v>5909</v>
      </c>
      <c r="D30" s="581"/>
      <c r="E30" s="918"/>
      <c r="F30" s="921"/>
      <c r="G30" s="792"/>
      <c r="H30" s="24"/>
      <c r="I30" s="789">
        <v>110</v>
      </c>
      <c r="J30" s="790"/>
      <c r="K30" s="791">
        <v>-1967.1</v>
      </c>
      <c r="L30" s="791">
        <v>2960.3800000000056</v>
      </c>
      <c r="M30" s="573"/>
    </row>
    <row r="31" spans="1:13" ht="13.5" customHeight="1" x14ac:dyDescent="0.2">
      <c r="A31" s="786"/>
      <c r="B31" s="787"/>
      <c r="C31" s="722" t="s">
        <v>5910</v>
      </c>
      <c r="D31" s="581"/>
      <c r="E31" s="918"/>
      <c r="F31" s="921"/>
      <c r="G31" s="792"/>
      <c r="H31" s="24"/>
      <c r="I31" s="789">
        <v>190</v>
      </c>
      <c r="J31" s="790"/>
      <c r="K31" s="791">
        <v>-1967.1</v>
      </c>
      <c r="L31" s="791">
        <v>3150.3800000000056</v>
      </c>
      <c r="M31" s="573"/>
    </row>
    <row r="32" spans="1:13" ht="13.5" customHeight="1" x14ac:dyDescent="0.2">
      <c r="A32" s="786"/>
      <c r="B32" s="787"/>
      <c r="C32" s="722" t="s">
        <v>5911</v>
      </c>
      <c r="D32" s="581"/>
      <c r="E32" s="918"/>
      <c r="F32" s="921"/>
      <c r="G32" s="792"/>
      <c r="H32" s="24"/>
      <c r="I32" s="789">
        <v>22.75</v>
      </c>
      <c r="J32" s="790"/>
      <c r="K32" s="791">
        <v>-1967.1</v>
      </c>
      <c r="L32" s="791">
        <v>3173.1300000000056</v>
      </c>
      <c r="M32" s="573"/>
    </row>
    <row r="33" spans="1:13" ht="13.5" customHeight="1" x14ac:dyDescent="0.2">
      <c r="A33" s="786"/>
      <c r="B33" s="787"/>
      <c r="C33" s="722" t="s">
        <v>5600</v>
      </c>
      <c r="D33" s="581"/>
      <c r="E33" s="918"/>
      <c r="F33" s="921"/>
      <c r="G33" s="792"/>
      <c r="H33" s="24">
        <v>15</v>
      </c>
      <c r="I33" s="789"/>
      <c r="J33" s="790"/>
      <c r="K33" s="791">
        <v>-1967.1</v>
      </c>
      <c r="L33" s="791">
        <v>3158.1300000000056</v>
      </c>
      <c r="M33" s="573"/>
    </row>
    <row r="34" spans="1:13" ht="13.5" customHeight="1" x14ac:dyDescent="0.2">
      <c r="A34" s="786"/>
      <c r="B34" s="787"/>
      <c r="C34" s="722" t="s">
        <v>5912</v>
      </c>
      <c r="D34" s="581"/>
      <c r="E34" s="918"/>
      <c r="F34" s="921"/>
      <c r="G34" s="792"/>
      <c r="H34" s="24">
        <v>13.7</v>
      </c>
      <c r="I34" s="789"/>
      <c r="J34" s="790"/>
      <c r="K34" s="791">
        <v>-1967.1</v>
      </c>
      <c r="L34" s="791">
        <v>3144.4300000000057</v>
      </c>
      <c r="M34" s="573"/>
    </row>
    <row r="35" spans="1:13" ht="13.5" customHeight="1" x14ac:dyDescent="0.2">
      <c r="A35" s="786"/>
      <c r="B35" s="787"/>
      <c r="C35" s="722" t="s">
        <v>5913</v>
      </c>
      <c r="D35" s="581"/>
      <c r="E35" s="918"/>
      <c r="F35" s="921"/>
      <c r="G35" s="792"/>
      <c r="H35" s="24">
        <v>11.5</v>
      </c>
      <c r="I35" s="789"/>
      <c r="J35" s="790"/>
      <c r="K35" s="791">
        <v>-1967.1</v>
      </c>
      <c r="L35" s="791">
        <v>3132.9300000000057</v>
      </c>
      <c r="M35" s="573"/>
    </row>
    <row r="36" spans="1:13" ht="13.5" customHeight="1" x14ac:dyDescent="0.2">
      <c r="A36" s="786"/>
      <c r="B36" s="787"/>
      <c r="C36" s="722" t="s">
        <v>5593</v>
      </c>
      <c r="D36" s="581"/>
      <c r="E36" s="918"/>
      <c r="F36" s="921"/>
      <c r="G36" s="792"/>
      <c r="H36" s="24">
        <v>150</v>
      </c>
      <c r="I36" s="789"/>
      <c r="J36" s="790"/>
      <c r="K36" s="791">
        <v>-1967.1</v>
      </c>
      <c r="L36" s="791">
        <v>2982.9300000000057</v>
      </c>
      <c r="M36" s="573"/>
    </row>
    <row r="37" spans="1:13" ht="13.5" customHeight="1" x14ac:dyDescent="0.2">
      <c r="A37" s="786"/>
      <c r="B37" s="787"/>
      <c r="C37" s="722" t="s">
        <v>5914</v>
      </c>
      <c r="D37" s="581"/>
      <c r="E37" s="918"/>
      <c r="F37" s="921"/>
      <c r="G37" s="792"/>
      <c r="H37" s="24">
        <v>12.96</v>
      </c>
      <c r="I37" s="789"/>
      <c r="J37" s="790">
        <v>2969.9700000000057</v>
      </c>
      <c r="K37" s="791">
        <v>-1967.1</v>
      </c>
      <c r="L37" s="791">
        <v>2969.9700000000057</v>
      </c>
      <c r="M37" s="573"/>
    </row>
    <row r="38" spans="1:13" ht="13.5" customHeight="1" x14ac:dyDescent="0.2">
      <c r="A38" s="786"/>
      <c r="B38" s="787"/>
      <c r="C38" s="795" t="s">
        <v>5708</v>
      </c>
      <c r="D38" s="581" t="s">
        <v>19</v>
      </c>
      <c r="E38" s="918" t="s">
        <v>549</v>
      </c>
      <c r="F38" s="926">
        <v>4500</v>
      </c>
      <c r="G38" s="792"/>
      <c r="H38" s="24"/>
      <c r="I38" s="789"/>
      <c r="J38" s="790"/>
      <c r="K38" s="791">
        <v>2532.9</v>
      </c>
      <c r="L38" s="791">
        <v>2969.9700000000057</v>
      </c>
      <c r="M38" s="573"/>
    </row>
    <row r="39" spans="1:13" ht="13.5" customHeight="1" x14ac:dyDescent="0.2">
      <c r="A39" s="786"/>
      <c r="B39" s="787"/>
      <c r="C39" s="722" t="s">
        <v>5915</v>
      </c>
      <c r="D39" s="581" t="s">
        <v>5916</v>
      </c>
      <c r="E39" s="925">
        <v>-400</v>
      </c>
      <c r="F39" s="921" t="s">
        <v>549</v>
      </c>
      <c r="G39" s="792"/>
      <c r="H39" s="24"/>
      <c r="I39" s="789"/>
      <c r="J39" s="790"/>
      <c r="K39" s="791">
        <v>2132.9</v>
      </c>
      <c r="L39" s="791">
        <v>2969.9700000000057</v>
      </c>
      <c r="M39" s="573"/>
    </row>
    <row r="40" spans="1:13" ht="13.5" customHeight="1" x14ac:dyDescent="0.2">
      <c r="A40" s="786"/>
      <c r="B40" s="787"/>
      <c r="C40" s="722" t="s">
        <v>5917</v>
      </c>
      <c r="D40" s="581" t="s">
        <v>19</v>
      </c>
      <c r="E40" s="927">
        <v>-2000</v>
      </c>
      <c r="F40" s="921" t="s">
        <v>549</v>
      </c>
      <c r="G40" s="928" t="s">
        <v>5918</v>
      </c>
      <c r="H40" s="24"/>
      <c r="I40" s="789"/>
      <c r="J40" s="790"/>
      <c r="K40" s="791">
        <v>132.90000000000009</v>
      </c>
      <c r="L40" s="791">
        <v>2969.9700000000057</v>
      </c>
      <c r="M40" s="573"/>
    </row>
    <row r="41" spans="1:13" ht="13.5" customHeight="1" x14ac:dyDescent="0.2">
      <c r="A41" s="786">
        <v>42984</v>
      </c>
      <c r="B41" s="787"/>
      <c r="C41" s="722" t="s">
        <v>5919</v>
      </c>
      <c r="D41" s="581"/>
      <c r="E41" s="918"/>
      <c r="F41" s="921"/>
      <c r="G41" s="792"/>
      <c r="H41" s="174">
        <v>1430</v>
      </c>
      <c r="I41" s="789"/>
      <c r="J41" s="790"/>
      <c r="K41" s="791">
        <v>132.90000000000009</v>
      </c>
      <c r="L41" s="791">
        <v>1539.9700000000057</v>
      </c>
      <c r="M41" s="573"/>
    </row>
    <row r="42" spans="1:13" ht="13.5" customHeight="1" x14ac:dyDescent="0.2">
      <c r="A42" s="786"/>
      <c r="B42" s="787"/>
      <c r="C42" s="722" t="s">
        <v>5920</v>
      </c>
      <c r="D42" s="581"/>
      <c r="E42" s="918"/>
      <c r="F42" s="921"/>
      <c r="G42" s="792"/>
      <c r="H42" s="24">
        <v>6.29</v>
      </c>
      <c r="I42" s="789"/>
      <c r="J42" s="790"/>
      <c r="K42" s="791">
        <v>132.90000000000009</v>
      </c>
      <c r="L42" s="791">
        <v>1533.6800000000057</v>
      </c>
      <c r="M42" s="573"/>
    </row>
    <row r="43" spans="1:13" ht="13.5" customHeight="1" x14ac:dyDescent="0.2">
      <c r="A43" s="786"/>
      <c r="B43" s="787"/>
      <c r="C43" s="722" t="s">
        <v>5921</v>
      </c>
      <c r="D43" s="581"/>
      <c r="E43" s="918"/>
      <c r="F43" s="921"/>
      <c r="G43" s="792"/>
      <c r="H43" s="24">
        <v>24.75</v>
      </c>
      <c r="I43" s="789"/>
      <c r="J43" s="790"/>
      <c r="K43" s="791">
        <v>132.90000000000009</v>
      </c>
      <c r="L43" s="791">
        <v>1508.9300000000057</v>
      </c>
      <c r="M43" s="573"/>
    </row>
    <row r="44" spans="1:13" ht="13.5" customHeight="1" x14ac:dyDescent="0.2">
      <c r="A44" s="786"/>
      <c r="B44" s="787"/>
      <c r="C44" s="722" t="s">
        <v>5922</v>
      </c>
      <c r="D44" s="581"/>
      <c r="E44" s="918"/>
      <c r="F44" s="921"/>
      <c r="G44" s="792"/>
      <c r="H44" s="24"/>
      <c r="I44" s="789">
        <v>1020</v>
      </c>
      <c r="J44" s="790"/>
      <c r="K44" s="791">
        <v>132.90000000000009</v>
      </c>
      <c r="L44" s="791">
        <v>2528.9300000000057</v>
      </c>
      <c r="M44" s="573"/>
    </row>
    <row r="45" spans="1:13" ht="13.5" customHeight="1" x14ac:dyDescent="0.2">
      <c r="A45" s="786"/>
      <c r="B45" s="787"/>
      <c r="C45" s="722" t="s">
        <v>5923</v>
      </c>
      <c r="D45" s="581"/>
      <c r="E45" s="918"/>
      <c r="F45" s="921"/>
      <c r="G45" s="792"/>
      <c r="H45" s="24"/>
      <c r="I45" s="789">
        <v>1971.41</v>
      </c>
      <c r="J45" s="790"/>
      <c r="K45" s="791">
        <v>132.90000000000009</v>
      </c>
      <c r="L45" s="791">
        <v>4500.3400000000056</v>
      </c>
      <c r="M45" s="573"/>
    </row>
    <row r="46" spans="1:13" ht="13.5" customHeight="1" x14ac:dyDescent="0.2">
      <c r="A46" s="786"/>
      <c r="B46" s="787"/>
      <c r="C46" s="722" t="s">
        <v>5924</v>
      </c>
      <c r="D46" s="581"/>
      <c r="E46" s="918"/>
      <c r="F46" s="921"/>
      <c r="G46" s="792"/>
      <c r="H46" s="24">
        <v>500</v>
      </c>
      <c r="I46" s="789"/>
      <c r="J46" s="790"/>
      <c r="K46" s="791">
        <v>132.90000000000009</v>
      </c>
      <c r="L46" s="791">
        <v>4000.3400000000056</v>
      </c>
      <c r="M46" s="573"/>
    </row>
    <row r="47" spans="1:13" ht="13.5" customHeight="1" x14ac:dyDescent="0.2">
      <c r="A47" s="786"/>
      <c r="B47" s="787"/>
      <c r="C47" s="722" t="s">
        <v>5589</v>
      </c>
      <c r="D47" s="581"/>
      <c r="E47" s="918"/>
      <c r="F47" s="921"/>
      <c r="G47" s="792"/>
      <c r="H47" s="24">
        <v>140</v>
      </c>
      <c r="I47" s="789"/>
      <c r="J47" s="790"/>
      <c r="K47" s="791">
        <v>132.90000000000009</v>
      </c>
      <c r="L47" s="791">
        <v>3860.3400000000056</v>
      </c>
      <c r="M47" s="573"/>
    </row>
    <row r="48" spans="1:13" ht="13.5" customHeight="1" x14ac:dyDescent="0.2">
      <c r="A48" s="786"/>
      <c r="B48" s="787"/>
      <c r="C48" s="722" t="s">
        <v>5590</v>
      </c>
      <c r="D48" s="581"/>
      <c r="E48" s="918"/>
      <c r="F48" s="921"/>
      <c r="G48" s="792"/>
      <c r="H48" s="24">
        <v>70</v>
      </c>
      <c r="I48" s="789"/>
      <c r="J48" s="790"/>
      <c r="K48" s="791">
        <v>132.90000000000009</v>
      </c>
      <c r="L48" s="791">
        <v>3790.3400000000056</v>
      </c>
      <c r="M48" s="573"/>
    </row>
    <row r="49" spans="1:13" ht="13.5" customHeight="1" x14ac:dyDescent="0.2">
      <c r="A49" s="786"/>
      <c r="B49" s="787"/>
      <c r="C49" s="722" t="s">
        <v>5591</v>
      </c>
      <c r="D49" s="581"/>
      <c r="E49" s="918"/>
      <c r="F49" s="921"/>
      <c r="G49" s="792"/>
      <c r="H49" s="24">
        <v>480</v>
      </c>
      <c r="I49" s="789"/>
      <c r="J49" s="790"/>
      <c r="K49" s="791">
        <v>132.90000000000009</v>
      </c>
      <c r="L49" s="791">
        <v>3310.3400000000056</v>
      </c>
      <c r="M49" s="573"/>
    </row>
    <row r="50" spans="1:13" ht="13.5" customHeight="1" x14ac:dyDescent="0.2">
      <c r="A50" s="786"/>
      <c r="B50" s="787"/>
      <c r="C50" s="722" t="s">
        <v>5592</v>
      </c>
      <c r="D50" s="581"/>
      <c r="E50" s="918"/>
      <c r="F50" s="921"/>
      <c r="G50" s="792"/>
      <c r="H50" s="24">
        <v>200</v>
      </c>
      <c r="I50" s="789"/>
      <c r="J50" s="790"/>
      <c r="K50" s="791">
        <v>132.90000000000009</v>
      </c>
      <c r="L50" s="791">
        <v>3110.3400000000056</v>
      </c>
      <c r="M50" s="573"/>
    </row>
    <row r="51" spans="1:13" ht="13.5" customHeight="1" x14ac:dyDescent="0.2">
      <c r="A51" s="786"/>
      <c r="B51" s="787"/>
      <c r="C51" s="722" t="s">
        <v>5623</v>
      </c>
      <c r="D51" s="581"/>
      <c r="E51" s="918"/>
      <c r="F51" s="921"/>
      <c r="G51" s="792"/>
      <c r="H51" s="24">
        <v>1900</v>
      </c>
      <c r="I51" s="789"/>
      <c r="J51" s="790">
        <v>1210.3400000000056</v>
      </c>
      <c r="K51" s="791">
        <v>132.90000000000009</v>
      </c>
      <c r="L51" s="791">
        <v>1210.3400000000056</v>
      </c>
      <c r="M51" s="573" t="s">
        <v>5677</v>
      </c>
    </row>
    <row r="52" spans="1:13" ht="13.5" customHeight="1" x14ac:dyDescent="0.2">
      <c r="A52" s="786"/>
      <c r="B52" s="787"/>
      <c r="C52" s="722" t="s">
        <v>5919</v>
      </c>
      <c r="D52" s="581" t="s">
        <v>5925</v>
      </c>
      <c r="E52" s="918" t="s">
        <v>549</v>
      </c>
      <c r="F52" s="929">
        <v>1430</v>
      </c>
      <c r="G52" s="792" t="s">
        <v>5926</v>
      </c>
      <c r="H52" s="24"/>
      <c r="I52" s="789"/>
      <c r="J52" s="790"/>
      <c r="K52" s="791">
        <v>1562.9</v>
      </c>
      <c r="L52" s="791">
        <v>1210.3400000000056</v>
      </c>
      <c r="M52" s="573"/>
    </row>
    <row r="53" spans="1:13" ht="13.5" customHeight="1" x14ac:dyDescent="0.2">
      <c r="A53" s="786">
        <v>42989</v>
      </c>
      <c r="B53" s="787"/>
      <c r="C53" s="722" t="s">
        <v>5927</v>
      </c>
      <c r="D53" s="581"/>
      <c r="E53" s="918"/>
      <c r="F53" s="921"/>
      <c r="G53" s="792"/>
      <c r="H53" s="24"/>
      <c r="I53" s="789">
        <v>80</v>
      </c>
      <c r="J53" s="790"/>
      <c r="K53" s="791">
        <v>1562.9</v>
      </c>
      <c r="L53" s="791">
        <v>1290.3400000000056</v>
      </c>
      <c r="M53" s="573"/>
    </row>
    <row r="54" spans="1:13" ht="13.5" customHeight="1" x14ac:dyDescent="0.2">
      <c r="A54" s="786"/>
      <c r="B54" s="787"/>
      <c r="C54" s="722" t="s">
        <v>5928</v>
      </c>
      <c r="D54" s="581"/>
      <c r="E54" s="918"/>
      <c r="F54" s="921"/>
      <c r="G54" s="792"/>
      <c r="H54" s="24">
        <v>3.25</v>
      </c>
      <c r="I54" s="789"/>
      <c r="J54" s="790"/>
      <c r="K54" s="791">
        <v>1562.9</v>
      </c>
      <c r="L54" s="791">
        <v>1287.0900000000056</v>
      </c>
      <c r="M54" s="573"/>
    </row>
    <row r="55" spans="1:13" ht="13.5" customHeight="1" x14ac:dyDescent="0.2">
      <c r="A55" s="786"/>
      <c r="B55" s="787"/>
      <c r="C55" s="722" t="s">
        <v>5929</v>
      </c>
      <c r="D55" s="581"/>
      <c r="E55" s="918"/>
      <c r="F55" s="921"/>
      <c r="G55" s="792"/>
      <c r="H55" s="24">
        <v>8.9</v>
      </c>
      <c r="I55" s="789"/>
      <c r="J55" s="790"/>
      <c r="K55" s="791">
        <v>1562.9</v>
      </c>
      <c r="L55" s="791">
        <v>1278.1900000000055</v>
      </c>
      <c r="M55" s="573"/>
    </row>
    <row r="56" spans="1:13" ht="13.5" customHeight="1" x14ac:dyDescent="0.2">
      <c r="A56" s="786"/>
      <c r="B56" s="787"/>
      <c r="C56" s="722" t="s">
        <v>5930</v>
      </c>
      <c r="D56" s="581"/>
      <c r="E56" s="930"/>
      <c r="F56" s="22"/>
      <c r="G56" s="792"/>
      <c r="H56" s="24">
        <v>80</v>
      </c>
      <c r="I56" s="789"/>
      <c r="J56" s="790"/>
      <c r="K56" s="791">
        <v>1562.9</v>
      </c>
      <c r="L56" s="791">
        <v>1198.1900000000055</v>
      </c>
      <c r="M56" s="573"/>
    </row>
    <row r="57" spans="1:13" ht="13.5" customHeight="1" x14ac:dyDescent="0.2">
      <c r="A57" s="786"/>
      <c r="B57" s="787"/>
      <c r="C57" s="722" t="s">
        <v>5931</v>
      </c>
      <c r="D57" s="581"/>
      <c r="E57" s="930"/>
      <c r="F57" s="22"/>
      <c r="G57" s="792"/>
      <c r="H57" s="24">
        <v>10.75</v>
      </c>
      <c r="I57" s="789"/>
      <c r="J57" s="790"/>
      <c r="K57" s="791">
        <v>1562.9</v>
      </c>
      <c r="L57" s="791">
        <v>1187.4400000000055</v>
      </c>
      <c r="M57" s="573"/>
    </row>
    <row r="58" spans="1:13" ht="13.5" customHeight="1" x14ac:dyDescent="0.2">
      <c r="A58" s="786"/>
      <c r="B58" s="787"/>
      <c r="C58" s="722" t="s">
        <v>5932</v>
      </c>
      <c r="D58" s="581"/>
      <c r="E58" s="930"/>
      <c r="F58" s="22"/>
      <c r="G58" s="792"/>
      <c r="H58" s="24"/>
      <c r="I58" s="789">
        <v>2050</v>
      </c>
      <c r="J58" s="790"/>
      <c r="K58" s="791">
        <v>1562.9</v>
      </c>
      <c r="L58" s="791">
        <v>3237.4400000000055</v>
      </c>
      <c r="M58" s="573" t="s">
        <v>5677</v>
      </c>
    </row>
    <row r="59" spans="1:13" ht="13.5" customHeight="1" x14ac:dyDescent="0.2">
      <c r="A59" s="786"/>
      <c r="B59" s="787"/>
      <c r="C59" s="722" t="s">
        <v>5933</v>
      </c>
      <c r="D59" s="581"/>
      <c r="E59" s="930"/>
      <c r="F59" s="22"/>
      <c r="G59" s="792"/>
      <c r="H59" s="24">
        <v>1000</v>
      </c>
      <c r="I59" s="789"/>
      <c r="J59" s="790">
        <v>2237.4400000000055</v>
      </c>
      <c r="K59" s="791">
        <v>1562.9</v>
      </c>
      <c r="L59" s="791">
        <v>2237.4400000000055</v>
      </c>
      <c r="M59" s="573" t="s">
        <v>5934</v>
      </c>
    </row>
    <row r="60" spans="1:13" ht="13.5" customHeight="1" x14ac:dyDescent="0.2">
      <c r="A60" s="786"/>
      <c r="B60" s="787"/>
      <c r="C60" s="793" t="s">
        <v>5607</v>
      </c>
      <c r="D60" s="581" t="s">
        <v>19</v>
      </c>
      <c r="E60" s="931">
        <v>-45.49</v>
      </c>
      <c r="F60" s="22" t="s">
        <v>549</v>
      </c>
      <c r="G60" s="792"/>
      <c r="H60" s="24"/>
      <c r="I60" s="789"/>
      <c r="J60" s="790"/>
      <c r="K60" s="791">
        <v>1517.41</v>
      </c>
      <c r="L60" s="791">
        <v>2237.4400000000055</v>
      </c>
      <c r="M60" s="573"/>
    </row>
    <row r="61" spans="1:13" ht="13.5" customHeight="1" x14ac:dyDescent="0.2">
      <c r="A61" s="786"/>
      <c r="B61" s="787"/>
      <c r="C61" s="793" t="s">
        <v>5609</v>
      </c>
      <c r="D61" s="581" t="s">
        <v>19</v>
      </c>
      <c r="E61" s="931">
        <v>-472.33</v>
      </c>
      <c r="F61" s="22" t="s">
        <v>549</v>
      </c>
      <c r="G61" s="792"/>
      <c r="H61" s="24"/>
      <c r="I61" s="789"/>
      <c r="J61" s="790"/>
      <c r="K61" s="791">
        <v>1045.0800000000002</v>
      </c>
      <c r="L61" s="791">
        <v>2237.4400000000055</v>
      </c>
      <c r="M61" s="573"/>
    </row>
    <row r="62" spans="1:13" ht="13.5" customHeight="1" x14ac:dyDescent="0.2">
      <c r="A62" s="786"/>
      <c r="B62" s="787"/>
      <c r="C62" s="722" t="s">
        <v>5935</v>
      </c>
      <c r="D62" s="581" t="s">
        <v>5936</v>
      </c>
      <c r="E62" s="931">
        <v>-11.34</v>
      </c>
      <c r="F62" s="22" t="s">
        <v>549</v>
      </c>
      <c r="G62" s="792"/>
      <c r="H62" s="24"/>
      <c r="I62" s="789"/>
      <c r="J62" s="790"/>
      <c r="K62" s="791">
        <v>1033.7400000000002</v>
      </c>
      <c r="L62" s="791">
        <v>2237.4400000000055</v>
      </c>
      <c r="M62" s="573"/>
    </row>
    <row r="63" spans="1:13" ht="13.5" customHeight="1" x14ac:dyDescent="0.2">
      <c r="A63" s="786"/>
      <c r="B63" s="787"/>
      <c r="C63" s="722" t="s">
        <v>5917</v>
      </c>
      <c r="D63" s="581" t="s">
        <v>19</v>
      </c>
      <c r="E63" s="573">
        <v>-2000</v>
      </c>
      <c r="F63" s="22" t="s">
        <v>549</v>
      </c>
      <c r="G63" s="792"/>
      <c r="H63" s="24"/>
      <c r="I63" s="789"/>
      <c r="J63" s="790"/>
      <c r="K63" s="791">
        <v>-966.25999999999976</v>
      </c>
      <c r="L63" s="791">
        <v>2237.4400000000055</v>
      </c>
      <c r="M63" s="573"/>
    </row>
    <row r="64" spans="1:13" ht="13.5" customHeight="1" x14ac:dyDescent="0.2">
      <c r="A64" s="786"/>
      <c r="B64" s="787"/>
      <c r="C64" s="795" t="s">
        <v>5708</v>
      </c>
      <c r="D64" s="581" t="s">
        <v>19</v>
      </c>
      <c r="E64" s="930" t="s">
        <v>549</v>
      </c>
      <c r="F64" s="22">
        <v>1000</v>
      </c>
      <c r="G64" s="792"/>
      <c r="H64" s="24"/>
      <c r="I64" s="789"/>
      <c r="J64" s="790"/>
      <c r="K64" s="791">
        <v>33.740000000000236</v>
      </c>
      <c r="L64" s="791">
        <v>2237.4400000000055</v>
      </c>
      <c r="M64" s="573"/>
    </row>
    <row r="65" spans="1:13" ht="13.5" customHeight="1" x14ac:dyDescent="0.2">
      <c r="A65" s="786"/>
      <c r="B65" s="787"/>
      <c r="C65" s="722" t="s">
        <v>5937</v>
      </c>
      <c r="D65" s="581" t="s">
        <v>5938</v>
      </c>
      <c r="E65" s="931">
        <v>-61.6</v>
      </c>
      <c r="F65" s="22" t="s">
        <v>549</v>
      </c>
      <c r="G65" s="792"/>
      <c r="H65" s="24"/>
      <c r="I65" s="789"/>
      <c r="J65" s="790"/>
      <c r="K65" s="791">
        <v>-27.859999999999765</v>
      </c>
      <c r="L65" s="791">
        <v>2237.4400000000055</v>
      </c>
      <c r="M65" s="573"/>
    </row>
    <row r="66" spans="1:13" ht="13.5" customHeight="1" x14ac:dyDescent="0.2">
      <c r="A66" s="786"/>
      <c r="B66" s="787"/>
      <c r="C66" s="793" t="s">
        <v>5578</v>
      </c>
      <c r="D66" s="581" t="s">
        <v>19</v>
      </c>
      <c r="E66" s="930" t="s">
        <v>549</v>
      </c>
      <c r="F66" s="932">
        <v>0.01</v>
      </c>
      <c r="G66" s="792" t="s">
        <v>5939</v>
      </c>
      <c r="H66" s="24"/>
      <c r="I66" s="789"/>
      <c r="J66" s="790"/>
      <c r="K66" s="791">
        <v>-27.849999999999763</v>
      </c>
      <c r="L66" s="791">
        <v>2237.4400000000055</v>
      </c>
      <c r="M66" s="573"/>
    </row>
    <row r="67" spans="1:13" ht="13.5" customHeight="1" x14ac:dyDescent="0.2">
      <c r="A67" s="786">
        <v>42990</v>
      </c>
      <c r="B67" s="787"/>
      <c r="C67" s="722" t="s">
        <v>5940</v>
      </c>
      <c r="D67" s="581"/>
      <c r="E67" s="930"/>
      <c r="F67" s="22"/>
      <c r="G67" s="792"/>
      <c r="H67" s="24"/>
      <c r="I67" s="789">
        <v>1020</v>
      </c>
      <c r="J67" s="790"/>
      <c r="K67" s="791">
        <v>-27.849999999999763</v>
      </c>
      <c r="L67" s="791">
        <v>3257.4400000000055</v>
      </c>
      <c r="M67" s="573"/>
    </row>
    <row r="68" spans="1:13" ht="13.5" customHeight="1" x14ac:dyDescent="0.2">
      <c r="A68" s="786"/>
      <c r="B68" s="787"/>
      <c r="C68" s="722" t="s">
        <v>5941</v>
      </c>
      <c r="D68" s="581"/>
      <c r="E68" s="930"/>
      <c r="F68" s="22"/>
      <c r="G68" s="792"/>
      <c r="H68" s="24"/>
      <c r="I68" s="789">
        <v>1580</v>
      </c>
      <c r="J68" s="790"/>
      <c r="K68" s="791">
        <v>-27.849999999999763</v>
      </c>
      <c r="L68" s="791">
        <v>4837.440000000006</v>
      </c>
      <c r="M68" s="573"/>
    </row>
    <row r="69" spans="1:13" ht="13.5" customHeight="1" x14ac:dyDescent="0.2">
      <c r="A69" s="786"/>
      <c r="B69" s="787"/>
      <c r="C69" s="722" t="s">
        <v>5942</v>
      </c>
      <c r="D69" s="581"/>
      <c r="E69" s="930"/>
      <c r="F69" s="22"/>
      <c r="G69" s="792"/>
      <c r="H69" s="24"/>
      <c r="I69" s="789">
        <v>190</v>
      </c>
      <c r="J69" s="790"/>
      <c r="K69" s="791">
        <v>-27.849999999999763</v>
      </c>
      <c r="L69" s="791">
        <v>5027.440000000006</v>
      </c>
      <c r="M69" s="573"/>
    </row>
    <row r="70" spans="1:13" ht="13.5" customHeight="1" x14ac:dyDescent="0.2">
      <c r="A70" s="786"/>
      <c r="B70" s="787"/>
      <c r="C70" s="722" t="s">
        <v>5943</v>
      </c>
      <c r="D70" s="581"/>
      <c r="E70" s="930"/>
      <c r="F70" s="22"/>
      <c r="G70" s="792"/>
      <c r="H70" s="24">
        <v>6.29</v>
      </c>
      <c r="I70" s="789"/>
      <c r="J70" s="790"/>
      <c r="K70" s="791">
        <v>-27.849999999999763</v>
      </c>
      <c r="L70" s="791">
        <v>5021.150000000006</v>
      </c>
      <c r="M70" s="573"/>
    </row>
    <row r="71" spans="1:13" ht="13.5" customHeight="1" x14ac:dyDescent="0.2">
      <c r="A71" s="786"/>
      <c r="B71" s="787"/>
      <c r="C71" s="722" t="s">
        <v>5944</v>
      </c>
      <c r="D71" s="581"/>
      <c r="E71" s="930"/>
      <c r="F71" s="22"/>
      <c r="G71" s="792"/>
      <c r="H71" s="24">
        <v>16.45</v>
      </c>
      <c r="I71" s="789"/>
      <c r="J71" s="790"/>
      <c r="K71" s="791">
        <v>-27.849999999999763</v>
      </c>
      <c r="L71" s="791">
        <v>5004.7000000000062</v>
      </c>
      <c r="M71" s="573"/>
    </row>
    <row r="72" spans="1:13" ht="13.5" customHeight="1" x14ac:dyDescent="0.2">
      <c r="A72" s="786"/>
      <c r="B72" s="787"/>
      <c r="C72" s="722" t="s">
        <v>5945</v>
      </c>
      <c r="D72" s="581"/>
      <c r="E72" s="930"/>
      <c r="F72" s="22"/>
      <c r="G72" s="792"/>
      <c r="H72" s="24">
        <v>15.8</v>
      </c>
      <c r="I72" s="789"/>
      <c r="J72" s="790"/>
      <c r="K72" s="791">
        <v>-27.849999999999763</v>
      </c>
      <c r="L72" s="791">
        <v>4988.900000000006</v>
      </c>
      <c r="M72" s="573"/>
    </row>
    <row r="73" spans="1:13" ht="13.5" customHeight="1" x14ac:dyDescent="0.2">
      <c r="A73" s="786"/>
      <c r="B73" s="787"/>
      <c r="C73" s="722" t="s">
        <v>5946</v>
      </c>
      <c r="D73" s="581"/>
      <c r="E73" s="930"/>
      <c r="F73" s="22"/>
      <c r="G73" s="792"/>
      <c r="H73" s="24"/>
      <c r="I73" s="789">
        <v>185</v>
      </c>
      <c r="J73" s="790"/>
      <c r="K73" s="791">
        <v>-27.849999999999763</v>
      </c>
      <c r="L73" s="791">
        <v>5173.900000000006</v>
      </c>
      <c r="M73" s="573"/>
    </row>
    <row r="74" spans="1:13" ht="13.5" customHeight="1" x14ac:dyDescent="0.2">
      <c r="A74" s="786"/>
      <c r="B74" s="787"/>
      <c r="C74" s="722" t="s">
        <v>5947</v>
      </c>
      <c r="D74" s="581"/>
      <c r="E74" s="930"/>
      <c r="F74" s="22"/>
      <c r="G74" s="792"/>
      <c r="H74" s="174">
        <v>460</v>
      </c>
      <c r="I74" s="789"/>
      <c r="J74" s="790"/>
      <c r="K74" s="791">
        <v>-27.849999999999763</v>
      </c>
      <c r="L74" s="791">
        <v>4713.900000000006</v>
      </c>
      <c r="M74" s="573"/>
    </row>
    <row r="75" spans="1:13" ht="13.5" customHeight="1" x14ac:dyDescent="0.2">
      <c r="A75" s="786"/>
      <c r="B75" s="787"/>
      <c r="C75" s="722" t="s">
        <v>5948</v>
      </c>
      <c r="D75" s="581"/>
      <c r="E75" s="930"/>
      <c r="F75" s="22"/>
      <c r="G75" s="792"/>
      <c r="H75" s="174">
        <v>185</v>
      </c>
      <c r="I75" s="789"/>
      <c r="J75" s="790"/>
      <c r="K75" s="791">
        <v>-27.849999999999763</v>
      </c>
      <c r="L75" s="791">
        <v>4528.900000000006</v>
      </c>
      <c r="M75" s="573"/>
    </row>
    <row r="76" spans="1:13" ht="13.5" customHeight="1" x14ac:dyDescent="0.2">
      <c r="A76" s="786"/>
      <c r="B76" s="787"/>
      <c r="C76" s="722" t="s">
        <v>5623</v>
      </c>
      <c r="D76" s="581"/>
      <c r="E76" s="930"/>
      <c r="F76" s="22"/>
      <c r="G76" s="792"/>
      <c r="H76" s="24">
        <v>1000</v>
      </c>
      <c r="I76" s="789"/>
      <c r="J76" s="790"/>
      <c r="K76" s="791">
        <v>-27.849999999999763</v>
      </c>
      <c r="L76" s="791">
        <v>3528.900000000006</v>
      </c>
      <c r="M76" s="573"/>
    </row>
    <row r="77" spans="1:13" ht="13.5" customHeight="1" x14ac:dyDescent="0.2">
      <c r="A77" s="786"/>
      <c r="B77" s="787"/>
      <c r="C77" s="722" t="s">
        <v>5949</v>
      </c>
      <c r="D77" s="581"/>
      <c r="E77" s="930"/>
      <c r="F77" s="22"/>
      <c r="G77" s="792"/>
      <c r="H77" s="24"/>
      <c r="I77" s="789">
        <v>190</v>
      </c>
      <c r="J77" s="790"/>
      <c r="K77" s="791">
        <v>-27.849999999999763</v>
      </c>
      <c r="L77" s="791">
        <v>3718.900000000006</v>
      </c>
      <c r="M77" s="573"/>
    </row>
    <row r="78" spans="1:13" ht="13.5" customHeight="1" x14ac:dyDescent="0.2">
      <c r="A78" s="786"/>
      <c r="B78" s="787"/>
      <c r="C78" s="722" t="s">
        <v>5950</v>
      </c>
      <c r="D78" s="581"/>
      <c r="E78" s="930"/>
      <c r="F78" s="22"/>
      <c r="G78" s="792"/>
      <c r="H78" s="24"/>
      <c r="I78" s="789">
        <v>50</v>
      </c>
      <c r="J78" s="790">
        <v>3768.900000000006</v>
      </c>
      <c r="K78" s="791">
        <v>-27.849999999999763</v>
      </c>
      <c r="L78" s="791">
        <v>3768.900000000006</v>
      </c>
      <c r="M78" s="573"/>
    </row>
    <row r="79" spans="1:13" ht="13.5" customHeight="1" x14ac:dyDescent="0.2">
      <c r="A79" s="786"/>
      <c r="B79" s="787"/>
      <c r="C79" s="722" t="s">
        <v>5951</v>
      </c>
      <c r="D79" s="581" t="s">
        <v>19</v>
      </c>
      <c r="E79" s="931">
        <v>-34.22</v>
      </c>
      <c r="F79" s="22" t="s">
        <v>549</v>
      </c>
      <c r="G79" s="792"/>
      <c r="H79" s="24"/>
      <c r="I79" s="789"/>
      <c r="J79" s="790"/>
      <c r="K79" s="791">
        <v>-62.069999999999766</v>
      </c>
      <c r="L79" s="791">
        <v>3768.900000000006</v>
      </c>
      <c r="M79" s="573"/>
    </row>
    <row r="80" spans="1:13" ht="13.5" customHeight="1" x14ac:dyDescent="0.2">
      <c r="A80" s="786"/>
      <c r="B80" s="787"/>
      <c r="C80" s="722" t="s">
        <v>5952</v>
      </c>
      <c r="D80" s="581" t="s">
        <v>5953</v>
      </c>
      <c r="E80" s="931">
        <v>-28.62</v>
      </c>
      <c r="F80" s="22" t="s">
        <v>549</v>
      </c>
      <c r="G80" s="792"/>
      <c r="H80" s="24"/>
      <c r="I80" s="789"/>
      <c r="J80" s="790"/>
      <c r="K80" s="791">
        <v>-90.68999999999977</v>
      </c>
      <c r="L80" s="791">
        <v>3768.900000000006</v>
      </c>
      <c r="M80" s="573"/>
    </row>
    <row r="81" spans="1:13" ht="13.5" customHeight="1" x14ac:dyDescent="0.2">
      <c r="A81" s="786"/>
      <c r="B81" s="787"/>
      <c r="C81" s="793" t="s">
        <v>5954</v>
      </c>
      <c r="D81" s="581" t="s">
        <v>5955</v>
      </c>
      <c r="E81" s="930" t="s">
        <v>549</v>
      </c>
      <c r="F81" s="932">
        <v>940</v>
      </c>
      <c r="G81" s="792"/>
      <c r="H81" s="24"/>
      <c r="I81" s="789"/>
      <c r="J81" s="790"/>
      <c r="K81" s="791">
        <v>849.31000000000017</v>
      </c>
      <c r="L81" s="791">
        <v>3768.900000000006</v>
      </c>
      <c r="M81" s="573"/>
    </row>
    <row r="82" spans="1:13" ht="13.5" customHeight="1" x14ac:dyDescent="0.2">
      <c r="A82" s="786"/>
      <c r="B82" s="787"/>
      <c r="C82" s="722" t="s">
        <v>5947</v>
      </c>
      <c r="D82" s="581" t="s">
        <v>19</v>
      </c>
      <c r="E82" s="930" t="s">
        <v>549</v>
      </c>
      <c r="F82" s="933">
        <v>460</v>
      </c>
      <c r="G82" s="792"/>
      <c r="H82" s="24"/>
      <c r="I82" s="789"/>
      <c r="J82" s="790"/>
      <c r="K82" s="791">
        <v>1309.3100000000002</v>
      </c>
      <c r="L82" s="791">
        <v>3768.900000000006</v>
      </c>
      <c r="M82" s="573"/>
    </row>
    <row r="83" spans="1:13" ht="13.5" customHeight="1" x14ac:dyDescent="0.2">
      <c r="A83" s="786"/>
      <c r="B83" s="787"/>
      <c r="C83" s="722" t="s">
        <v>5956</v>
      </c>
      <c r="D83" s="581" t="s">
        <v>5957</v>
      </c>
      <c r="E83" s="930" t="s">
        <v>549</v>
      </c>
      <c r="F83" s="933">
        <v>560</v>
      </c>
      <c r="G83" s="792"/>
      <c r="H83" s="24"/>
      <c r="I83" s="789"/>
      <c r="J83" s="790"/>
      <c r="K83" s="791">
        <v>1869.3100000000002</v>
      </c>
      <c r="L83" s="791">
        <v>3768.900000000006</v>
      </c>
      <c r="M83" s="573"/>
    </row>
    <row r="84" spans="1:13" ht="13.5" customHeight="1" x14ac:dyDescent="0.2">
      <c r="A84" s="786"/>
      <c r="B84" s="787"/>
      <c r="C84" s="722" t="s">
        <v>5958</v>
      </c>
      <c r="D84" s="581" t="s">
        <v>5959</v>
      </c>
      <c r="E84" s="930" t="s">
        <v>549</v>
      </c>
      <c r="F84" s="162">
        <v>1750</v>
      </c>
      <c r="G84" s="792" t="s">
        <v>5960</v>
      </c>
      <c r="H84" s="24"/>
      <c r="I84" s="789"/>
      <c r="J84" s="790"/>
      <c r="K84" s="791">
        <v>3619.3100000000004</v>
      </c>
      <c r="L84" s="791">
        <v>3768.900000000006</v>
      </c>
      <c r="M84" s="573"/>
    </row>
    <row r="85" spans="1:13" ht="13.5" customHeight="1" x14ac:dyDescent="0.2">
      <c r="A85" s="786">
        <v>42991</v>
      </c>
      <c r="B85" s="787"/>
      <c r="C85" s="722" t="s">
        <v>5956</v>
      </c>
      <c r="D85" s="581"/>
      <c r="E85" s="930"/>
      <c r="F85" s="22"/>
      <c r="G85" s="792"/>
      <c r="H85" s="174">
        <v>560</v>
      </c>
      <c r="I85" s="789"/>
      <c r="J85" s="790"/>
      <c r="K85" s="791">
        <v>3619.3100000000004</v>
      </c>
      <c r="L85" s="791">
        <v>3208.900000000006</v>
      </c>
      <c r="M85" s="573"/>
    </row>
    <row r="86" spans="1:13" ht="13.5" customHeight="1" x14ac:dyDescent="0.2">
      <c r="A86" s="786"/>
      <c r="B86" s="787"/>
      <c r="C86" s="722" t="s">
        <v>5958</v>
      </c>
      <c r="D86" s="581"/>
      <c r="E86" s="930"/>
      <c r="F86" s="22"/>
      <c r="G86" s="792"/>
      <c r="H86" s="174">
        <v>1750</v>
      </c>
      <c r="I86" s="789"/>
      <c r="J86" s="790"/>
      <c r="K86" s="791">
        <v>3619.3100000000004</v>
      </c>
      <c r="L86" s="791">
        <v>1458.900000000006</v>
      </c>
      <c r="M86" s="573"/>
    </row>
    <row r="87" spans="1:13" ht="13.5" customHeight="1" x14ac:dyDescent="0.2">
      <c r="A87" s="786"/>
      <c r="B87" s="787"/>
      <c r="C87" s="722" t="s">
        <v>5961</v>
      </c>
      <c r="D87" s="581"/>
      <c r="E87" s="930"/>
      <c r="F87" s="22"/>
      <c r="G87" s="792"/>
      <c r="H87" s="24">
        <v>4.7</v>
      </c>
      <c r="I87" s="789"/>
      <c r="J87" s="790"/>
      <c r="K87" s="791">
        <v>3619.3100000000004</v>
      </c>
      <c r="L87" s="791">
        <v>1454.200000000006</v>
      </c>
      <c r="M87" s="573"/>
    </row>
    <row r="88" spans="1:13" ht="13.5" customHeight="1" x14ac:dyDescent="0.2">
      <c r="A88" s="786"/>
      <c r="B88" s="787"/>
      <c r="C88" s="722" t="s">
        <v>5962</v>
      </c>
      <c r="D88" s="581"/>
      <c r="E88" s="930"/>
      <c r="F88" s="22"/>
      <c r="G88" s="792"/>
      <c r="H88" s="24">
        <v>5.6</v>
      </c>
      <c r="I88" s="789"/>
      <c r="J88" s="790">
        <v>1448.600000000006</v>
      </c>
      <c r="K88" s="791">
        <v>3619.3100000000004</v>
      </c>
      <c r="L88" s="791">
        <v>1448.600000000006</v>
      </c>
      <c r="M88" s="573"/>
    </row>
    <row r="89" spans="1:13" ht="13.5" customHeight="1" x14ac:dyDescent="0.2">
      <c r="A89" s="786"/>
      <c r="B89" s="787"/>
      <c r="C89" s="795" t="s">
        <v>5666</v>
      </c>
      <c r="D89" s="581" t="s">
        <v>19</v>
      </c>
      <c r="E89" s="931">
        <v>-35.28</v>
      </c>
      <c r="F89" s="22" t="s">
        <v>549</v>
      </c>
      <c r="G89" s="792"/>
      <c r="H89" s="24"/>
      <c r="I89" s="789"/>
      <c r="J89" s="790"/>
      <c r="K89" s="791">
        <v>3584.03</v>
      </c>
      <c r="L89" s="791">
        <v>1448.600000000006</v>
      </c>
      <c r="M89" s="573"/>
    </row>
    <row r="90" spans="1:13" ht="13.5" customHeight="1" x14ac:dyDescent="0.2">
      <c r="A90" s="786"/>
      <c r="B90" s="787"/>
      <c r="C90" s="722" t="s">
        <v>5963</v>
      </c>
      <c r="D90" s="581" t="s">
        <v>5964</v>
      </c>
      <c r="E90" s="931">
        <v>-31.56</v>
      </c>
      <c r="F90" s="22" t="s">
        <v>549</v>
      </c>
      <c r="G90" s="792"/>
      <c r="H90" s="24"/>
      <c r="I90" s="789"/>
      <c r="J90" s="790"/>
      <c r="K90" s="791">
        <v>3552.4700000000003</v>
      </c>
      <c r="L90" s="791">
        <v>1448.600000000006</v>
      </c>
      <c r="M90" s="573"/>
    </row>
    <row r="91" spans="1:13" ht="13.5" customHeight="1" x14ac:dyDescent="0.2">
      <c r="A91" s="786"/>
      <c r="B91" s="787"/>
      <c r="C91" s="722" t="s">
        <v>5965</v>
      </c>
      <c r="D91" s="581" t="s">
        <v>1333</v>
      </c>
      <c r="E91" s="573">
        <v>-1500</v>
      </c>
      <c r="F91" s="22" t="s">
        <v>549</v>
      </c>
      <c r="G91" s="792"/>
      <c r="H91" s="24"/>
      <c r="I91" s="789"/>
      <c r="J91" s="790"/>
      <c r="K91" s="791">
        <v>2052.4700000000003</v>
      </c>
      <c r="L91" s="791">
        <v>1448.600000000006</v>
      </c>
      <c r="M91" s="573"/>
    </row>
    <row r="92" spans="1:13" ht="13.5" customHeight="1" x14ac:dyDescent="0.2">
      <c r="A92" s="786"/>
      <c r="B92" s="787"/>
      <c r="C92" s="722" t="s">
        <v>5917</v>
      </c>
      <c r="D92" s="581" t="s">
        <v>19</v>
      </c>
      <c r="E92" s="573">
        <v>-1500</v>
      </c>
      <c r="F92" s="22" t="s">
        <v>549</v>
      </c>
      <c r="G92" s="792"/>
      <c r="H92" s="24"/>
      <c r="I92" s="789"/>
      <c r="J92" s="790"/>
      <c r="K92" s="791">
        <v>552.47000000000025</v>
      </c>
      <c r="L92" s="791">
        <v>1448.600000000006</v>
      </c>
      <c r="M92" s="573"/>
    </row>
    <row r="93" spans="1:13" ht="13.5" customHeight="1" x14ac:dyDescent="0.2">
      <c r="A93" s="786"/>
      <c r="B93" s="787"/>
      <c r="C93" s="722" t="s">
        <v>5948</v>
      </c>
      <c r="D93" s="581" t="s">
        <v>5966</v>
      </c>
      <c r="E93" s="930" t="s">
        <v>549</v>
      </c>
      <c r="F93" s="933">
        <v>185</v>
      </c>
      <c r="G93" s="792"/>
      <c r="H93" s="24"/>
      <c r="I93" s="789"/>
      <c r="J93" s="790"/>
      <c r="K93" s="791">
        <v>737.47000000000025</v>
      </c>
      <c r="L93" s="791">
        <v>1448.600000000006</v>
      </c>
      <c r="M93" s="573"/>
    </row>
    <row r="94" spans="1:13" ht="13.5" customHeight="1" x14ac:dyDescent="0.2">
      <c r="A94" s="786"/>
      <c r="B94" s="787"/>
      <c r="C94" s="793" t="s">
        <v>5578</v>
      </c>
      <c r="D94" s="581" t="s">
        <v>19</v>
      </c>
      <c r="E94" s="930" t="s">
        <v>549</v>
      </c>
      <c r="F94" s="932">
        <v>0.01</v>
      </c>
      <c r="G94" s="792" t="s">
        <v>5967</v>
      </c>
      <c r="H94" s="24"/>
      <c r="I94" s="789"/>
      <c r="J94" s="790"/>
      <c r="K94" s="791">
        <v>737.48000000000025</v>
      </c>
      <c r="L94" s="791">
        <v>1448.600000000006</v>
      </c>
      <c r="M94" s="573"/>
    </row>
    <row r="95" spans="1:13" ht="13.5" customHeight="1" x14ac:dyDescent="0.2">
      <c r="A95" s="786">
        <v>42992</v>
      </c>
      <c r="B95" s="787"/>
      <c r="C95" s="722" t="s">
        <v>5968</v>
      </c>
      <c r="D95" s="581"/>
      <c r="E95" s="930"/>
      <c r="F95" s="22"/>
      <c r="G95" s="792"/>
      <c r="H95" s="24"/>
      <c r="I95" s="789">
        <v>942</v>
      </c>
      <c r="J95" s="790"/>
      <c r="K95" s="791">
        <v>737.48000000000025</v>
      </c>
      <c r="L95" s="791">
        <v>2390.6000000000058</v>
      </c>
      <c r="M95" s="573"/>
    </row>
    <row r="96" spans="1:13" ht="13.5" customHeight="1" x14ac:dyDescent="0.2">
      <c r="A96" s="786"/>
      <c r="B96" s="787"/>
      <c r="C96" s="722" t="s">
        <v>5969</v>
      </c>
      <c r="D96" s="581"/>
      <c r="E96" s="930"/>
      <c r="F96" s="22"/>
      <c r="G96" s="792"/>
      <c r="H96" s="24"/>
      <c r="I96" s="789">
        <v>1040</v>
      </c>
      <c r="J96" s="790"/>
      <c r="K96" s="791">
        <v>737.48000000000025</v>
      </c>
      <c r="L96" s="791">
        <v>3430.6000000000058</v>
      </c>
      <c r="M96" s="573"/>
    </row>
    <row r="97" spans="1:13" ht="13.5" customHeight="1" x14ac:dyDescent="0.2">
      <c r="A97" s="786"/>
      <c r="B97" s="787"/>
      <c r="C97" s="722" t="s">
        <v>5970</v>
      </c>
      <c r="D97" s="581"/>
      <c r="E97" s="930"/>
      <c r="F97" s="22"/>
      <c r="G97" s="792"/>
      <c r="H97" s="24"/>
      <c r="I97" s="789">
        <v>185</v>
      </c>
      <c r="J97" s="790"/>
      <c r="K97" s="791">
        <v>737.48000000000025</v>
      </c>
      <c r="L97" s="791">
        <v>3615.6000000000058</v>
      </c>
      <c r="M97" s="573"/>
    </row>
    <row r="98" spans="1:13" ht="13.5" customHeight="1" x14ac:dyDescent="0.2">
      <c r="A98" s="786"/>
      <c r="B98" s="787"/>
      <c r="C98" s="722" t="s">
        <v>5971</v>
      </c>
      <c r="D98" s="581"/>
      <c r="E98" s="930"/>
      <c r="F98" s="22"/>
      <c r="G98" s="792"/>
      <c r="H98" s="24"/>
      <c r="I98" s="789">
        <v>1280</v>
      </c>
      <c r="J98" s="790"/>
      <c r="K98" s="791">
        <v>737.48000000000025</v>
      </c>
      <c r="L98" s="791">
        <v>4895.6000000000058</v>
      </c>
      <c r="M98" s="573"/>
    </row>
    <row r="99" spans="1:13" ht="13.5" customHeight="1" x14ac:dyDescent="0.2">
      <c r="A99" s="786"/>
      <c r="B99" s="787"/>
      <c r="C99" s="722" t="s">
        <v>5972</v>
      </c>
      <c r="D99" s="581"/>
      <c r="E99" s="930"/>
      <c r="F99" s="22"/>
      <c r="G99" s="792"/>
      <c r="H99" s="24"/>
      <c r="I99" s="789">
        <v>47</v>
      </c>
      <c r="J99" s="790">
        <v>4942.6000000000058</v>
      </c>
      <c r="K99" s="791">
        <v>737.48000000000025</v>
      </c>
      <c r="L99" s="791">
        <v>4942.6000000000058</v>
      </c>
      <c r="M99" s="573"/>
    </row>
    <row r="100" spans="1:13" ht="13.5" customHeight="1" x14ac:dyDescent="0.2">
      <c r="A100" s="786"/>
      <c r="B100" s="787"/>
      <c r="C100" s="722" t="s">
        <v>5973</v>
      </c>
      <c r="D100" s="581" t="s">
        <v>5974</v>
      </c>
      <c r="E100" s="931">
        <v>-104.13</v>
      </c>
      <c r="F100" s="22" t="s">
        <v>549</v>
      </c>
      <c r="G100" s="792" t="s">
        <v>5975</v>
      </c>
      <c r="H100" s="24"/>
      <c r="I100" s="789"/>
      <c r="J100" s="790"/>
      <c r="K100" s="791">
        <v>633.35000000000025</v>
      </c>
      <c r="L100" s="791">
        <v>4942.6000000000058</v>
      </c>
      <c r="M100" s="573"/>
    </row>
    <row r="101" spans="1:13" ht="13.5" customHeight="1" x14ac:dyDescent="0.2">
      <c r="A101" s="786">
        <v>42993</v>
      </c>
      <c r="B101" s="787"/>
      <c r="C101" s="722" t="s">
        <v>5976</v>
      </c>
      <c r="D101" s="581"/>
      <c r="E101" s="930"/>
      <c r="F101" s="22"/>
      <c r="G101" s="792"/>
      <c r="H101" s="24">
        <v>140</v>
      </c>
      <c r="I101" s="789"/>
      <c r="J101" s="790"/>
      <c r="K101" s="791">
        <v>633.35000000000025</v>
      </c>
      <c r="L101" s="791">
        <v>4802.6000000000058</v>
      </c>
      <c r="M101" s="573"/>
    </row>
    <row r="102" spans="1:13" ht="13.5" customHeight="1" x14ac:dyDescent="0.2">
      <c r="A102" s="786"/>
      <c r="B102" s="787"/>
      <c r="C102" s="722" t="s">
        <v>5977</v>
      </c>
      <c r="D102" s="581"/>
      <c r="E102" s="930"/>
      <c r="F102" s="22"/>
      <c r="G102" s="792"/>
      <c r="H102" s="24">
        <v>70</v>
      </c>
      <c r="I102" s="789"/>
      <c r="J102" s="790"/>
      <c r="K102" s="791">
        <v>633.35000000000025</v>
      </c>
      <c r="L102" s="791">
        <v>4732.6000000000058</v>
      </c>
      <c r="M102" s="573"/>
    </row>
    <row r="103" spans="1:13" ht="13.5" customHeight="1" x14ac:dyDescent="0.2">
      <c r="A103" s="786"/>
      <c r="B103" s="787"/>
      <c r="C103" s="722" t="s">
        <v>5591</v>
      </c>
      <c r="D103" s="581"/>
      <c r="E103" s="930"/>
      <c r="F103" s="22"/>
      <c r="G103" s="792"/>
      <c r="H103" s="24">
        <v>600</v>
      </c>
      <c r="I103" s="789"/>
      <c r="J103" s="790"/>
      <c r="K103" s="791">
        <v>633.35000000000025</v>
      </c>
      <c r="L103" s="791">
        <v>4132.6000000000058</v>
      </c>
      <c r="M103" s="573"/>
    </row>
    <row r="104" spans="1:13" ht="13.5" customHeight="1" x14ac:dyDescent="0.2">
      <c r="A104" s="786"/>
      <c r="B104" s="787"/>
      <c r="C104" s="722" t="s">
        <v>5593</v>
      </c>
      <c r="D104" s="581"/>
      <c r="E104" s="930"/>
      <c r="F104" s="22"/>
      <c r="G104" s="792"/>
      <c r="H104" s="24">
        <v>300</v>
      </c>
      <c r="I104" s="789"/>
      <c r="J104" s="790"/>
      <c r="K104" s="791">
        <v>633.35000000000025</v>
      </c>
      <c r="L104" s="791">
        <v>3832.6000000000058</v>
      </c>
      <c r="M104" s="573"/>
    </row>
    <row r="105" spans="1:13" ht="13.5" customHeight="1" x14ac:dyDescent="0.2">
      <c r="A105" s="786"/>
      <c r="B105" s="787"/>
      <c r="C105" s="722" t="s">
        <v>5978</v>
      </c>
      <c r="D105" s="581"/>
      <c r="E105" s="930"/>
      <c r="F105" s="22"/>
      <c r="G105" s="792"/>
      <c r="H105" s="24">
        <v>1.2</v>
      </c>
      <c r="I105" s="789"/>
      <c r="J105" s="790"/>
      <c r="K105" s="791">
        <v>633.35000000000025</v>
      </c>
      <c r="L105" s="791">
        <v>3831.400000000006</v>
      </c>
      <c r="M105" s="573"/>
    </row>
    <row r="106" spans="1:13" ht="13.5" customHeight="1" x14ac:dyDescent="0.2">
      <c r="A106" s="786"/>
      <c r="B106" s="787"/>
      <c r="C106" s="722" t="s">
        <v>5979</v>
      </c>
      <c r="D106" s="581"/>
      <c r="E106" s="930"/>
      <c r="F106" s="22"/>
      <c r="G106" s="792"/>
      <c r="H106" s="24"/>
      <c r="I106" s="789">
        <v>7500</v>
      </c>
      <c r="J106" s="790"/>
      <c r="K106" s="791">
        <v>633.35000000000025</v>
      </c>
      <c r="L106" s="791">
        <v>11331.400000000005</v>
      </c>
      <c r="M106" s="573"/>
    </row>
    <row r="107" spans="1:13" ht="13.5" customHeight="1" x14ac:dyDescent="0.2">
      <c r="A107" s="786"/>
      <c r="B107" s="787"/>
      <c r="C107" s="722" t="s">
        <v>5980</v>
      </c>
      <c r="D107" s="581"/>
      <c r="E107" s="930"/>
      <c r="F107" s="22"/>
      <c r="G107" s="792"/>
      <c r="H107" s="24"/>
      <c r="I107" s="789">
        <v>500</v>
      </c>
      <c r="J107" s="790"/>
      <c r="K107" s="791">
        <v>633.35000000000025</v>
      </c>
      <c r="L107" s="791">
        <v>11831.400000000005</v>
      </c>
      <c r="M107" s="573"/>
    </row>
    <row r="108" spans="1:13" ht="13.5" customHeight="1" x14ac:dyDescent="0.2">
      <c r="A108" s="786"/>
      <c r="B108" s="787"/>
      <c r="C108" s="722" t="s">
        <v>5981</v>
      </c>
      <c r="D108" s="581"/>
      <c r="E108" s="930"/>
      <c r="F108" s="22"/>
      <c r="G108" s="792"/>
      <c r="H108" s="24"/>
      <c r="I108" s="789">
        <v>84</v>
      </c>
      <c r="J108" s="790">
        <v>11915.400000000005</v>
      </c>
      <c r="K108" s="791">
        <v>633.35000000000025</v>
      </c>
      <c r="L108" s="791">
        <v>11915.400000000005</v>
      </c>
      <c r="M108" s="573"/>
    </row>
    <row r="109" spans="1:13" ht="13.5" customHeight="1" x14ac:dyDescent="0.2">
      <c r="A109" s="786"/>
      <c r="B109" s="787"/>
      <c r="C109" s="722" t="s">
        <v>5798</v>
      </c>
      <c r="D109" s="581" t="s">
        <v>19</v>
      </c>
      <c r="E109" s="931">
        <v>-69</v>
      </c>
      <c r="F109" s="22" t="s">
        <v>549</v>
      </c>
      <c r="G109" s="792" t="s">
        <v>5982</v>
      </c>
      <c r="H109" s="24"/>
      <c r="I109" s="789"/>
      <c r="J109" s="790"/>
      <c r="K109" s="791">
        <v>564.35000000000025</v>
      </c>
      <c r="L109" s="791">
        <v>11915.400000000005</v>
      </c>
      <c r="M109" s="573"/>
    </row>
    <row r="110" spans="1:13" ht="13.5" customHeight="1" x14ac:dyDescent="0.2">
      <c r="A110" s="786">
        <v>42996</v>
      </c>
      <c r="B110" s="787"/>
      <c r="C110" s="722" t="s">
        <v>5983</v>
      </c>
      <c r="D110" s="581"/>
      <c r="E110" s="930"/>
      <c r="F110" s="22"/>
      <c r="G110" s="792"/>
      <c r="H110" s="24">
        <v>11.9</v>
      </c>
      <c r="I110" s="789"/>
      <c r="J110" s="790"/>
      <c r="K110" s="791">
        <v>564.35000000000025</v>
      </c>
      <c r="L110" s="791">
        <v>11903.500000000005</v>
      </c>
      <c r="M110" s="573"/>
    </row>
    <row r="111" spans="1:13" ht="13.5" customHeight="1" x14ac:dyDescent="0.2">
      <c r="A111" s="786"/>
      <c r="B111" s="787"/>
      <c r="C111" s="722" t="s">
        <v>5984</v>
      </c>
      <c r="D111" s="581"/>
      <c r="E111" s="930"/>
      <c r="F111" s="22"/>
      <c r="G111" s="792"/>
      <c r="H111" s="24">
        <v>5.25</v>
      </c>
      <c r="I111" s="789"/>
      <c r="J111" s="790"/>
      <c r="K111" s="791">
        <v>564.35000000000025</v>
      </c>
      <c r="L111" s="791">
        <v>11898.250000000005</v>
      </c>
      <c r="M111" s="573"/>
    </row>
    <row r="112" spans="1:13" ht="13.5" customHeight="1" x14ac:dyDescent="0.2">
      <c r="A112" s="786"/>
      <c r="B112" s="787"/>
      <c r="C112" s="722" t="s">
        <v>5985</v>
      </c>
      <c r="D112" s="581"/>
      <c r="E112" s="930"/>
      <c r="F112" s="22"/>
      <c r="G112" s="792"/>
      <c r="H112" s="24">
        <v>10.8</v>
      </c>
      <c r="I112" s="789"/>
      <c r="J112" s="790"/>
      <c r="K112" s="791">
        <v>564.35000000000025</v>
      </c>
      <c r="L112" s="791">
        <v>11887.450000000006</v>
      </c>
      <c r="M112" s="573"/>
    </row>
    <row r="113" spans="1:13" ht="13.5" customHeight="1" x14ac:dyDescent="0.2">
      <c r="A113" s="786"/>
      <c r="B113" s="787"/>
      <c r="C113" s="722" t="s">
        <v>5986</v>
      </c>
      <c r="D113" s="581"/>
      <c r="E113" s="930"/>
      <c r="F113" s="22"/>
      <c r="G113" s="792"/>
      <c r="H113" s="24">
        <v>11.9</v>
      </c>
      <c r="I113" s="789"/>
      <c r="J113" s="790"/>
      <c r="K113" s="791">
        <v>564.35000000000025</v>
      </c>
      <c r="L113" s="791">
        <v>11875.550000000007</v>
      </c>
      <c r="M113" s="573"/>
    </row>
    <row r="114" spans="1:13" ht="13.5" customHeight="1" x14ac:dyDescent="0.2">
      <c r="A114" s="786"/>
      <c r="B114" s="787"/>
      <c r="C114" s="722" t="s">
        <v>5987</v>
      </c>
      <c r="D114" s="581"/>
      <c r="E114" s="930"/>
      <c r="F114" s="22"/>
      <c r="G114" s="792"/>
      <c r="H114" s="24"/>
      <c r="I114" s="789">
        <v>1230</v>
      </c>
      <c r="J114" s="790"/>
      <c r="K114" s="791">
        <v>564.35000000000025</v>
      </c>
      <c r="L114" s="791">
        <v>13105.550000000007</v>
      </c>
      <c r="M114" s="573"/>
    </row>
    <row r="115" spans="1:13" ht="13.5" customHeight="1" x14ac:dyDescent="0.2">
      <c r="A115" s="786"/>
      <c r="B115" s="787"/>
      <c r="C115" s="722" t="s">
        <v>5988</v>
      </c>
      <c r="D115" s="581"/>
      <c r="E115" s="930"/>
      <c r="F115" s="22"/>
      <c r="G115" s="792"/>
      <c r="H115" s="24">
        <v>8.99</v>
      </c>
      <c r="I115" s="789"/>
      <c r="J115" s="790">
        <v>13096.560000000007</v>
      </c>
      <c r="K115" s="791">
        <v>564.35000000000025</v>
      </c>
      <c r="L115" s="791">
        <v>13096.560000000007</v>
      </c>
      <c r="M115" s="573"/>
    </row>
    <row r="116" spans="1:13" ht="13.5" customHeight="1" x14ac:dyDescent="0.2">
      <c r="A116" s="786">
        <v>42997</v>
      </c>
      <c r="B116" s="787"/>
      <c r="C116" s="722" t="s">
        <v>5989</v>
      </c>
      <c r="D116" s="581"/>
      <c r="E116" s="930"/>
      <c r="F116" s="22"/>
      <c r="G116" s="792"/>
      <c r="H116" s="24">
        <v>5.85</v>
      </c>
      <c r="I116" s="789"/>
      <c r="J116" s="790">
        <v>13090.710000000006</v>
      </c>
      <c r="K116" s="791">
        <v>564.35000000000025</v>
      </c>
      <c r="L116" s="791">
        <v>13090.710000000006</v>
      </c>
      <c r="M116" s="573"/>
    </row>
    <row r="117" spans="1:13" ht="13.5" customHeight="1" x14ac:dyDescent="0.2">
      <c r="A117" s="786"/>
      <c r="B117" s="787"/>
      <c r="C117" s="793" t="s">
        <v>5990</v>
      </c>
      <c r="D117" s="581" t="s">
        <v>1097</v>
      </c>
      <c r="E117" s="931">
        <v>-239.78</v>
      </c>
      <c r="F117" s="22" t="s">
        <v>549</v>
      </c>
      <c r="G117" s="792" t="s">
        <v>5991</v>
      </c>
      <c r="H117" s="24"/>
      <c r="I117" s="789"/>
      <c r="J117" s="790"/>
      <c r="K117" s="791">
        <v>324.57000000000028</v>
      </c>
      <c r="L117" s="791">
        <v>13090.710000000006</v>
      </c>
      <c r="M117" s="573"/>
    </row>
    <row r="118" spans="1:13" ht="13.5" customHeight="1" x14ac:dyDescent="0.2">
      <c r="A118" s="786" t="s">
        <v>5992</v>
      </c>
      <c r="B118" s="787"/>
      <c r="C118" s="795" t="s">
        <v>5708</v>
      </c>
      <c r="D118" s="581" t="s">
        <v>19</v>
      </c>
      <c r="E118" s="930" t="s">
        <v>549</v>
      </c>
      <c r="F118" s="22">
        <v>2000</v>
      </c>
      <c r="G118" s="792"/>
      <c r="H118" s="24"/>
      <c r="I118" s="789"/>
      <c r="J118" s="790"/>
      <c r="K118" s="791">
        <v>2324.5700000000002</v>
      </c>
      <c r="L118" s="791">
        <v>13090.710000000006</v>
      </c>
      <c r="M118" s="573"/>
    </row>
    <row r="119" spans="1:13" ht="13.5" customHeight="1" x14ac:dyDescent="0.2">
      <c r="A119" s="786"/>
      <c r="B119" s="787"/>
      <c r="C119" s="722" t="s">
        <v>5917</v>
      </c>
      <c r="D119" s="581" t="s">
        <v>19</v>
      </c>
      <c r="E119" s="573">
        <v>-1200</v>
      </c>
      <c r="F119" s="22" t="s">
        <v>549</v>
      </c>
      <c r="G119" s="792"/>
      <c r="H119" s="24"/>
      <c r="I119" s="789"/>
      <c r="J119" s="790"/>
      <c r="K119" s="791">
        <v>1124.5700000000002</v>
      </c>
      <c r="L119" s="791">
        <v>13090.710000000006</v>
      </c>
      <c r="M119" s="573"/>
    </row>
    <row r="120" spans="1:13" ht="13.5" customHeight="1" x14ac:dyDescent="0.2">
      <c r="A120" s="786"/>
      <c r="B120" s="787"/>
      <c r="C120" s="722" t="s">
        <v>5915</v>
      </c>
      <c r="D120" s="581" t="s">
        <v>5993</v>
      </c>
      <c r="E120" s="931">
        <v>-800</v>
      </c>
      <c r="F120" s="22" t="s">
        <v>549</v>
      </c>
      <c r="G120" s="792" t="s">
        <v>5991</v>
      </c>
      <c r="H120" s="24"/>
      <c r="I120" s="789"/>
      <c r="J120" s="790"/>
      <c r="K120" s="791">
        <v>324.57000000000016</v>
      </c>
      <c r="L120" s="791">
        <v>13090.710000000006</v>
      </c>
      <c r="M120" s="573"/>
    </row>
    <row r="121" spans="1:13" ht="13.5" customHeight="1" x14ac:dyDescent="0.2">
      <c r="A121" s="786" t="s">
        <v>5994</v>
      </c>
      <c r="B121" s="787"/>
      <c r="C121" s="793" t="s">
        <v>5726</v>
      </c>
      <c r="D121" s="581" t="s">
        <v>19</v>
      </c>
      <c r="E121" s="931">
        <v>-16.329999999999998</v>
      </c>
      <c r="F121" s="22" t="s">
        <v>549</v>
      </c>
      <c r="G121" s="792"/>
      <c r="H121" s="24"/>
      <c r="I121" s="789"/>
      <c r="J121" s="790"/>
      <c r="K121" s="791">
        <v>308.24000000000018</v>
      </c>
      <c r="L121" s="791">
        <v>13090.710000000006</v>
      </c>
      <c r="M121" s="573"/>
    </row>
    <row r="122" spans="1:13" ht="13.5" customHeight="1" x14ac:dyDescent="0.2">
      <c r="A122" s="786"/>
      <c r="B122" s="787"/>
      <c r="C122" s="793" t="s">
        <v>127</v>
      </c>
      <c r="D122" s="581" t="s">
        <v>19</v>
      </c>
      <c r="E122" s="931">
        <v>-23.74</v>
      </c>
      <c r="F122" s="22" t="s">
        <v>549</v>
      </c>
      <c r="G122" s="792"/>
      <c r="H122" s="24"/>
      <c r="I122" s="789"/>
      <c r="J122" s="790"/>
      <c r="K122" s="791">
        <v>284.50000000000017</v>
      </c>
      <c r="L122" s="791">
        <v>13090.710000000006</v>
      </c>
      <c r="M122" s="573"/>
    </row>
    <row r="123" spans="1:13" ht="13.5" customHeight="1" x14ac:dyDescent="0.2">
      <c r="A123" s="786"/>
      <c r="B123" s="787"/>
      <c r="C123" s="793" t="s">
        <v>128</v>
      </c>
      <c r="D123" s="581" t="s">
        <v>19</v>
      </c>
      <c r="E123" s="931">
        <v>-37.53</v>
      </c>
      <c r="F123" s="22" t="s">
        <v>549</v>
      </c>
      <c r="G123" s="792"/>
      <c r="H123" s="24"/>
      <c r="I123" s="789"/>
      <c r="J123" s="790"/>
      <c r="K123" s="791">
        <v>246.97000000000017</v>
      </c>
      <c r="L123" s="791">
        <v>13090.710000000006</v>
      </c>
      <c r="M123" s="573"/>
    </row>
    <row r="124" spans="1:13" ht="13.5" customHeight="1" x14ac:dyDescent="0.2">
      <c r="A124" s="786"/>
      <c r="B124" s="787"/>
      <c r="C124" s="793" t="s">
        <v>5730</v>
      </c>
      <c r="D124" s="581" t="s">
        <v>19</v>
      </c>
      <c r="E124" s="931">
        <v>-106.2</v>
      </c>
      <c r="F124" s="22" t="s">
        <v>549</v>
      </c>
      <c r="G124" s="792"/>
      <c r="H124" s="24"/>
      <c r="I124" s="789"/>
      <c r="J124" s="790"/>
      <c r="K124" s="791">
        <v>140.77000000000015</v>
      </c>
      <c r="L124" s="791">
        <v>13090.710000000006</v>
      </c>
      <c r="M124" s="573"/>
    </row>
    <row r="125" spans="1:13" ht="13.5" customHeight="1" x14ac:dyDescent="0.2">
      <c r="A125" s="786"/>
      <c r="B125" s="787"/>
      <c r="C125" s="722" t="s">
        <v>5732</v>
      </c>
      <c r="D125" s="581" t="s">
        <v>19</v>
      </c>
      <c r="E125" s="931">
        <v>-115.7</v>
      </c>
      <c r="F125" s="22" t="s">
        <v>549</v>
      </c>
      <c r="G125" s="792"/>
      <c r="H125" s="24"/>
      <c r="I125" s="789"/>
      <c r="J125" s="790"/>
      <c r="K125" s="791">
        <v>25.070000000000149</v>
      </c>
      <c r="L125" s="791">
        <v>13090.710000000006</v>
      </c>
      <c r="M125" s="573"/>
    </row>
    <row r="126" spans="1:13" ht="13.5" customHeight="1" x14ac:dyDescent="0.2">
      <c r="A126" s="786"/>
      <c r="B126" s="787"/>
      <c r="C126" s="793" t="s">
        <v>5578</v>
      </c>
      <c r="D126" s="581">
        <v>0</v>
      </c>
      <c r="E126" s="930"/>
      <c r="F126" s="932">
        <v>0.02</v>
      </c>
      <c r="G126" s="792">
        <v>25.09</v>
      </c>
      <c r="H126" s="24"/>
      <c r="I126" s="789"/>
      <c r="J126" s="790"/>
      <c r="K126" s="791">
        <v>25.090000000000149</v>
      </c>
      <c r="L126" s="791">
        <v>13090.710000000006</v>
      </c>
      <c r="M126" s="573"/>
    </row>
    <row r="127" spans="1:13" ht="13.5" customHeight="1" x14ac:dyDescent="0.2">
      <c r="A127" s="786"/>
      <c r="B127" s="787"/>
      <c r="C127" s="722" t="s">
        <v>5591</v>
      </c>
      <c r="D127" s="581"/>
      <c r="E127" s="930"/>
      <c r="F127" s="22"/>
      <c r="G127" s="792"/>
      <c r="H127" s="24">
        <v>600</v>
      </c>
      <c r="I127" s="789"/>
      <c r="J127" s="790"/>
      <c r="K127" s="791">
        <v>25.090000000000149</v>
      </c>
      <c r="L127" s="791">
        <v>12490.710000000006</v>
      </c>
      <c r="M127" s="573"/>
    </row>
    <row r="128" spans="1:13" ht="13.5" customHeight="1" x14ac:dyDescent="0.2">
      <c r="A128" s="786"/>
      <c r="B128" s="787"/>
      <c r="C128" s="722" t="s">
        <v>5593</v>
      </c>
      <c r="D128" s="581"/>
      <c r="E128" s="930"/>
      <c r="F128" s="22"/>
      <c r="G128" s="792"/>
      <c r="H128" s="24">
        <v>300</v>
      </c>
      <c r="I128" s="789"/>
      <c r="J128" s="790"/>
      <c r="K128" s="791">
        <v>25.090000000000149</v>
      </c>
      <c r="L128" s="791">
        <v>12190.710000000006</v>
      </c>
      <c r="M128" s="573"/>
    </row>
    <row r="129" spans="1:13" ht="13.5" customHeight="1" x14ac:dyDescent="0.2">
      <c r="A129" s="786"/>
      <c r="B129" s="787"/>
      <c r="C129" s="722" t="s">
        <v>5976</v>
      </c>
      <c r="D129" s="581"/>
      <c r="E129" s="930"/>
      <c r="F129" s="22"/>
      <c r="G129" s="792"/>
      <c r="H129" s="24">
        <v>140</v>
      </c>
      <c r="I129" s="789"/>
      <c r="J129" s="790"/>
      <c r="K129" s="791">
        <v>25.090000000000149</v>
      </c>
      <c r="L129" s="791">
        <v>12050.710000000006</v>
      </c>
      <c r="M129" s="573"/>
    </row>
    <row r="130" spans="1:13" ht="13.5" customHeight="1" x14ac:dyDescent="0.2">
      <c r="A130" s="786"/>
      <c r="B130" s="787"/>
      <c r="C130" s="722" t="s">
        <v>5977</v>
      </c>
      <c r="D130" s="581"/>
      <c r="E130" s="930"/>
      <c r="F130" s="22"/>
      <c r="G130" s="792"/>
      <c r="H130" s="24">
        <v>70</v>
      </c>
      <c r="I130" s="789"/>
      <c r="J130" s="790"/>
      <c r="K130" s="791">
        <v>25.090000000000149</v>
      </c>
      <c r="L130" s="791">
        <v>11980.710000000006</v>
      </c>
      <c r="M130" s="573"/>
    </row>
    <row r="131" spans="1:13" ht="13.5" customHeight="1" x14ac:dyDescent="0.2">
      <c r="A131" s="786"/>
      <c r="B131" s="787"/>
      <c r="C131" s="722" t="s">
        <v>5995</v>
      </c>
      <c r="D131" s="581"/>
      <c r="E131" s="930"/>
      <c r="F131" s="22"/>
      <c r="G131" s="792"/>
      <c r="H131" s="174">
        <v>8000</v>
      </c>
      <c r="I131" s="789"/>
      <c r="J131" s="790">
        <v>3980.7100000000064</v>
      </c>
      <c r="K131" s="791">
        <v>25.090000000000149</v>
      </c>
      <c r="L131" s="791">
        <v>3980.7100000000064</v>
      </c>
      <c r="M131" s="573"/>
    </row>
    <row r="132" spans="1:13" ht="13.5" customHeight="1" x14ac:dyDescent="0.2">
      <c r="A132" s="786">
        <v>43003</v>
      </c>
      <c r="B132" s="787"/>
      <c r="C132" s="722" t="s">
        <v>5996</v>
      </c>
      <c r="D132" s="581"/>
      <c r="E132" s="930"/>
      <c r="F132" s="22"/>
      <c r="G132" s="792"/>
      <c r="H132" s="24"/>
      <c r="I132" s="789">
        <v>3500</v>
      </c>
      <c r="J132" s="790"/>
      <c r="K132" s="791">
        <v>25.090000000000149</v>
      </c>
      <c r="L132" s="791">
        <v>7480.7100000000064</v>
      </c>
      <c r="M132" s="573"/>
    </row>
    <row r="133" spans="1:13" ht="13.5" customHeight="1" x14ac:dyDescent="0.2">
      <c r="A133" s="786"/>
      <c r="B133" s="787"/>
      <c r="C133" s="722" t="s">
        <v>5997</v>
      </c>
      <c r="D133" s="581"/>
      <c r="E133" s="930"/>
      <c r="F133" s="22"/>
      <c r="G133" s="792"/>
      <c r="H133" s="24"/>
      <c r="I133" s="789">
        <v>190</v>
      </c>
      <c r="J133" s="790"/>
      <c r="K133" s="791">
        <v>25.090000000000149</v>
      </c>
      <c r="L133" s="791">
        <v>7670.7100000000064</v>
      </c>
      <c r="M133" s="573"/>
    </row>
    <row r="134" spans="1:13" ht="13.5" customHeight="1" x14ac:dyDescent="0.2">
      <c r="A134" s="786"/>
      <c r="B134" s="787"/>
      <c r="C134" s="722" t="s">
        <v>5998</v>
      </c>
      <c r="D134" s="581"/>
      <c r="E134" s="930"/>
      <c r="F134" s="22"/>
      <c r="G134" s="792"/>
      <c r="H134" s="24">
        <v>17.440000000000001</v>
      </c>
      <c r="I134" s="789"/>
      <c r="J134" s="790"/>
      <c r="K134" s="791">
        <v>25.090000000000149</v>
      </c>
      <c r="L134" s="791">
        <v>7653.2700000000068</v>
      </c>
      <c r="M134" s="573"/>
    </row>
    <row r="135" spans="1:13" ht="13.5" customHeight="1" x14ac:dyDescent="0.2">
      <c r="A135" s="786"/>
      <c r="B135" s="787"/>
      <c r="C135" s="722" t="s">
        <v>5999</v>
      </c>
      <c r="D135" s="581"/>
      <c r="E135" s="930"/>
      <c r="F135" s="22"/>
      <c r="G135" s="792"/>
      <c r="H135" s="24">
        <v>8</v>
      </c>
      <c r="I135" s="789"/>
      <c r="J135" s="790"/>
      <c r="K135" s="791">
        <v>25.090000000000149</v>
      </c>
      <c r="L135" s="791">
        <v>7645.2700000000068</v>
      </c>
      <c r="M135" s="573"/>
    </row>
    <row r="136" spans="1:13" ht="13.5" customHeight="1" x14ac:dyDescent="0.2">
      <c r="A136" s="786"/>
      <c r="B136" s="787"/>
      <c r="C136" s="722" t="s">
        <v>6000</v>
      </c>
      <c r="D136" s="581"/>
      <c r="E136" s="930"/>
      <c r="F136" s="22"/>
      <c r="G136" s="792"/>
      <c r="H136" s="24">
        <v>28.3</v>
      </c>
      <c r="I136" s="789"/>
      <c r="J136" s="790"/>
      <c r="K136" s="791">
        <v>25.090000000000149</v>
      </c>
      <c r="L136" s="791">
        <v>7616.9700000000066</v>
      </c>
      <c r="M136" s="573"/>
    </row>
    <row r="137" spans="1:13" ht="13.5" customHeight="1" x14ac:dyDescent="0.2">
      <c r="A137" s="786"/>
      <c r="B137" s="787"/>
      <c r="C137" s="722" t="s">
        <v>6001</v>
      </c>
      <c r="D137" s="581"/>
      <c r="E137" s="930"/>
      <c r="F137" s="22"/>
      <c r="G137" s="792"/>
      <c r="H137" s="24">
        <v>6.25</v>
      </c>
      <c r="I137" s="789"/>
      <c r="J137" s="790"/>
      <c r="K137" s="791">
        <v>25.090000000000149</v>
      </c>
      <c r="L137" s="791">
        <v>7610.7200000000066</v>
      </c>
      <c r="M137" s="573"/>
    </row>
    <row r="138" spans="1:13" ht="13.5" customHeight="1" x14ac:dyDescent="0.2">
      <c r="A138" s="786"/>
      <c r="B138" s="787"/>
      <c r="C138" s="722" t="s">
        <v>6002</v>
      </c>
      <c r="D138" s="581"/>
      <c r="E138" s="930"/>
      <c r="F138" s="22"/>
      <c r="G138" s="792"/>
      <c r="H138" s="24">
        <v>6.5</v>
      </c>
      <c r="I138" s="789"/>
      <c r="J138" s="790"/>
      <c r="K138" s="791">
        <v>25.090000000000149</v>
      </c>
      <c r="L138" s="791">
        <v>7604.2200000000066</v>
      </c>
      <c r="M138" s="573"/>
    </row>
    <row r="139" spans="1:13" ht="13.5" customHeight="1" x14ac:dyDescent="0.2">
      <c r="A139" s="786"/>
      <c r="B139" s="787"/>
      <c r="C139" s="722" t="s">
        <v>6003</v>
      </c>
      <c r="D139" s="581"/>
      <c r="E139" s="930"/>
      <c r="F139" s="22"/>
      <c r="G139" s="792"/>
      <c r="H139" s="24">
        <v>6.8</v>
      </c>
      <c r="I139" s="789"/>
      <c r="J139" s="790"/>
      <c r="K139" s="791">
        <v>25.090000000000149</v>
      </c>
      <c r="L139" s="791">
        <v>7597.4200000000064</v>
      </c>
      <c r="M139" s="573"/>
    </row>
    <row r="140" spans="1:13" ht="13.5" customHeight="1" x14ac:dyDescent="0.2">
      <c r="A140" s="786"/>
      <c r="B140" s="787"/>
      <c r="C140" s="722" t="s">
        <v>6004</v>
      </c>
      <c r="D140" s="581"/>
      <c r="E140" s="930"/>
      <c r="F140" s="22"/>
      <c r="G140" s="792"/>
      <c r="H140" s="24">
        <v>10.5</v>
      </c>
      <c r="I140" s="789"/>
      <c r="J140" s="790"/>
      <c r="K140" s="791">
        <v>25.090000000000149</v>
      </c>
      <c r="L140" s="791">
        <v>7586.9200000000064</v>
      </c>
      <c r="M140" s="573"/>
    </row>
    <row r="141" spans="1:13" ht="13.5" customHeight="1" x14ac:dyDescent="0.2">
      <c r="A141" s="786"/>
      <c r="B141" s="787"/>
      <c r="C141" s="722" t="s">
        <v>6005</v>
      </c>
      <c r="D141" s="581"/>
      <c r="E141" s="930"/>
      <c r="F141" s="22"/>
      <c r="G141" s="792"/>
      <c r="H141" s="24">
        <v>6.8</v>
      </c>
      <c r="I141" s="789"/>
      <c r="J141" s="790"/>
      <c r="K141" s="791">
        <v>25.090000000000149</v>
      </c>
      <c r="L141" s="791">
        <v>7580.1200000000063</v>
      </c>
      <c r="M141" s="573"/>
    </row>
    <row r="142" spans="1:13" ht="13.5" customHeight="1" x14ac:dyDescent="0.2">
      <c r="A142" s="786"/>
      <c r="B142" s="787"/>
      <c r="C142" s="722" t="s">
        <v>6006</v>
      </c>
      <c r="D142" s="581"/>
      <c r="E142" s="930"/>
      <c r="F142" s="22"/>
      <c r="G142" s="792"/>
      <c r="H142" s="24">
        <v>5000</v>
      </c>
      <c r="I142" s="789"/>
      <c r="J142" s="790"/>
      <c r="K142" s="791">
        <v>25.090000000000149</v>
      </c>
      <c r="L142" s="791">
        <v>2580.1200000000063</v>
      </c>
      <c r="M142" s="573"/>
    </row>
    <row r="143" spans="1:13" ht="13.5" customHeight="1" x14ac:dyDescent="0.2">
      <c r="A143" s="786"/>
      <c r="B143" s="787"/>
      <c r="C143" s="722" t="s">
        <v>5623</v>
      </c>
      <c r="D143" s="581"/>
      <c r="E143" s="930"/>
      <c r="F143" s="22"/>
      <c r="G143" s="792"/>
      <c r="H143" s="24">
        <v>500</v>
      </c>
      <c r="I143" s="789"/>
      <c r="J143" s="790"/>
      <c r="K143" s="791">
        <v>25.090000000000149</v>
      </c>
      <c r="L143" s="791">
        <v>2080.1200000000063</v>
      </c>
      <c r="M143" s="573"/>
    </row>
    <row r="144" spans="1:13" ht="13.5" customHeight="1" x14ac:dyDescent="0.2">
      <c r="A144" s="786"/>
      <c r="B144" s="787"/>
      <c r="C144" s="722" t="s">
        <v>6007</v>
      </c>
      <c r="D144" s="581"/>
      <c r="E144" s="930"/>
      <c r="F144" s="22"/>
      <c r="G144" s="792"/>
      <c r="H144" s="24">
        <v>70</v>
      </c>
      <c r="I144" s="789"/>
      <c r="J144" s="790">
        <v>2010.1200000000063</v>
      </c>
      <c r="K144" s="791">
        <v>25.090000000000149</v>
      </c>
      <c r="L144" s="791">
        <v>2010.1200000000063</v>
      </c>
      <c r="M144" s="573"/>
    </row>
    <row r="145" spans="1:13" ht="13.5" customHeight="1" x14ac:dyDescent="0.2">
      <c r="A145" s="786" t="s">
        <v>6008</v>
      </c>
      <c r="B145" s="787"/>
      <c r="C145" s="722" t="s">
        <v>5816</v>
      </c>
      <c r="D145" s="581">
        <v>120</v>
      </c>
      <c r="E145" s="931">
        <v>-74.349999999999994</v>
      </c>
      <c r="F145" s="22"/>
      <c r="G145" s="792" t="s">
        <v>6009</v>
      </c>
      <c r="H145" s="24"/>
      <c r="I145" s="789"/>
      <c r="J145" s="790"/>
      <c r="K145" s="791">
        <v>-49.259999999999849</v>
      </c>
      <c r="L145" s="791">
        <v>2010.1200000000063</v>
      </c>
      <c r="M145" s="573"/>
    </row>
    <row r="146" spans="1:13" ht="13.5" customHeight="1" x14ac:dyDescent="0.2">
      <c r="A146" s="786">
        <v>43005</v>
      </c>
      <c r="B146" s="787"/>
      <c r="C146" s="722" t="s">
        <v>6010</v>
      </c>
      <c r="D146" s="581"/>
      <c r="E146" s="930"/>
      <c r="F146" s="22"/>
      <c r="G146" s="792"/>
      <c r="H146" s="24">
        <v>22.9</v>
      </c>
      <c r="I146" s="789"/>
      <c r="J146" s="790">
        <v>1987.2200000000062</v>
      </c>
      <c r="K146" s="791">
        <v>-49.259999999999849</v>
      </c>
      <c r="L146" s="791">
        <v>1987.2200000000062</v>
      </c>
      <c r="M146" s="573"/>
    </row>
    <row r="147" spans="1:13" ht="13.5" customHeight="1" x14ac:dyDescent="0.2">
      <c r="A147" s="786" t="s">
        <v>6011</v>
      </c>
      <c r="B147" s="787"/>
      <c r="C147" s="722" t="s">
        <v>6012</v>
      </c>
      <c r="D147" s="581" t="s">
        <v>19</v>
      </c>
      <c r="E147" s="573">
        <v>-2000</v>
      </c>
      <c r="F147" s="22" t="s">
        <v>549</v>
      </c>
      <c r="G147" s="792"/>
      <c r="H147" s="24"/>
      <c r="I147" s="789"/>
      <c r="J147" s="790"/>
      <c r="K147" s="791">
        <v>-2049.2599999999998</v>
      </c>
      <c r="L147" s="791">
        <v>1987.2200000000062</v>
      </c>
      <c r="M147" s="573"/>
    </row>
    <row r="148" spans="1:13" ht="13.5" customHeight="1" x14ac:dyDescent="0.2">
      <c r="A148" s="786"/>
      <c r="B148" s="787"/>
      <c r="C148" s="795" t="s">
        <v>6013</v>
      </c>
      <c r="D148" s="581" t="s">
        <v>19</v>
      </c>
      <c r="E148" s="573">
        <v>-2100</v>
      </c>
      <c r="F148" s="22" t="s">
        <v>549</v>
      </c>
      <c r="G148" s="792"/>
      <c r="H148" s="24"/>
      <c r="I148" s="789"/>
      <c r="J148" s="790"/>
      <c r="K148" s="791">
        <v>-4149.26</v>
      </c>
      <c r="L148" s="791">
        <v>1987.2200000000062</v>
      </c>
      <c r="M148" s="573"/>
    </row>
    <row r="149" spans="1:13" ht="13.5" customHeight="1" x14ac:dyDescent="0.2">
      <c r="A149" s="786"/>
      <c r="B149" s="787"/>
      <c r="C149" s="793" t="s">
        <v>6014</v>
      </c>
      <c r="D149" s="581" t="s">
        <v>19</v>
      </c>
      <c r="E149" s="573">
        <v>-1650</v>
      </c>
      <c r="F149" s="22" t="s">
        <v>549</v>
      </c>
      <c r="G149" s="792"/>
      <c r="H149" s="24"/>
      <c r="I149" s="789"/>
      <c r="J149" s="790"/>
      <c r="K149" s="791">
        <v>-5799.26</v>
      </c>
      <c r="L149" s="791">
        <v>1987.2200000000062</v>
      </c>
      <c r="M149" s="573"/>
    </row>
    <row r="150" spans="1:13" ht="13.5" customHeight="1" x14ac:dyDescent="0.2">
      <c r="A150" s="786"/>
      <c r="B150" s="787"/>
      <c r="C150" s="795" t="s">
        <v>5708</v>
      </c>
      <c r="D150" s="581" t="s">
        <v>19</v>
      </c>
      <c r="E150" s="930" t="s">
        <v>549</v>
      </c>
      <c r="F150" s="22">
        <v>6000</v>
      </c>
      <c r="G150" s="792"/>
      <c r="H150" s="24"/>
      <c r="I150" s="789"/>
      <c r="J150" s="790"/>
      <c r="K150" s="791">
        <v>200.73999999999978</v>
      </c>
      <c r="L150" s="791">
        <v>1987.2200000000062</v>
      </c>
      <c r="M150" s="573"/>
    </row>
    <row r="151" spans="1:13" ht="13.5" customHeight="1" x14ac:dyDescent="0.2">
      <c r="A151" s="786"/>
      <c r="B151" s="787"/>
      <c r="C151" s="722" t="s">
        <v>6015</v>
      </c>
      <c r="D151" s="581" t="s">
        <v>19</v>
      </c>
      <c r="E151" s="931">
        <v>-70.56</v>
      </c>
      <c r="F151" s="22" t="s">
        <v>549</v>
      </c>
      <c r="G151" s="792" t="s">
        <v>6016</v>
      </c>
      <c r="H151" s="24"/>
      <c r="I151" s="789"/>
      <c r="J151" s="790"/>
      <c r="K151" s="791">
        <v>130.17999999999978</v>
      </c>
      <c r="L151" s="791">
        <v>1987.2200000000062</v>
      </c>
      <c r="M151" s="573"/>
    </row>
    <row r="152" spans="1:13" ht="13.5" customHeight="1" x14ac:dyDescent="0.2">
      <c r="A152" s="786">
        <v>43007</v>
      </c>
      <c r="B152" s="787"/>
      <c r="C152" s="722" t="s">
        <v>5976</v>
      </c>
      <c r="D152" s="581"/>
      <c r="E152" s="930"/>
      <c r="F152" s="22"/>
      <c r="G152" s="792"/>
      <c r="H152" s="24">
        <v>140</v>
      </c>
      <c r="I152" s="789"/>
      <c r="J152" s="790"/>
      <c r="K152" s="791">
        <v>130.17999999999978</v>
      </c>
      <c r="L152" s="791">
        <v>1847.2200000000062</v>
      </c>
      <c r="M152" s="573"/>
    </row>
    <row r="153" spans="1:13" ht="13.5" customHeight="1" x14ac:dyDescent="0.2">
      <c r="A153" s="786"/>
      <c r="B153" s="787"/>
      <c r="C153" s="722" t="s">
        <v>5977</v>
      </c>
      <c r="D153" s="581"/>
      <c r="E153" s="930"/>
      <c r="F153" s="22"/>
      <c r="G153" s="792"/>
      <c r="H153" s="24">
        <v>70</v>
      </c>
      <c r="I153" s="789"/>
      <c r="J153" s="790"/>
      <c r="K153" s="791">
        <v>130.17999999999978</v>
      </c>
      <c r="L153" s="791">
        <v>1777.2200000000062</v>
      </c>
      <c r="M153" s="573"/>
    </row>
    <row r="154" spans="1:13" ht="13.5" customHeight="1" x14ac:dyDescent="0.2">
      <c r="A154" s="786"/>
      <c r="B154" s="787"/>
      <c r="C154" s="722" t="s">
        <v>5591</v>
      </c>
      <c r="D154" s="581"/>
      <c r="E154" s="930"/>
      <c r="F154" s="22"/>
      <c r="G154" s="792"/>
      <c r="H154" s="24">
        <v>600</v>
      </c>
      <c r="I154" s="789"/>
      <c r="J154" s="790"/>
      <c r="K154" s="791">
        <v>130.17999999999978</v>
      </c>
      <c r="L154" s="791">
        <v>1177.2200000000062</v>
      </c>
      <c r="M154" s="573"/>
    </row>
    <row r="155" spans="1:13" ht="13.5" customHeight="1" x14ac:dyDescent="0.2">
      <c r="A155" s="786"/>
      <c r="B155" s="787"/>
      <c r="C155" s="722" t="s">
        <v>5593</v>
      </c>
      <c r="D155" s="581"/>
      <c r="E155" s="930"/>
      <c r="F155" s="22"/>
      <c r="G155" s="792"/>
      <c r="H155" s="24">
        <v>230</v>
      </c>
      <c r="I155" s="789"/>
      <c r="J155" s="790"/>
      <c r="K155" s="791">
        <v>130.17999999999978</v>
      </c>
      <c r="L155" s="791">
        <v>947.22000000000617</v>
      </c>
      <c r="M155" s="573"/>
    </row>
    <row r="156" spans="1:13" ht="13.5" customHeight="1" x14ac:dyDescent="0.2">
      <c r="A156" s="786"/>
      <c r="B156" s="787"/>
      <c r="C156" s="722" t="s">
        <v>6017</v>
      </c>
      <c r="D156" s="581"/>
      <c r="E156" s="930"/>
      <c r="F156" s="22"/>
      <c r="G156" s="792"/>
      <c r="H156" s="24"/>
      <c r="I156" s="789">
        <v>320</v>
      </c>
      <c r="J156" s="790"/>
      <c r="K156" s="791">
        <v>130.17999999999978</v>
      </c>
      <c r="L156" s="791">
        <v>1267.2200000000062</v>
      </c>
      <c r="M156" s="573"/>
    </row>
    <row r="157" spans="1:13" ht="13.5" customHeight="1" x14ac:dyDescent="0.2">
      <c r="A157" s="786"/>
      <c r="B157" s="787"/>
      <c r="C157" s="722" t="s">
        <v>6018</v>
      </c>
      <c r="D157" s="581"/>
      <c r="E157" s="930"/>
      <c r="F157" s="22"/>
      <c r="G157" s="792"/>
      <c r="H157" s="24">
        <v>350</v>
      </c>
      <c r="I157" s="789"/>
      <c r="J157" s="934">
        <v>917.22000000000617</v>
      </c>
      <c r="K157" s="791">
        <v>130.17999999999978</v>
      </c>
      <c r="L157" s="791">
        <v>917.22000000000617</v>
      </c>
      <c r="M157" s="573"/>
    </row>
    <row r="158" spans="1:13" ht="13.5" customHeight="1" x14ac:dyDescent="0.2">
      <c r="A158" s="786"/>
      <c r="B158" s="787"/>
      <c r="C158" s="722" t="s">
        <v>1002</v>
      </c>
      <c r="D158" s="581" t="s">
        <v>6019</v>
      </c>
      <c r="E158" s="931">
        <v>-65</v>
      </c>
      <c r="F158" s="22" t="s">
        <v>549</v>
      </c>
      <c r="G158" s="792"/>
      <c r="H158" s="24"/>
      <c r="I158" s="789"/>
      <c r="J158" s="790"/>
      <c r="K158" s="791">
        <v>65.179999999999779</v>
      </c>
      <c r="L158" s="791">
        <v>917.22000000000617</v>
      </c>
      <c r="M158" s="573"/>
    </row>
    <row r="159" spans="1:13" ht="13.5" customHeight="1" x14ac:dyDescent="0.2">
      <c r="A159" s="786"/>
      <c r="B159" s="787"/>
      <c r="C159" s="722" t="s">
        <v>6020</v>
      </c>
      <c r="D159" s="581" t="s">
        <v>6021</v>
      </c>
      <c r="E159" s="931">
        <v>-75</v>
      </c>
      <c r="F159" s="22" t="s">
        <v>549</v>
      </c>
      <c r="G159" s="935">
        <v>-9.82</v>
      </c>
      <c r="H159" s="24"/>
      <c r="I159" s="789"/>
      <c r="J159" s="790"/>
      <c r="K159" s="936">
        <v>-9.8200000000002206</v>
      </c>
      <c r="L159" s="936">
        <v>917.22000000000617</v>
      </c>
      <c r="M159" s="573"/>
    </row>
    <row r="160" spans="1:13" ht="13.5" customHeight="1" thickBot="1" x14ac:dyDescent="0.25">
      <c r="A160" s="800"/>
      <c r="B160" s="801"/>
      <c r="C160" s="802"/>
      <c r="D160" s="803"/>
      <c r="E160" s="937"/>
      <c r="F160" s="805"/>
      <c r="G160" s="806"/>
      <c r="H160" s="807"/>
      <c r="I160" s="808"/>
      <c r="J160" s="805"/>
      <c r="K160" s="791"/>
      <c r="L160" s="791"/>
      <c r="M160" s="573"/>
    </row>
    <row r="161" spans="1:13" ht="13.5" customHeight="1" thickBot="1" x14ac:dyDescent="0.25">
      <c r="A161" s="561" t="s">
        <v>2</v>
      </c>
      <c r="B161" s="562"/>
      <c r="C161" s="562" t="s">
        <v>481</v>
      </c>
      <c r="D161" s="562" t="s">
        <v>4</v>
      </c>
      <c r="E161" s="917" t="s">
        <v>5</v>
      </c>
      <c r="F161" s="562" t="s">
        <v>6</v>
      </c>
      <c r="G161" s="564" t="s">
        <v>7</v>
      </c>
      <c r="H161" s="1396" t="s">
        <v>482</v>
      </c>
      <c r="I161" s="1397"/>
      <c r="J161" s="1398"/>
    </row>
    <row r="162" spans="1:13" ht="13.5" customHeight="1" x14ac:dyDescent="0.2">
      <c r="A162" s="568" t="s">
        <v>5891</v>
      </c>
      <c r="B162" s="569"/>
      <c r="C162" s="570" t="s">
        <v>8</v>
      </c>
      <c r="D162" s="581">
        <v>0</v>
      </c>
      <c r="E162" s="937"/>
      <c r="F162" s="573"/>
      <c r="G162" s="809">
        <v>0</v>
      </c>
      <c r="H162" s="810"/>
      <c r="I162" s="811"/>
      <c r="J162" s="812">
        <v>9968.0099999999984</v>
      </c>
      <c r="M162" s="804"/>
    </row>
    <row r="163" spans="1:13" ht="13.5" customHeight="1" x14ac:dyDescent="0.2">
      <c r="A163" s="578"/>
      <c r="B163" s="569" t="s">
        <v>483</v>
      </c>
      <c r="C163" s="569" t="s">
        <v>6022</v>
      </c>
      <c r="D163" s="581" t="s">
        <v>1356</v>
      </c>
      <c r="E163" s="938">
        <v>-578.46</v>
      </c>
      <c r="F163" s="573"/>
      <c r="G163" s="580" t="s">
        <v>483</v>
      </c>
      <c r="H163" s="575"/>
      <c r="I163" s="576"/>
      <c r="J163" s="577">
        <v>9968.0099999999984</v>
      </c>
      <c r="K163" s="791"/>
      <c r="L163" s="791"/>
      <c r="M163" s="572"/>
    </row>
    <row r="164" spans="1:13" ht="13.5" customHeight="1" x14ac:dyDescent="0.2">
      <c r="A164" s="578"/>
      <c r="B164" s="569" t="s">
        <v>483</v>
      </c>
      <c r="C164" s="569" t="s">
        <v>6023</v>
      </c>
      <c r="D164" s="581" t="s">
        <v>1356</v>
      </c>
      <c r="E164" s="938">
        <v>-150</v>
      </c>
      <c r="F164" s="573"/>
      <c r="G164" s="580" t="s">
        <v>483</v>
      </c>
      <c r="H164" s="575"/>
      <c r="I164" s="576"/>
      <c r="J164" s="577">
        <v>9968.0099999999984</v>
      </c>
      <c r="K164" s="939"/>
      <c r="L164" s="939"/>
      <c r="M164" s="572"/>
    </row>
    <row r="165" spans="1:13" ht="13.5" customHeight="1" x14ac:dyDescent="0.2">
      <c r="A165" s="578"/>
      <c r="B165" s="569" t="s">
        <v>483</v>
      </c>
      <c r="C165" s="569" t="s">
        <v>6024</v>
      </c>
      <c r="D165" s="581" t="s">
        <v>488</v>
      </c>
      <c r="E165" s="938">
        <v>-1527.03</v>
      </c>
      <c r="F165" s="573"/>
      <c r="G165" s="580" t="s">
        <v>483</v>
      </c>
      <c r="H165" s="575"/>
      <c r="I165" s="576"/>
      <c r="J165" s="577">
        <v>9968.0099999999984</v>
      </c>
      <c r="K165" s="791"/>
      <c r="L165" s="791"/>
      <c r="M165" s="572"/>
    </row>
    <row r="166" spans="1:13" ht="13.5" customHeight="1" x14ac:dyDescent="0.2">
      <c r="A166" s="578"/>
      <c r="B166" s="569" t="s">
        <v>483</v>
      </c>
      <c r="C166" s="795" t="s">
        <v>5708</v>
      </c>
      <c r="D166" s="581" t="s">
        <v>488</v>
      </c>
      <c r="E166" s="874"/>
      <c r="F166" s="579">
        <v>2255.4899999999998</v>
      </c>
      <c r="G166" s="580">
        <v>0</v>
      </c>
      <c r="H166" s="575">
        <v>2255.4899999999998</v>
      </c>
      <c r="I166" s="576"/>
      <c r="J166" s="577">
        <v>7712.5199999999986</v>
      </c>
      <c r="K166" s="791"/>
      <c r="L166" s="791"/>
      <c r="M166" s="572"/>
    </row>
    <row r="167" spans="1:13" ht="13.5" customHeight="1" x14ac:dyDescent="0.2">
      <c r="A167" s="578" t="s">
        <v>6025</v>
      </c>
      <c r="B167" s="569" t="s">
        <v>483</v>
      </c>
      <c r="C167" s="569" t="s">
        <v>6026</v>
      </c>
      <c r="D167" s="581" t="s">
        <v>6027</v>
      </c>
      <c r="E167" s="938">
        <v>-190</v>
      </c>
      <c r="F167" s="573"/>
      <c r="G167" s="580" t="s">
        <v>483</v>
      </c>
      <c r="H167" s="575"/>
      <c r="I167" s="576"/>
      <c r="J167" s="577">
        <v>7712.5199999999986</v>
      </c>
      <c r="K167" s="791"/>
      <c r="L167" s="791"/>
      <c r="M167" s="572"/>
    </row>
    <row r="168" spans="1:13" ht="13.5" customHeight="1" x14ac:dyDescent="0.2">
      <c r="A168" s="578"/>
      <c r="B168" s="569" t="s">
        <v>483</v>
      </c>
      <c r="C168" s="795" t="s">
        <v>5708</v>
      </c>
      <c r="D168" s="581" t="s">
        <v>488</v>
      </c>
      <c r="E168" s="874"/>
      <c r="F168" s="579">
        <v>190</v>
      </c>
      <c r="G168" s="580">
        <v>0</v>
      </c>
      <c r="H168" s="575">
        <v>190</v>
      </c>
      <c r="I168" s="576"/>
      <c r="J168" s="577">
        <v>7522.5199999999986</v>
      </c>
      <c r="K168" s="791"/>
      <c r="L168" s="791"/>
      <c r="M168" s="572"/>
    </row>
    <row r="169" spans="1:13" ht="13.5" customHeight="1" x14ac:dyDescent="0.2">
      <c r="A169" s="578" t="s">
        <v>6028</v>
      </c>
      <c r="B169" s="569" t="s">
        <v>483</v>
      </c>
      <c r="C169" s="940" t="s">
        <v>5782</v>
      </c>
      <c r="D169" s="581" t="s">
        <v>488</v>
      </c>
      <c r="E169" s="938">
        <v>-142.82</v>
      </c>
      <c r="F169" s="573"/>
      <c r="G169" s="580" t="s">
        <v>483</v>
      </c>
      <c r="H169" s="575"/>
      <c r="I169" s="576"/>
      <c r="J169" s="577">
        <v>7522.5199999999986</v>
      </c>
      <c r="K169" s="791"/>
      <c r="L169" s="791"/>
      <c r="M169" s="572"/>
    </row>
    <row r="170" spans="1:13" ht="13.5" customHeight="1" x14ac:dyDescent="0.2">
      <c r="A170" s="578"/>
      <c r="B170" s="569" t="s">
        <v>483</v>
      </c>
      <c r="C170" s="569" t="s">
        <v>6029</v>
      </c>
      <c r="D170" s="581" t="s">
        <v>6030</v>
      </c>
      <c r="E170" s="938">
        <v>-73.2</v>
      </c>
      <c r="F170" s="573"/>
      <c r="G170" s="580" t="s">
        <v>483</v>
      </c>
      <c r="H170" s="575"/>
      <c r="I170" s="576"/>
      <c r="J170" s="577">
        <v>7522.5199999999986</v>
      </c>
      <c r="K170" s="791"/>
      <c r="L170" s="791"/>
      <c r="M170" s="572"/>
    </row>
    <row r="171" spans="1:13" ht="13.5" customHeight="1" x14ac:dyDescent="0.2">
      <c r="A171" s="578"/>
      <c r="B171" s="569" t="s">
        <v>591</v>
      </c>
      <c r="C171" s="722" t="s">
        <v>5907</v>
      </c>
      <c r="D171" s="581" t="s">
        <v>6031</v>
      </c>
      <c r="E171" s="938"/>
      <c r="F171" s="814">
        <v>2296.13</v>
      </c>
      <c r="G171" s="580" t="s">
        <v>483</v>
      </c>
      <c r="H171" s="575"/>
      <c r="I171" s="576"/>
      <c r="J171" s="577">
        <v>7522.5199999999986</v>
      </c>
      <c r="K171" s="791"/>
      <c r="L171" s="791"/>
      <c r="M171" s="572"/>
    </row>
    <row r="172" spans="1:13" ht="13.5" customHeight="1" x14ac:dyDescent="0.2">
      <c r="A172" s="578"/>
      <c r="B172" s="569" t="s">
        <v>483</v>
      </c>
      <c r="C172" s="795" t="s">
        <v>5708</v>
      </c>
      <c r="D172" s="581" t="s">
        <v>488</v>
      </c>
      <c r="E172" s="874"/>
      <c r="F172" s="579">
        <v>216.02</v>
      </c>
      <c r="G172" s="580">
        <v>2296.13</v>
      </c>
      <c r="H172" s="575">
        <v>216.02</v>
      </c>
      <c r="I172" s="576"/>
      <c r="J172" s="577">
        <v>7306.4999999999982</v>
      </c>
      <c r="K172" s="791"/>
      <c r="L172" s="791"/>
      <c r="M172" s="572"/>
    </row>
    <row r="173" spans="1:13" ht="13.5" customHeight="1" x14ac:dyDescent="0.2">
      <c r="A173" s="578" t="s">
        <v>6032</v>
      </c>
      <c r="B173" s="569" t="s">
        <v>483</v>
      </c>
      <c r="C173" s="569" t="s">
        <v>177</v>
      </c>
      <c r="D173" s="581" t="s">
        <v>2130</v>
      </c>
      <c r="E173" s="938">
        <v>-228.59</v>
      </c>
      <c r="F173" s="573"/>
      <c r="G173" s="580" t="s">
        <v>483</v>
      </c>
      <c r="H173" s="575"/>
      <c r="I173" s="576"/>
      <c r="J173" s="577">
        <v>7306.4999999999982</v>
      </c>
      <c r="K173" s="791"/>
      <c r="L173" s="791"/>
      <c r="M173" s="572"/>
    </row>
    <row r="174" spans="1:13" ht="13.5" customHeight="1" x14ac:dyDescent="0.2">
      <c r="A174" s="578"/>
      <c r="B174" s="569" t="s">
        <v>483</v>
      </c>
      <c r="C174" s="569" t="s">
        <v>6033</v>
      </c>
      <c r="D174" s="581" t="s">
        <v>502</v>
      </c>
      <c r="E174" s="938">
        <v>-166.62</v>
      </c>
      <c r="F174" s="573"/>
      <c r="G174" s="580" t="s">
        <v>483</v>
      </c>
      <c r="H174" s="575"/>
      <c r="I174" s="576"/>
      <c r="J174" s="577">
        <v>7306.4999999999982</v>
      </c>
      <c r="K174" s="791"/>
      <c r="L174" s="791"/>
      <c r="M174" s="572"/>
    </row>
    <row r="175" spans="1:13" ht="13.5" customHeight="1" x14ac:dyDescent="0.2">
      <c r="A175" s="578"/>
      <c r="B175" s="569" t="s">
        <v>483</v>
      </c>
      <c r="C175" s="569" t="s">
        <v>1737</v>
      </c>
      <c r="D175" s="581" t="s">
        <v>6034</v>
      </c>
      <c r="E175" s="941">
        <v>-2296.13</v>
      </c>
      <c r="F175" s="573"/>
      <c r="G175" s="580" t="s">
        <v>483</v>
      </c>
      <c r="H175" s="575"/>
      <c r="I175" s="576"/>
      <c r="J175" s="577">
        <v>7306.4999999999982</v>
      </c>
      <c r="K175" s="791"/>
      <c r="L175" s="791"/>
      <c r="M175" s="572"/>
    </row>
    <row r="176" spans="1:13" ht="13.5" customHeight="1" x14ac:dyDescent="0.2">
      <c r="A176" s="578"/>
      <c r="B176" s="569" t="s">
        <v>483</v>
      </c>
      <c r="C176" s="795" t="s">
        <v>5708</v>
      </c>
      <c r="D176" s="581" t="s">
        <v>488</v>
      </c>
      <c r="E176" s="874"/>
      <c r="F176" s="579">
        <v>395.21</v>
      </c>
      <c r="G176" s="580">
        <v>0</v>
      </c>
      <c r="H176" s="575">
        <v>395.21</v>
      </c>
      <c r="I176" s="576"/>
      <c r="J176" s="577">
        <v>6911.2899999999981</v>
      </c>
      <c r="K176" s="791"/>
      <c r="L176" s="791"/>
      <c r="M176" s="572"/>
    </row>
    <row r="177" spans="1:16" ht="13.5" customHeight="1" x14ac:dyDescent="0.2">
      <c r="A177" s="578" t="s">
        <v>6035</v>
      </c>
      <c r="B177" s="569" t="s">
        <v>483</v>
      </c>
      <c r="C177" s="569" t="s">
        <v>6036</v>
      </c>
      <c r="D177" s="581" t="s">
        <v>976</v>
      </c>
      <c r="E177" s="938">
        <v>-2038</v>
      </c>
      <c r="F177" s="573"/>
      <c r="G177" s="580" t="s">
        <v>483</v>
      </c>
      <c r="H177" s="575"/>
      <c r="I177" s="576"/>
      <c r="J177" s="577">
        <v>6911.2899999999981</v>
      </c>
      <c r="K177" s="791"/>
      <c r="L177" s="791"/>
      <c r="M177" s="572"/>
    </row>
    <row r="178" spans="1:16" ht="13.5" customHeight="1" x14ac:dyDescent="0.2">
      <c r="A178" s="578"/>
      <c r="B178" s="569" t="s">
        <v>483</v>
      </c>
      <c r="C178" s="569" t="s">
        <v>6037</v>
      </c>
      <c r="D178" s="581" t="s">
        <v>3598</v>
      </c>
      <c r="E178" s="938">
        <v>-1939</v>
      </c>
      <c r="F178" s="573"/>
      <c r="G178" s="580" t="s">
        <v>483</v>
      </c>
      <c r="H178" s="575"/>
      <c r="I178" s="576"/>
      <c r="J178" s="577">
        <v>6911.2899999999981</v>
      </c>
      <c r="K178" s="791"/>
      <c r="L178" s="791"/>
      <c r="M178" s="572"/>
    </row>
    <row r="179" spans="1:16" ht="13.5" customHeight="1" x14ac:dyDescent="0.2">
      <c r="A179" s="578"/>
      <c r="B179" s="569" t="s">
        <v>483</v>
      </c>
      <c r="C179" s="795" t="s">
        <v>5708</v>
      </c>
      <c r="D179" s="581" t="s">
        <v>488</v>
      </c>
      <c r="E179" s="874"/>
      <c r="F179" s="579">
        <v>3977</v>
      </c>
      <c r="G179" s="580">
        <v>0</v>
      </c>
      <c r="H179" s="575">
        <v>3977</v>
      </c>
      <c r="I179" s="576"/>
      <c r="J179" s="577">
        <v>2934.2899999999981</v>
      </c>
      <c r="K179" s="791"/>
      <c r="L179" s="791"/>
      <c r="M179" s="572"/>
    </row>
    <row r="180" spans="1:16" ht="13.5" customHeight="1" x14ac:dyDescent="0.2">
      <c r="A180" s="578" t="s">
        <v>6038</v>
      </c>
      <c r="B180" s="569" t="s">
        <v>483</v>
      </c>
      <c r="C180" s="795" t="s">
        <v>5789</v>
      </c>
      <c r="D180" s="581" t="s">
        <v>3018</v>
      </c>
      <c r="E180" s="938">
        <v>-708</v>
      </c>
      <c r="F180" s="573"/>
      <c r="G180" s="580" t="s">
        <v>483</v>
      </c>
      <c r="H180" s="575"/>
      <c r="I180" s="576"/>
      <c r="J180" s="577">
        <v>2934.2899999999981</v>
      </c>
      <c r="K180" s="791"/>
      <c r="L180" s="791"/>
      <c r="M180" s="572"/>
    </row>
    <row r="181" spans="1:16" ht="13.5" customHeight="1" x14ac:dyDescent="0.2">
      <c r="A181" s="578"/>
      <c r="B181" s="569" t="s">
        <v>483</v>
      </c>
      <c r="C181" s="795" t="s">
        <v>5708</v>
      </c>
      <c r="D181" s="581" t="s">
        <v>488</v>
      </c>
      <c r="E181" s="874"/>
      <c r="F181" s="579">
        <v>708</v>
      </c>
      <c r="G181" s="580">
        <v>0</v>
      </c>
      <c r="H181" s="575">
        <v>708</v>
      </c>
      <c r="I181" s="576"/>
      <c r="J181" s="577">
        <v>2226.2899999999981</v>
      </c>
      <c r="K181" s="791"/>
      <c r="L181" s="791"/>
      <c r="M181" s="572"/>
    </row>
    <row r="182" spans="1:16" ht="13.5" customHeight="1" x14ac:dyDescent="0.2">
      <c r="A182" s="578" t="s">
        <v>6039</v>
      </c>
      <c r="B182" s="569" t="s">
        <v>483</v>
      </c>
      <c r="C182" s="569" t="s">
        <v>6040</v>
      </c>
      <c r="D182" s="581" t="s">
        <v>6041</v>
      </c>
      <c r="E182" s="938">
        <v>-216.8</v>
      </c>
      <c r="F182" s="573"/>
      <c r="G182" s="580" t="s">
        <v>483</v>
      </c>
      <c r="H182" s="575"/>
      <c r="I182" s="576"/>
      <c r="J182" s="577">
        <v>2226.2899999999981</v>
      </c>
      <c r="K182" s="791"/>
      <c r="L182" s="791"/>
      <c r="M182" s="572"/>
    </row>
    <row r="183" spans="1:16" ht="13.5" customHeight="1" x14ac:dyDescent="0.2">
      <c r="A183" s="578"/>
      <c r="B183" s="569" t="s">
        <v>483</v>
      </c>
      <c r="C183" s="795" t="s">
        <v>5708</v>
      </c>
      <c r="D183" s="581" t="s">
        <v>488</v>
      </c>
      <c r="E183" s="874"/>
      <c r="F183" s="579">
        <v>216.8</v>
      </c>
      <c r="G183" s="580">
        <v>0</v>
      </c>
      <c r="H183" s="575">
        <v>216.8</v>
      </c>
      <c r="I183" s="576"/>
      <c r="J183" s="577">
        <v>2009.4899999999982</v>
      </c>
      <c r="K183" s="791"/>
      <c r="L183" s="791"/>
      <c r="M183" s="572"/>
    </row>
    <row r="184" spans="1:16" ht="13.5" customHeight="1" x14ac:dyDescent="0.2">
      <c r="A184" s="578" t="s">
        <v>6042</v>
      </c>
      <c r="B184" s="569" t="s">
        <v>483</v>
      </c>
      <c r="C184" s="722" t="s">
        <v>5794</v>
      </c>
      <c r="D184" s="581" t="s">
        <v>6043</v>
      </c>
      <c r="E184" s="938">
        <v>-749.6</v>
      </c>
      <c r="F184" s="573"/>
      <c r="G184" s="580" t="s">
        <v>483</v>
      </c>
      <c r="H184" s="575"/>
      <c r="I184" s="576"/>
      <c r="J184" s="577">
        <v>2009.4899999999982</v>
      </c>
      <c r="K184" s="791"/>
      <c r="L184" s="791"/>
      <c r="M184" s="572"/>
    </row>
    <row r="185" spans="1:16" ht="13.5" customHeight="1" x14ac:dyDescent="0.2">
      <c r="A185" s="578"/>
      <c r="B185" s="569" t="s">
        <v>483</v>
      </c>
      <c r="C185" s="795" t="s">
        <v>5796</v>
      </c>
      <c r="D185" s="581" t="s">
        <v>6044</v>
      </c>
      <c r="E185" s="938">
        <v>-393.36</v>
      </c>
      <c r="F185" s="573"/>
      <c r="G185" s="580" t="s">
        <v>483</v>
      </c>
      <c r="H185" s="575"/>
      <c r="I185" s="576"/>
      <c r="J185" s="577">
        <v>2009.4899999999982</v>
      </c>
      <c r="K185" s="791"/>
      <c r="L185" s="791"/>
      <c r="M185" s="572"/>
    </row>
    <row r="186" spans="1:16" ht="13.5" customHeight="1" x14ac:dyDescent="0.2">
      <c r="A186" s="578"/>
      <c r="B186" s="569" t="s">
        <v>483</v>
      </c>
      <c r="C186" s="795" t="s">
        <v>5708</v>
      </c>
      <c r="D186" s="581" t="s">
        <v>488</v>
      </c>
      <c r="E186" s="874"/>
      <c r="F186" s="579">
        <v>1142.96</v>
      </c>
      <c r="G186" s="580">
        <v>0</v>
      </c>
      <c r="H186" s="575">
        <v>1142.96</v>
      </c>
      <c r="I186" s="576"/>
      <c r="J186" s="577">
        <v>866.52999999999815</v>
      </c>
      <c r="K186" s="791"/>
      <c r="L186" s="791"/>
      <c r="M186" s="572"/>
    </row>
    <row r="187" spans="1:16" ht="13.5" customHeight="1" x14ac:dyDescent="0.2">
      <c r="A187" s="578" t="s">
        <v>6045</v>
      </c>
      <c r="B187" s="569" t="s">
        <v>483</v>
      </c>
      <c r="C187" s="569" t="s">
        <v>198</v>
      </c>
      <c r="D187" s="581" t="s">
        <v>3018</v>
      </c>
      <c r="E187" s="938">
        <v>-1384.02</v>
      </c>
      <c r="F187" s="573"/>
      <c r="G187" s="580" t="s">
        <v>483</v>
      </c>
      <c r="H187" s="575"/>
      <c r="I187" s="576"/>
      <c r="J187" s="577">
        <v>866.52999999999815</v>
      </c>
      <c r="K187" s="791"/>
      <c r="L187" s="791"/>
      <c r="M187" s="572"/>
    </row>
    <row r="188" spans="1:16" ht="13.5" customHeight="1" x14ac:dyDescent="0.2">
      <c r="A188" s="578"/>
      <c r="B188" s="569" t="s">
        <v>591</v>
      </c>
      <c r="C188" s="569" t="s">
        <v>1737</v>
      </c>
      <c r="D188" s="581" t="s">
        <v>6046</v>
      </c>
      <c r="E188" s="874"/>
      <c r="F188" s="814">
        <v>2296.13</v>
      </c>
      <c r="G188" s="580" t="s">
        <v>483</v>
      </c>
      <c r="H188" s="575"/>
      <c r="I188" s="576"/>
      <c r="J188" s="577">
        <v>866.52999999999815</v>
      </c>
      <c r="K188" s="791"/>
      <c r="L188" s="791"/>
      <c r="M188" s="572"/>
    </row>
    <row r="189" spans="1:16" ht="13.5" customHeight="1" x14ac:dyDescent="0.2">
      <c r="A189" s="578"/>
      <c r="B189" s="569" t="s">
        <v>483</v>
      </c>
      <c r="C189" s="569" t="s">
        <v>6047</v>
      </c>
      <c r="D189" s="581" t="s">
        <v>6048</v>
      </c>
      <c r="E189" s="938">
        <v>-1209.05</v>
      </c>
      <c r="F189" s="573"/>
      <c r="G189" s="580" t="s">
        <v>483</v>
      </c>
      <c r="H189" s="575"/>
      <c r="I189" s="576"/>
      <c r="J189" s="577">
        <v>866.52999999999815</v>
      </c>
      <c r="K189" s="791"/>
      <c r="L189" s="791"/>
      <c r="M189" s="572"/>
      <c r="O189" s="97">
        <v>276.5</v>
      </c>
      <c r="P189" s="97">
        <v>276.5</v>
      </c>
    </row>
    <row r="190" spans="1:16" ht="13.5" customHeight="1" x14ac:dyDescent="0.2">
      <c r="A190" s="578"/>
      <c r="B190" s="569" t="s">
        <v>483</v>
      </c>
      <c r="C190" s="795" t="s">
        <v>5708</v>
      </c>
      <c r="D190" s="581" t="s">
        <v>488</v>
      </c>
      <c r="E190" s="874"/>
      <c r="F190" s="579">
        <v>870.54</v>
      </c>
      <c r="G190" s="580">
        <v>573.6</v>
      </c>
      <c r="H190" s="575">
        <v>870.54</v>
      </c>
      <c r="I190" s="576">
        <v>4.0199999999999996</v>
      </c>
      <c r="J190" s="577">
        <v>9.9999999981896792E-3</v>
      </c>
      <c r="K190" s="791"/>
      <c r="L190" s="791"/>
      <c r="M190" s="572"/>
      <c r="O190" s="97">
        <v>215</v>
      </c>
      <c r="P190" s="97">
        <v>491.5</v>
      </c>
    </row>
    <row r="191" spans="1:16" ht="13.5" customHeight="1" x14ac:dyDescent="0.2">
      <c r="A191" s="578" t="s">
        <v>6049</v>
      </c>
      <c r="B191" s="569" t="s">
        <v>483</v>
      </c>
      <c r="C191" s="722" t="s">
        <v>5679</v>
      </c>
      <c r="D191" s="581" t="s">
        <v>488</v>
      </c>
      <c r="E191" s="938">
        <v>-72</v>
      </c>
      <c r="F191" s="573"/>
      <c r="G191" s="580" t="s">
        <v>483</v>
      </c>
      <c r="H191" s="575"/>
      <c r="I191" s="576"/>
      <c r="J191" s="577">
        <v>9.9999999981896792E-3</v>
      </c>
      <c r="K191" s="791"/>
      <c r="L191" s="791"/>
      <c r="M191" s="572"/>
      <c r="O191" s="97">
        <v>227.55</v>
      </c>
      <c r="P191" s="97">
        <v>719.05</v>
      </c>
    </row>
    <row r="192" spans="1:16" ht="13.5" customHeight="1" x14ac:dyDescent="0.2">
      <c r="A192" s="578"/>
      <c r="B192" s="569" t="s">
        <v>483</v>
      </c>
      <c r="C192" s="795" t="s">
        <v>5787</v>
      </c>
      <c r="D192" s="581" t="s">
        <v>488</v>
      </c>
      <c r="E192" s="938">
        <v>-501.6</v>
      </c>
      <c r="F192" s="573"/>
      <c r="G192" s="580">
        <v>0</v>
      </c>
      <c r="H192" s="575"/>
      <c r="I192" s="576">
        <v>501.6</v>
      </c>
      <c r="J192" s="577">
        <v>501.60999999999819</v>
      </c>
      <c r="K192" s="791"/>
      <c r="L192" s="791"/>
      <c r="M192" s="572"/>
      <c r="O192" s="97">
        <v>280</v>
      </c>
      <c r="P192" s="97">
        <v>999.05</v>
      </c>
    </row>
    <row r="193" spans="1:16" ht="13.5" customHeight="1" x14ac:dyDescent="0.2">
      <c r="A193" s="578" t="s">
        <v>6050</v>
      </c>
      <c r="B193" s="569" t="s">
        <v>483</v>
      </c>
      <c r="C193" s="795" t="s">
        <v>199</v>
      </c>
      <c r="D193" s="581" t="s">
        <v>488</v>
      </c>
      <c r="E193" s="938">
        <v>-73.62</v>
      </c>
      <c r="F193" s="573"/>
      <c r="G193" s="580" t="s">
        <v>483</v>
      </c>
      <c r="H193" s="575"/>
      <c r="I193" s="576"/>
      <c r="J193" s="577">
        <v>501.60999999999819</v>
      </c>
      <c r="K193" s="791"/>
      <c r="L193" s="791"/>
      <c r="M193" s="572"/>
      <c r="O193" s="97">
        <v>210</v>
      </c>
      <c r="P193" s="97">
        <v>1209.05</v>
      </c>
    </row>
    <row r="194" spans="1:16" ht="13.5" customHeight="1" x14ac:dyDescent="0.2">
      <c r="A194" s="578"/>
      <c r="B194" s="569" t="s">
        <v>483</v>
      </c>
      <c r="C194" s="569" t="s">
        <v>6051</v>
      </c>
      <c r="D194" s="581" t="s">
        <v>1530</v>
      </c>
      <c r="E194" s="938">
        <v>-1687.59</v>
      </c>
      <c r="F194" s="573"/>
      <c r="G194" s="580" t="s">
        <v>483</v>
      </c>
      <c r="H194" s="575"/>
      <c r="I194" s="576"/>
      <c r="J194" s="577">
        <v>501.60999999999819</v>
      </c>
      <c r="K194" s="791"/>
      <c r="L194" s="791"/>
      <c r="M194" s="572"/>
    </row>
    <row r="195" spans="1:16" ht="13.5" customHeight="1" x14ac:dyDescent="0.2">
      <c r="A195" s="578"/>
      <c r="B195" s="569" t="s">
        <v>591</v>
      </c>
      <c r="C195" s="722" t="s">
        <v>5995</v>
      </c>
      <c r="D195" s="581" t="s">
        <v>6052</v>
      </c>
      <c r="E195" s="938"/>
      <c r="F195" s="814">
        <v>8000</v>
      </c>
      <c r="G195" s="580" t="s">
        <v>483</v>
      </c>
      <c r="H195" s="575"/>
      <c r="I195" s="576"/>
      <c r="J195" s="577">
        <v>501.60999999999819</v>
      </c>
      <c r="K195" s="791"/>
      <c r="L195" s="791"/>
      <c r="M195" s="572"/>
      <c r="O195" s="97">
        <v>20.8</v>
      </c>
      <c r="P195" s="97">
        <v>56.7</v>
      </c>
    </row>
    <row r="196" spans="1:16" ht="13.5" customHeight="1" x14ac:dyDescent="0.2">
      <c r="A196" s="578"/>
      <c r="B196" s="569" t="s">
        <v>483</v>
      </c>
      <c r="C196" s="795" t="s">
        <v>5708</v>
      </c>
      <c r="D196" s="581" t="s">
        <v>488</v>
      </c>
      <c r="E196" s="874"/>
      <c r="F196" s="579">
        <v>501.6</v>
      </c>
      <c r="G196" s="580">
        <v>6740.39</v>
      </c>
      <c r="H196" s="575">
        <v>501.6</v>
      </c>
      <c r="I196" s="576"/>
      <c r="J196" s="577">
        <v>9.9999999981719156E-3</v>
      </c>
      <c r="K196" s="791"/>
      <c r="L196" s="791"/>
      <c r="M196" s="572"/>
      <c r="O196" s="97">
        <v>78</v>
      </c>
      <c r="P196" s="97">
        <v>17.649999999999999</v>
      </c>
    </row>
    <row r="197" spans="1:16" ht="13.5" customHeight="1" x14ac:dyDescent="0.2">
      <c r="A197" s="578" t="s">
        <v>6053</v>
      </c>
      <c r="B197" s="569" t="s">
        <v>483</v>
      </c>
      <c r="C197" s="569" t="s">
        <v>6033</v>
      </c>
      <c r="D197" s="581" t="s">
        <v>4346</v>
      </c>
      <c r="E197" s="938">
        <v>-224.95</v>
      </c>
      <c r="F197" s="573"/>
      <c r="G197" s="580" t="s">
        <v>483</v>
      </c>
      <c r="H197" s="575"/>
      <c r="I197" s="576"/>
      <c r="J197" s="577">
        <v>9.9999999981719156E-3</v>
      </c>
      <c r="K197" s="791"/>
      <c r="L197" s="791"/>
      <c r="M197" s="572"/>
      <c r="O197" s="97">
        <v>14.8</v>
      </c>
      <c r="P197" s="97">
        <v>74.349999999999994</v>
      </c>
    </row>
    <row r="198" spans="1:16" ht="13.5" customHeight="1" x14ac:dyDescent="0.2">
      <c r="A198" s="578"/>
      <c r="B198" s="569" t="s">
        <v>483</v>
      </c>
      <c r="C198" s="795" t="s">
        <v>194</v>
      </c>
      <c r="D198" s="581" t="s">
        <v>488</v>
      </c>
      <c r="E198" s="938">
        <v>-118.84</v>
      </c>
      <c r="F198" s="573"/>
      <c r="G198" s="580" t="s">
        <v>483</v>
      </c>
      <c r="H198" s="575"/>
      <c r="I198" s="576"/>
      <c r="J198" s="577">
        <v>9.9999999981719156E-3</v>
      </c>
      <c r="K198" s="791"/>
      <c r="L198" s="791"/>
      <c r="M198" s="572"/>
      <c r="O198" s="97">
        <v>49.4</v>
      </c>
    </row>
    <row r="199" spans="1:16" ht="13.5" customHeight="1" x14ac:dyDescent="0.2">
      <c r="A199" s="578"/>
      <c r="B199" s="569" t="s">
        <v>483</v>
      </c>
      <c r="C199" s="795" t="s">
        <v>195</v>
      </c>
      <c r="D199" s="581" t="s">
        <v>488</v>
      </c>
      <c r="E199" s="938">
        <v>-548.51</v>
      </c>
      <c r="F199" s="573"/>
      <c r="G199" s="580"/>
      <c r="H199" s="575"/>
      <c r="I199" s="576"/>
      <c r="J199" s="577">
        <v>9.9999999981719156E-3</v>
      </c>
      <c r="K199" s="791"/>
      <c r="L199" s="791"/>
      <c r="M199" s="572"/>
      <c r="O199" s="97">
        <v>16.850000000000001</v>
      </c>
    </row>
    <row r="200" spans="1:16" ht="13.5" customHeight="1" x14ac:dyDescent="0.2">
      <c r="A200" s="578" t="s">
        <v>6053</v>
      </c>
      <c r="B200" s="569" t="s">
        <v>483</v>
      </c>
      <c r="C200" s="569" t="s">
        <v>1737</v>
      </c>
      <c r="D200" s="581" t="s">
        <v>6054</v>
      </c>
      <c r="E200" s="941">
        <v>-8000</v>
      </c>
      <c r="F200" s="579"/>
      <c r="G200" s="580" t="s">
        <v>483</v>
      </c>
      <c r="H200" s="575"/>
      <c r="I200" s="576"/>
      <c r="J200" s="577">
        <v>9.9999999981719156E-3</v>
      </c>
      <c r="K200" s="791"/>
      <c r="L200" s="791"/>
      <c r="M200" s="572"/>
      <c r="O200" s="97">
        <v>36.950000000000003</v>
      </c>
    </row>
    <row r="201" spans="1:16" ht="13.5" customHeight="1" x14ac:dyDescent="0.2">
      <c r="A201" s="578"/>
      <c r="B201" s="569" t="s">
        <v>483</v>
      </c>
      <c r="C201" s="569" t="s">
        <v>5802</v>
      </c>
      <c r="D201" s="581" t="s">
        <v>6055</v>
      </c>
      <c r="E201" s="938">
        <v>-320</v>
      </c>
      <c r="F201" s="573"/>
      <c r="G201" s="580" t="s">
        <v>483</v>
      </c>
      <c r="H201" s="575"/>
      <c r="I201" s="576"/>
      <c r="J201" s="577">
        <v>9.9999999981719156E-3</v>
      </c>
      <c r="K201" s="791"/>
      <c r="L201" s="791"/>
      <c r="M201" s="572"/>
      <c r="O201" s="97">
        <v>216.8</v>
      </c>
    </row>
    <row r="202" spans="1:16" ht="13.5" customHeight="1" x14ac:dyDescent="0.2">
      <c r="A202" s="578"/>
      <c r="B202" s="569" t="s">
        <v>483</v>
      </c>
      <c r="C202" s="569" t="s">
        <v>6056</v>
      </c>
      <c r="D202" s="581" t="s">
        <v>6057</v>
      </c>
      <c r="E202" s="938">
        <v>-610</v>
      </c>
      <c r="F202" s="573"/>
      <c r="G202" s="580">
        <v>-3081.91</v>
      </c>
      <c r="H202" s="575"/>
      <c r="I202" s="576"/>
      <c r="J202" s="577">
        <v>9.9999999981719156E-3</v>
      </c>
      <c r="K202" s="791"/>
      <c r="L202" s="791"/>
      <c r="M202" s="572"/>
    </row>
    <row r="203" spans="1:16" ht="13.5" customHeight="1" x14ac:dyDescent="0.2">
      <c r="A203" s="578" t="s">
        <v>6058</v>
      </c>
      <c r="B203" s="569" t="s">
        <v>483</v>
      </c>
      <c r="C203" s="569" t="s">
        <v>6059</v>
      </c>
      <c r="D203" s="581" t="s">
        <v>1736</v>
      </c>
      <c r="E203" s="938">
        <v>-121.1</v>
      </c>
      <c r="F203" s="573"/>
      <c r="G203" s="580">
        <v>-3203.01</v>
      </c>
      <c r="H203" s="575"/>
      <c r="I203" s="576"/>
      <c r="J203" s="577">
        <v>9.9999999981719156E-3</v>
      </c>
      <c r="K203" s="791"/>
      <c r="L203" s="791"/>
      <c r="M203" s="572"/>
    </row>
    <row r="204" spans="1:16" ht="13.5" customHeight="1" x14ac:dyDescent="0.2">
      <c r="A204" s="578" t="s">
        <v>6060</v>
      </c>
      <c r="B204" s="569" t="s">
        <v>483</v>
      </c>
      <c r="C204" s="569" t="s">
        <v>5679</v>
      </c>
      <c r="D204" s="581" t="s">
        <v>488</v>
      </c>
      <c r="E204" s="938">
        <v>-9.9</v>
      </c>
      <c r="F204" s="573"/>
      <c r="G204" s="580" t="s">
        <v>483</v>
      </c>
      <c r="H204" s="575"/>
      <c r="I204" s="576"/>
      <c r="J204" s="577">
        <v>9.9999999981719156E-3</v>
      </c>
      <c r="K204" s="791"/>
      <c r="L204" s="791"/>
      <c r="M204" s="572"/>
    </row>
    <row r="205" spans="1:16" ht="13.5" customHeight="1" x14ac:dyDescent="0.2">
      <c r="A205" s="578"/>
      <c r="B205" s="569" t="s">
        <v>591</v>
      </c>
      <c r="C205" s="569" t="s">
        <v>1737</v>
      </c>
      <c r="D205" s="581" t="s">
        <v>6061</v>
      </c>
      <c r="E205" s="938"/>
      <c r="F205" s="814">
        <v>8000</v>
      </c>
      <c r="G205" s="580" t="s">
        <v>483</v>
      </c>
      <c r="H205" s="575"/>
      <c r="I205" s="576"/>
      <c r="J205" s="577">
        <v>9.9999999981719156E-3</v>
      </c>
      <c r="K205" s="791"/>
      <c r="L205" s="791"/>
      <c r="M205" s="572">
        <v>0</v>
      </c>
    </row>
    <row r="206" spans="1:16" ht="13.5" customHeight="1" x14ac:dyDescent="0.2">
      <c r="A206" s="578"/>
      <c r="B206" s="569" t="s">
        <v>483</v>
      </c>
      <c r="C206" s="569" t="s">
        <v>6062</v>
      </c>
      <c r="D206" s="581" t="s">
        <v>6063</v>
      </c>
      <c r="E206" s="938">
        <v>-73.599999999999994</v>
      </c>
      <c r="F206" s="573"/>
      <c r="G206" s="580" t="s">
        <v>483</v>
      </c>
      <c r="H206" s="575"/>
      <c r="I206" s="576"/>
      <c r="J206" s="577">
        <v>9.9999999981719156E-3</v>
      </c>
      <c r="K206" s="791"/>
      <c r="L206" s="791"/>
      <c r="M206" s="572"/>
    </row>
    <row r="207" spans="1:16" ht="13.5" customHeight="1" x14ac:dyDescent="0.2">
      <c r="A207" s="578"/>
      <c r="B207" s="569" t="s">
        <v>483</v>
      </c>
      <c r="C207" s="569" t="s">
        <v>6064</v>
      </c>
      <c r="D207" s="581" t="s">
        <v>6065</v>
      </c>
      <c r="E207" s="938">
        <v>-51.31</v>
      </c>
      <c r="F207" s="573"/>
      <c r="G207" s="580">
        <v>4662.18</v>
      </c>
      <c r="H207" s="575"/>
      <c r="I207" s="576"/>
      <c r="J207" s="577">
        <v>9.9999999981719156E-3</v>
      </c>
      <c r="K207" s="791"/>
      <c r="L207" s="791"/>
      <c r="M207" s="572">
        <v>83.97</v>
      </c>
    </row>
    <row r="208" spans="1:16" ht="13.5" customHeight="1" x14ac:dyDescent="0.2">
      <c r="A208" s="578" t="s">
        <v>6066</v>
      </c>
      <c r="B208" s="569" t="s">
        <v>483</v>
      </c>
      <c r="C208" s="569" t="s">
        <v>6067</v>
      </c>
      <c r="D208" s="581" t="s">
        <v>3912</v>
      </c>
      <c r="E208" s="938">
        <v>-286.7</v>
      </c>
      <c r="F208" s="573"/>
      <c r="G208" s="580"/>
      <c r="H208" s="575"/>
      <c r="I208" s="576"/>
      <c r="J208" s="577">
        <v>9.9999999981719156E-3</v>
      </c>
      <c r="K208" s="791"/>
      <c r="L208" s="791"/>
      <c r="M208" s="572">
        <v>117.42</v>
      </c>
    </row>
    <row r="209" spans="1:13" ht="13.5" customHeight="1" x14ac:dyDescent="0.2">
      <c r="A209" s="578"/>
      <c r="B209" s="569" t="s">
        <v>483</v>
      </c>
      <c r="C209" s="795" t="s">
        <v>5787</v>
      </c>
      <c r="D209" s="581" t="s">
        <v>488</v>
      </c>
      <c r="E209" s="938">
        <v>-4375.4799999999996</v>
      </c>
      <c r="F209" s="573"/>
      <c r="G209" s="580">
        <v>0</v>
      </c>
      <c r="H209" s="575"/>
      <c r="I209" s="576">
        <v>4375.4799999999996</v>
      </c>
      <c r="J209" s="577">
        <v>4375.489999999998</v>
      </c>
      <c r="K209" s="791"/>
      <c r="L209" s="791"/>
      <c r="M209" s="572">
        <v>1519.45</v>
      </c>
    </row>
    <row r="210" spans="1:13" ht="13.5" customHeight="1" x14ac:dyDescent="0.2">
      <c r="A210" s="578" t="s">
        <v>6068</v>
      </c>
      <c r="B210" s="569" t="s">
        <v>483</v>
      </c>
      <c r="C210" s="569" t="s">
        <v>6023</v>
      </c>
      <c r="D210" s="581" t="s">
        <v>495</v>
      </c>
      <c r="E210" s="938">
        <v>-100</v>
      </c>
      <c r="F210" s="573"/>
      <c r="G210" s="580"/>
      <c r="H210" s="575"/>
      <c r="I210" s="576"/>
      <c r="J210" s="577">
        <v>4375.489999999998</v>
      </c>
      <c r="K210" s="791"/>
      <c r="L210" s="791"/>
      <c r="M210" s="572">
        <v>20129.63</v>
      </c>
    </row>
    <row r="211" spans="1:13" ht="13.5" customHeight="1" x14ac:dyDescent="0.2">
      <c r="A211" s="578"/>
      <c r="B211" s="569" t="s">
        <v>483</v>
      </c>
      <c r="C211" s="569" t="s">
        <v>6069</v>
      </c>
      <c r="D211" s="581" t="s">
        <v>6070</v>
      </c>
      <c r="E211" s="938">
        <v>-270</v>
      </c>
      <c r="F211" s="573"/>
      <c r="G211" s="580"/>
      <c r="H211" s="575"/>
      <c r="I211" s="576"/>
      <c r="J211" s="577">
        <v>4375.489999999998</v>
      </c>
      <c r="K211" s="791"/>
      <c r="L211" s="791"/>
      <c r="M211" s="572">
        <v>1267.8800000000001</v>
      </c>
    </row>
    <row r="212" spans="1:13" ht="13.5" customHeight="1" x14ac:dyDescent="0.2">
      <c r="A212" s="578"/>
      <c r="B212" s="569" t="s">
        <v>483</v>
      </c>
      <c r="C212" s="795" t="s">
        <v>5708</v>
      </c>
      <c r="D212" s="581" t="s">
        <v>488</v>
      </c>
      <c r="E212" s="874"/>
      <c r="F212" s="579">
        <v>370</v>
      </c>
      <c r="G212" s="942">
        <v>0</v>
      </c>
      <c r="H212" s="575">
        <v>370</v>
      </c>
      <c r="I212" s="576"/>
      <c r="J212" s="577">
        <v>4005.489999999998</v>
      </c>
      <c r="K212" s="791"/>
      <c r="L212" s="791"/>
      <c r="M212" s="572">
        <v>1016.82</v>
      </c>
    </row>
    <row r="213" spans="1:13" ht="13.5" customHeight="1" x14ac:dyDescent="0.2">
      <c r="A213" s="578"/>
      <c r="B213" s="569"/>
      <c r="C213" s="795" t="s">
        <v>20</v>
      </c>
      <c r="D213" s="581"/>
      <c r="E213" s="874"/>
      <c r="F213" s="573"/>
      <c r="G213" s="574"/>
      <c r="H213" s="575"/>
      <c r="I213" s="576">
        <v>0</v>
      </c>
      <c r="J213" s="818">
        <v>4005.489999999998</v>
      </c>
      <c r="K213" s="791"/>
      <c r="L213" s="791"/>
      <c r="M213" s="572">
        <v>24135.170000000002</v>
      </c>
    </row>
    <row r="214" spans="1:13" ht="13.5" customHeight="1" x14ac:dyDescent="0.2">
      <c r="A214" s="578"/>
      <c r="B214" s="569"/>
      <c r="C214" s="795" t="s">
        <v>5809</v>
      </c>
      <c r="D214" s="581"/>
      <c r="E214" s="874"/>
      <c r="F214" s="573"/>
      <c r="G214" s="574"/>
      <c r="H214" s="575"/>
      <c r="I214" s="576"/>
      <c r="J214" s="818">
        <v>20110.8</v>
      </c>
      <c r="K214" s="791"/>
      <c r="L214" s="791"/>
      <c r="M214" s="572"/>
    </row>
    <row r="215" spans="1:13" ht="13.5" customHeight="1" x14ac:dyDescent="0.2">
      <c r="A215" s="578"/>
      <c r="B215" s="569"/>
      <c r="C215" s="819" t="s">
        <v>5810</v>
      </c>
      <c r="D215" s="581"/>
      <c r="E215" s="874"/>
      <c r="F215" s="573"/>
      <c r="G215" s="574"/>
      <c r="H215" s="575"/>
      <c r="I215" s="576"/>
      <c r="J215" s="818">
        <v>24116.289999999997</v>
      </c>
      <c r="K215" s="791"/>
      <c r="L215" s="791"/>
      <c r="M215" s="572"/>
    </row>
    <row r="216" spans="1:13" ht="13.5" customHeight="1" x14ac:dyDescent="0.2">
      <c r="A216" s="578"/>
      <c r="B216" s="569"/>
      <c r="C216" s="795"/>
      <c r="D216" s="581"/>
      <c r="E216" s="874"/>
      <c r="F216" s="573"/>
      <c r="G216" s="574"/>
      <c r="H216" s="575"/>
      <c r="I216" s="576"/>
      <c r="J216" s="818"/>
      <c r="K216" s="791"/>
      <c r="L216" s="791"/>
      <c r="M216" s="572"/>
    </row>
    <row r="217" spans="1:13" s="823" customFormat="1" ht="13.5" customHeight="1" thickBot="1" x14ac:dyDescent="0.25">
      <c r="A217" s="820"/>
      <c r="B217" s="795"/>
      <c r="C217" s="795"/>
      <c r="D217" s="803"/>
      <c r="E217" s="937"/>
      <c r="F217" s="782"/>
      <c r="G217" s="806"/>
      <c r="H217" s="810"/>
      <c r="I217" s="811"/>
      <c r="J217" s="821"/>
      <c r="K217" s="791"/>
      <c r="L217" s="791"/>
      <c r="M217" s="804"/>
    </row>
    <row r="218" spans="1:13" ht="13.5" customHeight="1" thickBot="1" x14ac:dyDescent="0.25">
      <c r="A218" s="561" t="s">
        <v>2</v>
      </c>
      <c r="B218" s="562"/>
      <c r="C218" s="562" t="s">
        <v>525</v>
      </c>
      <c r="D218" s="562" t="s">
        <v>4</v>
      </c>
      <c r="E218" s="917" t="s">
        <v>5</v>
      </c>
      <c r="F218" s="562" t="s">
        <v>6</v>
      </c>
      <c r="G218" s="564" t="s">
        <v>7</v>
      </c>
      <c r="H218" s="824"/>
      <c r="I218" s="565"/>
      <c r="J218" s="825"/>
      <c r="K218" s="791"/>
      <c r="L218" s="791"/>
    </row>
    <row r="219" spans="1:13" ht="13.5" customHeight="1" x14ac:dyDescent="0.2">
      <c r="A219" s="568" t="s">
        <v>5891</v>
      </c>
      <c r="B219" s="569"/>
      <c r="C219" s="570" t="s">
        <v>8</v>
      </c>
      <c r="D219" s="581"/>
      <c r="E219" s="937"/>
      <c r="F219" s="573"/>
      <c r="G219" s="809">
        <v>6418.739999999998</v>
      </c>
      <c r="H219" s="810"/>
      <c r="I219" s="811"/>
      <c r="J219" s="821"/>
      <c r="K219" s="791"/>
      <c r="L219" s="791"/>
      <c r="M219" s="804"/>
    </row>
    <row r="220" spans="1:13" ht="13.5" customHeight="1" x14ac:dyDescent="0.2">
      <c r="A220" s="578">
        <v>43347</v>
      </c>
      <c r="B220" s="569"/>
      <c r="C220" s="569" t="s">
        <v>5811</v>
      </c>
      <c r="D220" s="581"/>
      <c r="E220" s="938">
        <v>500</v>
      </c>
      <c r="F220" s="573"/>
      <c r="G220" s="806">
        <v>5918.739999999998</v>
      </c>
      <c r="H220" s="810"/>
      <c r="I220" s="811"/>
      <c r="J220" s="821"/>
      <c r="K220" s="791"/>
      <c r="L220" s="791"/>
      <c r="M220" s="804"/>
    </row>
    <row r="221" spans="1:13" s="823" customFormat="1" ht="13.5" customHeight="1" x14ac:dyDescent="0.2">
      <c r="A221" s="820"/>
      <c r="B221" s="795"/>
      <c r="C221" s="569" t="s">
        <v>815</v>
      </c>
      <c r="D221" s="803"/>
      <c r="E221" s="938">
        <v>833.93</v>
      </c>
      <c r="F221" s="782"/>
      <c r="G221" s="806">
        <v>5084.8099999999977</v>
      </c>
      <c r="H221" s="810"/>
      <c r="I221" s="811"/>
      <c r="J221" s="821"/>
      <c r="K221" s="791"/>
      <c r="L221" s="791"/>
      <c r="M221" s="804"/>
    </row>
    <row r="222" spans="1:13" s="823" customFormat="1" ht="13.5" customHeight="1" x14ac:dyDescent="0.2">
      <c r="A222" s="820">
        <v>43358</v>
      </c>
      <c r="B222" s="795"/>
      <c r="C222" s="569" t="s">
        <v>6071</v>
      </c>
      <c r="D222" s="803"/>
      <c r="E222" s="938">
        <v>26.5</v>
      </c>
      <c r="F222" s="782"/>
      <c r="G222" s="806">
        <v>5058.3099999999977</v>
      </c>
      <c r="H222" s="810"/>
      <c r="I222" s="811"/>
      <c r="J222" s="821"/>
      <c r="K222" s="791"/>
      <c r="L222" s="791"/>
      <c r="M222" s="804"/>
    </row>
    <row r="223" spans="1:13" s="823" customFormat="1" ht="13.5" customHeight="1" x14ac:dyDescent="0.2">
      <c r="A223" s="820">
        <v>43365</v>
      </c>
      <c r="B223" s="795"/>
      <c r="C223" s="569" t="s">
        <v>179</v>
      </c>
      <c r="D223" s="803"/>
      <c r="E223" s="938">
        <v>56.7</v>
      </c>
      <c r="F223" s="782"/>
      <c r="G223" s="806">
        <v>5001.6099999999979</v>
      </c>
      <c r="H223" s="810"/>
      <c r="I223" s="811"/>
      <c r="J223" s="821"/>
      <c r="K223" s="791"/>
      <c r="L223" s="791"/>
      <c r="M223" s="804"/>
    </row>
    <row r="224" spans="1:13" s="823" customFormat="1" ht="13.5" customHeight="1" x14ac:dyDescent="0.2">
      <c r="A224" s="820"/>
      <c r="B224" s="795"/>
      <c r="C224" s="569" t="s">
        <v>179</v>
      </c>
      <c r="D224" s="803"/>
      <c r="E224" s="938">
        <v>17.649999999999999</v>
      </c>
      <c r="F224" s="782"/>
      <c r="G224" s="806">
        <v>4983.9599999999982</v>
      </c>
      <c r="H224" s="810"/>
      <c r="I224" s="811"/>
      <c r="J224" s="821"/>
      <c r="K224" s="791"/>
      <c r="L224" s="791"/>
      <c r="M224" s="804"/>
    </row>
    <row r="225" spans="1:14" s="823" customFormat="1" ht="13.5" customHeight="1" x14ac:dyDescent="0.2">
      <c r="A225" s="820">
        <v>43368</v>
      </c>
      <c r="B225" s="795"/>
      <c r="C225" s="722" t="s">
        <v>5998</v>
      </c>
      <c r="D225" s="803"/>
      <c r="E225" s="938">
        <v>17.440000000000001</v>
      </c>
      <c r="F225" s="782"/>
      <c r="G225" s="806">
        <v>4966.5199999999986</v>
      </c>
      <c r="H225" s="810"/>
      <c r="I225" s="811"/>
      <c r="J225" s="821"/>
      <c r="K225" s="791"/>
      <c r="L225" s="791"/>
      <c r="M225" s="804"/>
    </row>
    <row r="226" spans="1:14" s="823" customFormat="1" ht="13.5" customHeight="1" x14ac:dyDescent="0.2">
      <c r="A226" s="820">
        <v>43372</v>
      </c>
      <c r="B226" s="795"/>
      <c r="C226" s="722" t="s">
        <v>6072</v>
      </c>
      <c r="D226" s="803"/>
      <c r="E226" s="937"/>
      <c r="F226" s="579">
        <v>323</v>
      </c>
      <c r="G226" s="809">
        <v>5289.5199999999986</v>
      </c>
      <c r="H226" s="810"/>
      <c r="I226" s="811"/>
      <c r="J226" s="821"/>
      <c r="K226" s="791"/>
      <c r="L226" s="791"/>
      <c r="M226" s="804"/>
    </row>
    <row r="227" spans="1:14" ht="13.5" customHeight="1" thickBot="1" x14ac:dyDescent="0.25">
      <c r="A227" s="578"/>
      <c r="B227" s="569"/>
      <c r="C227" s="569"/>
      <c r="D227" s="581"/>
      <c r="E227" s="874"/>
      <c r="F227" s="573"/>
      <c r="G227" s="580"/>
      <c r="H227" s="575"/>
      <c r="I227" s="576"/>
      <c r="J227" s="577"/>
      <c r="K227" s="791"/>
      <c r="L227" s="791"/>
      <c r="M227" s="572"/>
    </row>
    <row r="228" spans="1:14" ht="13.5" customHeight="1" thickBot="1" x14ac:dyDescent="0.25">
      <c r="A228" s="561" t="s">
        <v>2</v>
      </c>
      <c r="B228" s="562"/>
      <c r="C228" s="562" t="s">
        <v>534</v>
      </c>
      <c r="D228" s="563" t="s">
        <v>4</v>
      </c>
      <c r="E228" s="917" t="s">
        <v>5</v>
      </c>
      <c r="F228" s="562" t="s">
        <v>6</v>
      </c>
      <c r="G228" s="564" t="s">
        <v>7</v>
      </c>
      <c r="H228" s="824"/>
      <c r="I228" s="565"/>
      <c r="J228" s="825"/>
      <c r="K228" s="791"/>
      <c r="L228" s="791"/>
    </row>
    <row r="229" spans="1:14" ht="13.5" customHeight="1" x14ac:dyDescent="0.2">
      <c r="A229" s="568">
        <v>42370</v>
      </c>
      <c r="B229" s="569"/>
      <c r="C229" s="570" t="s">
        <v>8</v>
      </c>
      <c r="D229" s="571"/>
      <c r="E229" s="937"/>
      <c r="F229" s="573"/>
      <c r="G229" s="809">
        <v>27143.14</v>
      </c>
      <c r="H229" s="810"/>
      <c r="I229" s="811"/>
      <c r="J229" s="821"/>
      <c r="K229" s="791"/>
      <c r="L229" s="791"/>
      <c r="M229" s="804"/>
    </row>
    <row r="230" spans="1:14" ht="13.5" customHeight="1" x14ac:dyDescent="0.2">
      <c r="A230" s="578">
        <v>42723</v>
      </c>
      <c r="B230" s="569"/>
      <c r="C230" s="795" t="s">
        <v>1206</v>
      </c>
      <c r="D230" s="571"/>
      <c r="E230" s="937"/>
      <c r="F230" s="579">
        <v>256.86</v>
      </c>
      <c r="G230" s="806">
        <v>27400</v>
      </c>
      <c r="H230" s="810"/>
      <c r="I230" s="811"/>
      <c r="J230" s="821"/>
      <c r="K230" s="791"/>
      <c r="L230" s="791"/>
      <c r="M230" s="804"/>
    </row>
    <row r="231" spans="1:14" ht="13.5" customHeight="1" x14ac:dyDescent="0.2">
      <c r="A231" s="820">
        <v>42740</v>
      </c>
      <c r="B231" s="569"/>
      <c r="C231" s="569" t="s">
        <v>1206</v>
      </c>
      <c r="D231" s="571"/>
      <c r="E231" s="937"/>
      <c r="F231" s="579">
        <v>2000</v>
      </c>
      <c r="G231" s="806">
        <v>29400</v>
      </c>
      <c r="H231" s="810"/>
      <c r="I231" s="811"/>
      <c r="J231" s="821"/>
      <c r="K231" s="791"/>
      <c r="L231" s="791"/>
      <c r="M231" s="804"/>
    </row>
    <row r="232" spans="1:14" s="823" customFormat="1" ht="13.5" customHeight="1" x14ac:dyDescent="0.2">
      <c r="A232" s="820">
        <v>42754</v>
      </c>
      <c r="B232" s="795"/>
      <c r="C232" s="795" t="s">
        <v>5813</v>
      </c>
      <c r="D232" s="828"/>
      <c r="E232" s="938">
        <v>2400</v>
      </c>
      <c r="F232" s="782"/>
      <c r="G232" s="806">
        <v>27000</v>
      </c>
      <c r="H232" s="810"/>
      <c r="I232" s="811"/>
      <c r="J232" s="821"/>
      <c r="K232" s="791"/>
      <c r="L232" s="791"/>
      <c r="M232" s="804"/>
    </row>
    <row r="233" spans="1:14" s="823" customFormat="1" ht="13.5" customHeight="1" x14ac:dyDescent="0.2">
      <c r="A233" s="820">
        <v>42782</v>
      </c>
      <c r="B233" s="795"/>
      <c r="C233" s="795" t="s">
        <v>5814</v>
      </c>
      <c r="D233" s="828"/>
      <c r="E233" s="938">
        <v>2500</v>
      </c>
      <c r="F233" s="782"/>
      <c r="G233" s="806">
        <v>24500</v>
      </c>
      <c r="H233" s="810"/>
      <c r="I233" s="811"/>
      <c r="J233" s="821"/>
      <c r="K233" s="791"/>
      <c r="L233" s="791"/>
      <c r="M233" s="804"/>
    </row>
    <row r="234" spans="1:14" s="823" customFormat="1" ht="13.5" customHeight="1" x14ac:dyDescent="0.2">
      <c r="A234" s="820">
        <v>42789</v>
      </c>
      <c r="B234" s="795"/>
      <c r="C234" s="795" t="s">
        <v>5814</v>
      </c>
      <c r="D234" s="828"/>
      <c r="E234" s="938">
        <v>2000</v>
      </c>
      <c r="F234" s="782"/>
      <c r="G234" s="806">
        <v>22500</v>
      </c>
      <c r="H234" s="810"/>
      <c r="I234" s="811"/>
      <c r="J234" s="821"/>
      <c r="K234" s="791"/>
      <c r="L234" s="791"/>
      <c r="M234" s="804"/>
    </row>
    <row r="235" spans="1:14" s="823" customFormat="1" ht="13.5" customHeight="1" x14ac:dyDescent="0.2">
      <c r="A235" s="820">
        <v>42849</v>
      </c>
      <c r="B235" s="795"/>
      <c r="C235" s="795" t="s">
        <v>5814</v>
      </c>
      <c r="D235" s="828"/>
      <c r="E235" s="938">
        <v>1500</v>
      </c>
      <c r="F235" s="782"/>
      <c r="G235" s="806">
        <v>21000</v>
      </c>
      <c r="H235" s="810"/>
      <c r="I235" s="811"/>
      <c r="J235" s="821"/>
      <c r="K235" s="791"/>
      <c r="L235" s="791"/>
      <c r="M235" s="804"/>
    </row>
    <row r="236" spans="1:14" s="823" customFormat="1" ht="13.5" customHeight="1" x14ac:dyDescent="0.2">
      <c r="A236" s="578">
        <v>42933</v>
      </c>
      <c r="B236" s="569"/>
      <c r="C236" s="569" t="s">
        <v>5814</v>
      </c>
      <c r="D236" s="571"/>
      <c r="E236" s="938">
        <v>9000</v>
      </c>
      <c r="F236" s="782"/>
      <c r="G236" s="806">
        <v>12000</v>
      </c>
      <c r="H236" s="810"/>
      <c r="I236" s="811"/>
      <c r="J236" s="821"/>
      <c r="K236" s="791"/>
      <c r="L236" s="791"/>
      <c r="M236" s="804"/>
    </row>
    <row r="237" spans="1:14" s="823" customFormat="1" ht="13.5" customHeight="1" x14ac:dyDescent="0.2">
      <c r="A237" s="820">
        <v>43328</v>
      </c>
      <c r="B237" s="795"/>
      <c r="C237" s="569" t="s">
        <v>5814</v>
      </c>
      <c r="D237" s="803"/>
      <c r="E237" s="943">
        <v>5000</v>
      </c>
      <c r="F237" s="573"/>
      <c r="G237" s="809">
        <v>7000</v>
      </c>
      <c r="H237" s="810"/>
      <c r="I237" s="811"/>
      <c r="J237" s="821"/>
      <c r="K237" s="791"/>
      <c r="L237" s="791"/>
      <c r="M237" s="804"/>
      <c r="N237" s="826"/>
    </row>
    <row r="238" spans="1:14" ht="13.5" customHeight="1" thickBot="1" x14ac:dyDescent="0.25">
      <c r="A238" s="578"/>
      <c r="B238" s="569"/>
      <c r="C238" s="569"/>
      <c r="D238" s="581"/>
      <c r="E238" s="874"/>
      <c r="F238" s="573"/>
      <c r="G238" s="580"/>
      <c r="H238" s="575"/>
      <c r="I238" s="576"/>
      <c r="J238" s="577"/>
      <c r="K238" s="791"/>
      <c r="L238" s="791"/>
      <c r="M238" s="572"/>
    </row>
    <row r="239" spans="1:14" ht="13.5" customHeight="1" thickBot="1" x14ac:dyDescent="0.25">
      <c r="A239" s="561" t="s">
        <v>2</v>
      </c>
      <c r="B239" s="562"/>
      <c r="C239" s="562" t="s">
        <v>536</v>
      </c>
      <c r="D239" s="562"/>
      <c r="E239" s="917"/>
      <c r="F239" s="562"/>
      <c r="G239" s="564" t="s">
        <v>7</v>
      </c>
      <c r="H239" s="779" t="s">
        <v>5</v>
      </c>
      <c r="I239" s="780" t="s">
        <v>6</v>
      </c>
      <c r="J239" s="781" t="s">
        <v>7</v>
      </c>
      <c r="K239" s="791"/>
      <c r="L239" s="791"/>
    </row>
    <row r="240" spans="1:14" ht="13.5" customHeight="1" x14ac:dyDescent="0.2">
      <c r="A240" s="568" t="s">
        <v>5891</v>
      </c>
      <c r="B240" s="585"/>
      <c r="C240" s="570" t="s">
        <v>537</v>
      </c>
      <c r="D240" s="830"/>
      <c r="E240" s="944"/>
      <c r="F240" s="821"/>
      <c r="G240" s="809"/>
      <c r="H240" s="810"/>
      <c r="I240" s="811"/>
      <c r="J240" s="812">
        <v>1546.2600000000007</v>
      </c>
      <c r="K240" s="791"/>
      <c r="L240" s="791"/>
    </row>
    <row r="241" spans="1:14" ht="13.5" customHeight="1" x14ac:dyDescent="0.2">
      <c r="A241" s="831">
        <v>43345</v>
      </c>
      <c r="B241" s="603"/>
      <c r="C241" s="722" t="s">
        <v>6073</v>
      </c>
      <c r="D241" s="832"/>
      <c r="E241" s="945"/>
      <c r="F241" s="577"/>
      <c r="G241" s="580"/>
      <c r="H241" s="575">
        <v>69</v>
      </c>
      <c r="I241" s="575"/>
      <c r="J241" s="577">
        <v>1477.2600000000007</v>
      </c>
      <c r="K241" s="791"/>
      <c r="L241" s="791"/>
      <c r="M241" s="791"/>
      <c r="N241" s="791"/>
    </row>
    <row r="242" spans="1:14" ht="13.5" customHeight="1" x14ac:dyDescent="0.2">
      <c r="A242" s="831">
        <v>42981</v>
      </c>
      <c r="B242" s="603"/>
      <c r="C242" s="722" t="s">
        <v>6074</v>
      </c>
      <c r="D242" s="832"/>
      <c r="E242" s="945"/>
      <c r="F242" s="577"/>
      <c r="G242" s="580"/>
      <c r="H242" s="575">
        <v>446.6</v>
      </c>
      <c r="I242" s="575"/>
      <c r="J242" s="577">
        <v>1030.6600000000008</v>
      </c>
      <c r="K242" s="791"/>
      <c r="L242" s="791"/>
      <c r="M242" s="791"/>
      <c r="N242" s="791"/>
    </row>
    <row r="243" spans="1:14" ht="13.5" customHeight="1" x14ac:dyDescent="0.2">
      <c r="A243" s="831"/>
      <c r="B243" s="603"/>
      <c r="C243" s="722" t="s">
        <v>5635</v>
      </c>
      <c r="D243" s="832"/>
      <c r="E243" s="945"/>
      <c r="F243" s="577"/>
      <c r="G243" s="580"/>
      <c r="H243" s="575">
        <v>18.46</v>
      </c>
      <c r="I243" s="575"/>
      <c r="J243" s="577">
        <v>1012.2000000000007</v>
      </c>
      <c r="K243" s="791"/>
      <c r="L243" s="791"/>
      <c r="M243" s="791"/>
      <c r="N243" s="791"/>
    </row>
    <row r="244" spans="1:14" ht="13.5" customHeight="1" x14ac:dyDescent="0.2">
      <c r="A244" s="831"/>
      <c r="B244" s="603"/>
      <c r="C244" s="722" t="s">
        <v>5635</v>
      </c>
      <c r="D244" s="832"/>
      <c r="E244" s="945"/>
      <c r="F244" s="577"/>
      <c r="G244" s="580"/>
      <c r="H244" s="575">
        <v>7.5</v>
      </c>
      <c r="I244" s="575"/>
      <c r="J244" s="577">
        <v>1004.7000000000007</v>
      </c>
      <c r="K244" s="791"/>
      <c r="L244" s="791"/>
      <c r="M244" s="791"/>
      <c r="N244" s="791"/>
    </row>
    <row r="245" spans="1:14" ht="13.5" customHeight="1" x14ac:dyDescent="0.2">
      <c r="A245" s="831"/>
      <c r="B245" s="603"/>
      <c r="C245" s="722" t="s">
        <v>5635</v>
      </c>
      <c r="D245" s="832"/>
      <c r="E245" s="945"/>
      <c r="F245" s="577"/>
      <c r="G245" s="580"/>
      <c r="H245" s="575">
        <v>12</v>
      </c>
      <c r="I245" s="575"/>
      <c r="J245" s="577">
        <v>992.70000000000073</v>
      </c>
      <c r="K245" s="791"/>
      <c r="L245" s="791"/>
      <c r="M245" s="791"/>
      <c r="N245" s="791"/>
    </row>
    <row r="246" spans="1:14" ht="13.5" customHeight="1" x14ac:dyDescent="0.2">
      <c r="A246" s="831"/>
      <c r="B246" s="603"/>
      <c r="C246" s="722" t="s">
        <v>5635</v>
      </c>
      <c r="D246" s="832"/>
      <c r="E246" s="945"/>
      <c r="F246" s="577"/>
      <c r="G246" s="580"/>
      <c r="H246" s="575">
        <v>18.3</v>
      </c>
      <c r="I246" s="575"/>
      <c r="J246" s="577">
        <v>974.40000000000077</v>
      </c>
      <c r="K246" s="791"/>
      <c r="L246" s="791"/>
      <c r="M246" s="791"/>
      <c r="N246" s="791"/>
    </row>
    <row r="247" spans="1:14" ht="13.5" customHeight="1" x14ac:dyDescent="0.2">
      <c r="A247" s="831"/>
      <c r="B247" s="603"/>
      <c r="C247" s="722" t="s">
        <v>6073</v>
      </c>
      <c r="D247" s="832"/>
      <c r="E247" s="945"/>
      <c r="F247" s="577"/>
      <c r="G247" s="580"/>
      <c r="H247" s="575">
        <v>67</v>
      </c>
      <c r="I247" s="575"/>
      <c r="J247" s="577">
        <v>907.40000000000077</v>
      </c>
      <c r="K247" s="791"/>
      <c r="L247" s="791"/>
      <c r="M247" s="791"/>
      <c r="N247" s="791"/>
    </row>
    <row r="248" spans="1:14" ht="13.5" customHeight="1" x14ac:dyDescent="0.2">
      <c r="A248" s="831">
        <v>43350</v>
      </c>
      <c r="B248" s="603"/>
      <c r="C248" s="722" t="s">
        <v>5973</v>
      </c>
      <c r="D248" s="832"/>
      <c r="E248" s="945"/>
      <c r="F248" s="577"/>
      <c r="G248" s="580"/>
      <c r="H248" s="575">
        <v>100</v>
      </c>
      <c r="I248" s="575"/>
      <c r="J248" s="577">
        <v>807.40000000000077</v>
      </c>
      <c r="K248" s="791"/>
      <c r="L248" s="791"/>
      <c r="M248" s="791"/>
      <c r="N248" s="791"/>
    </row>
    <row r="249" spans="1:14" ht="13.5" customHeight="1" x14ac:dyDescent="0.2">
      <c r="A249" s="831">
        <v>43354</v>
      </c>
      <c r="B249" s="603"/>
      <c r="C249" s="722" t="s">
        <v>6075</v>
      </c>
      <c r="D249" s="832"/>
      <c r="E249" s="945"/>
      <c r="F249" s="577"/>
      <c r="G249" s="580"/>
      <c r="H249" s="575">
        <v>15</v>
      </c>
      <c r="I249" s="575"/>
      <c r="J249" s="577">
        <v>792.40000000000077</v>
      </c>
      <c r="K249" s="791"/>
      <c r="L249" s="791"/>
      <c r="M249" s="791"/>
      <c r="N249" s="791"/>
    </row>
    <row r="250" spans="1:14" ht="13.5" customHeight="1" x14ac:dyDescent="0.2">
      <c r="A250" s="831">
        <v>43357</v>
      </c>
      <c r="B250" s="603"/>
      <c r="C250" s="722" t="s">
        <v>6076</v>
      </c>
      <c r="D250" s="832"/>
      <c r="E250" s="945"/>
      <c r="F250" s="577"/>
      <c r="G250" s="580"/>
      <c r="H250" s="575">
        <v>31.5</v>
      </c>
      <c r="I250" s="575"/>
      <c r="J250" s="577">
        <v>760.90000000000077</v>
      </c>
      <c r="K250" s="791"/>
      <c r="L250" s="791"/>
      <c r="M250" s="791"/>
      <c r="N250" s="791"/>
    </row>
    <row r="251" spans="1:14" ht="13.5" customHeight="1" x14ac:dyDescent="0.2">
      <c r="A251" s="831"/>
      <c r="B251" s="603"/>
      <c r="C251" s="722" t="s">
        <v>6077</v>
      </c>
      <c r="D251" s="832"/>
      <c r="E251" s="945"/>
      <c r="F251" s="577"/>
      <c r="G251" s="580"/>
      <c r="H251" s="575">
        <v>26.5</v>
      </c>
      <c r="I251" s="575"/>
      <c r="J251" s="577">
        <v>734.40000000000077</v>
      </c>
      <c r="K251" s="791"/>
      <c r="L251" s="791"/>
      <c r="M251" s="791"/>
      <c r="N251" s="791"/>
    </row>
    <row r="252" spans="1:14" ht="13.5" customHeight="1" x14ac:dyDescent="0.2">
      <c r="A252" s="831">
        <v>43360</v>
      </c>
      <c r="B252" s="603"/>
      <c r="C252" s="722" t="s">
        <v>6076</v>
      </c>
      <c r="D252" s="832"/>
      <c r="E252" s="945"/>
      <c r="F252" s="577"/>
      <c r="G252" s="580"/>
      <c r="H252" s="575">
        <v>16</v>
      </c>
      <c r="I252" s="575"/>
      <c r="J252" s="577">
        <v>718.40000000000077</v>
      </c>
      <c r="K252" s="791"/>
      <c r="L252" s="791"/>
      <c r="M252" s="791"/>
      <c r="N252" s="791"/>
    </row>
    <row r="253" spans="1:14" ht="13.5" customHeight="1" x14ac:dyDescent="0.2">
      <c r="A253" s="831">
        <v>43361</v>
      </c>
      <c r="B253" s="603"/>
      <c r="C253" s="722" t="s">
        <v>6076</v>
      </c>
      <c r="D253" s="832"/>
      <c r="E253" s="945"/>
      <c r="F253" s="577"/>
      <c r="G253" s="580"/>
      <c r="H253" s="575">
        <v>16.3</v>
      </c>
      <c r="I253" s="575"/>
      <c r="J253" s="577">
        <v>702.10000000000082</v>
      </c>
      <c r="K253" s="791"/>
      <c r="L253" s="791"/>
      <c r="M253" s="791"/>
      <c r="N253" s="791"/>
    </row>
    <row r="254" spans="1:14" ht="13.5" customHeight="1" x14ac:dyDescent="0.2">
      <c r="A254" s="831"/>
      <c r="B254" s="603"/>
      <c r="C254" s="722" t="s">
        <v>6076</v>
      </c>
      <c r="D254" s="832"/>
      <c r="E254" s="945"/>
      <c r="F254" s="577"/>
      <c r="G254" s="580"/>
      <c r="H254" s="575">
        <v>35.14</v>
      </c>
      <c r="I254" s="575"/>
      <c r="J254" s="577">
        <v>666.96000000000083</v>
      </c>
      <c r="K254" s="791"/>
      <c r="L254" s="791"/>
      <c r="M254" s="791"/>
      <c r="N254" s="791"/>
    </row>
    <row r="255" spans="1:14" ht="13.5" customHeight="1" x14ac:dyDescent="0.2">
      <c r="A255" s="831">
        <v>43363</v>
      </c>
      <c r="B255" s="603"/>
      <c r="C255" s="722" t="s">
        <v>6078</v>
      </c>
      <c r="D255" s="832"/>
      <c r="E255" s="945"/>
      <c r="F255" s="577"/>
      <c r="G255" s="580"/>
      <c r="H255" s="575">
        <v>300</v>
      </c>
      <c r="I255" s="575"/>
      <c r="J255" s="577">
        <v>366.96000000000083</v>
      </c>
      <c r="K255" s="791"/>
      <c r="L255" s="791"/>
      <c r="M255" s="791"/>
      <c r="N255" s="791"/>
    </row>
    <row r="256" spans="1:14" ht="13.5" customHeight="1" x14ac:dyDescent="0.2">
      <c r="A256" s="831">
        <v>43367</v>
      </c>
      <c r="B256" s="603"/>
      <c r="C256" s="722" t="s">
        <v>5973</v>
      </c>
      <c r="D256" s="832"/>
      <c r="E256" s="945"/>
      <c r="F256" s="577"/>
      <c r="G256" s="580"/>
      <c r="H256" s="575">
        <v>100</v>
      </c>
      <c r="I256" s="575"/>
      <c r="J256" s="946">
        <v>266.96000000000083</v>
      </c>
      <c r="K256" s="791"/>
      <c r="L256" s="791"/>
      <c r="M256" s="791"/>
      <c r="N256" s="791"/>
    </row>
    <row r="257" spans="1:13" ht="13.5" customHeight="1" thickBot="1" x14ac:dyDescent="0.25">
      <c r="A257" s="207"/>
      <c r="B257" s="207"/>
      <c r="C257" s="208"/>
      <c r="D257" s="208"/>
      <c r="E257" s="947"/>
      <c r="F257" s="208"/>
      <c r="G257" s="836"/>
      <c r="H257" s="423"/>
      <c r="I257" s="423"/>
      <c r="J257" s="837"/>
      <c r="K257" s="791"/>
      <c r="L257" s="791"/>
      <c r="M257" s="791"/>
    </row>
    <row r="258" spans="1:13" ht="13.5" customHeight="1" thickBot="1" x14ac:dyDescent="0.25">
      <c r="A258" s="838"/>
      <c r="B258" s="839"/>
      <c r="C258" s="840" t="s">
        <v>539</v>
      </c>
      <c r="D258" s="841"/>
      <c r="E258" s="948"/>
      <c r="F258" s="824"/>
      <c r="G258" s="842" t="s">
        <v>7</v>
      </c>
      <c r="H258" s="824"/>
      <c r="I258" s="824"/>
      <c r="J258" s="825"/>
      <c r="M258" s="791"/>
    </row>
    <row r="259" spans="1:13" ht="13.5" customHeight="1" x14ac:dyDescent="0.2">
      <c r="A259" s="843" t="s">
        <v>540</v>
      </c>
      <c r="B259" s="843"/>
      <c r="C259" s="844" t="s">
        <v>541</v>
      </c>
      <c r="D259" s="845"/>
      <c r="E259" s="949"/>
      <c r="F259" s="846"/>
      <c r="G259" s="847">
        <v>24116.289999999997</v>
      </c>
      <c r="H259" s="846"/>
      <c r="I259" s="846"/>
      <c r="J259" s="846"/>
    </row>
    <row r="260" spans="1:13" ht="13.5" customHeight="1" x14ac:dyDescent="0.2">
      <c r="A260" s="585" t="s">
        <v>1785</v>
      </c>
      <c r="B260" s="585"/>
      <c r="C260" s="795" t="s">
        <v>542</v>
      </c>
      <c r="D260" s="803"/>
      <c r="E260" s="950"/>
      <c r="F260" s="782"/>
      <c r="G260" s="847">
        <v>6982.58</v>
      </c>
      <c r="H260" s="782"/>
      <c r="I260" s="782"/>
      <c r="J260" s="782"/>
    </row>
    <row r="261" spans="1:13" ht="13.5" customHeight="1" x14ac:dyDescent="0.2">
      <c r="A261" s="585"/>
      <c r="B261" s="585"/>
      <c r="C261" s="819" t="s">
        <v>543</v>
      </c>
      <c r="D261" s="803"/>
      <c r="E261" s="950"/>
      <c r="F261" s="782"/>
      <c r="G261" s="783">
        <v>31098.869999999995</v>
      </c>
      <c r="H261" s="782"/>
      <c r="I261" s="782"/>
      <c r="J261" s="782"/>
    </row>
    <row r="262" spans="1:13" ht="13.5" customHeight="1" x14ac:dyDescent="0.2">
      <c r="A262" s="585"/>
      <c r="B262" s="585"/>
      <c r="C262" s="795"/>
      <c r="D262" s="803"/>
      <c r="E262" s="950"/>
      <c r="F262" s="782"/>
      <c r="G262" s="783"/>
      <c r="H262" s="782"/>
      <c r="I262" s="782"/>
      <c r="J262" s="782"/>
      <c r="M262" s="791"/>
    </row>
    <row r="263" spans="1:13" ht="13.5" customHeight="1" x14ac:dyDescent="0.2">
      <c r="A263" s="585"/>
      <c r="B263" s="585"/>
      <c r="C263" s="819" t="s">
        <v>544</v>
      </c>
      <c r="D263" s="803"/>
      <c r="E263" s="950"/>
      <c r="F263" s="782"/>
      <c r="G263" s="783">
        <v>1174.3600000000069</v>
      </c>
      <c r="H263" s="782"/>
      <c r="I263" s="782"/>
      <c r="J263" s="782"/>
    </row>
    <row r="264" spans="1:13" ht="13.5" customHeight="1" x14ac:dyDescent="0.2">
      <c r="A264" s="585"/>
      <c r="B264" s="585"/>
      <c r="C264" s="795"/>
      <c r="D264" s="803"/>
      <c r="E264" s="950"/>
      <c r="F264" s="782"/>
      <c r="G264" s="847"/>
      <c r="H264" s="782"/>
      <c r="I264" s="782"/>
      <c r="J264" s="782"/>
    </row>
    <row r="265" spans="1:13" ht="13.5" customHeight="1" x14ac:dyDescent="0.2">
      <c r="A265" s="76"/>
      <c r="B265" s="76"/>
      <c r="C265" s="819" t="s">
        <v>545</v>
      </c>
      <c r="D265" s="78"/>
      <c r="E265" s="951"/>
      <c r="F265" s="78"/>
      <c r="G265" s="783">
        <v>32273.230000000003</v>
      </c>
      <c r="H265" s="424"/>
      <c r="I265" s="424"/>
      <c r="J265" s="782"/>
    </row>
    <row r="266" spans="1:13" ht="13.5" customHeight="1" thickBot="1" x14ac:dyDescent="0.25">
      <c r="A266" s="76"/>
      <c r="B266" s="76"/>
      <c r="C266" s="78"/>
      <c r="D266" s="78"/>
      <c r="E266" s="951"/>
      <c r="F266" s="78"/>
      <c r="G266" s="847"/>
      <c r="H266" s="424"/>
      <c r="I266" s="424"/>
      <c r="J266" s="782"/>
    </row>
    <row r="267" spans="1:13" ht="13.5" customHeight="1" thickBot="1" x14ac:dyDescent="0.25">
      <c r="A267" s="848" t="s">
        <v>5829</v>
      </c>
      <c r="B267" s="839"/>
      <c r="C267" s="840" t="s">
        <v>5830</v>
      </c>
      <c r="D267" s="841"/>
      <c r="E267" s="948"/>
      <c r="F267" s="824"/>
      <c r="G267" s="842" t="s">
        <v>7</v>
      </c>
      <c r="H267" s="824"/>
      <c r="I267" s="824"/>
      <c r="J267" s="825"/>
    </row>
    <row r="268" spans="1:13" ht="13.5" customHeight="1" x14ac:dyDescent="0.2">
      <c r="A268" s="585"/>
      <c r="B268" s="585"/>
      <c r="C268" s="795" t="s">
        <v>5831</v>
      </c>
      <c r="D268" s="803"/>
      <c r="E268" s="950"/>
      <c r="F268" s="782"/>
      <c r="G268" s="847">
        <v>37000</v>
      </c>
      <c r="H268" s="782"/>
      <c r="I268" s="782"/>
      <c r="J268" s="782"/>
    </row>
    <row r="269" spans="1:13" ht="13.5" customHeight="1" x14ac:dyDescent="0.2">
      <c r="A269" s="79">
        <v>42145</v>
      </c>
      <c r="B269" s="585"/>
      <c r="C269" s="795" t="s">
        <v>5832</v>
      </c>
      <c r="D269" s="803"/>
      <c r="E269" s="950">
        <v>5000</v>
      </c>
      <c r="F269" s="782"/>
      <c r="G269" s="847">
        <v>32000</v>
      </c>
      <c r="H269" s="782"/>
      <c r="I269" s="782"/>
      <c r="J269" s="782"/>
    </row>
    <row r="270" spans="1:13" ht="13.5" customHeight="1" x14ac:dyDescent="0.2">
      <c r="A270" s="79">
        <v>42216</v>
      </c>
      <c r="B270" s="79"/>
      <c r="C270" s="795" t="s">
        <v>5832</v>
      </c>
      <c r="D270" s="78"/>
      <c r="E270" s="950">
        <v>5000</v>
      </c>
      <c r="F270" s="782"/>
      <c r="G270" s="847">
        <v>27000</v>
      </c>
      <c r="H270" s="424"/>
      <c r="I270" s="424"/>
      <c r="J270" s="782"/>
    </row>
    <row r="271" spans="1:13" ht="13.5" customHeight="1" x14ac:dyDescent="0.2">
      <c r="A271" s="79">
        <v>42311</v>
      </c>
      <c r="B271" s="79"/>
      <c r="C271" s="795" t="s">
        <v>5833</v>
      </c>
      <c r="D271" s="78"/>
      <c r="E271" s="950">
        <v>3000</v>
      </c>
      <c r="F271" s="782"/>
      <c r="G271" s="847">
        <v>24000</v>
      </c>
      <c r="H271" s="424"/>
      <c r="I271" s="424"/>
      <c r="J271" s="782"/>
    </row>
    <row r="272" spans="1:13" ht="13.5" customHeight="1" x14ac:dyDescent="0.2">
      <c r="A272" s="79">
        <v>42349</v>
      </c>
      <c r="B272" s="79"/>
      <c r="C272" s="795" t="s">
        <v>5833</v>
      </c>
      <c r="D272" s="78"/>
      <c r="E272" s="950">
        <v>3000</v>
      </c>
      <c r="F272" s="78"/>
      <c r="G272" s="847">
        <v>21000</v>
      </c>
      <c r="H272" s="424"/>
      <c r="I272" s="424"/>
      <c r="J272" s="782"/>
    </row>
    <row r="273" spans="1:10" ht="13.5" customHeight="1" x14ac:dyDescent="0.2">
      <c r="A273" s="849">
        <v>42390</v>
      </c>
      <c r="B273" s="585"/>
      <c r="C273" s="795" t="s">
        <v>5833</v>
      </c>
      <c r="D273" s="78"/>
      <c r="E273" s="950">
        <v>3000</v>
      </c>
      <c r="F273" s="78"/>
      <c r="G273" s="847">
        <v>18000</v>
      </c>
      <c r="H273" s="424"/>
      <c r="I273" s="424"/>
      <c r="J273" s="782"/>
    </row>
    <row r="274" spans="1:10" ht="13.5" customHeight="1" x14ac:dyDescent="0.2">
      <c r="A274" s="79">
        <v>42432</v>
      </c>
      <c r="B274" s="76"/>
      <c r="C274" s="795" t="s">
        <v>5833</v>
      </c>
      <c r="D274" s="803"/>
      <c r="E274" s="950">
        <v>1500</v>
      </c>
      <c r="F274" s="782"/>
      <c r="G274" s="847">
        <v>16500</v>
      </c>
      <c r="H274" s="424"/>
      <c r="I274" s="424"/>
      <c r="J274" s="782"/>
    </row>
    <row r="275" spans="1:10" ht="13.5" customHeight="1" x14ac:dyDescent="0.2">
      <c r="A275" s="79">
        <v>42509</v>
      </c>
      <c r="B275" s="76"/>
      <c r="C275" s="795" t="s">
        <v>5834</v>
      </c>
      <c r="D275" s="803"/>
      <c r="E275" s="950">
        <v>1500</v>
      </c>
      <c r="F275" s="782"/>
      <c r="G275" s="847">
        <v>15000</v>
      </c>
      <c r="H275" s="424"/>
      <c r="I275" s="424"/>
      <c r="J275" s="782"/>
    </row>
    <row r="276" spans="1:10" ht="13.5" customHeight="1" x14ac:dyDescent="0.2">
      <c r="A276" s="79">
        <v>42537</v>
      </c>
      <c r="B276" s="76"/>
      <c r="C276" s="795" t="s">
        <v>5835</v>
      </c>
      <c r="D276" s="803"/>
      <c r="E276" s="950">
        <v>1500</v>
      </c>
      <c r="F276" s="782"/>
      <c r="G276" s="847">
        <v>13500</v>
      </c>
      <c r="H276" s="424"/>
      <c r="I276" s="424"/>
      <c r="J276" s="782"/>
    </row>
    <row r="277" spans="1:10" ht="13.5" customHeight="1" x14ac:dyDescent="0.2">
      <c r="A277" s="79">
        <v>42566</v>
      </c>
      <c r="B277" s="76"/>
      <c r="C277" s="795" t="s">
        <v>5835</v>
      </c>
      <c r="D277" s="78"/>
      <c r="E277" s="950">
        <v>1500</v>
      </c>
      <c r="F277" s="78"/>
      <c r="G277" s="847">
        <v>12000</v>
      </c>
      <c r="H277" s="424"/>
      <c r="I277" s="424"/>
      <c r="J277" s="782"/>
    </row>
    <row r="278" spans="1:10" ht="13.5" customHeight="1" x14ac:dyDescent="0.2">
      <c r="A278" s="79">
        <v>42590</v>
      </c>
      <c r="B278" s="76"/>
      <c r="C278" s="795" t="s">
        <v>5835</v>
      </c>
      <c r="D278" s="78"/>
      <c r="E278" s="950">
        <v>1500</v>
      </c>
      <c r="F278" s="78"/>
      <c r="G278" s="847">
        <v>10500</v>
      </c>
      <c r="H278" s="424"/>
      <c r="I278" s="424"/>
      <c r="J278" s="782"/>
    </row>
    <row r="279" spans="1:10" ht="13.5" customHeight="1" x14ac:dyDescent="0.2">
      <c r="A279" s="79">
        <v>42612</v>
      </c>
      <c r="B279" s="76"/>
      <c r="C279" s="795" t="s">
        <v>5835</v>
      </c>
      <c r="D279" s="78"/>
      <c r="E279" s="950">
        <v>1500</v>
      </c>
      <c r="F279" s="78"/>
      <c r="G279" s="847">
        <v>9000</v>
      </c>
      <c r="H279" s="424"/>
      <c r="I279" s="424"/>
      <c r="J279" s="782"/>
    </row>
    <row r="280" spans="1:10" ht="13.5" customHeight="1" x14ac:dyDescent="0.2">
      <c r="A280" s="79">
        <v>42634</v>
      </c>
      <c r="B280" s="76"/>
      <c r="C280" s="795" t="s">
        <v>5835</v>
      </c>
      <c r="D280" s="78"/>
      <c r="E280" s="950">
        <v>1500</v>
      </c>
      <c r="F280" s="78"/>
      <c r="G280" s="847">
        <v>7500</v>
      </c>
      <c r="H280" s="424"/>
      <c r="I280" s="424"/>
      <c r="J280" s="782"/>
    </row>
    <row r="281" spans="1:10" ht="13.5" customHeight="1" x14ac:dyDescent="0.2">
      <c r="A281" s="79">
        <v>42683</v>
      </c>
      <c r="B281" s="585"/>
      <c r="C281" s="795" t="s">
        <v>5836</v>
      </c>
      <c r="D281" s="803"/>
      <c r="E281" s="950">
        <v>2000</v>
      </c>
      <c r="F281" s="782"/>
      <c r="G281" s="847">
        <v>5500</v>
      </c>
      <c r="H281" s="782"/>
      <c r="I281" s="782"/>
      <c r="J281" s="782"/>
    </row>
    <row r="282" spans="1:10" ht="13.5" customHeight="1" x14ac:dyDescent="0.2">
      <c r="A282" s="79">
        <v>42719</v>
      </c>
      <c r="B282" s="585"/>
      <c r="C282" s="795" t="s">
        <v>5837</v>
      </c>
      <c r="D282" s="803"/>
      <c r="E282" s="950">
        <v>500</v>
      </c>
      <c r="F282" s="782"/>
      <c r="G282" s="847">
        <v>5000</v>
      </c>
      <c r="H282" s="782"/>
      <c r="I282" s="782"/>
      <c r="J282" s="782"/>
    </row>
    <row r="283" spans="1:10" ht="13.5" customHeight="1" x14ac:dyDescent="0.2">
      <c r="A283" s="79">
        <v>42775</v>
      </c>
      <c r="B283" s="585"/>
      <c r="C283" s="795" t="s">
        <v>5838</v>
      </c>
      <c r="D283" s="803"/>
      <c r="E283" s="950">
        <v>500</v>
      </c>
      <c r="F283" s="782"/>
      <c r="G283" s="847">
        <v>4500</v>
      </c>
      <c r="H283" s="782"/>
      <c r="I283" s="782"/>
      <c r="J283" s="782"/>
    </row>
    <row r="284" spans="1:10" ht="13.5" customHeight="1" x14ac:dyDescent="0.2">
      <c r="A284" s="79">
        <v>42836</v>
      </c>
      <c r="B284" s="585"/>
      <c r="C284" s="795" t="s">
        <v>5839</v>
      </c>
      <c r="D284" s="803"/>
      <c r="E284" s="950">
        <v>500</v>
      </c>
      <c r="F284" s="782"/>
      <c r="G284" s="847">
        <v>4000</v>
      </c>
      <c r="H284" s="782"/>
      <c r="I284" s="782"/>
      <c r="J284" s="782"/>
    </row>
    <row r="285" spans="1:10" ht="13.5" customHeight="1" x14ac:dyDescent="0.2">
      <c r="A285" s="79">
        <v>42870</v>
      </c>
      <c r="B285" s="585"/>
      <c r="C285" s="795" t="s">
        <v>5840</v>
      </c>
      <c r="D285" s="803"/>
      <c r="E285" s="950">
        <v>500</v>
      </c>
      <c r="F285" s="782"/>
      <c r="G285" s="847">
        <v>3500</v>
      </c>
      <c r="H285" s="782"/>
      <c r="I285" s="782"/>
      <c r="J285" s="782"/>
    </row>
    <row r="286" spans="1:10" ht="13.5" customHeight="1" x14ac:dyDescent="0.2">
      <c r="A286" s="79">
        <v>42902</v>
      </c>
      <c r="B286" s="585"/>
      <c r="C286" s="795" t="s">
        <v>5841</v>
      </c>
      <c r="D286" s="803"/>
      <c r="E286" s="950">
        <v>500</v>
      </c>
      <c r="F286" s="782"/>
      <c r="G286" s="847">
        <v>3000</v>
      </c>
      <c r="H286" s="782"/>
      <c r="I286" s="782"/>
      <c r="J286" s="782"/>
    </row>
    <row r="287" spans="1:10" ht="13.5" customHeight="1" x14ac:dyDescent="0.2">
      <c r="A287" s="79">
        <v>42933</v>
      </c>
      <c r="B287" s="585"/>
      <c r="C287" s="795" t="s">
        <v>5842</v>
      </c>
      <c r="D287" s="803"/>
      <c r="E287" s="950">
        <v>500</v>
      </c>
      <c r="F287" s="782"/>
      <c r="G287" s="847">
        <v>2500</v>
      </c>
      <c r="H287" s="782"/>
      <c r="I287" s="782"/>
      <c r="J287" s="782"/>
    </row>
    <row r="288" spans="1:10" ht="13.5" customHeight="1" x14ac:dyDescent="0.2">
      <c r="A288" s="79">
        <v>42963</v>
      </c>
      <c r="B288" s="585"/>
      <c r="C288" s="795" t="s">
        <v>5704</v>
      </c>
      <c r="D288" s="803"/>
      <c r="E288" s="950">
        <v>500</v>
      </c>
      <c r="F288" s="782"/>
      <c r="G288" s="847">
        <v>2000</v>
      </c>
      <c r="H288" s="782"/>
      <c r="I288" s="782"/>
      <c r="J288" s="782"/>
    </row>
    <row r="289" spans="1:10" ht="13.5" customHeight="1" x14ac:dyDescent="0.2">
      <c r="A289" s="79">
        <v>43005</v>
      </c>
      <c r="B289" s="585"/>
      <c r="C289" s="795" t="s">
        <v>5704</v>
      </c>
      <c r="D289" s="803"/>
      <c r="E289" s="950">
        <v>500</v>
      </c>
      <c r="F289" s="782"/>
      <c r="G289" s="783">
        <v>1500</v>
      </c>
      <c r="H289" s="782"/>
      <c r="I289" s="782"/>
      <c r="J289" s="782"/>
    </row>
    <row r="290" spans="1:10" ht="13.5" customHeight="1" thickBot="1" x14ac:dyDescent="0.25">
      <c r="A290" s="76"/>
      <c r="B290" s="76"/>
      <c r="C290" s="78"/>
      <c r="D290" s="78"/>
      <c r="E290" s="951"/>
      <c r="F290" s="78"/>
      <c r="G290" s="847"/>
      <c r="H290" s="424"/>
      <c r="I290" s="424"/>
      <c r="J290" s="782"/>
    </row>
    <row r="291" spans="1:10" ht="13.5" customHeight="1" thickBot="1" x14ac:dyDescent="0.25">
      <c r="A291" s="848" t="s">
        <v>5829</v>
      </c>
      <c r="B291" s="839"/>
      <c r="C291" s="840" t="s">
        <v>5843</v>
      </c>
      <c r="D291" s="841"/>
      <c r="E291" s="948"/>
      <c r="F291" s="824"/>
      <c r="G291" s="842" t="s">
        <v>7</v>
      </c>
      <c r="H291" s="824"/>
      <c r="I291" s="824"/>
      <c r="J291" s="825"/>
    </row>
    <row r="292" spans="1:10" ht="13.5" customHeight="1" x14ac:dyDescent="0.2">
      <c r="A292" s="585"/>
      <c r="B292" s="585"/>
      <c r="C292" s="795" t="s">
        <v>5831</v>
      </c>
      <c r="D292" s="803"/>
      <c r="E292" s="950"/>
      <c r="F292" s="782"/>
      <c r="G292" s="847">
        <v>6000</v>
      </c>
      <c r="H292" s="782"/>
      <c r="I292" s="782"/>
      <c r="J292" s="782"/>
    </row>
    <row r="293" spans="1:10" ht="13.5" customHeight="1" x14ac:dyDescent="0.2">
      <c r="A293" s="79">
        <v>42594</v>
      </c>
      <c r="B293" s="585"/>
      <c r="C293" s="795" t="s">
        <v>5844</v>
      </c>
      <c r="D293" s="803"/>
      <c r="E293" s="950">
        <v>2000</v>
      </c>
      <c r="F293" s="782"/>
      <c r="G293" s="847">
        <v>4000</v>
      </c>
      <c r="H293" s="782"/>
      <c r="I293" s="782"/>
      <c r="J293" s="782"/>
    </row>
    <row r="294" spans="1:10" ht="13.5" customHeight="1" x14ac:dyDescent="0.2">
      <c r="A294" s="79">
        <v>42682</v>
      </c>
      <c r="B294" s="79"/>
      <c r="C294" s="795" t="s">
        <v>5845</v>
      </c>
      <c r="D294" s="78"/>
      <c r="E294" s="950">
        <v>3500</v>
      </c>
      <c r="F294" s="782"/>
      <c r="G294" s="847">
        <v>500</v>
      </c>
      <c r="H294" s="424"/>
      <c r="I294" s="424"/>
      <c r="J294" s="782"/>
    </row>
    <row r="295" spans="1:10" ht="13.5" customHeight="1" x14ac:dyDescent="0.2">
      <c r="A295" s="79"/>
      <c r="B295" s="79"/>
      <c r="C295" s="78"/>
      <c r="D295" s="78"/>
      <c r="E295" s="951"/>
      <c r="F295" s="78"/>
      <c r="G295" s="847"/>
      <c r="H295" s="424"/>
      <c r="I295" s="424"/>
      <c r="J295" s="782"/>
    </row>
    <row r="296" spans="1:10" ht="13.5" customHeight="1" thickBot="1" x14ac:dyDescent="0.25">
      <c r="A296" s="79"/>
      <c r="B296" s="79"/>
      <c r="C296" s="78"/>
      <c r="D296" s="78"/>
      <c r="E296" s="951"/>
      <c r="F296" s="78"/>
      <c r="G296" s="847"/>
      <c r="H296" s="424"/>
      <c r="I296" s="424"/>
      <c r="J296" s="782"/>
    </row>
    <row r="297" spans="1:10" ht="13.5" customHeight="1" thickBot="1" x14ac:dyDescent="0.25">
      <c r="A297" s="848" t="s">
        <v>5829</v>
      </c>
      <c r="B297" s="839"/>
      <c r="C297" s="840" t="s">
        <v>5846</v>
      </c>
      <c r="D297" s="841"/>
      <c r="E297" s="948"/>
      <c r="F297" s="824"/>
      <c r="G297" s="842" t="s">
        <v>7</v>
      </c>
      <c r="H297" s="424"/>
      <c r="I297" s="424"/>
      <c r="J297" s="782"/>
    </row>
    <row r="298" spans="1:10" ht="13.5" customHeight="1" x14ac:dyDescent="0.2">
      <c r="A298" s="79"/>
      <c r="B298" s="585"/>
      <c r="C298" s="795" t="s">
        <v>5831</v>
      </c>
      <c r="D298" s="803"/>
      <c r="E298" s="950"/>
      <c r="F298" s="782"/>
      <c r="G298" s="847">
        <v>1400</v>
      </c>
      <c r="H298" s="424"/>
      <c r="I298" s="424"/>
      <c r="J298" s="782"/>
    </row>
    <row r="299" spans="1:10" ht="13.5" customHeight="1" x14ac:dyDescent="0.2">
      <c r="A299" s="79">
        <v>42465</v>
      </c>
      <c r="B299" s="585"/>
      <c r="C299" s="795" t="s">
        <v>5847</v>
      </c>
      <c r="D299" s="803"/>
      <c r="E299" s="950">
        <v>123.9</v>
      </c>
      <c r="F299" s="782"/>
      <c r="G299" s="847">
        <v>1276.0999999999999</v>
      </c>
      <c r="H299" s="424"/>
      <c r="I299" s="424"/>
      <c r="J299" s="782"/>
    </row>
    <row r="300" spans="1:10" ht="13.5" customHeight="1" x14ac:dyDescent="0.2">
      <c r="A300" s="79"/>
      <c r="B300" s="585"/>
      <c r="C300" s="795" t="s">
        <v>5848</v>
      </c>
      <c r="D300" s="803"/>
      <c r="E300" s="950">
        <v>150</v>
      </c>
      <c r="F300" s="782"/>
      <c r="G300" s="847">
        <v>1126.0999999999999</v>
      </c>
      <c r="H300" s="424"/>
      <c r="I300" s="424"/>
      <c r="J300" s="782"/>
    </row>
    <row r="301" spans="1:10" ht="13.5" customHeight="1" x14ac:dyDescent="0.2">
      <c r="A301" s="79">
        <v>42543</v>
      </c>
      <c r="B301" s="585"/>
      <c r="C301" s="795" t="s">
        <v>5849</v>
      </c>
      <c r="D301" s="803"/>
      <c r="E301" s="950">
        <v>176.9</v>
      </c>
      <c r="F301" s="782"/>
      <c r="G301" s="847">
        <v>949.19999999999993</v>
      </c>
      <c r="H301" s="782"/>
      <c r="I301" s="782"/>
      <c r="J301" s="782"/>
    </row>
    <row r="302" spans="1:10" ht="13.5" customHeight="1" x14ac:dyDescent="0.2">
      <c r="A302" s="79"/>
      <c r="B302" s="79"/>
      <c r="C302" s="795" t="s">
        <v>5850</v>
      </c>
      <c r="D302" s="78"/>
      <c r="E302" s="950">
        <v>105.5</v>
      </c>
      <c r="F302" s="782"/>
      <c r="G302" s="847">
        <v>843.69999999999993</v>
      </c>
      <c r="H302" s="782"/>
      <c r="I302" s="782"/>
      <c r="J302" s="782"/>
    </row>
    <row r="303" spans="1:10" ht="13.5" customHeight="1" x14ac:dyDescent="0.2">
      <c r="A303" s="79"/>
      <c r="B303" s="79"/>
      <c r="C303" s="78" t="s">
        <v>5851</v>
      </c>
      <c r="D303" s="78"/>
      <c r="E303" s="950">
        <v>37.5</v>
      </c>
      <c r="F303" s="782"/>
      <c r="G303" s="847">
        <v>806.19999999999993</v>
      </c>
      <c r="H303" s="424"/>
      <c r="I303" s="424"/>
      <c r="J303" s="782"/>
    </row>
    <row r="304" spans="1:10" ht="13.5" customHeight="1" x14ac:dyDescent="0.2">
      <c r="A304" s="79">
        <v>42576</v>
      </c>
      <c r="B304" s="79"/>
      <c r="C304" s="78" t="s">
        <v>5852</v>
      </c>
      <c r="D304" s="78"/>
      <c r="E304" s="950">
        <v>39.9</v>
      </c>
      <c r="F304" s="782"/>
      <c r="G304" s="847">
        <v>766.3</v>
      </c>
      <c r="H304" s="424"/>
      <c r="I304" s="424"/>
      <c r="J304" s="782"/>
    </row>
    <row r="305" spans="1:10" ht="13.5" customHeight="1" x14ac:dyDescent="0.2">
      <c r="A305" s="79">
        <v>42600</v>
      </c>
      <c r="B305" s="79"/>
      <c r="C305" s="850" t="s">
        <v>5853</v>
      </c>
      <c r="D305" s="78"/>
      <c r="E305" s="950">
        <v>11.8</v>
      </c>
      <c r="F305" s="782"/>
      <c r="G305" s="847">
        <v>754.5</v>
      </c>
      <c r="H305" s="424"/>
      <c r="I305" s="424"/>
      <c r="J305" s="782"/>
    </row>
    <row r="306" spans="1:10" ht="13.5" customHeight="1" x14ac:dyDescent="0.2">
      <c r="A306" s="79">
        <v>42611</v>
      </c>
      <c r="B306" s="79"/>
      <c r="C306" s="795" t="s">
        <v>5854</v>
      </c>
      <c r="D306" s="78"/>
      <c r="E306" s="950">
        <v>176.9</v>
      </c>
      <c r="F306" s="782"/>
      <c r="G306" s="847">
        <v>577.6</v>
      </c>
      <c r="H306" s="424"/>
      <c r="I306" s="424"/>
      <c r="J306" s="782"/>
    </row>
    <row r="307" spans="1:10" ht="13.5" customHeight="1" x14ac:dyDescent="0.2">
      <c r="A307" s="79">
        <v>42633</v>
      </c>
      <c r="B307" s="585"/>
      <c r="C307" s="795" t="s">
        <v>5855</v>
      </c>
      <c r="D307" s="803"/>
      <c r="E307" s="950">
        <v>5</v>
      </c>
      <c r="F307" s="782"/>
      <c r="G307" s="847">
        <v>572.6</v>
      </c>
      <c r="H307" s="782"/>
      <c r="I307" s="782"/>
      <c r="J307" s="782"/>
    </row>
    <row r="308" spans="1:10" ht="13.5" customHeight="1" x14ac:dyDescent="0.2">
      <c r="A308" s="79">
        <v>42664</v>
      </c>
      <c r="B308" s="851"/>
      <c r="C308" s="852" t="s">
        <v>5856</v>
      </c>
      <c r="D308" s="803"/>
      <c r="E308" s="950">
        <v>95</v>
      </c>
      <c r="F308" s="782"/>
      <c r="G308" s="847">
        <v>477.6</v>
      </c>
      <c r="H308" s="782"/>
      <c r="I308" s="782"/>
      <c r="J308" s="782"/>
    </row>
    <row r="309" spans="1:10" ht="13.5" customHeight="1" x14ac:dyDescent="0.2">
      <c r="A309" s="79">
        <v>42704</v>
      </c>
      <c r="B309" s="79"/>
      <c r="C309" s="78" t="s">
        <v>5857</v>
      </c>
      <c r="D309" s="78"/>
      <c r="E309" s="950">
        <v>31.7</v>
      </c>
      <c r="F309" s="782"/>
      <c r="G309" s="847">
        <v>445.90000000000003</v>
      </c>
      <c r="H309" s="424"/>
      <c r="I309" s="424"/>
      <c r="J309" s="782"/>
    </row>
    <row r="310" spans="1:10" ht="13.5" customHeight="1" x14ac:dyDescent="0.2">
      <c r="A310" s="79">
        <v>42705</v>
      </c>
      <c r="B310" s="79"/>
      <c r="C310" s="78" t="s">
        <v>5858</v>
      </c>
      <c r="D310" s="803"/>
      <c r="E310" s="950">
        <v>14.4</v>
      </c>
      <c r="F310" s="782"/>
      <c r="G310" s="847">
        <v>431.50000000000006</v>
      </c>
      <c r="H310" s="424"/>
      <c r="I310" s="424"/>
      <c r="J310" s="782"/>
    </row>
    <row r="311" spans="1:10" ht="13.5" customHeight="1" x14ac:dyDescent="0.2">
      <c r="A311" s="79">
        <v>42716</v>
      </c>
      <c r="B311" s="79"/>
      <c r="C311" s="78" t="s">
        <v>5847</v>
      </c>
      <c r="D311" s="78"/>
      <c r="E311" s="950">
        <v>120</v>
      </c>
      <c r="F311" s="782"/>
      <c r="G311" s="847">
        <v>311.50000000000006</v>
      </c>
      <c r="H311" s="424"/>
      <c r="I311" s="424"/>
      <c r="J311" s="782"/>
    </row>
    <row r="312" spans="1:10" ht="13.5" customHeight="1" x14ac:dyDescent="0.2">
      <c r="A312" s="79">
        <v>42718</v>
      </c>
      <c r="B312" s="79"/>
      <c r="C312" s="78" t="s">
        <v>5859</v>
      </c>
      <c r="D312" s="803"/>
      <c r="E312" s="950">
        <v>23.7</v>
      </c>
      <c r="F312" s="782"/>
      <c r="G312" s="847">
        <v>287.80000000000007</v>
      </c>
      <c r="H312" s="424"/>
      <c r="I312" s="424"/>
      <c r="J312" s="782"/>
    </row>
    <row r="313" spans="1:10" ht="13.5" customHeight="1" x14ac:dyDescent="0.2">
      <c r="A313" s="79">
        <v>42759</v>
      </c>
      <c r="B313" s="851"/>
      <c r="C313" s="853" t="s">
        <v>5860</v>
      </c>
      <c r="D313" s="78"/>
      <c r="E313" s="950">
        <v>1</v>
      </c>
      <c r="F313" s="782"/>
      <c r="G313" s="847">
        <v>286.80000000000007</v>
      </c>
      <c r="H313" s="782"/>
      <c r="I313" s="782"/>
      <c r="J313" s="782"/>
    </row>
    <row r="314" spans="1:10" ht="13.5" customHeight="1" x14ac:dyDescent="0.2">
      <c r="A314" s="79">
        <v>42765</v>
      </c>
      <c r="B314" s="79"/>
      <c r="C314" s="78" t="s">
        <v>5861</v>
      </c>
      <c r="D314" s="803"/>
      <c r="E314" s="950">
        <v>45</v>
      </c>
      <c r="F314" s="782"/>
      <c r="G314" s="847">
        <v>241.80000000000007</v>
      </c>
      <c r="H314" s="424"/>
      <c r="I314" s="424"/>
      <c r="J314" s="782"/>
    </row>
    <row r="315" spans="1:10" ht="13.5" customHeight="1" x14ac:dyDescent="0.2">
      <c r="A315" s="79">
        <v>42899</v>
      </c>
      <c r="B315" s="79"/>
      <c r="C315" s="78" t="s">
        <v>5862</v>
      </c>
      <c r="D315" s="78"/>
      <c r="E315" s="950">
        <v>130</v>
      </c>
      <c r="F315" s="782"/>
      <c r="G315" s="847">
        <v>111.80000000000007</v>
      </c>
      <c r="H315" s="424"/>
      <c r="I315" s="424"/>
      <c r="J315" s="782"/>
    </row>
    <row r="316" spans="1:10" ht="13.5" customHeight="1" x14ac:dyDescent="0.2">
      <c r="A316" s="79"/>
      <c r="B316" s="79"/>
      <c r="C316" s="78"/>
      <c r="D316" s="78"/>
      <c r="E316" s="950"/>
      <c r="F316" s="782"/>
      <c r="G316" s="847"/>
      <c r="H316" s="424"/>
      <c r="I316" s="424"/>
      <c r="J316" s="782"/>
    </row>
    <row r="317" spans="1:10" ht="13.5" customHeight="1" x14ac:dyDescent="0.2">
      <c r="A317" s="843"/>
      <c r="B317" s="851"/>
      <c r="C317" s="852"/>
      <c r="D317" s="803"/>
      <c r="E317" s="950"/>
      <c r="F317" s="782"/>
      <c r="G317" s="847"/>
      <c r="H317" s="782"/>
      <c r="I317" s="782"/>
      <c r="J317" s="782"/>
    </row>
    <row r="318" spans="1:10" ht="13.5" customHeight="1" x14ac:dyDescent="0.2">
      <c r="A318" s="79"/>
      <c r="B318" s="79"/>
      <c r="C318" s="78"/>
      <c r="D318" s="78"/>
      <c r="E318" s="950"/>
      <c r="F318" s="782"/>
      <c r="G318" s="847"/>
      <c r="H318" s="424"/>
      <c r="I318" s="424"/>
      <c r="J318" s="782"/>
    </row>
    <row r="319" spans="1:10" ht="13.5" customHeight="1" x14ac:dyDescent="0.2">
      <c r="A319" s="79"/>
      <c r="B319" s="79"/>
      <c r="C319" s="78"/>
      <c r="D319" s="78"/>
      <c r="E319" s="950"/>
      <c r="F319" s="782"/>
      <c r="G319" s="847"/>
      <c r="H319" s="424"/>
      <c r="I319" s="424"/>
      <c r="J319" s="782"/>
    </row>
    <row r="320" spans="1:10" ht="13.5" customHeight="1" x14ac:dyDescent="0.2">
      <c r="A320" s="79"/>
      <c r="B320" s="79"/>
      <c r="C320" s="78"/>
      <c r="D320" s="78"/>
      <c r="E320" s="951"/>
      <c r="F320" s="78"/>
      <c r="G320" s="847"/>
      <c r="H320" s="424"/>
      <c r="I320" s="424"/>
      <c r="J320" s="782"/>
    </row>
    <row r="321" spans="1:10" ht="13.5" customHeight="1" x14ac:dyDescent="0.2">
      <c r="A321" s="79"/>
      <c r="B321" s="79"/>
      <c r="C321" s="78"/>
      <c r="D321" s="78"/>
      <c r="E321" s="951"/>
      <c r="F321" s="78"/>
      <c r="G321" s="847"/>
      <c r="H321" s="424"/>
      <c r="I321" s="424"/>
      <c r="J321" s="782"/>
    </row>
    <row r="322" spans="1:10" ht="13.5" customHeight="1" x14ac:dyDescent="0.2">
      <c r="A322" s="79"/>
      <c r="B322" s="79"/>
      <c r="C322" s="78"/>
      <c r="D322" s="78"/>
      <c r="E322" s="951"/>
      <c r="F322" s="78"/>
      <c r="G322" s="847"/>
      <c r="H322" s="424"/>
      <c r="I322" s="424"/>
      <c r="J322" s="782"/>
    </row>
    <row r="323" spans="1:10" ht="13.5" customHeight="1" x14ac:dyDescent="0.2">
      <c r="A323" s="79"/>
      <c r="B323" s="79"/>
      <c r="C323" s="78"/>
      <c r="D323" s="78"/>
      <c r="E323" s="951"/>
      <c r="F323" s="78"/>
      <c r="G323" s="847"/>
      <c r="H323" s="424"/>
      <c r="I323" s="424"/>
      <c r="J323" s="782"/>
    </row>
    <row r="324" spans="1:10" ht="13.5" customHeight="1" x14ac:dyDescent="0.2">
      <c r="A324" s="79"/>
      <c r="B324" s="79"/>
      <c r="C324" s="78"/>
      <c r="D324" s="78"/>
      <c r="E324" s="951"/>
      <c r="F324" s="78"/>
      <c r="G324" s="847"/>
      <c r="H324" s="424"/>
      <c r="I324" s="424"/>
      <c r="J324" s="782"/>
    </row>
    <row r="325" spans="1:10" ht="13.5" customHeight="1" x14ac:dyDescent="0.2">
      <c r="A325" s="79"/>
      <c r="B325" s="79"/>
      <c r="C325" s="78"/>
      <c r="D325" s="78"/>
      <c r="E325" s="951"/>
      <c r="F325" s="78"/>
      <c r="G325" s="783"/>
      <c r="H325" s="424"/>
      <c r="I325" s="424"/>
      <c r="J325" s="854"/>
    </row>
    <row r="326" spans="1:10" ht="13.5" customHeight="1" x14ac:dyDescent="0.2">
      <c r="A326" s="585"/>
      <c r="B326" s="585"/>
      <c r="C326" s="795"/>
      <c r="D326" s="803"/>
      <c r="E326" s="950"/>
      <c r="F326" s="782"/>
      <c r="G326" s="847"/>
      <c r="H326" s="855"/>
      <c r="I326" s="782"/>
      <c r="J326" s="782"/>
    </row>
    <row r="327" spans="1:10" ht="13.5" customHeight="1" x14ac:dyDescent="0.2">
      <c r="A327" s="585"/>
      <c r="B327" s="585"/>
      <c r="C327" s="795"/>
      <c r="D327" s="803"/>
      <c r="E327" s="950"/>
      <c r="F327" s="782"/>
      <c r="G327" s="847"/>
      <c r="H327" s="855"/>
      <c r="I327" s="782"/>
      <c r="J327" s="782"/>
    </row>
    <row r="328" spans="1:10" ht="13.5" customHeight="1" x14ac:dyDescent="0.2">
      <c r="A328" s="585"/>
      <c r="B328" s="585"/>
      <c r="C328" s="795"/>
      <c r="D328" s="803"/>
      <c r="E328" s="950"/>
      <c r="F328" s="782"/>
      <c r="G328" s="847"/>
      <c r="H328" s="855"/>
      <c r="I328" s="782"/>
      <c r="J328" s="782"/>
    </row>
    <row r="329" spans="1:10" ht="13.5" customHeight="1" x14ac:dyDescent="0.2">
      <c r="A329" s="585"/>
      <c r="B329" s="585"/>
      <c r="C329" s="795"/>
      <c r="D329" s="803"/>
      <c r="E329" s="950"/>
      <c r="F329" s="782"/>
      <c r="G329" s="847"/>
      <c r="H329" s="855"/>
      <c r="I329" s="782"/>
      <c r="J329" s="782"/>
    </row>
    <row r="330" spans="1:10" ht="13.5" customHeight="1" x14ac:dyDescent="0.2">
      <c r="A330" s="585"/>
      <c r="B330" s="585"/>
      <c r="C330" s="795"/>
      <c r="D330" s="803"/>
      <c r="E330" s="950"/>
      <c r="F330" s="782"/>
      <c r="G330" s="847"/>
      <c r="H330" s="855"/>
      <c r="I330" s="782"/>
      <c r="J330" s="782"/>
    </row>
    <row r="331" spans="1:10" ht="13.5" customHeight="1" x14ac:dyDescent="0.2">
      <c r="A331" s="585"/>
      <c r="B331" s="585"/>
      <c r="C331" s="795"/>
      <c r="D331" s="803"/>
      <c r="E331" s="950"/>
      <c r="F331" s="782"/>
      <c r="G331" s="847"/>
      <c r="H331" s="855"/>
      <c r="I331" s="782"/>
      <c r="J331" s="782"/>
    </row>
    <row r="332" spans="1:10" ht="13.5" customHeight="1" x14ac:dyDescent="0.2">
      <c r="A332" s="585"/>
      <c r="B332" s="585"/>
      <c r="C332" s="795"/>
      <c r="D332" s="803"/>
      <c r="E332" s="950"/>
      <c r="F332" s="782"/>
      <c r="G332" s="847"/>
      <c r="H332" s="855"/>
      <c r="I332" s="782"/>
      <c r="J332" s="782"/>
    </row>
    <row r="333" spans="1:10" ht="13.5" customHeight="1" x14ac:dyDescent="0.2">
      <c r="A333" s="585"/>
      <c r="B333" s="585"/>
      <c r="C333" s="795"/>
      <c r="D333" s="803"/>
      <c r="E333" s="950"/>
      <c r="F333" s="782"/>
      <c r="G333" s="847"/>
      <c r="H333" s="855"/>
      <c r="I333" s="782"/>
      <c r="J333" s="782"/>
    </row>
    <row r="334" spans="1:10" ht="13.5" customHeight="1" x14ac:dyDescent="0.2">
      <c r="A334" s="585"/>
      <c r="B334" s="585"/>
      <c r="C334" s="795"/>
      <c r="D334" s="803"/>
      <c r="E334" s="950"/>
      <c r="F334" s="782"/>
      <c r="G334" s="847"/>
      <c r="H334" s="855"/>
      <c r="I334" s="782"/>
      <c r="J334" s="782"/>
    </row>
    <row r="335" spans="1:10" ht="13.5" customHeight="1" x14ac:dyDescent="0.2">
      <c r="A335" s="585"/>
      <c r="B335" s="585"/>
      <c r="C335" s="795"/>
      <c r="D335" s="803"/>
      <c r="E335" s="950"/>
      <c r="F335" s="782"/>
      <c r="G335" s="847"/>
      <c r="H335" s="855"/>
      <c r="I335" s="782"/>
      <c r="J335" s="782"/>
    </row>
    <row r="336" spans="1:10" ht="13.5" customHeight="1" x14ac:dyDescent="0.2">
      <c r="A336" s="585"/>
      <c r="B336" s="585"/>
      <c r="C336" s="795"/>
      <c r="D336" s="803"/>
      <c r="E336" s="950"/>
      <c r="F336" s="782"/>
      <c r="G336" s="847"/>
      <c r="H336" s="855"/>
      <c r="I336" s="782"/>
      <c r="J336" s="782"/>
    </row>
    <row r="337" spans="1:10" ht="13.5" customHeight="1" x14ac:dyDescent="0.2">
      <c r="A337" s="585"/>
      <c r="B337" s="585"/>
      <c r="C337" s="795"/>
      <c r="D337" s="803"/>
      <c r="E337" s="950"/>
      <c r="F337" s="782"/>
      <c r="G337" s="847"/>
      <c r="H337" s="855"/>
      <c r="I337" s="782"/>
      <c r="J337" s="782"/>
    </row>
    <row r="338" spans="1:10" ht="13.5" customHeight="1" x14ac:dyDescent="0.2">
      <c r="A338" s="585"/>
      <c r="B338" s="585"/>
      <c r="C338" s="795"/>
      <c r="D338" s="803"/>
      <c r="E338" s="950"/>
      <c r="F338" s="782"/>
      <c r="G338" s="847"/>
      <c r="H338" s="855"/>
      <c r="I338" s="782"/>
      <c r="J338" s="782"/>
    </row>
    <row r="339" spans="1:10" ht="13.5" customHeight="1" x14ac:dyDescent="0.2">
      <c r="A339" s="585"/>
      <c r="B339" s="585"/>
      <c r="C339" s="795"/>
      <c r="D339" s="803"/>
      <c r="E339" s="950"/>
      <c r="F339" s="782"/>
      <c r="G339" s="847"/>
      <c r="H339" s="855"/>
      <c r="I339" s="782"/>
      <c r="J339" s="782"/>
    </row>
    <row r="340" spans="1:10" ht="13.5" customHeight="1" x14ac:dyDescent="0.2">
      <c r="A340" s="585"/>
      <c r="B340" s="585"/>
      <c r="C340" s="795"/>
      <c r="D340" s="803"/>
      <c r="E340" s="950"/>
      <c r="F340" s="782"/>
      <c r="G340" s="847"/>
      <c r="H340" s="855"/>
      <c r="I340" s="782"/>
      <c r="J340" s="782"/>
    </row>
    <row r="341" spans="1:10" ht="13.5" customHeight="1" x14ac:dyDescent="0.2">
      <c r="A341" s="585"/>
      <c r="B341" s="585"/>
      <c r="C341" s="795"/>
      <c r="D341" s="803"/>
      <c r="E341" s="950"/>
      <c r="F341" s="782"/>
      <c r="G341" s="847"/>
      <c r="H341" s="855"/>
      <c r="I341" s="782"/>
      <c r="J341" s="782"/>
    </row>
    <row r="342" spans="1:10" ht="13.5" customHeight="1" x14ac:dyDescent="0.2">
      <c r="A342" s="585"/>
      <c r="B342" s="585"/>
      <c r="C342" s="795"/>
      <c r="D342" s="803"/>
      <c r="E342" s="950"/>
      <c r="F342" s="782"/>
      <c r="G342" s="847"/>
      <c r="H342" s="855"/>
      <c r="I342" s="782"/>
      <c r="J342" s="782"/>
    </row>
    <row r="343" spans="1:10" ht="13.5" customHeight="1" x14ac:dyDescent="0.2">
      <c r="A343" s="585"/>
      <c r="B343" s="585"/>
      <c r="C343" s="795"/>
      <c r="D343" s="803"/>
      <c r="E343" s="950"/>
      <c r="F343" s="782"/>
      <c r="G343" s="847"/>
      <c r="H343" s="855"/>
      <c r="I343" s="782"/>
      <c r="J343" s="782"/>
    </row>
    <row r="344" spans="1:10" ht="13.5" customHeight="1" x14ac:dyDescent="0.2">
      <c r="A344" s="585"/>
      <c r="B344" s="585"/>
      <c r="C344" s="795"/>
      <c r="D344" s="803"/>
      <c r="E344" s="950"/>
      <c r="F344" s="782"/>
      <c r="G344" s="847"/>
      <c r="H344" s="855"/>
      <c r="I344" s="782"/>
      <c r="J344" s="782"/>
    </row>
    <row r="345" spans="1:10" ht="13.5" customHeight="1" x14ac:dyDescent="0.2">
      <c r="A345" s="585"/>
      <c r="B345" s="585"/>
      <c r="C345" s="795"/>
      <c r="D345" s="803"/>
      <c r="E345" s="950"/>
      <c r="F345" s="782"/>
      <c r="G345" s="847"/>
      <c r="H345" s="855"/>
      <c r="I345" s="782"/>
      <c r="J345" s="782"/>
    </row>
    <row r="346" spans="1:10" ht="13.5" customHeight="1" x14ac:dyDescent="0.2">
      <c r="A346" s="585"/>
      <c r="B346" s="585"/>
      <c r="C346" s="795"/>
      <c r="D346" s="803"/>
      <c r="E346" s="950"/>
      <c r="F346" s="782"/>
      <c r="G346" s="847"/>
      <c r="H346" s="855"/>
      <c r="I346" s="782"/>
      <c r="J346" s="782"/>
    </row>
    <row r="347" spans="1:10" ht="13.5" customHeight="1" x14ac:dyDescent="0.2">
      <c r="A347" s="585"/>
      <c r="B347" s="585"/>
      <c r="C347" s="795"/>
      <c r="D347" s="803"/>
      <c r="E347" s="950"/>
      <c r="F347" s="782"/>
      <c r="G347" s="847"/>
      <c r="H347" s="855"/>
      <c r="I347" s="782"/>
      <c r="J347" s="782"/>
    </row>
    <row r="348" spans="1:10" ht="13.5" customHeight="1" x14ac:dyDescent="0.2">
      <c r="A348" s="585"/>
      <c r="B348" s="585"/>
      <c r="C348" s="795"/>
      <c r="D348" s="803"/>
      <c r="E348" s="950"/>
      <c r="F348" s="782"/>
      <c r="G348" s="847"/>
      <c r="H348" s="855"/>
      <c r="I348" s="782"/>
      <c r="J348" s="782"/>
    </row>
    <row r="349" spans="1:10" ht="13.5" customHeight="1" x14ac:dyDescent="0.2">
      <c r="A349" s="585"/>
      <c r="B349" s="585"/>
      <c r="C349" s="795"/>
      <c r="D349" s="803"/>
      <c r="E349" s="950"/>
      <c r="F349" s="782"/>
      <c r="G349" s="847"/>
      <c r="H349" s="855"/>
      <c r="I349" s="782"/>
      <c r="J349" s="782"/>
    </row>
    <row r="350" spans="1:10" ht="13.5" customHeight="1" x14ac:dyDescent="0.2">
      <c r="A350" s="585"/>
      <c r="B350" s="585"/>
      <c r="C350" s="795"/>
      <c r="D350" s="803"/>
      <c r="E350" s="950"/>
      <c r="F350" s="782"/>
      <c r="G350" s="847"/>
      <c r="H350" s="855"/>
      <c r="I350" s="782"/>
      <c r="J350" s="782"/>
    </row>
    <row r="351" spans="1:10" ht="13.5" customHeight="1" x14ac:dyDescent="0.2">
      <c r="A351" s="585"/>
      <c r="B351" s="585"/>
      <c r="C351" s="795"/>
      <c r="D351" s="803"/>
      <c r="E351" s="950"/>
      <c r="F351" s="782"/>
      <c r="G351" s="847"/>
      <c r="H351" s="855"/>
      <c r="I351" s="782"/>
      <c r="J351" s="782"/>
    </row>
    <row r="352" spans="1:10" ht="13.5" customHeight="1" x14ac:dyDescent="0.2">
      <c r="A352" s="585"/>
      <c r="B352" s="585"/>
      <c r="C352" s="795"/>
      <c r="D352" s="803"/>
      <c r="E352" s="950"/>
      <c r="F352" s="782"/>
      <c r="G352" s="847"/>
      <c r="H352" s="855"/>
      <c r="I352" s="782"/>
      <c r="J352" s="782"/>
    </row>
    <row r="353" spans="1:10" ht="13.5" customHeight="1" x14ac:dyDescent="0.2">
      <c r="A353" s="585"/>
      <c r="B353" s="585"/>
      <c r="C353" s="795"/>
      <c r="D353" s="803"/>
      <c r="E353" s="950"/>
      <c r="F353" s="782"/>
      <c r="G353" s="847"/>
      <c r="H353" s="855"/>
      <c r="I353" s="782"/>
      <c r="J353" s="782"/>
    </row>
    <row r="354" spans="1:10" ht="13.5" customHeight="1" x14ac:dyDescent="0.2">
      <c r="A354" s="585"/>
      <c r="B354" s="585"/>
      <c r="C354" s="795"/>
      <c r="D354" s="803"/>
      <c r="E354" s="950"/>
      <c r="F354" s="782"/>
      <c r="G354" s="847"/>
      <c r="H354" s="855"/>
      <c r="I354" s="782"/>
      <c r="J354" s="782"/>
    </row>
    <row r="355" spans="1:10" ht="13.5" customHeight="1" x14ac:dyDescent="0.2">
      <c r="A355" s="585"/>
      <c r="B355" s="585"/>
      <c r="C355" s="795"/>
      <c r="D355" s="803"/>
      <c r="E355" s="950"/>
      <c r="F355" s="782"/>
      <c r="G355" s="847"/>
      <c r="H355" s="855"/>
      <c r="I355" s="782"/>
      <c r="J355" s="782"/>
    </row>
    <row r="356" spans="1:10" ht="13.5" customHeight="1" x14ac:dyDescent="0.2">
      <c r="A356" s="585"/>
      <c r="B356" s="585"/>
      <c r="C356" s="795"/>
      <c r="D356" s="803"/>
      <c r="E356" s="950"/>
      <c r="F356" s="782"/>
      <c r="G356" s="847"/>
      <c r="H356" s="855"/>
      <c r="I356" s="782"/>
      <c r="J356" s="782"/>
    </row>
    <row r="357" spans="1:10" ht="13.5" customHeight="1" x14ac:dyDescent="0.2">
      <c r="A357" s="585"/>
      <c r="B357" s="585"/>
      <c r="C357" s="795"/>
      <c r="D357" s="803"/>
      <c r="E357" s="950"/>
      <c r="F357" s="782"/>
      <c r="G357" s="847"/>
      <c r="H357" s="855"/>
      <c r="I357" s="782"/>
      <c r="J357" s="782"/>
    </row>
    <row r="358" spans="1:10" ht="13.5" customHeight="1" x14ac:dyDescent="0.2">
      <c r="A358" s="585"/>
      <c r="B358" s="585"/>
      <c r="C358" s="795"/>
      <c r="D358" s="803"/>
      <c r="E358" s="950"/>
      <c r="F358" s="782"/>
      <c r="G358" s="847"/>
      <c r="H358" s="855"/>
      <c r="I358" s="782"/>
      <c r="J358" s="782"/>
    </row>
    <row r="359" spans="1:10" ht="13.5" customHeight="1" x14ac:dyDescent="0.2">
      <c r="A359" s="585"/>
      <c r="B359" s="585"/>
      <c r="C359" s="795"/>
      <c r="D359" s="803"/>
      <c r="E359" s="950"/>
      <c r="F359" s="782"/>
      <c r="G359" s="847"/>
      <c r="H359" s="855"/>
      <c r="I359" s="782"/>
      <c r="J359" s="782"/>
    </row>
    <row r="360" spans="1:10" ht="13.5" customHeight="1" x14ac:dyDescent="0.2">
      <c r="A360" s="585"/>
      <c r="B360" s="585"/>
      <c r="C360" s="795"/>
      <c r="D360" s="803"/>
      <c r="E360" s="950"/>
      <c r="F360" s="782"/>
      <c r="G360" s="847"/>
      <c r="H360" s="855"/>
      <c r="I360" s="782"/>
      <c r="J360" s="782"/>
    </row>
    <row r="361" spans="1:10" ht="13.5" customHeight="1" x14ac:dyDescent="0.2">
      <c r="A361" s="585"/>
      <c r="B361" s="585"/>
      <c r="C361" s="795"/>
      <c r="D361" s="803"/>
      <c r="E361" s="950"/>
      <c r="F361" s="782"/>
      <c r="G361" s="847"/>
      <c r="H361" s="855"/>
      <c r="I361" s="782"/>
      <c r="J361" s="782"/>
    </row>
    <row r="362" spans="1:10" ht="13.5" customHeight="1" x14ac:dyDescent="0.2">
      <c r="A362" s="585"/>
      <c r="B362" s="585"/>
      <c r="C362" s="795"/>
      <c r="D362" s="803"/>
      <c r="E362" s="950"/>
      <c r="F362" s="782"/>
      <c r="G362" s="847"/>
      <c r="H362" s="855"/>
      <c r="I362" s="782"/>
      <c r="J362" s="782"/>
    </row>
    <row r="363" spans="1:10" ht="13.5" customHeight="1" x14ac:dyDescent="0.2">
      <c r="A363" s="585"/>
      <c r="B363" s="585"/>
      <c r="C363" s="795"/>
      <c r="D363" s="803"/>
      <c r="E363" s="950"/>
      <c r="F363" s="782"/>
      <c r="G363" s="847"/>
      <c r="H363" s="855"/>
      <c r="I363" s="782"/>
      <c r="J363" s="782"/>
    </row>
    <row r="364" spans="1:10" ht="13.5" customHeight="1" x14ac:dyDescent="0.2">
      <c r="A364" s="585"/>
      <c r="B364" s="585"/>
      <c r="C364" s="795"/>
      <c r="D364" s="803"/>
      <c r="E364" s="950"/>
      <c r="F364" s="782"/>
      <c r="G364" s="847"/>
      <c r="H364" s="855"/>
      <c r="I364" s="782"/>
      <c r="J364" s="782"/>
    </row>
    <row r="365" spans="1:10" ht="13.5" customHeight="1" x14ac:dyDescent="0.2">
      <c r="A365" s="585"/>
      <c r="B365" s="585"/>
      <c r="C365" s="795"/>
      <c r="D365" s="803"/>
      <c r="E365" s="950"/>
      <c r="F365" s="782"/>
      <c r="G365" s="847"/>
      <c r="H365" s="855"/>
      <c r="I365" s="782"/>
      <c r="J365" s="782"/>
    </row>
    <row r="366" spans="1:10" ht="13.5" customHeight="1" x14ac:dyDescent="0.2">
      <c r="A366" s="585"/>
      <c r="B366" s="585"/>
      <c r="C366" s="795"/>
      <c r="D366" s="803"/>
      <c r="E366" s="950"/>
      <c r="F366" s="782"/>
      <c r="G366" s="847"/>
      <c r="H366" s="856"/>
      <c r="I366" s="782"/>
      <c r="J366" s="782"/>
    </row>
    <row r="367" spans="1:10" ht="13.5" customHeight="1" x14ac:dyDescent="0.2">
      <c r="A367" s="585"/>
      <c r="B367" s="585"/>
      <c r="C367" s="795"/>
      <c r="D367" s="803"/>
      <c r="E367" s="950"/>
      <c r="F367" s="782"/>
      <c r="G367" s="847"/>
      <c r="H367" s="856"/>
      <c r="I367" s="782"/>
      <c r="J367" s="782"/>
    </row>
    <row r="368" spans="1:10" ht="13.5" customHeight="1" x14ac:dyDescent="0.2">
      <c r="A368" s="849"/>
      <c r="B368" s="585"/>
      <c r="C368" s="823"/>
      <c r="D368" s="803"/>
      <c r="E368" s="950"/>
      <c r="F368" s="782"/>
      <c r="G368" s="847"/>
      <c r="H368" s="425"/>
      <c r="I368" s="782"/>
      <c r="J368" s="782"/>
    </row>
    <row r="369" spans="1:10" ht="13.5" customHeight="1" x14ac:dyDescent="0.2">
      <c r="A369" s="585"/>
      <c r="B369" s="585"/>
      <c r="C369" s="795"/>
      <c r="D369" s="803"/>
      <c r="E369" s="950"/>
      <c r="F369" s="782"/>
      <c r="G369" s="847"/>
      <c r="H369" s="856"/>
      <c r="I369" s="782"/>
      <c r="J369" s="782"/>
    </row>
    <row r="370" spans="1:10" ht="13.5" customHeight="1" x14ac:dyDescent="0.2">
      <c r="A370" s="585"/>
      <c r="B370" s="585"/>
      <c r="C370" s="795"/>
      <c r="D370" s="803"/>
      <c r="E370" s="950"/>
      <c r="F370" s="782"/>
      <c r="G370" s="847"/>
      <c r="H370" s="856"/>
      <c r="I370" s="782"/>
      <c r="J370" s="782"/>
    </row>
    <row r="371" spans="1:10" ht="13.5" customHeight="1" x14ac:dyDescent="0.2">
      <c r="A371" s="849"/>
      <c r="B371" s="585"/>
      <c r="C371" s="857"/>
      <c r="D371" s="803"/>
      <c r="E371" s="950"/>
      <c r="F371" s="782"/>
      <c r="G371" s="847"/>
      <c r="H371" s="856"/>
      <c r="I371" s="782"/>
      <c r="J371" s="782"/>
    </row>
    <row r="372" spans="1:10" ht="13.5" customHeight="1" x14ac:dyDescent="0.2">
      <c r="A372" s="849"/>
      <c r="B372" s="585"/>
      <c r="C372" s="795"/>
      <c r="D372" s="803"/>
      <c r="E372" s="950"/>
      <c r="F372" s="782"/>
      <c r="G372" s="847"/>
      <c r="H372" s="856"/>
      <c r="I372" s="782"/>
      <c r="J372" s="782"/>
    </row>
    <row r="373" spans="1:10" ht="13.5" customHeight="1" x14ac:dyDescent="0.2">
      <c r="A373" s="849"/>
      <c r="B373" s="585"/>
      <c r="C373" s="795"/>
      <c r="D373" s="803"/>
      <c r="E373" s="950"/>
      <c r="F373" s="782"/>
      <c r="G373" s="847"/>
      <c r="H373" s="425"/>
      <c r="I373" s="782"/>
      <c r="J373" s="782"/>
    </row>
    <row r="374" spans="1:10" ht="13.5" customHeight="1" x14ac:dyDescent="0.2">
      <c r="A374" s="849"/>
      <c r="B374" s="585"/>
      <c r="C374" s="823"/>
      <c r="D374" s="803"/>
      <c r="E374" s="950"/>
      <c r="F374" s="782"/>
      <c r="G374" s="847"/>
      <c r="H374" s="856"/>
      <c r="I374" s="782"/>
      <c r="J374" s="782"/>
    </row>
    <row r="375" spans="1:10" ht="13.5" customHeight="1" x14ac:dyDescent="0.2">
      <c r="A375" s="585"/>
      <c r="B375" s="585"/>
      <c r="C375" s="795"/>
      <c r="D375" s="803"/>
      <c r="E375" s="950"/>
      <c r="F375" s="782"/>
      <c r="G375" s="847"/>
      <c r="H375" s="856"/>
      <c r="I375" s="782"/>
      <c r="J375" s="782"/>
    </row>
    <row r="376" spans="1:10" ht="13.5" customHeight="1" x14ac:dyDescent="0.2">
      <c r="A376" s="849"/>
      <c r="B376" s="585"/>
      <c r="C376" s="795"/>
      <c r="D376" s="803"/>
      <c r="E376" s="950"/>
      <c r="F376" s="782"/>
      <c r="G376" s="847"/>
      <c r="H376" s="425"/>
      <c r="I376" s="782"/>
      <c r="J376" s="782"/>
    </row>
    <row r="377" spans="1:10" ht="13.5" customHeight="1" x14ac:dyDescent="0.2">
      <c r="A377" s="849"/>
      <c r="B377" s="585"/>
      <c r="C377" s="823"/>
      <c r="D377" s="803"/>
      <c r="E377" s="950"/>
      <c r="F377" s="782"/>
      <c r="G377" s="847"/>
      <c r="H377" s="425"/>
      <c r="I377" s="782"/>
      <c r="J377" s="782"/>
    </row>
    <row r="378" spans="1:10" ht="13.5" customHeight="1" x14ac:dyDescent="0.2">
      <c r="A378" s="585"/>
      <c r="B378" s="585"/>
      <c r="C378" s="795"/>
      <c r="D378" s="803"/>
      <c r="E378" s="950"/>
      <c r="F378" s="782"/>
      <c r="G378" s="847"/>
      <c r="H378" s="856"/>
      <c r="I378" s="782"/>
      <c r="J378" s="782"/>
    </row>
    <row r="379" spans="1:10" ht="13.5" customHeight="1" x14ac:dyDescent="0.2">
      <c r="A379" s="849"/>
      <c r="B379" s="585"/>
      <c r="C379" s="795"/>
      <c r="D379" s="803"/>
      <c r="E379" s="950"/>
      <c r="F379" s="782"/>
      <c r="G379" s="847"/>
      <c r="H379" s="425"/>
      <c r="I379" s="782"/>
      <c r="J379" s="782"/>
    </row>
    <row r="380" spans="1:10" ht="13.5" customHeight="1" x14ac:dyDescent="0.2">
      <c r="A380" s="849"/>
      <c r="B380" s="585"/>
      <c r="C380" s="823"/>
      <c r="D380" s="803"/>
      <c r="E380" s="950"/>
      <c r="F380" s="782"/>
      <c r="G380" s="847"/>
      <c r="H380" s="425"/>
      <c r="I380" s="782"/>
      <c r="J380" s="782"/>
    </row>
    <row r="381" spans="1:10" ht="13.5" customHeight="1" x14ac:dyDescent="0.2">
      <c r="A381" s="585"/>
      <c r="B381" s="585"/>
      <c r="C381" s="795"/>
      <c r="D381" s="803"/>
      <c r="E381" s="950"/>
      <c r="F381" s="782"/>
      <c r="G381" s="847"/>
      <c r="H381" s="856"/>
      <c r="I381" s="782"/>
      <c r="J381" s="782"/>
    </row>
    <row r="382" spans="1:10" ht="13.5" customHeight="1" x14ac:dyDescent="0.2">
      <c r="A382" s="585"/>
      <c r="B382" s="585"/>
      <c r="C382" s="795"/>
      <c r="D382" s="803"/>
      <c r="E382" s="950"/>
      <c r="F382" s="782"/>
      <c r="G382" s="847"/>
      <c r="H382" s="856"/>
      <c r="I382" s="782"/>
      <c r="J382" s="782"/>
    </row>
    <row r="383" spans="1:10" ht="13.5" customHeight="1" x14ac:dyDescent="0.2">
      <c r="A383" s="585"/>
      <c r="B383" s="585"/>
      <c r="C383" s="795"/>
      <c r="D383" s="803"/>
      <c r="E383" s="950"/>
      <c r="F383" s="782"/>
      <c r="G383" s="847"/>
      <c r="H383" s="855"/>
      <c r="I383" s="782"/>
      <c r="J383" s="782"/>
    </row>
    <row r="384" spans="1:10" ht="13.5" customHeight="1" x14ac:dyDescent="0.2">
      <c r="A384" s="849"/>
      <c r="B384" s="585"/>
      <c r="C384" s="858"/>
      <c r="D384" s="803"/>
      <c r="E384" s="950"/>
      <c r="F384" s="782"/>
      <c r="G384" s="847"/>
      <c r="H384" s="855"/>
      <c r="I384" s="782"/>
      <c r="J384" s="782"/>
    </row>
    <row r="385" spans="1:10" ht="13.5" customHeight="1" x14ac:dyDescent="0.2">
      <c r="A385" s="849"/>
      <c r="B385" s="585"/>
      <c r="C385" s="857"/>
      <c r="D385" s="803"/>
      <c r="E385" s="950"/>
      <c r="F385" s="782"/>
      <c r="G385" s="847"/>
      <c r="H385" s="855"/>
      <c r="I385" s="782"/>
      <c r="J385" s="782"/>
    </row>
    <row r="386" spans="1:10" ht="13.5" customHeight="1" x14ac:dyDescent="0.2">
      <c r="A386" s="849"/>
      <c r="B386" s="585"/>
      <c r="C386" s="859"/>
      <c r="D386" s="803"/>
      <c r="E386" s="950"/>
      <c r="F386" s="782"/>
      <c r="G386" s="847"/>
      <c r="H386" s="855"/>
      <c r="I386" s="782"/>
      <c r="J386" s="782"/>
    </row>
    <row r="387" spans="1:10" ht="13.5" customHeight="1" x14ac:dyDescent="0.2">
      <c r="A387" s="849"/>
      <c r="B387" s="585"/>
      <c r="C387" s="860"/>
      <c r="D387" s="803"/>
      <c r="E387" s="950"/>
      <c r="F387" s="782"/>
      <c r="G387" s="847"/>
      <c r="H387" s="855"/>
      <c r="I387" s="782"/>
      <c r="J387" s="782"/>
    </row>
    <row r="388" spans="1:10" ht="13.5" customHeight="1" x14ac:dyDescent="0.2">
      <c r="A388" s="831"/>
      <c r="B388" s="603"/>
      <c r="C388" s="569"/>
      <c r="D388" s="581"/>
      <c r="E388" s="930"/>
      <c r="F388" s="573"/>
      <c r="G388" s="792"/>
      <c r="H388" s="861"/>
      <c r="I388" s="573"/>
      <c r="J388" s="782"/>
    </row>
    <row r="389" spans="1:10" ht="13.5" customHeight="1" x14ac:dyDescent="0.2">
      <c r="A389" s="603"/>
      <c r="B389" s="603"/>
      <c r="C389" s="569"/>
      <c r="D389" s="581"/>
      <c r="E389" s="930"/>
      <c r="F389" s="573"/>
      <c r="G389" s="792"/>
      <c r="H389" s="862"/>
      <c r="I389" s="573"/>
      <c r="J389" s="782"/>
    </row>
    <row r="390" spans="1:10" ht="13.5" customHeight="1" x14ac:dyDescent="0.2">
      <c r="A390" s="603"/>
      <c r="B390" s="603"/>
      <c r="C390" s="569"/>
      <c r="D390" s="581"/>
      <c r="E390" s="930"/>
      <c r="F390" s="573"/>
      <c r="G390" s="792"/>
      <c r="H390" s="861"/>
      <c r="I390" s="573"/>
      <c r="J390" s="782"/>
    </row>
    <row r="391" spans="1:10" ht="13.5" customHeight="1" x14ac:dyDescent="0.2">
      <c r="A391" s="831"/>
      <c r="B391" s="603"/>
      <c r="D391" s="581"/>
      <c r="E391" s="930"/>
      <c r="F391" s="573"/>
      <c r="G391" s="792"/>
      <c r="H391" s="861"/>
      <c r="I391" s="573"/>
      <c r="J391" s="782"/>
    </row>
    <row r="392" spans="1:10" ht="13.5" customHeight="1" x14ac:dyDescent="0.2">
      <c r="A392" s="603"/>
      <c r="B392" s="603"/>
      <c r="C392" s="569"/>
      <c r="D392" s="581"/>
      <c r="E392" s="930"/>
      <c r="F392" s="573"/>
      <c r="G392" s="792"/>
      <c r="H392" s="862"/>
      <c r="I392" s="573"/>
      <c r="J392" s="782"/>
    </row>
    <row r="393" spans="1:10" ht="13.5" customHeight="1" x14ac:dyDescent="0.2">
      <c r="A393" s="603"/>
      <c r="B393" s="603"/>
      <c r="C393" s="569"/>
      <c r="D393" s="581"/>
      <c r="E393" s="930"/>
      <c r="F393" s="573"/>
      <c r="G393" s="792"/>
      <c r="H393" s="862"/>
      <c r="I393" s="573"/>
      <c r="J393" s="782"/>
    </row>
    <row r="394" spans="1:10" ht="13.5" customHeight="1" x14ac:dyDescent="0.2">
      <c r="A394" s="603"/>
      <c r="B394" s="603"/>
      <c r="C394" s="569"/>
      <c r="D394" s="581"/>
      <c r="E394" s="930"/>
      <c r="F394" s="573"/>
      <c r="G394" s="792"/>
      <c r="H394" s="862"/>
      <c r="I394" s="573"/>
      <c r="J394" s="782"/>
    </row>
    <row r="395" spans="1:10" ht="13.5" customHeight="1" x14ac:dyDescent="0.2">
      <c r="A395" s="831"/>
      <c r="B395" s="603"/>
      <c r="C395" s="634"/>
      <c r="D395" s="581"/>
      <c r="E395" s="930"/>
      <c r="F395" s="573"/>
      <c r="G395" s="792"/>
      <c r="H395" s="426"/>
      <c r="I395" s="573"/>
      <c r="J395" s="782"/>
    </row>
    <row r="396" spans="1:10" ht="13.5" customHeight="1" x14ac:dyDescent="0.2">
      <c r="A396" s="831"/>
      <c r="B396" s="603"/>
      <c r="C396" s="634"/>
      <c r="D396" s="581"/>
      <c r="E396" s="930"/>
      <c r="F396" s="573"/>
      <c r="G396" s="792"/>
      <c r="H396" s="862"/>
      <c r="I396" s="573"/>
      <c r="J396" s="782"/>
    </row>
    <row r="397" spans="1:10" ht="13.5" customHeight="1" x14ac:dyDescent="0.2">
      <c r="A397" s="831"/>
      <c r="B397" s="603"/>
      <c r="D397" s="581"/>
      <c r="E397" s="930"/>
      <c r="F397" s="573"/>
      <c r="G397" s="792"/>
      <c r="H397" s="426"/>
      <c r="I397" s="573"/>
      <c r="J397" s="782"/>
    </row>
    <row r="398" spans="1:10" ht="13.5" customHeight="1" x14ac:dyDescent="0.2">
      <c r="A398" s="603"/>
      <c r="B398" s="603"/>
      <c r="C398" s="569"/>
      <c r="D398" s="581"/>
      <c r="E398" s="930"/>
      <c r="F398" s="573"/>
      <c r="G398" s="792"/>
      <c r="H398" s="861"/>
      <c r="I398" s="573"/>
      <c r="J398" s="782"/>
    </row>
    <row r="399" spans="1:10" ht="13.5" customHeight="1" x14ac:dyDescent="0.2">
      <c r="A399" s="603"/>
      <c r="B399" s="603"/>
      <c r="C399" s="569"/>
      <c r="D399" s="581"/>
      <c r="E399" s="930"/>
      <c r="F399" s="573"/>
      <c r="G399" s="792"/>
      <c r="H399" s="861"/>
      <c r="I399" s="573"/>
      <c r="J399" s="782"/>
    </row>
    <row r="400" spans="1:10" ht="13.5" customHeight="1" x14ac:dyDescent="0.2">
      <c r="A400" s="603"/>
      <c r="B400" s="603"/>
      <c r="C400" s="569"/>
      <c r="D400" s="581"/>
      <c r="E400" s="930"/>
      <c r="F400" s="573"/>
      <c r="G400" s="792"/>
      <c r="H400" s="861"/>
      <c r="I400" s="573"/>
      <c r="J400" s="782"/>
    </row>
    <row r="401" spans="1:10" ht="13.5" customHeight="1" x14ac:dyDescent="0.2">
      <c r="A401" s="603"/>
      <c r="B401" s="603"/>
      <c r="C401" s="569"/>
      <c r="D401" s="581"/>
      <c r="E401" s="930"/>
      <c r="F401" s="573"/>
      <c r="G401" s="792"/>
      <c r="H401" s="861"/>
      <c r="I401" s="573"/>
      <c r="J401" s="782"/>
    </row>
    <row r="402" spans="1:10" x14ac:dyDescent="0.2">
      <c r="A402" s="863"/>
      <c r="B402" s="864"/>
      <c r="C402" s="865"/>
      <c r="D402" s="634"/>
      <c r="E402" s="874"/>
      <c r="F402" s="634"/>
      <c r="G402" s="634"/>
      <c r="H402" s="427"/>
      <c r="I402" s="572"/>
      <c r="J402" s="804"/>
    </row>
  </sheetData>
  <mergeCells count="4">
    <mergeCell ref="A1:C1"/>
    <mergeCell ref="D1:G1"/>
    <mergeCell ref="H1:J1"/>
    <mergeCell ref="H161:J161"/>
  </mergeCells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91"/>
  <sheetViews>
    <sheetView topLeftCell="A202" zoomScale="80" zoomScaleNormal="80" workbookViewId="0">
      <selection activeCell="B219" sqref="B219"/>
    </sheetView>
  </sheetViews>
  <sheetFormatPr defaultColWidth="9" defaultRowHeight="12.75" zeroHeight="1" x14ac:dyDescent="0.2"/>
  <cols>
    <col min="1" max="1" width="11.5" style="724" bestFit="1" customWidth="1"/>
    <col min="2" max="2" width="95.875" style="97" customWidth="1"/>
    <col min="3" max="3" width="13.75" style="879" bestFit="1" customWidth="1"/>
    <col min="4" max="4" width="14.625" style="879" bestFit="1" customWidth="1"/>
    <col min="5" max="5" width="13.875" style="97" customWidth="1"/>
    <col min="6" max="6" width="10.125" style="97" bestFit="1" customWidth="1"/>
    <col min="7" max="7" width="11.25" style="97" bestFit="1" customWidth="1"/>
    <col min="8" max="8" width="8" style="97" customWidth="1"/>
    <col min="9" max="9" width="8.75" style="97" bestFit="1" customWidth="1"/>
    <col min="10" max="10" width="10.5" style="97" bestFit="1" customWidth="1"/>
    <col min="11" max="13" width="8" style="97" customWidth="1"/>
    <col min="14" max="16384" width="9" style="97"/>
  </cols>
  <sheetData>
    <row r="1" spans="1:10" x14ac:dyDescent="0.2">
      <c r="F1" s="97" t="s">
        <v>218</v>
      </c>
      <c r="G1" s="97" t="s">
        <v>219</v>
      </c>
      <c r="H1" s="97" t="s">
        <v>220</v>
      </c>
      <c r="I1" s="97" t="s">
        <v>221</v>
      </c>
      <c r="J1" s="97" t="s">
        <v>222</v>
      </c>
    </row>
    <row r="2" spans="1:10" ht="13.5" customHeight="1" x14ac:dyDescent="0.2">
      <c r="A2" s="724" t="s">
        <v>3762</v>
      </c>
      <c r="B2" s="722" t="s">
        <v>5922</v>
      </c>
      <c r="C2" s="952"/>
      <c r="D2" s="904">
        <v>940</v>
      </c>
      <c r="E2" s="791"/>
      <c r="F2" s="402">
        <v>1020</v>
      </c>
      <c r="G2" s="402">
        <v>80</v>
      </c>
      <c r="H2" s="402"/>
      <c r="I2" s="402"/>
      <c r="J2" s="618">
        <v>940</v>
      </c>
    </row>
    <row r="3" spans="1:10" ht="13.5" customHeight="1" x14ac:dyDescent="0.2">
      <c r="A3" s="724" t="s">
        <v>3762</v>
      </c>
      <c r="B3" s="793" t="s">
        <v>5954</v>
      </c>
      <c r="C3" s="890"/>
      <c r="D3" s="953">
        <v>860</v>
      </c>
      <c r="E3" s="791"/>
      <c r="F3" s="402">
        <v>940</v>
      </c>
      <c r="G3" s="402">
        <v>80</v>
      </c>
      <c r="H3" s="402"/>
      <c r="I3" s="402"/>
      <c r="J3" s="618">
        <f t="shared" ref="J3:J8" si="0">F3-G3-H3-I3</f>
        <v>860</v>
      </c>
    </row>
    <row r="4" spans="1:10" ht="13.5" customHeight="1" x14ac:dyDescent="0.2">
      <c r="A4" s="724" t="s">
        <v>3762</v>
      </c>
      <c r="B4" s="722" t="s">
        <v>5940</v>
      </c>
      <c r="C4" s="954"/>
      <c r="D4" s="955">
        <v>940</v>
      </c>
      <c r="E4" s="791"/>
      <c r="F4" s="402">
        <v>1020</v>
      </c>
      <c r="G4" s="402">
        <v>80</v>
      </c>
      <c r="H4" s="402"/>
      <c r="I4" s="402"/>
      <c r="J4" s="618">
        <f t="shared" si="0"/>
        <v>940</v>
      </c>
    </row>
    <row r="5" spans="1:10" ht="13.5" customHeight="1" x14ac:dyDescent="0.2">
      <c r="A5" s="724" t="s">
        <v>3762</v>
      </c>
      <c r="B5" s="722" t="s">
        <v>5969</v>
      </c>
      <c r="C5" s="954"/>
      <c r="D5" s="955">
        <v>960</v>
      </c>
      <c r="E5" s="791"/>
      <c r="F5" s="402">
        <v>1040</v>
      </c>
      <c r="G5" s="402">
        <v>80</v>
      </c>
      <c r="H5" s="402"/>
      <c r="I5" s="402"/>
      <c r="J5" s="618">
        <f t="shared" si="0"/>
        <v>960</v>
      </c>
    </row>
    <row r="6" spans="1:10" ht="13.5" customHeight="1" x14ac:dyDescent="0.2">
      <c r="A6" s="724" t="s">
        <v>3762</v>
      </c>
      <c r="B6" s="722" t="s">
        <v>5968</v>
      </c>
      <c r="C6" s="954"/>
      <c r="D6" s="955">
        <v>862</v>
      </c>
      <c r="E6" s="791"/>
      <c r="F6" s="402">
        <v>942</v>
      </c>
      <c r="G6" s="402">
        <v>80</v>
      </c>
      <c r="H6" s="402"/>
      <c r="I6" s="402"/>
      <c r="J6" s="618">
        <f t="shared" si="0"/>
        <v>862</v>
      </c>
    </row>
    <row r="7" spans="1:10" ht="13.5" customHeight="1" x14ac:dyDescent="0.2">
      <c r="A7" s="724" t="s">
        <v>3762</v>
      </c>
      <c r="B7" s="722" t="s">
        <v>5941</v>
      </c>
      <c r="C7" s="954"/>
      <c r="D7" s="955">
        <v>1500</v>
      </c>
      <c r="E7" s="791"/>
      <c r="F7" s="402">
        <v>1580</v>
      </c>
      <c r="G7" s="402">
        <v>80</v>
      </c>
      <c r="H7" s="402"/>
      <c r="I7" s="402"/>
      <c r="J7" s="618">
        <f t="shared" si="0"/>
        <v>1500</v>
      </c>
    </row>
    <row r="8" spans="1:10" ht="13.5" customHeight="1" x14ac:dyDescent="0.2">
      <c r="A8" s="724" t="s">
        <v>3762</v>
      </c>
      <c r="B8" s="722" t="s">
        <v>5902</v>
      </c>
      <c r="C8" s="954"/>
      <c r="D8" s="955">
        <v>1430</v>
      </c>
      <c r="E8" s="791"/>
      <c r="F8" s="402">
        <v>1430</v>
      </c>
      <c r="G8" s="402"/>
      <c r="H8" s="402"/>
      <c r="I8" s="402"/>
      <c r="J8" s="618">
        <f t="shared" si="0"/>
        <v>1430</v>
      </c>
    </row>
    <row r="9" spans="1:10" ht="13.5" customHeight="1" x14ac:dyDescent="0.2">
      <c r="A9" s="724" t="s">
        <v>3762</v>
      </c>
      <c r="B9" s="722" t="s">
        <v>5971</v>
      </c>
      <c r="C9" s="954"/>
      <c r="D9" s="955">
        <v>1200</v>
      </c>
      <c r="E9" s="791"/>
      <c r="F9" s="402">
        <v>1280</v>
      </c>
      <c r="G9" s="402">
        <v>80</v>
      </c>
      <c r="H9" s="402"/>
      <c r="I9" s="402"/>
      <c r="J9" s="618">
        <v>1200</v>
      </c>
    </row>
    <row r="10" spans="1:10" ht="13.5" customHeight="1" x14ac:dyDescent="0.2">
      <c r="A10" s="724" t="s">
        <v>3762</v>
      </c>
      <c r="B10" s="722" t="s">
        <v>5987</v>
      </c>
      <c r="C10" s="954"/>
      <c r="D10" s="955">
        <v>1150</v>
      </c>
      <c r="E10" s="791"/>
      <c r="F10" s="402">
        <v>1230</v>
      </c>
      <c r="G10" s="402">
        <v>80</v>
      </c>
      <c r="H10" s="402"/>
      <c r="I10" s="402"/>
      <c r="J10" s="618">
        <f>F10-G10-H10-I10</f>
        <v>1150</v>
      </c>
    </row>
    <row r="11" spans="1:10" ht="13.5" customHeight="1" x14ac:dyDescent="0.2">
      <c r="A11" s="724" t="s">
        <v>3762</v>
      </c>
      <c r="B11" s="722" t="s">
        <v>6079</v>
      </c>
      <c r="C11" s="954"/>
      <c r="D11" s="955">
        <v>900</v>
      </c>
      <c r="E11" s="791"/>
      <c r="F11" s="871"/>
      <c r="G11" s="101">
        <v>0</v>
      </c>
      <c r="H11" s="101">
        <v>0</v>
      </c>
      <c r="I11" s="101">
        <v>0</v>
      </c>
      <c r="J11" s="872">
        <f>F11-G11-H11-I11</f>
        <v>0</v>
      </c>
    </row>
    <row r="12" spans="1:10" ht="13.5" customHeight="1" x14ac:dyDescent="0.2">
      <c r="A12" s="724" t="s">
        <v>3762</v>
      </c>
      <c r="B12" s="722" t="s">
        <v>10</v>
      </c>
      <c r="C12" s="954"/>
      <c r="D12" s="955">
        <v>640</v>
      </c>
      <c r="E12" s="791"/>
      <c r="F12" s="823"/>
      <c r="G12" s="890">
        <f>SUM(G2:G11)</f>
        <v>640</v>
      </c>
      <c r="H12" s="879">
        <f>SUM(H2:H11)</f>
        <v>0</v>
      </c>
      <c r="I12" s="890">
        <f>SUM(I2:I10)</f>
        <v>0</v>
      </c>
      <c r="J12" s="956"/>
    </row>
    <row r="13" spans="1:10" ht="13.5" customHeight="1" x14ac:dyDescent="0.2">
      <c r="A13" s="724" t="s">
        <v>3762</v>
      </c>
      <c r="B13" s="722" t="s">
        <v>5923</v>
      </c>
      <c r="C13" s="954"/>
      <c r="D13" s="955">
        <v>1971.41</v>
      </c>
      <c r="E13" s="791"/>
      <c r="F13" s="957">
        <v>1971.41</v>
      </c>
      <c r="G13" s="764"/>
      <c r="H13" s="402"/>
      <c r="I13" s="764"/>
      <c r="J13" s="618">
        <f>SUM(F13,G13,H13,I13)</f>
        <v>1971.41</v>
      </c>
    </row>
    <row r="14" spans="1:10" ht="13.5" customHeight="1" x14ac:dyDescent="0.2">
      <c r="A14" s="724" t="s">
        <v>3762</v>
      </c>
      <c r="B14" s="722" t="s">
        <v>5908</v>
      </c>
      <c r="C14" s="954"/>
      <c r="D14" s="955">
        <v>890</v>
      </c>
      <c r="E14" s="791"/>
      <c r="F14" s="958">
        <v>890</v>
      </c>
      <c r="G14" s="402"/>
      <c r="H14" s="402"/>
      <c r="I14" s="402"/>
      <c r="J14" s="618">
        <f>SUM(F14,G14,H14,I14)</f>
        <v>890</v>
      </c>
    </row>
    <row r="15" spans="1:10" ht="13.5" customHeight="1" x14ac:dyDescent="0.2">
      <c r="A15" s="724" t="s">
        <v>3762</v>
      </c>
      <c r="B15" s="722" t="s">
        <v>5996</v>
      </c>
      <c r="C15" s="954"/>
      <c r="D15" s="955">
        <v>3500</v>
      </c>
      <c r="E15" s="791"/>
      <c r="F15" s="958">
        <v>3500</v>
      </c>
      <c r="G15" s="402"/>
      <c r="H15" s="402"/>
      <c r="I15" s="402"/>
      <c r="J15" s="618">
        <f>SUM(F15,G15,H15,I15)</f>
        <v>3500</v>
      </c>
    </row>
    <row r="16" spans="1:10" ht="13.5" customHeight="1" x14ac:dyDescent="0.2">
      <c r="A16" s="724" t="s">
        <v>3762</v>
      </c>
      <c r="B16" s="722" t="s">
        <v>5932</v>
      </c>
      <c r="C16" s="954"/>
      <c r="D16" s="955">
        <v>2050</v>
      </c>
      <c r="E16" s="791"/>
      <c r="F16" s="958">
        <v>2050</v>
      </c>
      <c r="G16" s="402"/>
      <c r="H16" s="402"/>
      <c r="I16" s="402"/>
      <c r="J16" s="618">
        <f>SUM(F16,G16,H16,I16)</f>
        <v>2050</v>
      </c>
    </row>
    <row r="17" spans="1:10" ht="13.5" customHeight="1" x14ac:dyDescent="0.2">
      <c r="A17" s="724" t="s">
        <v>3762</v>
      </c>
      <c r="B17" s="722" t="s">
        <v>6080</v>
      </c>
      <c r="C17" s="954"/>
      <c r="D17" s="959" t="s">
        <v>5864</v>
      </c>
      <c r="E17" s="791"/>
      <c r="F17" s="959" t="s">
        <v>5864</v>
      </c>
      <c r="G17" s="102"/>
      <c r="H17" s="102"/>
      <c r="I17" s="102"/>
      <c r="J17" s="875">
        <f>SUM(F17,G17,H17,I17)</f>
        <v>0</v>
      </c>
    </row>
    <row r="18" spans="1:10" ht="13.5" customHeight="1" x14ac:dyDescent="0.2">
      <c r="A18" s="724" t="s">
        <v>3762</v>
      </c>
      <c r="B18" s="722" t="s">
        <v>5997</v>
      </c>
      <c r="C18" s="954"/>
      <c r="D18" s="960">
        <v>190</v>
      </c>
      <c r="E18" s="791"/>
      <c r="G18" s="634"/>
      <c r="I18" s="890">
        <f>SUM(I13:I17)</f>
        <v>0</v>
      </c>
    </row>
    <row r="19" spans="1:10" ht="13.5" customHeight="1" x14ac:dyDescent="0.2">
      <c r="A19" s="724" t="s">
        <v>3762</v>
      </c>
      <c r="B19" s="722" t="s">
        <v>5946</v>
      </c>
      <c r="C19" s="954"/>
      <c r="D19" s="960">
        <v>185</v>
      </c>
      <c r="E19" s="791"/>
      <c r="G19" s="961">
        <f>SUM(G12,G18)</f>
        <v>640</v>
      </c>
      <c r="I19" s="961">
        <f>SUM(I12,I18)</f>
        <v>0</v>
      </c>
    </row>
    <row r="20" spans="1:10" ht="13.5" customHeight="1" x14ac:dyDescent="0.2">
      <c r="A20" s="724" t="s">
        <v>3762</v>
      </c>
      <c r="B20" s="722" t="s">
        <v>5910</v>
      </c>
      <c r="C20" s="954"/>
      <c r="D20" s="960">
        <v>190</v>
      </c>
      <c r="E20" s="791"/>
    </row>
    <row r="21" spans="1:10" ht="13.5" customHeight="1" x14ac:dyDescent="0.2">
      <c r="A21" s="724" t="s">
        <v>3762</v>
      </c>
      <c r="B21" s="722" t="s">
        <v>5949</v>
      </c>
      <c r="C21" s="954"/>
      <c r="D21" s="960">
        <v>190</v>
      </c>
      <c r="E21" s="791"/>
    </row>
    <row r="22" spans="1:10" ht="13.5" customHeight="1" x14ac:dyDescent="0.2">
      <c r="A22" s="724" t="s">
        <v>3762</v>
      </c>
      <c r="B22" s="722" t="s">
        <v>5970</v>
      </c>
      <c r="C22" s="954"/>
      <c r="D22" s="960">
        <v>185</v>
      </c>
      <c r="E22" s="791"/>
    </row>
    <row r="23" spans="1:10" ht="13.5" customHeight="1" x14ac:dyDescent="0.2">
      <c r="A23" s="724" t="s">
        <v>3762</v>
      </c>
      <c r="B23" s="722" t="s">
        <v>5942</v>
      </c>
      <c r="C23" s="954"/>
      <c r="D23" s="960">
        <v>190</v>
      </c>
      <c r="E23" s="791"/>
    </row>
    <row r="24" spans="1:10" ht="13.5" customHeight="1" x14ac:dyDescent="0.2">
      <c r="A24" s="724" t="s">
        <v>3762</v>
      </c>
      <c r="B24" s="722" t="s">
        <v>5909</v>
      </c>
      <c r="C24" s="954"/>
      <c r="D24" s="960">
        <v>110</v>
      </c>
      <c r="E24" s="791"/>
    </row>
    <row r="25" spans="1:10" ht="13.5" customHeight="1" x14ac:dyDescent="0.2">
      <c r="A25" s="724" t="s">
        <v>3762</v>
      </c>
      <c r="B25" s="722" t="s">
        <v>5892</v>
      </c>
      <c r="C25" s="954"/>
      <c r="D25" s="960">
        <v>200</v>
      </c>
      <c r="E25" s="791"/>
    </row>
    <row r="26" spans="1:10" ht="13.5" customHeight="1" x14ac:dyDescent="0.2">
      <c r="A26" s="724" t="s">
        <v>3762</v>
      </c>
      <c r="B26" s="722" t="s">
        <v>5903</v>
      </c>
      <c r="C26" s="954"/>
      <c r="D26" s="960">
        <v>60</v>
      </c>
      <c r="E26" s="791"/>
    </row>
    <row r="27" spans="1:10" ht="13.5" customHeight="1" x14ac:dyDescent="0.2">
      <c r="A27" s="724" t="s">
        <v>3762</v>
      </c>
      <c r="B27" s="722" t="s">
        <v>5950</v>
      </c>
      <c r="C27" s="954"/>
      <c r="D27" s="960">
        <v>50</v>
      </c>
      <c r="E27" s="791"/>
    </row>
    <row r="28" spans="1:10" ht="14.25" customHeight="1" x14ac:dyDescent="0.2">
      <c r="A28" s="724" t="s">
        <v>3762</v>
      </c>
      <c r="B28" s="722" t="s">
        <v>5927</v>
      </c>
      <c r="C28" s="954"/>
      <c r="D28" s="960">
        <v>80</v>
      </c>
      <c r="E28" s="962">
        <f>SUM(D18:D28)</f>
        <v>1630</v>
      </c>
    </row>
    <row r="29" spans="1:10" ht="13.5" customHeight="1" x14ac:dyDescent="0.2">
      <c r="A29" s="724" t="s">
        <v>3762</v>
      </c>
      <c r="B29" s="722" t="s">
        <v>5981</v>
      </c>
      <c r="C29" s="954"/>
      <c r="D29" s="955">
        <v>84</v>
      </c>
      <c r="E29" s="791"/>
    </row>
    <row r="30" spans="1:10" ht="13.5" customHeight="1" x14ac:dyDescent="0.2">
      <c r="B30" s="722"/>
      <c r="C30" s="954"/>
      <c r="D30" s="963">
        <f>SUM(D2:D29)</f>
        <v>21507.41</v>
      </c>
      <c r="E30" s="791"/>
    </row>
    <row r="31" spans="1:10" ht="13.5" customHeight="1" x14ac:dyDescent="0.2">
      <c r="B31" s="722"/>
      <c r="C31" s="954"/>
      <c r="D31" s="955"/>
      <c r="E31" s="791"/>
    </row>
    <row r="32" spans="1:10" ht="13.5" customHeight="1" x14ac:dyDescent="0.2">
      <c r="A32" s="724" t="s">
        <v>3762</v>
      </c>
      <c r="B32" s="722" t="s">
        <v>5895</v>
      </c>
      <c r="C32" s="954"/>
      <c r="D32" s="955">
        <v>323</v>
      </c>
      <c r="E32" s="791"/>
      <c r="F32" s="109">
        <v>355</v>
      </c>
      <c r="G32" s="109"/>
      <c r="H32" s="109">
        <v>32</v>
      </c>
      <c r="I32" s="109"/>
      <c r="J32" s="618">
        <f>F32-G32-H32-I32</f>
        <v>323</v>
      </c>
    </row>
    <row r="33" spans="1:10" ht="13.5" customHeight="1" x14ac:dyDescent="0.2">
      <c r="A33" s="724" t="s">
        <v>3762</v>
      </c>
      <c r="B33" s="722" t="s">
        <v>6017</v>
      </c>
      <c r="C33" s="954"/>
      <c r="D33" s="955">
        <v>320</v>
      </c>
      <c r="E33" s="791"/>
      <c r="F33" s="109">
        <v>320</v>
      </c>
      <c r="G33" s="109"/>
      <c r="H33" s="109"/>
      <c r="I33" s="109"/>
      <c r="J33" s="618">
        <f>F33-G33-H33-I33</f>
        <v>320</v>
      </c>
    </row>
    <row r="34" spans="1:10" ht="13.5" customHeight="1" x14ac:dyDescent="0.2">
      <c r="A34" s="724" t="s">
        <v>3762</v>
      </c>
      <c r="B34" s="722" t="s">
        <v>5904</v>
      </c>
      <c r="C34" s="954"/>
      <c r="D34" s="955">
        <v>2250</v>
      </c>
      <c r="E34" s="791"/>
      <c r="F34" s="109">
        <v>2296.13</v>
      </c>
      <c r="G34" s="109"/>
      <c r="H34" s="109"/>
      <c r="I34" s="109">
        <v>46.13</v>
      </c>
      <c r="J34" s="618">
        <f>F34-G34-H34-I34</f>
        <v>2250</v>
      </c>
    </row>
    <row r="35" spans="1:10" ht="13.5" customHeight="1" x14ac:dyDescent="0.2">
      <c r="A35" s="724" t="s">
        <v>3762</v>
      </c>
      <c r="B35" s="722" t="s">
        <v>5979</v>
      </c>
      <c r="C35" s="954"/>
      <c r="D35" s="955">
        <v>7500</v>
      </c>
      <c r="E35" s="791"/>
      <c r="F35" s="109">
        <v>7500</v>
      </c>
      <c r="G35" s="109"/>
      <c r="H35" s="109"/>
      <c r="I35" s="109"/>
      <c r="J35" s="618">
        <f>F35-G35-H35-I35</f>
        <v>7500</v>
      </c>
    </row>
    <row r="36" spans="1:10" ht="13.5" customHeight="1" x14ac:dyDescent="0.2">
      <c r="A36" s="724" t="s">
        <v>3762</v>
      </c>
      <c r="B36" s="569" t="s">
        <v>5980</v>
      </c>
      <c r="C36" s="954"/>
      <c r="D36" s="955">
        <v>500</v>
      </c>
      <c r="E36" s="791"/>
      <c r="F36" s="109">
        <v>500</v>
      </c>
      <c r="G36" s="109"/>
      <c r="H36" s="109"/>
      <c r="I36" s="109"/>
      <c r="J36" s="618">
        <f>F36-G36-H36-I36</f>
        <v>500</v>
      </c>
    </row>
    <row r="37" spans="1:10" ht="13.5" customHeight="1" x14ac:dyDescent="0.2">
      <c r="A37" s="724" t="s">
        <v>221</v>
      </c>
      <c r="B37" s="722" t="s">
        <v>6081</v>
      </c>
      <c r="C37" s="954"/>
      <c r="D37" s="955">
        <f>I39+H39</f>
        <v>78.13</v>
      </c>
      <c r="E37" s="791"/>
      <c r="F37" s="109"/>
      <c r="G37" s="109"/>
      <c r="H37" s="109"/>
      <c r="I37" s="109"/>
      <c r="J37" s="618"/>
    </row>
    <row r="38" spans="1:10" ht="13.5" customHeight="1" x14ac:dyDescent="0.2">
      <c r="B38" s="722"/>
      <c r="C38" s="954"/>
      <c r="D38" s="963">
        <f>SUM(D32:D37)</f>
        <v>10971.13</v>
      </c>
      <c r="E38" s="791"/>
      <c r="F38" s="101">
        <v>0</v>
      </c>
      <c r="G38" s="101">
        <v>0</v>
      </c>
      <c r="H38" s="101">
        <v>0</v>
      </c>
      <c r="I38" s="101">
        <v>0</v>
      </c>
      <c r="J38" s="875">
        <f>F38-G38-H38-I38</f>
        <v>0</v>
      </c>
    </row>
    <row r="39" spans="1:10" ht="13.5" customHeight="1" x14ac:dyDescent="0.2">
      <c r="B39" s="722"/>
      <c r="C39" s="954"/>
      <c r="D39" s="955"/>
      <c r="E39" s="791"/>
      <c r="F39" s="885"/>
      <c r="G39" s="885">
        <f>SUM(G32:G38)</f>
        <v>0</v>
      </c>
      <c r="H39" s="885">
        <f>SUM(H32:H38)</f>
        <v>32</v>
      </c>
      <c r="I39" s="886">
        <f>SUM(I32:I38)</f>
        <v>46.13</v>
      </c>
      <c r="J39" s="887"/>
    </row>
    <row r="40" spans="1:10" ht="13.5" customHeight="1" x14ac:dyDescent="0.2">
      <c r="A40" s="724" t="s">
        <v>223</v>
      </c>
      <c r="B40" s="793" t="s">
        <v>5787</v>
      </c>
      <c r="C40" s="964">
        <v>501.6</v>
      </c>
      <c r="D40" s="955"/>
      <c r="E40" s="791"/>
      <c r="F40" s="885"/>
      <c r="G40" s="885"/>
      <c r="H40" s="885"/>
      <c r="I40" s="885"/>
      <c r="J40" s="887"/>
    </row>
    <row r="41" spans="1:10" ht="13.5" customHeight="1" x14ac:dyDescent="0.2">
      <c r="A41" s="724" t="s">
        <v>223</v>
      </c>
      <c r="B41" s="793" t="s">
        <v>5787</v>
      </c>
      <c r="C41" s="964">
        <v>4375.4799999999996</v>
      </c>
      <c r="D41" s="955"/>
      <c r="E41" s="791"/>
    </row>
    <row r="42" spans="1:10" ht="13.5" customHeight="1" x14ac:dyDescent="0.2">
      <c r="A42" s="724" t="s">
        <v>223</v>
      </c>
      <c r="B42" s="793" t="s">
        <v>5708</v>
      </c>
      <c r="C42" s="954">
        <v>-6000</v>
      </c>
      <c r="D42" s="955"/>
      <c r="E42" s="791"/>
    </row>
    <row r="43" spans="1:10" ht="13.5" customHeight="1" x14ac:dyDescent="0.2">
      <c r="A43" s="724" t="s">
        <v>223</v>
      </c>
      <c r="B43" s="793" t="s">
        <v>5708</v>
      </c>
      <c r="C43" s="954">
        <v>-4500</v>
      </c>
      <c r="D43" s="955"/>
      <c r="E43" s="791"/>
    </row>
    <row r="44" spans="1:10" ht="13.5" customHeight="1" x14ac:dyDescent="0.2">
      <c r="A44" s="724" t="s">
        <v>223</v>
      </c>
      <c r="B44" s="793" t="s">
        <v>5708</v>
      </c>
      <c r="C44" s="954">
        <v>-3977</v>
      </c>
      <c r="D44" s="955"/>
      <c r="E44" s="791"/>
    </row>
    <row r="45" spans="1:10" ht="13.5" customHeight="1" x14ac:dyDescent="0.2">
      <c r="A45" s="724" t="s">
        <v>223</v>
      </c>
      <c r="B45" s="793" t="s">
        <v>5708</v>
      </c>
      <c r="C45" s="954">
        <v>-2255.4899999999998</v>
      </c>
      <c r="D45" s="955"/>
      <c r="E45" s="791"/>
    </row>
    <row r="46" spans="1:10" ht="13.5" customHeight="1" x14ac:dyDescent="0.2">
      <c r="A46" s="724" t="s">
        <v>223</v>
      </c>
      <c r="B46" s="793" t="s">
        <v>5708</v>
      </c>
      <c r="C46" s="954">
        <v>-2000</v>
      </c>
      <c r="D46" s="955"/>
      <c r="E46" s="791"/>
    </row>
    <row r="47" spans="1:10" ht="13.5" customHeight="1" x14ac:dyDescent="0.2">
      <c r="A47" s="724" t="s">
        <v>223</v>
      </c>
      <c r="B47" s="793" t="s">
        <v>5708</v>
      </c>
      <c r="C47" s="954">
        <v>-1142.96</v>
      </c>
      <c r="D47" s="955"/>
      <c r="E47" s="791"/>
    </row>
    <row r="48" spans="1:10" ht="13.5" customHeight="1" x14ac:dyDescent="0.2">
      <c r="A48" s="724" t="s">
        <v>223</v>
      </c>
      <c r="B48" s="793" t="s">
        <v>5708</v>
      </c>
      <c r="C48" s="954">
        <v>-1000</v>
      </c>
      <c r="D48" s="955"/>
      <c r="E48" s="791"/>
    </row>
    <row r="49" spans="1:5" ht="13.5" customHeight="1" x14ac:dyDescent="0.2">
      <c r="A49" s="724" t="s">
        <v>223</v>
      </c>
      <c r="B49" s="793" t="s">
        <v>5708</v>
      </c>
      <c r="C49" s="954">
        <v>-870.54</v>
      </c>
      <c r="D49" s="955"/>
      <c r="E49" s="791"/>
    </row>
    <row r="50" spans="1:5" ht="13.5" customHeight="1" x14ac:dyDescent="0.2">
      <c r="A50" s="724" t="s">
        <v>223</v>
      </c>
      <c r="B50" s="793" t="s">
        <v>5708</v>
      </c>
      <c r="C50" s="954">
        <v>-708</v>
      </c>
      <c r="D50" s="955"/>
      <c r="E50" s="791"/>
    </row>
    <row r="51" spans="1:5" ht="13.5" customHeight="1" x14ac:dyDescent="0.2">
      <c r="A51" s="724" t="s">
        <v>223</v>
      </c>
      <c r="B51" s="793" t="s">
        <v>5708</v>
      </c>
      <c r="C51" s="954">
        <v>-501.6</v>
      </c>
      <c r="D51" s="955"/>
      <c r="E51" s="791"/>
    </row>
    <row r="52" spans="1:5" ht="13.5" customHeight="1" x14ac:dyDescent="0.2">
      <c r="A52" s="724" t="s">
        <v>223</v>
      </c>
      <c r="B52" s="793" t="s">
        <v>5708</v>
      </c>
      <c r="C52" s="954">
        <v>-395.21</v>
      </c>
      <c r="D52" s="955"/>
      <c r="E52" s="791"/>
    </row>
    <row r="53" spans="1:5" ht="13.5" customHeight="1" x14ac:dyDescent="0.2">
      <c r="A53" s="724" t="s">
        <v>223</v>
      </c>
      <c r="B53" s="793" t="s">
        <v>5708</v>
      </c>
      <c r="C53" s="954">
        <v>-370</v>
      </c>
      <c r="D53" s="955"/>
      <c r="E53" s="791"/>
    </row>
    <row r="54" spans="1:5" ht="13.5" customHeight="1" x14ac:dyDescent="0.2">
      <c r="A54" s="724" t="s">
        <v>223</v>
      </c>
      <c r="B54" s="793" t="s">
        <v>5708</v>
      </c>
      <c r="C54" s="954">
        <v>-216.8</v>
      </c>
      <c r="D54" s="955"/>
      <c r="E54" s="791"/>
    </row>
    <row r="55" spans="1:5" ht="13.5" customHeight="1" x14ac:dyDescent="0.2">
      <c r="A55" s="724" t="s">
        <v>223</v>
      </c>
      <c r="B55" s="793" t="s">
        <v>5708</v>
      </c>
      <c r="C55" s="954">
        <v>-216.02</v>
      </c>
      <c r="D55" s="955"/>
      <c r="E55" s="791"/>
    </row>
    <row r="56" spans="1:5" ht="13.5" customHeight="1" x14ac:dyDescent="0.2">
      <c r="A56" s="724" t="s">
        <v>223</v>
      </c>
      <c r="B56" s="793" t="s">
        <v>5708</v>
      </c>
      <c r="C56" s="954">
        <v>-190</v>
      </c>
      <c r="D56" s="955"/>
      <c r="E56" s="791"/>
    </row>
    <row r="57" spans="1:5" ht="13.5" customHeight="1" x14ac:dyDescent="0.2">
      <c r="B57" s="793"/>
      <c r="C57" s="965">
        <f>SUM(C40:C56)</f>
        <v>-19466.539999999997</v>
      </c>
      <c r="D57" s="955"/>
      <c r="E57" s="791"/>
    </row>
    <row r="58" spans="1:5" ht="13.5" customHeight="1" x14ac:dyDescent="0.2">
      <c r="B58" s="793"/>
      <c r="C58" s="954"/>
      <c r="D58" s="955"/>
      <c r="E58" s="791"/>
    </row>
    <row r="59" spans="1:5" ht="13.5" customHeight="1" x14ac:dyDescent="0.2">
      <c r="A59" s="724" t="s">
        <v>224</v>
      </c>
      <c r="B59" s="793" t="s">
        <v>128</v>
      </c>
      <c r="C59" s="964">
        <v>37.53</v>
      </c>
      <c r="D59" s="955"/>
      <c r="E59" s="791"/>
    </row>
    <row r="60" spans="1:5" ht="13.5" customHeight="1" x14ac:dyDescent="0.2">
      <c r="A60" s="724" t="s">
        <v>224</v>
      </c>
      <c r="B60" s="793" t="s">
        <v>5609</v>
      </c>
      <c r="C60" s="964">
        <v>472.33</v>
      </c>
      <c r="D60" s="955"/>
      <c r="E60" s="791"/>
    </row>
    <row r="61" spans="1:5" ht="13.5" customHeight="1" x14ac:dyDescent="0.2">
      <c r="A61" s="724" t="s">
        <v>224</v>
      </c>
      <c r="B61" s="722" t="s">
        <v>5952</v>
      </c>
      <c r="C61" s="964">
        <v>28.62</v>
      </c>
      <c r="D61" s="955"/>
      <c r="E61" s="791"/>
    </row>
    <row r="62" spans="1:5" ht="13.5" customHeight="1" x14ac:dyDescent="0.2">
      <c r="A62" s="724" t="s">
        <v>224</v>
      </c>
      <c r="B62" s="722" t="s">
        <v>5589</v>
      </c>
      <c r="C62" s="964">
        <f>D74</f>
        <v>700</v>
      </c>
      <c r="D62" s="955"/>
      <c r="E62" s="791"/>
    </row>
    <row r="63" spans="1:5" ht="13.5" customHeight="1" x14ac:dyDescent="0.2">
      <c r="B63" s="722"/>
      <c r="C63" s="966">
        <f>SUM(C59:C62)</f>
        <v>1238.48</v>
      </c>
      <c r="D63" s="955"/>
      <c r="E63" s="791"/>
    </row>
    <row r="64" spans="1:5" ht="13.5" customHeight="1" x14ac:dyDescent="0.2">
      <c r="B64" s="722"/>
      <c r="C64" s="964"/>
      <c r="D64" s="955"/>
      <c r="E64" s="791"/>
    </row>
    <row r="65" spans="1:5" ht="13.5" customHeight="1" x14ac:dyDescent="0.2">
      <c r="A65" s="724" t="s">
        <v>224</v>
      </c>
      <c r="B65" s="722" t="s">
        <v>5590</v>
      </c>
      <c r="C65" s="954">
        <v>70</v>
      </c>
      <c r="D65" s="955"/>
      <c r="E65" s="791"/>
    </row>
    <row r="66" spans="1:5" ht="13.5" customHeight="1" x14ac:dyDescent="0.2">
      <c r="A66" s="724" t="s">
        <v>224</v>
      </c>
      <c r="B66" s="722" t="s">
        <v>5590</v>
      </c>
      <c r="C66" s="954">
        <v>70</v>
      </c>
      <c r="D66" s="955"/>
      <c r="E66" s="791"/>
    </row>
    <row r="67" spans="1:5" ht="13.5" customHeight="1" x14ac:dyDescent="0.2">
      <c r="A67" s="724" t="s">
        <v>224</v>
      </c>
      <c r="B67" s="722" t="s">
        <v>5977</v>
      </c>
      <c r="C67" s="954">
        <v>70</v>
      </c>
      <c r="D67" s="955"/>
      <c r="E67" s="791"/>
    </row>
    <row r="68" spans="1:5" ht="13.5" customHeight="1" x14ac:dyDescent="0.2">
      <c r="A68" s="724" t="s">
        <v>224</v>
      </c>
      <c r="B68" s="569" t="s">
        <v>5977</v>
      </c>
      <c r="C68" s="954">
        <v>70</v>
      </c>
      <c r="D68" s="955"/>
      <c r="E68" s="791"/>
    </row>
    <row r="69" spans="1:5" ht="13.5" customHeight="1" x14ac:dyDescent="0.2">
      <c r="A69" s="724" t="s">
        <v>224</v>
      </c>
      <c r="B69" s="722" t="s">
        <v>5977</v>
      </c>
      <c r="C69" s="954">
        <v>70</v>
      </c>
      <c r="D69" s="955"/>
      <c r="E69" s="791"/>
    </row>
    <row r="70" spans="1:5" ht="13.5" customHeight="1" x14ac:dyDescent="0.2">
      <c r="A70" s="724" t="s">
        <v>224</v>
      </c>
      <c r="B70" s="722" t="s">
        <v>5589</v>
      </c>
      <c r="C70" s="954">
        <v>140</v>
      </c>
      <c r="D70" s="955"/>
      <c r="E70" s="791"/>
    </row>
    <row r="71" spans="1:5" ht="13.5" customHeight="1" x14ac:dyDescent="0.2">
      <c r="A71" s="724" t="s">
        <v>224</v>
      </c>
      <c r="B71" s="722" t="s">
        <v>5589</v>
      </c>
      <c r="C71" s="954">
        <v>140</v>
      </c>
      <c r="D71" s="955"/>
      <c r="E71" s="791"/>
    </row>
    <row r="72" spans="1:5" ht="13.5" customHeight="1" x14ac:dyDescent="0.2">
      <c r="A72" s="724" t="s">
        <v>224</v>
      </c>
      <c r="B72" s="722" t="s">
        <v>5976</v>
      </c>
      <c r="C72" s="954">
        <v>140</v>
      </c>
      <c r="D72" s="955"/>
      <c r="E72" s="791"/>
    </row>
    <row r="73" spans="1:5" ht="13.5" customHeight="1" x14ac:dyDescent="0.2">
      <c r="A73" s="724" t="s">
        <v>224</v>
      </c>
      <c r="B73" s="722" t="s">
        <v>5976</v>
      </c>
      <c r="C73" s="954">
        <v>140</v>
      </c>
      <c r="D73" s="955"/>
      <c r="E73" s="791"/>
    </row>
    <row r="74" spans="1:5" ht="13.5" customHeight="1" x14ac:dyDescent="0.2">
      <c r="A74" s="724" t="s">
        <v>224</v>
      </c>
      <c r="B74" s="722" t="s">
        <v>5976</v>
      </c>
      <c r="C74" s="954">
        <v>140</v>
      </c>
      <c r="D74" s="955">
        <f>C75-D75</f>
        <v>700</v>
      </c>
      <c r="E74" s="791"/>
    </row>
    <row r="75" spans="1:5" ht="13.5" customHeight="1" x14ac:dyDescent="0.2">
      <c r="B75" s="722"/>
      <c r="C75" s="954">
        <f>SUM(C65:C74)</f>
        <v>1050</v>
      </c>
      <c r="D75" s="955">
        <f>C75/3</f>
        <v>350</v>
      </c>
      <c r="E75" s="791"/>
    </row>
    <row r="76" spans="1:5" ht="13.5" customHeight="1" x14ac:dyDescent="0.2">
      <c r="B76" s="722"/>
      <c r="C76" s="954"/>
      <c r="D76" s="955"/>
      <c r="E76" s="791"/>
    </row>
    <row r="77" spans="1:5" ht="13.5" customHeight="1" x14ac:dyDescent="0.2">
      <c r="A77" s="724" t="s">
        <v>225</v>
      </c>
      <c r="B77" s="793" t="s">
        <v>5789</v>
      </c>
      <c r="C77" s="966">
        <v>708</v>
      </c>
      <c r="D77" s="955"/>
      <c r="E77" s="791"/>
    </row>
    <row r="78" spans="1:5" ht="13.5" customHeight="1" x14ac:dyDescent="0.2">
      <c r="B78" s="793"/>
      <c r="C78" s="964"/>
      <c r="D78" s="955"/>
      <c r="E78" s="791"/>
    </row>
    <row r="79" spans="1:5" ht="13.5" customHeight="1" x14ac:dyDescent="0.2">
      <c r="A79" s="724" t="s">
        <v>226</v>
      </c>
      <c r="B79" s="722" t="s">
        <v>5963</v>
      </c>
      <c r="C79" s="964">
        <v>31.56</v>
      </c>
      <c r="D79" s="955"/>
      <c r="E79" s="791"/>
    </row>
    <row r="80" spans="1:5" ht="13.5" customHeight="1" x14ac:dyDescent="0.2">
      <c r="A80" s="724" t="s">
        <v>226</v>
      </c>
      <c r="B80" s="793" t="s">
        <v>127</v>
      </c>
      <c r="C80" s="964">
        <v>23.74</v>
      </c>
      <c r="D80" s="955"/>
      <c r="E80" s="791"/>
    </row>
    <row r="81" spans="1:7" x14ac:dyDescent="0.2">
      <c r="A81" s="724" t="s">
        <v>226</v>
      </c>
      <c r="B81" s="793" t="s">
        <v>5726</v>
      </c>
      <c r="C81" s="964">
        <v>16.329999999999998</v>
      </c>
      <c r="D81" s="955"/>
      <c r="E81" s="791"/>
    </row>
    <row r="82" spans="1:7" ht="13.5" customHeight="1" x14ac:dyDescent="0.2">
      <c r="A82" s="724" t="s">
        <v>226</v>
      </c>
      <c r="B82" s="722" t="s">
        <v>5986</v>
      </c>
      <c r="C82" s="954">
        <v>11.9</v>
      </c>
      <c r="D82" s="955"/>
      <c r="E82" s="791"/>
    </row>
    <row r="83" spans="1:7" ht="13.5" customHeight="1" x14ac:dyDescent="0.2">
      <c r="A83" s="724" t="s">
        <v>226</v>
      </c>
      <c r="B83" s="722" t="s">
        <v>5972</v>
      </c>
      <c r="C83" s="954">
        <v>-47</v>
      </c>
      <c r="D83" s="955"/>
      <c r="E83" s="791"/>
    </row>
    <row r="84" spans="1:7" ht="13.5" customHeight="1" x14ac:dyDescent="0.2">
      <c r="A84" s="724" t="s">
        <v>226</v>
      </c>
      <c r="B84" s="722" t="s">
        <v>5935</v>
      </c>
      <c r="C84" s="964">
        <v>11.34</v>
      </c>
      <c r="D84" s="955"/>
      <c r="E84" s="791"/>
    </row>
    <row r="85" spans="1:7" ht="13.5" customHeight="1" x14ac:dyDescent="0.2">
      <c r="A85" s="724" t="s">
        <v>226</v>
      </c>
      <c r="B85" s="793" t="s">
        <v>5607</v>
      </c>
      <c r="C85" s="964">
        <v>45.49</v>
      </c>
      <c r="D85" s="955"/>
      <c r="E85" s="791"/>
    </row>
    <row r="86" spans="1:7" ht="13.5" customHeight="1" x14ac:dyDescent="0.2">
      <c r="A86" s="724" t="s">
        <v>226</v>
      </c>
      <c r="B86" s="722" t="s">
        <v>5999</v>
      </c>
      <c r="C86" s="954">
        <v>8</v>
      </c>
      <c r="D86" s="955"/>
      <c r="E86" s="791"/>
    </row>
    <row r="87" spans="1:7" ht="13.5" customHeight="1" x14ac:dyDescent="0.2">
      <c r="A87" s="724" t="s">
        <v>226</v>
      </c>
      <c r="B87" s="722" t="s">
        <v>6026</v>
      </c>
      <c r="C87" s="964">
        <v>190</v>
      </c>
      <c r="D87" s="955"/>
      <c r="E87" s="791"/>
    </row>
    <row r="88" spans="1:7" ht="13.5" customHeight="1" x14ac:dyDescent="0.2">
      <c r="A88" s="724" t="s">
        <v>226</v>
      </c>
      <c r="B88" s="722" t="s">
        <v>5989</v>
      </c>
      <c r="C88" s="954">
        <v>5.85</v>
      </c>
      <c r="D88" s="955"/>
      <c r="E88" s="791"/>
    </row>
    <row r="89" spans="1:7" ht="13.5" customHeight="1" x14ac:dyDescent="0.2">
      <c r="A89" s="724" t="s">
        <v>226</v>
      </c>
      <c r="B89" s="569" t="s">
        <v>6001</v>
      </c>
      <c r="C89" s="967">
        <v>6.25</v>
      </c>
      <c r="D89" s="968"/>
      <c r="E89" s="791"/>
    </row>
    <row r="90" spans="1:7" ht="13.5" customHeight="1" x14ac:dyDescent="0.2">
      <c r="A90" s="724" t="s">
        <v>226</v>
      </c>
      <c r="B90" s="722" t="s">
        <v>5911</v>
      </c>
      <c r="C90" s="954">
        <v>-22.75</v>
      </c>
      <c r="D90" s="955"/>
      <c r="E90" s="791"/>
    </row>
    <row r="91" spans="1:7" ht="13.5" customHeight="1" x14ac:dyDescent="0.2">
      <c r="A91" s="724" t="s">
        <v>226</v>
      </c>
      <c r="B91" s="569" t="s">
        <v>5920</v>
      </c>
      <c r="C91" s="954">
        <v>6.29</v>
      </c>
      <c r="D91" s="955"/>
      <c r="E91" s="791"/>
    </row>
    <row r="92" spans="1:7" ht="13.5" customHeight="1" x14ac:dyDescent="0.2">
      <c r="A92" s="724" t="s">
        <v>226</v>
      </c>
      <c r="B92" s="722" t="s">
        <v>5943</v>
      </c>
      <c r="C92" s="954">
        <v>6.29</v>
      </c>
      <c r="D92" s="955"/>
      <c r="E92" s="791"/>
    </row>
    <row r="93" spans="1:7" ht="13.5" customHeight="1" x14ac:dyDescent="0.2">
      <c r="A93" s="724" t="s">
        <v>226</v>
      </c>
      <c r="B93" s="722" t="s">
        <v>6073</v>
      </c>
      <c r="C93" s="969">
        <v>67</v>
      </c>
      <c r="D93" s="970" t="s">
        <v>6082</v>
      </c>
      <c r="E93" s="791"/>
      <c r="F93" s="971">
        <f>SUM(F94:F98)/2</f>
        <v>538.86500000000001</v>
      </c>
      <c r="G93" s="97" t="s">
        <v>6083</v>
      </c>
    </row>
    <row r="94" spans="1:7" ht="13.5" customHeight="1" x14ac:dyDescent="0.2">
      <c r="A94" s="724" t="s">
        <v>226</v>
      </c>
      <c r="B94" s="722" t="s">
        <v>6073</v>
      </c>
      <c r="C94" s="969">
        <v>69</v>
      </c>
      <c r="D94" s="970" t="s">
        <v>6082</v>
      </c>
      <c r="E94" s="791"/>
      <c r="F94" s="97">
        <v>700</v>
      </c>
      <c r="G94" s="97" t="s">
        <v>6084</v>
      </c>
    </row>
    <row r="95" spans="1:7" ht="13.5" customHeight="1" x14ac:dyDescent="0.2">
      <c r="A95" s="724" t="s">
        <v>226</v>
      </c>
      <c r="B95" s="569" t="s">
        <v>5921</v>
      </c>
      <c r="C95" s="967">
        <v>24.75</v>
      </c>
      <c r="D95" s="904"/>
      <c r="E95" s="791"/>
      <c r="F95" s="97">
        <v>304.13</v>
      </c>
      <c r="G95" s="97" t="s">
        <v>6085</v>
      </c>
    </row>
    <row r="96" spans="1:7" ht="13.5" customHeight="1" x14ac:dyDescent="0.2">
      <c r="A96" s="724" t="s">
        <v>226</v>
      </c>
      <c r="B96" s="793" t="s">
        <v>6086</v>
      </c>
      <c r="C96" s="969">
        <v>538.86500000000001</v>
      </c>
      <c r="D96" s="970"/>
      <c r="E96" s="791"/>
      <c r="F96" s="97">
        <v>73.599999999999994</v>
      </c>
      <c r="G96" s="97" t="s">
        <v>6087</v>
      </c>
    </row>
    <row r="97" spans="1:5" ht="13.5" customHeight="1" x14ac:dyDescent="0.2">
      <c r="B97" s="722"/>
      <c r="C97" s="972">
        <f>SUM(C79:C96)</f>
        <v>992.90500000000009</v>
      </c>
      <c r="D97" s="955"/>
      <c r="E97" s="791"/>
    </row>
    <row r="98" spans="1:5" ht="13.5" customHeight="1" x14ac:dyDescent="0.2">
      <c r="B98" s="722"/>
      <c r="C98" s="973"/>
      <c r="D98" s="955"/>
      <c r="E98" s="791"/>
    </row>
    <row r="99" spans="1:5" ht="13.5" customHeight="1" x14ac:dyDescent="0.2">
      <c r="A99" s="724" t="s">
        <v>226</v>
      </c>
      <c r="B99" s="793" t="s">
        <v>199</v>
      </c>
      <c r="C99" s="964">
        <v>73.62</v>
      </c>
      <c r="D99" s="955"/>
      <c r="E99" s="791"/>
    </row>
    <row r="100" spans="1:5" ht="13.5" customHeight="1" x14ac:dyDescent="0.2">
      <c r="A100" s="724" t="s">
        <v>226</v>
      </c>
      <c r="B100" s="722" t="s">
        <v>5782</v>
      </c>
      <c r="C100" s="964">
        <v>142.82</v>
      </c>
      <c r="D100" s="955"/>
      <c r="E100" s="791"/>
    </row>
    <row r="101" spans="1:5" ht="13.5" customHeight="1" x14ac:dyDescent="0.2">
      <c r="A101" s="724" t="s">
        <v>226</v>
      </c>
      <c r="B101" s="793" t="s">
        <v>6088</v>
      </c>
      <c r="C101" s="969">
        <v>538.86500000000001</v>
      </c>
      <c r="D101" s="955"/>
      <c r="E101" s="791"/>
    </row>
    <row r="102" spans="1:5" ht="13.5" customHeight="1" x14ac:dyDescent="0.2">
      <c r="B102" s="722"/>
      <c r="C102" s="966">
        <f>SUM(C99:C101)</f>
        <v>755.30500000000006</v>
      </c>
      <c r="D102" s="955"/>
      <c r="E102" s="791"/>
    </row>
    <row r="103" spans="1:5" ht="13.5" customHeight="1" x14ac:dyDescent="0.2">
      <c r="B103" s="722"/>
      <c r="C103" s="964"/>
      <c r="D103" s="955"/>
      <c r="E103" s="791"/>
    </row>
    <row r="104" spans="1:5" ht="13.5" customHeight="1" x14ac:dyDescent="0.2">
      <c r="A104" s="724" t="s">
        <v>229</v>
      </c>
      <c r="B104" s="722" t="s">
        <v>6089</v>
      </c>
      <c r="C104" s="955">
        <v>900</v>
      </c>
      <c r="D104" s="955"/>
      <c r="E104" s="791"/>
    </row>
    <row r="105" spans="1:5" ht="13.5" customHeight="1" x14ac:dyDescent="0.2">
      <c r="A105" s="724" t="s">
        <v>229</v>
      </c>
      <c r="B105" s="722" t="s">
        <v>6090</v>
      </c>
      <c r="C105" s="964">
        <v>115.7</v>
      </c>
      <c r="D105" s="955"/>
      <c r="E105" s="791"/>
    </row>
    <row r="106" spans="1:5" ht="13.5" customHeight="1" x14ac:dyDescent="0.2">
      <c r="A106" s="724" t="s">
        <v>229</v>
      </c>
      <c r="B106" s="722" t="s">
        <v>5931</v>
      </c>
      <c r="C106" s="954">
        <v>10.75</v>
      </c>
      <c r="D106" s="955"/>
      <c r="E106" s="791"/>
    </row>
    <row r="107" spans="1:5" ht="13.5" customHeight="1" x14ac:dyDescent="0.2">
      <c r="A107" s="724" t="s">
        <v>229</v>
      </c>
      <c r="B107" s="722" t="s">
        <v>5928</v>
      </c>
      <c r="C107" s="954">
        <v>3.25</v>
      </c>
      <c r="D107" s="955"/>
      <c r="E107" s="791"/>
    </row>
    <row r="108" spans="1:5" ht="13.5" customHeight="1" x14ac:dyDescent="0.2">
      <c r="A108" s="724" t="s">
        <v>229</v>
      </c>
      <c r="B108" s="722" t="s">
        <v>5913</v>
      </c>
      <c r="C108" s="954">
        <v>11.5</v>
      </c>
      <c r="D108" s="955"/>
      <c r="E108" s="791"/>
    </row>
    <row r="109" spans="1:5" ht="13.5" customHeight="1" x14ac:dyDescent="0.2">
      <c r="A109" s="724" t="s">
        <v>229</v>
      </c>
      <c r="B109" s="569" t="s">
        <v>5984</v>
      </c>
      <c r="C109" s="954">
        <v>5.25</v>
      </c>
      <c r="D109" s="955"/>
      <c r="E109" s="791"/>
    </row>
    <row r="110" spans="1:5" ht="13.5" customHeight="1" x14ac:dyDescent="0.2">
      <c r="A110" s="724" t="s">
        <v>229</v>
      </c>
      <c r="B110" s="722" t="s">
        <v>6003</v>
      </c>
      <c r="C110" s="954">
        <v>6.8</v>
      </c>
      <c r="D110" s="955"/>
      <c r="E110" s="791"/>
    </row>
    <row r="111" spans="1:5" ht="13.5" customHeight="1" x14ac:dyDescent="0.2">
      <c r="A111" s="724" t="s">
        <v>229</v>
      </c>
      <c r="B111" s="722" t="s">
        <v>6020</v>
      </c>
      <c r="C111" s="964">
        <v>75</v>
      </c>
      <c r="D111" s="955"/>
      <c r="E111" s="791"/>
    </row>
    <row r="112" spans="1:5" ht="13.5" customHeight="1" x14ac:dyDescent="0.2">
      <c r="A112" s="724" t="s">
        <v>229</v>
      </c>
      <c r="B112" s="722" t="s">
        <v>6002</v>
      </c>
      <c r="C112" s="954">
        <v>6.5</v>
      </c>
      <c r="D112" s="955"/>
      <c r="E112" s="791"/>
    </row>
    <row r="113" spans="1:7" ht="13.5" customHeight="1" x14ac:dyDescent="0.2">
      <c r="A113" s="724" t="s">
        <v>229</v>
      </c>
      <c r="B113" s="722" t="s">
        <v>5600</v>
      </c>
      <c r="C113" s="954">
        <v>15</v>
      </c>
      <c r="D113" s="955"/>
      <c r="E113" s="791"/>
    </row>
    <row r="114" spans="1:7" ht="13.5" customHeight="1" x14ac:dyDescent="0.2">
      <c r="A114" s="724" t="s">
        <v>229</v>
      </c>
      <c r="B114" s="722" t="s">
        <v>5990</v>
      </c>
      <c r="C114" s="973">
        <v>239.78</v>
      </c>
      <c r="D114" s="973"/>
      <c r="G114" s="567"/>
    </row>
    <row r="115" spans="1:7" ht="13.5" customHeight="1" x14ac:dyDescent="0.2">
      <c r="A115" s="724" t="s">
        <v>229</v>
      </c>
      <c r="B115" s="722" t="s">
        <v>5924</v>
      </c>
      <c r="C115" s="954">
        <v>500</v>
      </c>
      <c r="D115" s="955"/>
      <c r="E115" s="791"/>
    </row>
    <row r="116" spans="1:7" ht="13.5" customHeight="1" x14ac:dyDescent="0.2">
      <c r="A116" s="724" t="s">
        <v>229</v>
      </c>
      <c r="B116" s="722" t="s">
        <v>5933</v>
      </c>
      <c r="C116" s="954">
        <v>1000</v>
      </c>
      <c r="D116" s="955"/>
      <c r="E116" s="791"/>
    </row>
    <row r="117" spans="1:7" ht="13.5" customHeight="1" x14ac:dyDescent="0.2">
      <c r="A117" s="724" t="s">
        <v>229</v>
      </c>
      <c r="B117" s="793" t="s">
        <v>6014</v>
      </c>
      <c r="C117" s="964">
        <v>1650</v>
      </c>
      <c r="D117" s="955"/>
      <c r="E117" s="791"/>
    </row>
    <row r="118" spans="1:7" ht="13.5" customHeight="1" x14ac:dyDescent="0.2">
      <c r="A118" s="724" t="s">
        <v>229</v>
      </c>
      <c r="B118" s="722" t="s">
        <v>5589</v>
      </c>
      <c r="C118" s="974">
        <f>D75</f>
        <v>350</v>
      </c>
      <c r="D118" s="955" t="s">
        <v>6091</v>
      </c>
      <c r="E118" s="791"/>
    </row>
    <row r="119" spans="1:7" ht="13.5" customHeight="1" x14ac:dyDescent="0.2">
      <c r="B119" s="793"/>
      <c r="C119" s="964">
        <f>SUM(C104:C118)</f>
        <v>4889.53</v>
      </c>
      <c r="D119" s="963">
        <f>C119/2</f>
        <v>2444.7649999999999</v>
      </c>
      <c r="E119" s="791"/>
    </row>
    <row r="120" spans="1:7" ht="13.5" customHeight="1" x14ac:dyDescent="0.2">
      <c r="B120" s="793"/>
      <c r="C120" s="964"/>
      <c r="D120" s="955"/>
      <c r="E120" s="791"/>
    </row>
    <row r="121" spans="1:7" ht="13.5" customHeight="1" x14ac:dyDescent="0.2">
      <c r="A121" s="724" t="s">
        <v>418</v>
      </c>
      <c r="B121" s="722" t="s">
        <v>177</v>
      </c>
      <c r="C121" s="966">
        <v>228.59</v>
      </c>
      <c r="D121" s="955"/>
      <c r="E121" s="791"/>
    </row>
    <row r="122" spans="1:7" ht="13.5" customHeight="1" x14ac:dyDescent="0.2">
      <c r="B122" s="722"/>
      <c r="C122" s="964"/>
      <c r="D122" s="955"/>
      <c r="E122" s="791"/>
    </row>
    <row r="123" spans="1:7" x14ac:dyDescent="0.2">
      <c r="A123" s="724" t="s">
        <v>231</v>
      </c>
      <c r="B123" s="722" t="s">
        <v>198</v>
      </c>
      <c r="C123" s="966">
        <v>1384.02</v>
      </c>
      <c r="D123" s="955"/>
      <c r="E123" s="791"/>
    </row>
    <row r="124" spans="1:7" x14ac:dyDescent="0.2">
      <c r="B124" s="722"/>
      <c r="C124" s="964"/>
      <c r="D124" s="955"/>
      <c r="E124" s="791"/>
    </row>
    <row r="125" spans="1:7" ht="13.5" customHeight="1" x14ac:dyDescent="0.2">
      <c r="A125" s="724" t="s">
        <v>232</v>
      </c>
      <c r="B125" s="722" t="s">
        <v>6007</v>
      </c>
      <c r="C125" s="954">
        <v>70</v>
      </c>
      <c r="D125" s="955"/>
      <c r="E125" s="791"/>
    </row>
    <row r="126" spans="1:7" ht="13.5" customHeight="1" x14ac:dyDescent="0.2">
      <c r="A126" s="724" t="s">
        <v>232</v>
      </c>
      <c r="B126" s="722" t="s">
        <v>5929</v>
      </c>
      <c r="C126" s="954">
        <v>8.9</v>
      </c>
      <c r="D126" s="955"/>
      <c r="E126" s="791"/>
    </row>
    <row r="127" spans="1:7" ht="13.5" customHeight="1" x14ac:dyDescent="0.2">
      <c r="A127" s="724" t="s">
        <v>232</v>
      </c>
      <c r="B127" s="722" t="s">
        <v>6092</v>
      </c>
      <c r="C127" s="954">
        <v>13.7</v>
      </c>
      <c r="D127" s="955"/>
      <c r="E127" s="791"/>
    </row>
    <row r="128" spans="1:7" ht="13.5" customHeight="1" x14ac:dyDescent="0.2">
      <c r="A128" s="724" t="s">
        <v>232</v>
      </c>
      <c r="B128" s="722" t="s">
        <v>5985</v>
      </c>
      <c r="C128" s="954">
        <v>10.8</v>
      </c>
      <c r="D128" s="955"/>
      <c r="E128" s="791"/>
    </row>
    <row r="129" spans="1:6" ht="13.5" customHeight="1" x14ac:dyDescent="0.2">
      <c r="A129" s="724" t="s">
        <v>232</v>
      </c>
      <c r="B129" s="722" t="s">
        <v>6004</v>
      </c>
      <c r="C129" s="954">
        <v>10.5</v>
      </c>
      <c r="D129" s="955"/>
      <c r="E129" s="791"/>
    </row>
    <row r="130" spans="1:6" ht="13.5" customHeight="1" x14ac:dyDescent="0.2">
      <c r="A130" s="724" t="s">
        <v>232</v>
      </c>
      <c r="B130" s="722" t="s">
        <v>5914</v>
      </c>
      <c r="C130" s="954">
        <v>12.96</v>
      </c>
      <c r="D130" s="955"/>
      <c r="E130" s="791"/>
    </row>
    <row r="131" spans="1:6" ht="13.5" customHeight="1" x14ac:dyDescent="0.2">
      <c r="A131" s="724" t="s">
        <v>232</v>
      </c>
      <c r="B131" s="722" t="s">
        <v>6093</v>
      </c>
      <c r="C131" s="954">
        <v>8.99</v>
      </c>
      <c r="D131" s="955"/>
      <c r="E131" s="791"/>
    </row>
    <row r="132" spans="1:6" ht="13.5" customHeight="1" x14ac:dyDescent="0.2">
      <c r="A132" s="724" t="s">
        <v>232</v>
      </c>
      <c r="B132" s="722" t="s">
        <v>5983</v>
      </c>
      <c r="C132" s="954">
        <v>11.9</v>
      </c>
      <c r="D132" s="955"/>
      <c r="E132" s="791"/>
    </row>
    <row r="133" spans="1:6" ht="13.5" customHeight="1" x14ac:dyDescent="0.2">
      <c r="A133" s="724" t="s">
        <v>232</v>
      </c>
      <c r="B133" s="722" t="s">
        <v>6010</v>
      </c>
      <c r="C133" s="954">
        <v>22.9</v>
      </c>
      <c r="D133" s="955"/>
      <c r="E133" s="791"/>
    </row>
    <row r="134" spans="1:6" ht="13.5" customHeight="1" x14ac:dyDescent="0.2">
      <c r="A134" s="724" t="s">
        <v>232</v>
      </c>
      <c r="B134" s="722" t="s">
        <v>6078</v>
      </c>
      <c r="C134" s="975">
        <v>300</v>
      </c>
      <c r="D134" s="975"/>
      <c r="E134" s="791"/>
      <c r="F134" s="791"/>
    </row>
    <row r="135" spans="1:6" ht="13.5" customHeight="1" x14ac:dyDescent="0.2">
      <c r="A135" s="724" t="s">
        <v>232</v>
      </c>
      <c r="B135" s="722" t="s">
        <v>5930</v>
      </c>
      <c r="C135" s="967">
        <v>80</v>
      </c>
      <c r="D135" s="976"/>
      <c r="E135" s="791"/>
    </row>
    <row r="136" spans="1:6" ht="13.5" customHeight="1" x14ac:dyDescent="0.2">
      <c r="A136" s="724" t="s">
        <v>232</v>
      </c>
      <c r="B136" s="722" t="s">
        <v>5635</v>
      </c>
      <c r="C136" s="964">
        <v>7.5</v>
      </c>
      <c r="D136" s="970"/>
      <c r="E136" s="791"/>
      <c r="F136" s="791"/>
    </row>
    <row r="137" spans="1:6" ht="13.5" customHeight="1" x14ac:dyDescent="0.2">
      <c r="A137" s="724" t="s">
        <v>232</v>
      </c>
      <c r="B137" s="722" t="s">
        <v>5635</v>
      </c>
      <c r="C137" s="964">
        <v>12</v>
      </c>
      <c r="D137" s="970"/>
      <c r="E137" s="791"/>
      <c r="F137" s="791"/>
    </row>
    <row r="138" spans="1:6" ht="13.5" customHeight="1" x14ac:dyDescent="0.2">
      <c r="A138" s="724" t="s">
        <v>232</v>
      </c>
      <c r="B138" s="722" t="s">
        <v>5635</v>
      </c>
      <c r="C138" s="964">
        <v>18.3</v>
      </c>
      <c r="D138" s="970"/>
      <c r="E138" s="791"/>
      <c r="F138" s="791"/>
    </row>
    <row r="139" spans="1:6" ht="13.5" customHeight="1" x14ac:dyDescent="0.2">
      <c r="A139" s="724" t="s">
        <v>232</v>
      </c>
      <c r="B139" s="722" t="s">
        <v>5635</v>
      </c>
      <c r="C139" s="964">
        <v>18.46</v>
      </c>
      <c r="D139" s="970"/>
      <c r="E139" s="791"/>
      <c r="F139" s="791"/>
    </row>
    <row r="140" spans="1:6" ht="13.5" customHeight="1" x14ac:dyDescent="0.2">
      <c r="A140" s="724" t="s">
        <v>232</v>
      </c>
      <c r="B140" s="722" t="s">
        <v>5878</v>
      </c>
      <c r="C140" s="964">
        <v>749.6</v>
      </c>
      <c r="D140" s="955"/>
      <c r="E140" s="791"/>
    </row>
    <row r="141" spans="1:6" ht="13.5" customHeight="1" x14ac:dyDescent="0.2">
      <c r="A141" s="724" t="s">
        <v>232</v>
      </c>
      <c r="B141" s="793" t="s">
        <v>5879</v>
      </c>
      <c r="C141" s="964">
        <v>393.36</v>
      </c>
      <c r="D141" s="955"/>
      <c r="E141" s="791"/>
    </row>
    <row r="142" spans="1:6" ht="13.5" customHeight="1" x14ac:dyDescent="0.2">
      <c r="A142" s="724" t="s">
        <v>232</v>
      </c>
      <c r="B142" s="722" t="s">
        <v>5593</v>
      </c>
      <c r="C142" s="954">
        <v>150</v>
      </c>
      <c r="D142" s="955"/>
      <c r="E142" s="791"/>
    </row>
    <row r="143" spans="1:6" ht="13.5" customHeight="1" x14ac:dyDescent="0.2">
      <c r="A143" s="724" t="s">
        <v>232</v>
      </c>
      <c r="B143" s="722" t="s">
        <v>5593</v>
      </c>
      <c r="C143" s="954">
        <v>230</v>
      </c>
      <c r="D143" s="955"/>
      <c r="E143" s="791"/>
    </row>
    <row r="144" spans="1:6" ht="13.5" customHeight="1" x14ac:dyDescent="0.2">
      <c r="A144" s="724" t="s">
        <v>232</v>
      </c>
      <c r="B144" s="722" t="s">
        <v>5593</v>
      </c>
      <c r="C144" s="954">
        <v>300</v>
      </c>
      <c r="D144" s="955"/>
      <c r="E144" s="791"/>
    </row>
    <row r="145" spans="1:5" ht="13.5" customHeight="1" x14ac:dyDescent="0.2">
      <c r="A145" s="724" t="s">
        <v>232</v>
      </c>
      <c r="B145" s="722" t="s">
        <v>5593</v>
      </c>
      <c r="C145" s="954">
        <v>300</v>
      </c>
      <c r="D145" s="955"/>
      <c r="E145" s="791"/>
    </row>
    <row r="146" spans="1:5" ht="13.5" customHeight="1" x14ac:dyDescent="0.2">
      <c r="A146" s="724" t="s">
        <v>232</v>
      </c>
      <c r="B146" s="722" t="s">
        <v>5593</v>
      </c>
      <c r="C146" s="954">
        <v>300</v>
      </c>
      <c r="D146" s="955"/>
      <c r="E146" s="791"/>
    </row>
    <row r="147" spans="1:5" ht="13.5" customHeight="1" x14ac:dyDescent="0.2">
      <c r="A147" s="724" t="s">
        <v>232</v>
      </c>
      <c r="B147" s="722" t="s">
        <v>5901</v>
      </c>
      <c r="C147" s="954">
        <v>70</v>
      </c>
      <c r="D147" s="955"/>
      <c r="E147" s="791"/>
    </row>
    <row r="148" spans="1:5" ht="13.5" customHeight="1" x14ac:dyDescent="0.2">
      <c r="A148" s="724" t="s">
        <v>232</v>
      </c>
      <c r="B148" s="722" t="s">
        <v>5591</v>
      </c>
      <c r="C148" s="954">
        <v>480</v>
      </c>
      <c r="D148" s="955"/>
      <c r="E148" s="791"/>
    </row>
    <row r="149" spans="1:5" ht="13.5" customHeight="1" x14ac:dyDescent="0.2">
      <c r="A149" s="724" t="s">
        <v>232</v>
      </c>
      <c r="B149" s="722" t="s">
        <v>5591</v>
      </c>
      <c r="C149" s="954">
        <v>600</v>
      </c>
      <c r="D149" s="955"/>
      <c r="E149" s="791"/>
    </row>
    <row r="150" spans="1:5" ht="13.5" customHeight="1" x14ac:dyDescent="0.2">
      <c r="A150" s="724" t="s">
        <v>232</v>
      </c>
      <c r="B150" s="722" t="s">
        <v>5591</v>
      </c>
      <c r="C150" s="954">
        <v>600</v>
      </c>
      <c r="D150" s="955"/>
      <c r="E150" s="791"/>
    </row>
    <row r="151" spans="1:5" ht="13.5" customHeight="1" x14ac:dyDescent="0.2">
      <c r="A151" s="724" t="s">
        <v>232</v>
      </c>
      <c r="B151" s="569" t="s">
        <v>5591</v>
      </c>
      <c r="C151" s="954">
        <v>600</v>
      </c>
      <c r="D151" s="955"/>
      <c r="E151" s="791"/>
    </row>
    <row r="152" spans="1:5" ht="13.5" customHeight="1" x14ac:dyDescent="0.2">
      <c r="A152" s="724" t="s">
        <v>232</v>
      </c>
      <c r="B152" s="722" t="s">
        <v>5591</v>
      </c>
      <c r="C152" s="954">
        <v>600</v>
      </c>
      <c r="D152" s="955"/>
      <c r="E152" s="791"/>
    </row>
    <row r="153" spans="1:5" ht="13.5" customHeight="1" x14ac:dyDescent="0.2">
      <c r="A153" s="724" t="s">
        <v>232</v>
      </c>
      <c r="B153" s="569" t="s">
        <v>5898</v>
      </c>
      <c r="C153" s="954">
        <v>180</v>
      </c>
      <c r="D153" s="955"/>
      <c r="E153" s="791"/>
    </row>
    <row r="154" spans="1:5" ht="13.5" customHeight="1" x14ac:dyDescent="0.2">
      <c r="A154" s="724" t="s">
        <v>232</v>
      </c>
      <c r="B154" s="722" t="s">
        <v>5900</v>
      </c>
      <c r="C154" s="954">
        <v>80</v>
      </c>
      <c r="D154" s="955"/>
      <c r="E154" s="791"/>
    </row>
    <row r="155" spans="1:5" ht="13.5" customHeight="1" x14ac:dyDescent="0.2">
      <c r="A155" s="724" t="s">
        <v>232</v>
      </c>
      <c r="B155" s="722" t="s">
        <v>5899</v>
      </c>
      <c r="C155" s="954">
        <v>160</v>
      </c>
      <c r="D155" s="955"/>
      <c r="E155" s="939"/>
    </row>
    <row r="156" spans="1:5" ht="13.5" customHeight="1" x14ac:dyDescent="0.2">
      <c r="A156" s="724" t="s">
        <v>232</v>
      </c>
      <c r="B156" s="722" t="s">
        <v>5592</v>
      </c>
      <c r="C156" s="954">
        <v>200</v>
      </c>
      <c r="D156" s="955"/>
      <c r="E156" s="936"/>
    </row>
    <row r="157" spans="1:5" ht="13.5" customHeight="1" x14ac:dyDescent="0.2">
      <c r="A157" s="724" t="s">
        <v>232</v>
      </c>
      <c r="B157" s="722" t="s">
        <v>5592</v>
      </c>
      <c r="C157" s="954">
        <v>225</v>
      </c>
      <c r="D157" s="955"/>
      <c r="E157" s="791"/>
    </row>
    <row r="158" spans="1:5" ht="13.5" customHeight="1" x14ac:dyDescent="0.2">
      <c r="A158" s="724" t="s">
        <v>232</v>
      </c>
      <c r="B158" s="722" t="s">
        <v>6023</v>
      </c>
      <c r="C158" s="964">
        <v>100</v>
      </c>
      <c r="D158" s="955"/>
      <c r="E158" s="791"/>
    </row>
    <row r="159" spans="1:5" ht="13.5" customHeight="1" x14ac:dyDescent="0.2">
      <c r="A159" s="724" t="s">
        <v>232</v>
      </c>
      <c r="B159" s="722" t="s">
        <v>6023</v>
      </c>
      <c r="C159" s="964">
        <v>150</v>
      </c>
      <c r="D159" s="955"/>
      <c r="E159" s="791"/>
    </row>
    <row r="160" spans="1:5" ht="13.5" customHeight="1" x14ac:dyDescent="0.2">
      <c r="B160" s="793"/>
      <c r="C160" s="966">
        <f>SUM(C125:C159)</f>
        <v>7074.8700000000008</v>
      </c>
      <c r="D160" s="955"/>
      <c r="E160" s="791"/>
    </row>
    <row r="161" spans="1:6" ht="13.5" customHeight="1" x14ac:dyDescent="0.2">
      <c r="B161" s="793"/>
      <c r="C161" s="964"/>
      <c r="D161" s="955"/>
      <c r="E161" s="791"/>
    </row>
    <row r="162" spans="1:6" ht="13.5" customHeight="1" x14ac:dyDescent="0.2">
      <c r="A162" s="724" t="s">
        <v>234</v>
      </c>
      <c r="B162" s="722" t="s">
        <v>5944</v>
      </c>
      <c r="C162" s="954">
        <v>16.45</v>
      </c>
      <c r="D162" s="955"/>
      <c r="E162" s="791"/>
    </row>
    <row r="163" spans="1:6" ht="13.5" customHeight="1" x14ac:dyDescent="0.2">
      <c r="A163" s="724" t="s">
        <v>234</v>
      </c>
      <c r="B163" s="722" t="s">
        <v>6005</v>
      </c>
      <c r="C163" s="954">
        <v>6.8</v>
      </c>
      <c r="D163" s="955"/>
      <c r="E163" s="791"/>
    </row>
    <row r="164" spans="1:6" ht="13.5" customHeight="1" x14ac:dyDescent="0.2">
      <c r="A164" s="724" t="s">
        <v>234</v>
      </c>
      <c r="B164" s="569" t="s">
        <v>5937</v>
      </c>
      <c r="C164" s="975">
        <v>61.6</v>
      </c>
      <c r="D164" s="904"/>
      <c r="E164" s="791"/>
    </row>
    <row r="165" spans="1:6" ht="13.5" customHeight="1" x14ac:dyDescent="0.2">
      <c r="A165" s="724" t="s">
        <v>234</v>
      </c>
      <c r="B165" s="569" t="s">
        <v>5961</v>
      </c>
      <c r="C165" s="967">
        <v>4.7</v>
      </c>
      <c r="D165" s="904"/>
      <c r="E165" s="791"/>
    </row>
    <row r="166" spans="1:6" ht="13.5" customHeight="1" x14ac:dyDescent="0.2">
      <c r="A166" s="724" t="s">
        <v>234</v>
      </c>
      <c r="B166" s="569" t="s">
        <v>6033</v>
      </c>
      <c r="C166" s="975">
        <v>166.62</v>
      </c>
      <c r="D166" s="904"/>
      <c r="E166" s="791"/>
    </row>
    <row r="167" spans="1:6" ht="13.5" customHeight="1" x14ac:dyDescent="0.2">
      <c r="A167" s="724" t="s">
        <v>234</v>
      </c>
      <c r="B167" s="569" t="s">
        <v>6033</v>
      </c>
      <c r="C167" s="975">
        <v>224.95</v>
      </c>
      <c r="D167" s="904"/>
      <c r="E167" s="791"/>
    </row>
    <row r="168" spans="1:6" ht="13.5" customHeight="1" x14ac:dyDescent="0.2">
      <c r="A168" s="724" t="s">
        <v>234</v>
      </c>
      <c r="B168" s="569" t="s">
        <v>6029</v>
      </c>
      <c r="C168" s="975">
        <v>73.2</v>
      </c>
      <c r="D168" s="904"/>
      <c r="E168" s="791"/>
    </row>
    <row r="169" spans="1:6" ht="13.5" customHeight="1" x14ac:dyDescent="0.2">
      <c r="A169" s="724" t="s">
        <v>234</v>
      </c>
      <c r="B169" s="569" t="s">
        <v>5896</v>
      </c>
      <c r="C169" s="975">
        <v>64.8</v>
      </c>
      <c r="D169" s="904"/>
      <c r="E169" s="791"/>
    </row>
    <row r="170" spans="1:6" ht="13.5" customHeight="1" x14ac:dyDescent="0.2">
      <c r="A170" s="724" t="s">
        <v>234</v>
      </c>
      <c r="B170" s="569" t="s">
        <v>5816</v>
      </c>
      <c r="C170" s="975">
        <v>74.349999999999994</v>
      </c>
      <c r="D170" s="968"/>
      <c r="E170" s="791"/>
      <c r="F170" s="791"/>
    </row>
    <row r="171" spans="1:6" ht="13.5" customHeight="1" x14ac:dyDescent="0.2">
      <c r="A171" s="724" t="s">
        <v>234</v>
      </c>
      <c r="B171" s="722" t="s">
        <v>6094</v>
      </c>
      <c r="C171" s="975">
        <v>216.8</v>
      </c>
      <c r="D171" s="976"/>
      <c r="E171" s="791"/>
    </row>
    <row r="172" spans="1:6" ht="13.5" customHeight="1" x14ac:dyDescent="0.2">
      <c r="A172" s="724" t="s">
        <v>234</v>
      </c>
      <c r="B172" s="569" t="s">
        <v>6095</v>
      </c>
      <c r="C172" s="975">
        <v>51.31</v>
      </c>
      <c r="D172" s="904"/>
      <c r="E172" s="791"/>
    </row>
    <row r="173" spans="1:6" ht="13.5" customHeight="1" x14ac:dyDescent="0.2">
      <c r="A173" s="724" t="s">
        <v>234</v>
      </c>
      <c r="B173" s="569" t="s">
        <v>5978</v>
      </c>
      <c r="C173" s="967">
        <v>1.2</v>
      </c>
      <c r="D173" s="904"/>
      <c r="E173" s="791"/>
    </row>
    <row r="174" spans="1:6" ht="13.5" customHeight="1" x14ac:dyDescent="0.2">
      <c r="A174" s="724" t="s">
        <v>234</v>
      </c>
      <c r="B174" s="722" t="s">
        <v>6077</v>
      </c>
      <c r="C174" s="964">
        <v>26.5</v>
      </c>
      <c r="D174" s="970"/>
      <c r="E174" s="791"/>
      <c r="F174" s="791"/>
    </row>
    <row r="175" spans="1:6" ht="13.5" customHeight="1" x14ac:dyDescent="0.2">
      <c r="A175" s="724" t="s">
        <v>234</v>
      </c>
      <c r="B175" s="569" t="s">
        <v>5962</v>
      </c>
      <c r="C175" s="967">
        <v>5.6</v>
      </c>
      <c r="D175" s="904"/>
      <c r="E175" s="791"/>
    </row>
    <row r="176" spans="1:6" ht="13.5" customHeight="1" x14ac:dyDescent="0.2">
      <c r="A176" s="724" t="s">
        <v>234</v>
      </c>
      <c r="B176" s="569" t="s">
        <v>6096</v>
      </c>
      <c r="C176" s="975">
        <v>610</v>
      </c>
      <c r="D176" s="904"/>
      <c r="E176" s="791"/>
    </row>
    <row r="177" spans="1:6" ht="13.5" customHeight="1" x14ac:dyDescent="0.2">
      <c r="A177" s="724" t="s">
        <v>234</v>
      </c>
      <c r="B177" s="569" t="s">
        <v>6000</v>
      </c>
      <c r="C177" s="967">
        <v>28.3</v>
      </c>
      <c r="D177" s="904"/>
      <c r="E177" s="791"/>
    </row>
    <row r="178" spans="1:6" ht="13.5" customHeight="1" x14ac:dyDescent="0.2">
      <c r="A178" s="724" t="s">
        <v>234</v>
      </c>
      <c r="B178" s="569" t="s">
        <v>6075</v>
      </c>
      <c r="C178" s="975">
        <v>15</v>
      </c>
      <c r="D178" s="968"/>
      <c r="E178" s="791"/>
      <c r="F178" s="791"/>
    </row>
    <row r="179" spans="1:6" ht="13.5" customHeight="1" x14ac:dyDescent="0.2">
      <c r="A179" s="724" t="s">
        <v>234</v>
      </c>
      <c r="B179" s="722" t="s">
        <v>6037</v>
      </c>
      <c r="C179" s="975">
        <v>1939</v>
      </c>
      <c r="D179" s="976"/>
      <c r="E179" s="791"/>
    </row>
    <row r="180" spans="1:6" ht="13.5" customHeight="1" x14ac:dyDescent="0.2">
      <c r="A180" s="724" t="s">
        <v>234</v>
      </c>
      <c r="B180" s="722" t="s">
        <v>5998</v>
      </c>
      <c r="C180" s="954">
        <v>17.440000000000001</v>
      </c>
      <c r="D180" s="955"/>
      <c r="E180" s="791"/>
    </row>
    <row r="181" spans="1:6" ht="13.5" customHeight="1" x14ac:dyDescent="0.2">
      <c r="A181" s="724" t="s">
        <v>234</v>
      </c>
      <c r="B181" s="569" t="s">
        <v>6097</v>
      </c>
      <c r="C181" s="975">
        <v>270</v>
      </c>
      <c r="D181" s="904"/>
      <c r="E181" s="791"/>
    </row>
    <row r="182" spans="1:6" ht="13.5" customHeight="1" x14ac:dyDescent="0.2">
      <c r="A182" s="724" t="s">
        <v>234</v>
      </c>
      <c r="B182" s="569" t="s">
        <v>5945</v>
      </c>
      <c r="C182" s="967">
        <v>15.8</v>
      </c>
      <c r="D182" s="904"/>
      <c r="E182" s="791"/>
    </row>
    <row r="183" spans="1:6" ht="13.5" customHeight="1" x14ac:dyDescent="0.2">
      <c r="A183" s="724" t="s">
        <v>234</v>
      </c>
      <c r="B183" s="569" t="s">
        <v>5893</v>
      </c>
      <c r="C183" s="967">
        <v>6.5</v>
      </c>
      <c r="D183" s="904"/>
      <c r="E183" s="791"/>
    </row>
    <row r="184" spans="1:6" ht="13.5" customHeight="1" x14ac:dyDescent="0.2">
      <c r="A184" s="724" t="s">
        <v>234</v>
      </c>
      <c r="B184" s="569" t="s">
        <v>6098</v>
      </c>
      <c r="C184" s="975">
        <v>1209.05</v>
      </c>
      <c r="D184" s="904"/>
      <c r="E184" s="791"/>
    </row>
    <row r="185" spans="1:6" ht="13.5" customHeight="1" x14ac:dyDescent="0.2">
      <c r="A185" s="724" t="s">
        <v>234</v>
      </c>
      <c r="B185" s="569" t="s">
        <v>5719</v>
      </c>
      <c r="C185" s="975">
        <v>320</v>
      </c>
      <c r="D185" s="904"/>
      <c r="E185" s="791"/>
    </row>
    <row r="186" spans="1:6" ht="13.5" customHeight="1" x14ac:dyDescent="0.2">
      <c r="B186" s="722"/>
      <c r="C186" s="977">
        <f>SUM(C162:C185)</f>
        <v>5425.97</v>
      </c>
      <c r="D186" s="904"/>
      <c r="E186" s="791"/>
    </row>
    <row r="187" spans="1:6" ht="13.5" customHeight="1" x14ac:dyDescent="0.2">
      <c r="B187" s="722"/>
      <c r="C187" s="975"/>
      <c r="D187" s="904"/>
      <c r="E187" s="791"/>
    </row>
    <row r="188" spans="1:6" ht="13.5" customHeight="1" x14ac:dyDescent="0.2">
      <c r="A188" s="724" t="s">
        <v>235</v>
      </c>
      <c r="B188" s="793" t="s">
        <v>195</v>
      </c>
      <c r="C188" s="975">
        <v>548.51</v>
      </c>
      <c r="D188" s="904"/>
      <c r="E188" s="791"/>
    </row>
    <row r="189" spans="1:6" ht="13.5" customHeight="1" x14ac:dyDescent="0.2">
      <c r="A189" s="724" t="s">
        <v>235</v>
      </c>
      <c r="B189" s="795" t="s">
        <v>194</v>
      </c>
      <c r="C189" s="975">
        <v>118.84</v>
      </c>
      <c r="D189" s="904"/>
      <c r="E189" s="791"/>
    </row>
    <row r="190" spans="1:6" ht="13.5" customHeight="1" x14ac:dyDescent="0.2">
      <c r="B190" s="795"/>
      <c r="C190" s="977">
        <f>SUM(C188:C189)</f>
        <v>667.35</v>
      </c>
      <c r="D190" s="904"/>
      <c r="E190" s="791"/>
    </row>
    <row r="191" spans="1:6" ht="13.5" customHeight="1" x14ac:dyDescent="0.2">
      <c r="B191" s="795"/>
      <c r="C191" s="975"/>
      <c r="D191" s="904"/>
      <c r="E191" s="791"/>
    </row>
    <row r="192" spans="1:6" ht="13.5" customHeight="1" x14ac:dyDescent="0.2">
      <c r="A192" s="724" t="s">
        <v>3764</v>
      </c>
      <c r="B192" s="795" t="s">
        <v>6013</v>
      </c>
      <c r="C192" s="975">
        <v>2100</v>
      </c>
      <c r="D192" s="978">
        <f>C192/2</f>
        <v>1050</v>
      </c>
      <c r="E192" s="791"/>
    </row>
    <row r="193" spans="1:5" ht="13.5" customHeight="1" x14ac:dyDescent="0.2">
      <c r="B193" s="795"/>
      <c r="C193" s="975"/>
      <c r="D193" s="904"/>
      <c r="E193" s="791"/>
    </row>
    <row r="194" spans="1:5" ht="13.5" customHeight="1" x14ac:dyDescent="0.2">
      <c r="B194" s="795"/>
      <c r="C194" s="975"/>
      <c r="D194" s="904"/>
      <c r="E194" s="791"/>
    </row>
    <row r="195" spans="1:5" ht="13.5" customHeight="1" x14ac:dyDescent="0.2">
      <c r="A195" s="724" t="s">
        <v>236</v>
      </c>
      <c r="B195" s="795" t="s">
        <v>5730</v>
      </c>
      <c r="C195" s="975">
        <v>106.2</v>
      </c>
      <c r="D195" s="904"/>
      <c r="E195" s="791"/>
    </row>
    <row r="196" spans="1:5" ht="13.5" customHeight="1" x14ac:dyDescent="0.2">
      <c r="A196" s="724" t="s">
        <v>236</v>
      </c>
      <c r="B196" s="569" t="s">
        <v>1002</v>
      </c>
      <c r="C196" s="975">
        <v>65</v>
      </c>
      <c r="D196" s="904"/>
      <c r="E196" s="791"/>
    </row>
    <row r="197" spans="1:5" ht="13.5" customHeight="1" x14ac:dyDescent="0.2">
      <c r="A197" s="724" t="s">
        <v>236</v>
      </c>
      <c r="B197" s="569" t="s">
        <v>6012</v>
      </c>
      <c r="C197" s="975">
        <v>2000</v>
      </c>
      <c r="D197" s="904"/>
      <c r="E197" s="791"/>
    </row>
    <row r="198" spans="1:5" ht="13.5" customHeight="1" x14ac:dyDescent="0.2">
      <c r="A198" s="724" t="s">
        <v>236</v>
      </c>
      <c r="B198" s="569" t="s">
        <v>5917</v>
      </c>
      <c r="C198" s="975">
        <v>1200</v>
      </c>
      <c r="D198" s="904"/>
      <c r="E198" s="791"/>
    </row>
    <row r="199" spans="1:5" ht="13.5" customHeight="1" x14ac:dyDescent="0.2">
      <c r="A199" s="724" t="s">
        <v>236</v>
      </c>
      <c r="B199" s="569" t="s">
        <v>5917</v>
      </c>
      <c r="C199" s="975">
        <v>1500</v>
      </c>
      <c r="D199" s="904"/>
      <c r="E199" s="791"/>
    </row>
    <row r="200" spans="1:5" ht="13.5" customHeight="1" x14ac:dyDescent="0.2">
      <c r="A200" s="724" t="s">
        <v>236</v>
      </c>
      <c r="B200" s="569" t="s">
        <v>5917</v>
      </c>
      <c r="C200" s="975">
        <v>2000</v>
      </c>
      <c r="D200" s="904"/>
      <c r="E200" s="791"/>
    </row>
    <row r="201" spans="1:5" ht="13.5" customHeight="1" x14ac:dyDescent="0.2">
      <c r="A201" s="724" t="s">
        <v>236</v>
      </c>
      <c r="B201" s="569" t="s">
        <v>5917</v>
      </c>
      <c r="C201" s="975">
        <v>2000</v>
      </c>
      <c r="D201" s="904"/>
      <c r="E201" s="791"/>
    </row>
    <row r="202" spans="1:5" ht="13.5" customHeight="1" x14ac:dyDescent="0.2">
      <c r="A202" s="724" t="s">
        <v>236</v>
      </c>
      <c r="B202" s="569" t="s">
        <v>5965</v>
      </c>
      <c r="C202" s="975">
        <v>1500</v>
      </c>
      <c r="D202" s="904"/>
      <c r="E202" s="791"/>
    </row>
    <row r="203" spans="1:5" ht="13.5" customHeight="1" x14ac:dyDescent="0.2">
      <c r="A203" s="724" t="s">
        <v>236</v>
      </c>
      <c r="B203" s="569" t="s">
        <v>5951</v>
      </c>
      <c r="C203" s="975">
        <v>34.22</v>
      </c>
      <c r="D203" s="904"/>
      <c r="E203" s="791"/>
    </row>
    <row r="204" spans="1:5" ht="13.5" customHeight="1" x14ac:dyDescent="0.2">
      <c r="A204" s="724" t="s">
        <v>236</v>
      </c>
      <c r="B204" s="569" t="s">
        <v>5915</v>
      </c>
      <c r="C204" s="975">
        <v>400</v>
      </c>
      <c r="D204" s="904"/>
      <c r="E204" s="791"/>
    </row>
    <row r="205" spans="1:5" ht="13.5" customHeight="1" x14ac:dyDescent="0.2">
      <c r="A205" s="724" t="s">
        <v>236</v>
      </c>
      <c r="B205" s="569" t="s">
        <v>5915</v>
      </c>
      <c r="C205" s="975">
        <v>800</v>
      </c>
      <c r="D205" s="904"/>
      <c r="E205" s="791"/>
    </row>
    <row r="206" spans="1:5" ht="13.5" customHeight="1" x14ac:dyDescent="0.2">
      <c r="A206" s="724" t="s">
        <v>236</v>
      </c>
      <c r="B206" s="569" t="s">
        <v>5623</v>
      </c>
      <c r="C206" s="967">
        <v>100</v>
      </c>
      <c r="D206" s="904"/>
      <c r="E206" s="791"/>
    </row>
    <row r="207" spans="1:5" ht="13.5" customHeight="1" x14ac:dyDescent="0.2">
      <c r="A207" s="724" t="s">
        <v>236</v>
      </c>
      <c r="B207" s="569" t="s">
        <v>5623</v>
      </c>
      <c r="C207" s="967">
        <v>300</v>
      </c>
      <c r="D207" s="904"/>
      <c r="E207" s="791"/>
    </row>
    <row r="208" spans="1:5" ht="13.5" customHeight="1" x14ac:dyDescent="0.2">
      <c r="A208" s="724" t="s">
        <v>236</v>
      </c>
      <c r="B208" s="722" t="s">
        <v>5623</v>
      </c>
      <c r="C208" s="967">
        <v>500</v>
      </c>
      <c r="D208" s="976"/>
      <c r="E208" s="791"/>
    </row>
    <row r="209" spans="1:5" ht="13.5" customHeight="1" x14ac:dyDescent="0.2">
      <c r="A209" s="724" t="s">
        <v>236</v>
      </c>
      <c r="B209" s="722" t="s">
        <v>5623</v>
      </c>
      <c r="C209" s="967">
        <v>1000</v>
      </c>
      <c r="D209" s="976"/>
      <c r="E209" s="791"/>
    </row>
    <row r="210" spans="1:5" ht="13.5" customHeight="1" x14ac:dyDescent="0.2">
      <c r="A210" s="724" t="s">
        <v>236</v>
      </c>
      <c r="B210" s="722" t="s">
        <v>5623</v>
      </c>
      <c r="C210" s="967">
        <v>1900</v>
      </c>
      <c r="D210" s="976"/>
      <c r="E210" s="791">
        <v>3960.6820000000002</v>
      </c>
    </row>
    <row r="211" spans="1:5" ht="13.5" customHeight="1" x14ac:dyDescent="0.2">
      <c r="B211" s="722"/>
      <c r="C211" s="967">
        <f>SUM(C195:C210)</f>
        <v>15405.42</v>
      </c>
      <c r="D211" s="979">
        <f>C211-3960.68-2185-342.04-781.81</f>
        <v>8135.8899999999994</v>
      </c>
      <c r="E211" s="791">
        <v>2185</v>
      </c>
    </row>
    <row r="212" spans="1:5" ht="13.5" customHeight="1" x14ac:dyDescent="0.2">
      <c r="B212" s="722"/>
      <c r="C212" s="967"/>
      <c r="D212" s="976"/>
      <c r="E212" s="791"/>
    </row>
    <row r="213" spans="1:5" ht="13.5" customHeight="1" x14ac:dyDescent="0.2">
      <c r="A213" s="724" t="s">
        <v>236</v>
      </c>
      <c r="B213" s="569" t="s">
        <v>6015</v>
      </c>
      <c r="C213" s="975">
        <v>70.56</v>
      </c>
      <c r="D213" s="904"/>
      <c r="E213" s="791"/>
    </row>
    <row r="214" spans="1:5" ht="13.5" customHeight="1" x14ac:dyDescent="0.2">
      <c r="A214" s="724" t="s">
        <v>236</v>
      </c>
      <c r="B214" s="795" t="s">
        <v>5666</v>
      </c>
      <c r="C214" s="975">
        <v>35.28</v>
      </c>
      <c r="D214" s="904"/>
      <c r="E214" s="791"/>
    </row>
    <row r="215" spans="1:5" ht="13.5" customHeight="1" x14ac:dyDescent="0.2">
      <c r="A215" s="724" t="s">
        <v>236</v>
      </c>
      <c r="B215" s="569" t="s">
        <v>6006</v>
      </c>
      <c r="C215" s="967">
        <v>5000</v>
      </c>
      <c r="D215" s="904"/>
      <c r="E215" s="791"/>
    </row>
    <row r="216" spans="1:5" ht="13.5" customHeight="1" x14ac:dyDescent="0.2">
      <c r="B216" s="722"/>
      <c r="C216" s="967">
        <f>SUM(C213:C215)</f>
        <v>5105.84</v>
      </c>
      <c r="D216" s="979">
        <f>C216-1124.76-1118.11</f>
        <v>2862.9700000000003</v>
      </c>
      <c r="E216" s="791"/>
    </row>
    <row r="217" spans="1:5" ht="13.5" customHeight="1" x14ac:dyDescent="0.2">
      <c r="B217" s="722"/>
      <c r="C217" s="975"/>
      <c r="D217" s="976"/>
      <c r="E217" s="791"/>
    </row>
    <row r="218" spans="1:5" ht="13.5" customHeight="1" x14ac:dyDescent="0.2">
      <c r="A218" s="724" t="s">
        <v>238</v>
      </c>
      <c r="B218" s="722" t="s">
        <v>5557</v>
      </c>
      <c r="C218" s="975">
        <v>0.77</v>
      </c>
      <c r="D218" s="976"/>
      <c r="E218" s="791"/>
    </row>
    <row r="219" spans="1:5" ht="13.5" customHeight="1" x14ac:dyDescent="0.2">
      <c r="A219" s="724" t="s">
        <v>238</v>
      </c>
      <c r="B219" s="722" t="s">
        <v>5558</v>
      </c>
      <c r="C219" s="975">
        <v>17.36</v>
      </c>
      <c r="D219" s="976"/>
      <c r="E219" s="791"/>
    </row>
    <row r="220" spans="1:5" ht="13.5" customHeight="1" x14ac:dyDescent="0.2">
      <c r="A220" s="724" t="s">
        <v>238</v>
      </c>
      <c r="B220" s="793" t="s">
        <v>5578</v>
      </c>
      <c r="C220" s="967">
        <v>-0.02</v>
      </c>
      <c r="D220" s="976"/>
      <c r="E220" s="791"/>
    </row>
    <row r="221" spans="1:5" ht="13.5" customHeight="1" x14ac:dyDescent="0.2">
      <c r="A221" s="724" t="s">
        <v>238</v>
      </c>
      <c r="B221" s="793" t="s">
        <v>5578</v>
      </c>
      <c r="C221" s="967">
        <v>-0.01</v>
      </c>
      <c r="D221" s="976"/>
      <c r="E221" s="791"/>
    </row>
    <row r="222" spans="1:5" ht="13.5" customHeight="1" x14ac:dyDescent="0.2">
      <c r="A222" s="724" t="s">
        <v>238</v>
      </c>
      <c r="B222" s="793" t="s">
        <v>5578</v>
      </c>
      <c r="C222" s="967">
        <v>-0.01</v>
      </c>
      <c r="D222" s="976"/>
      <c r="E222" s="791"/>
    </row>
    <row r="223" spans="1:5" ht="13.5" customHeight="1" x14ac:dyDescent="0.2">
      <c r="A223" s="724" t="s">
        <v>238</v>
      </c>
      <c r="B223" s="722" t="s">
        <v>5578</v>
      </c>
      <c r="C223" s="975">
        <v>52.16</v>
      </c>
      <c r="D223" s="976"/>
      <c r="E223" s="791"/>
    </row>
    <row r="224" spans="1:5" ht="13.5" customHeight="1" x14ac:dyDescent="0.2">
      <c r="A224" s="724" t="s">
        <v>238</v>
      </c>
      <c r="B224" s="722" t="s">
        <v>5798</v>
      </c>
      <c r="C224" s="975">
        <v>69</v>
      </c>
      <c r="D224" s="976"/>
      <c r="E224" s="791"/>
    </row>
    <row r="225" spans="1:6" ht="13.5" customHeight="1" x14ac:dyDescent="0.2">
      <c r="A225" s="724" t="s">
        <v>238</v>
      </c>
      <c r="B225" s="722" t="s">
        <v>5679</v>
      </c>
      <c r="C225" s="975">
        <v>9.9</v>
      </c>
      <c r="D225" s="976"/>
      <c r="E225" s="791"/>
    </row>
    <row r="226" spans="1:6" ht="13.5" customHeight="1" x14ac:dyDescent="0.2">
      <c r="A226" s="724" t="s">
        <v>238</v>
      </c>
      <c r="B226" s="722" t="s">
        <v>5679</v>
      </c>
      <c r="C226" s="975">
        <v>72</v>
      </c>
      <c r="D226" s="976"/>
      <c r="E226" s="791"/>
    </row>
    <row r="227" spans="1:6" ht="13.5" customHeight="1" x14ac:dyDescent="0.2">
      <c r="B227" s="208"/>
      <c r="C227" s="975">
        <f>SUM(C218:C226)</f>
        <v>221.15</v>
      </c>
      <c r="D227" s="977">
        <f>C227/2</f>
        <v>110.575</v>
      </c>
      <c r="E227" s="791"/>
    </row>
    <row r="228" spans="1:6" ht="13.5" customHeight="1" x14ac:dyDescent="0.2">
      <c r="B228" s="78"/>
      <c r="C228" s="980"/>
      <c r="D228" s="981"/>
    </row>
    <row r="229" spans="1:6" ht="13.5" customHeight="1" x14ac:dyDescent="0.2">
      <c r="A229" s="97" t="s">
        <v>239</v>
      </c>
      <c r="B229" s="722" t="s">
        <v>6076</v>
      </c>
      <c r="C229" s="575">
        <v>16</v>
      </c>
      <c r="D229" s="575"/>
    </row>
    <row r="230" spans="1:6" ht="13.5" customHeight="1" x14ac:dyDescent="0.2">
      <c r="A230" s="97" t="s">
        <v>239</v>
      </c>
      <c r="B230" s="722" t="s">
        <v>6076</v>
      </c>
      <c r="C230" s="575">
        <v>16.3</v>
      </c>
      <c r="D230" s="575"/>
    </row>
    <row r="231" spans="1:6" ht="13.5" customHeight="1" x14ac:dyDescent="0.2">
      <c r="A231" s="97" t="s">
        <v>239</v>
      </c>
      <c r="B231" s="722" t="s">
        <v>6076</v>
      </c>
      <c r="C231" s="575">
        <v>31.5</v>
      </c>
      <c r="D231" s="575"/>
    </row>
    <row r="232" spans="1:6" ht="13.5" customHeight="1" x14ac:dyDescent="0.2">
      <c r="A232" s="97" t="s">
        <v>239</v>
      </c>
      <c r="B232" s="569" t="s">
        <v>6076</v>
      </c>
      <c r="C232" s="577">
        <v>35.14</v>
      </c>
      <c r="D232" s="577"/>
    </row>
    <row r="233" spans="1:6" x14ac:dyDescent="0.2">
      <c r="B233" s="634"/>
      <c r="C233" s="890">
        <f>SUM(C229:C232)</f>
        <v>98.94</v>
      </c>
      <c r="D233" s="982">
        <f>C233/2</f>
        <v>49.47</v>
      </c>
    </row>
    <row r="234" spans="1:6" x14ac:dyDescent="0.2">
      <c r="B234" s="634"/>
      <c r="C234" s="890"/>
      <c r="D234" s="890"/>
    </row>
    <row r="235" spans="1:6" ht="13.5" customHeight="1" x14ac:dyDescent="0.2">
      <c r="A235" s="724" t="s">
        <v>421</v>
      </c>
      <c r="B235" s="722" t="s">
        <v>6024</v>
      </c>
      <c r="C235" s="964">
        <v>1527.03</v>
      </c>
      <c r="D235" s="955"/>
      <c r="E235" s="791"/>
    </row>
    <row r="236" spans="1:6" ht="13.5" customHeight="1" x14ac:dyDescent="0.2">
      <c r="A236" s="724" t="s">
        <v>421</v>
      </c>
      <c r="B236" s="722" t="s">
        <v>6059</v>
      </c>
      <c r="C236" s="964">
        <v>121.1</v>
      </c>
      <c r="D236" s="970"/>
      <c r="E236" s="791"/>
      <c r="F236" s="791"/>
    </row>
    <row r="237" spans="1:6" ht="13.5" customHeight="1" x14ac:dyDescent="0.2">
      <c r="A237" s="724" t="s">
        <v>421</v>
      </c>
      <c r="B237" s="722" t="s">
        <v>6074</v>
      </c>
      <c r="C237" s="964">
        <v>446.6</v>
      </c>
      <c r="D237" s="955"/>
      <c r="E237" s="791"/>
    </row>
    <row r="238" spans="1:6" ht="13.5" customHeight="1" x14ac:dyDescent="0.2">
      <c r="A238" s="724" t="s">
        <v>421</v>
      </c>
      <c r="B238" s="722" t="s">
        <v>6067</v>
      </c>
      <c r="C238" s="964">
        <v>286.7</v>
      </c>
      <c r="D238" s="955"/>
      <c r="E238" s="791"/>
    </row>
    <row r="239" spans="1:6" ht="13.5" customHeight="1" x14ac:dyDescent="0.2">
      <c r="A239" s="724" t="s">
        <v>421</v>
      </c>
      <c r="B239" s="722" t="s">
        <v>6036</v>
      </c>
      <c r="C239" s="975">
        <v>2038</v>
      </c>
      <c r="D239" s="904"/>
      <c r="E239" s="791"/>
    </row>
    <row r="240" spans="1:6" ht="13.5" customHeight="1" x14ac:dyDescent="0.2">
      <c r="A240" s="724" t="s">
        <v>421</v>
      </c>
      <c r="B240" s="569" t="s">
        <v>6051</v>
      </c>
      <c r="C240" s="975">
        <v>1687.59</v>
      </c>
      <c r="D240" s="904"/>
      <c r="E240" s="791"/>
    </row>
    <row r="241" spans="1:5" ht="13.5" customHeight="1" x14ac:dyDescent="0.2">
      <c r="A241" s="724" t="s">
        <v>421</v>
      </c>
      <c r="B241" s="569" t="s">
        <v>6099</v>
      </c>
      <c r="C241" s="975">
        <v>578.46</v>
      </c>
      <c r="D241" s="904"/>
      <c r="E241" s="791"/>
    </row>
    <row r="242" spans="1:5" x14ac:dyDescent="0.2">
      <c r="B242" s="634"/>
      <c r="C242" s="982">
        <f>SUM(C235:C241)</f>
        <v>6685.4800000000005</v>
      </c>
      <c r="D242" s="890"/>
    </row>
    <row r="243" spans="1:5" x14ac:dyDescent="0.2"/>
    <row r="244" spans="1:5" x14ac:dyDescent="0.2"/>
    <row r="245" spans="1:5" x14ac:dyDescent="0.2"/>
    <row r="246" spans="1:5" x14ac:dyDescent="0.2"/>
    <row r="247" spans="1:5" x14ac:dyDescent="0.2"/>
    <row r="248" spans="1:5" x14ac:dyDescent="0.2"/>
    <row r="249" spans="1:5" x14ac:dyDescent="0.2"/>
    <row r="250" spans="1:5" x14ac:dyDescent="0.2"/>
    <row r="307" x14ac:dyDescent="0.2"/>
    <row r="308" x14ac:dyDescent="0.2"/>
    <row r="309" x14ac:dyDescent="0.2"/>
    <row r="310" x14ac:dyDescent="0.2"/>
    <row r="311" x14ac:dyDescent="0.2"/>
    <row r="312" x14ac:dyDescent="0.2"/>
    <row r="313" x14ac:dyDescent="0.2"/>
    <row r="314" x14ac:dyDescent="0.2"/>
    <row r="315" x14ac:dyDescent="0.2"/>
    <row r="316" x14ac:dyDescent="0.2"/>
    <row r="317" x14ac:dyDescent="0.2"/>
    <row r="318" x14ac:dyDescent="0.2"/>
    <row r="319" x14ac:dyDescent="0.2"/>
    <row r="320" x14ac:dyDescent="0.2"/>
    <row r="321" x14ac:dyDescent="0.2"/>
    <row r="322" x14ac:dyDescent="0.2"/>
    <row r="323" x14ac:dyDescent="0.2"/>
    <row r="324" x14ac:dyDescent="0.2"/>
    <row r="325" x14ac:dyDescent="0.2"/>
    <row r="326" x14ac:dyDescent="0.2"/>
    <row r="327" x14ac:dyDescent="0.2"/>
    <row r="329" x14ac:dyDescent="0.2"/>
    <row r="330" x14ac:dyDescent="0.2"/>
    <row r="331" x14ac:dyDescent="0.2"/>
    <row r="332" x14ac:dyDescent="0.2"/>
    <row r="333" x14ac:dyDescent="0.2"/>
    <row r="334" x14ac:dyDescent="0.2"/>
    <row r="335" x14ac:dyDescent="0.2"/>
    <row r="336" x14ac:dyDescent="0.2"/>
    <row r="337" x14ac:dyDescent="0.2"/>
    <row r="338" x14ac:dyDescent="0.2"/>
    <row r="339" x14ac:dyDescent="0.2"/>
    <row r="340" x14ac:dyDescent="0.2"/>
    <row r="341" x14ac:dyDescent="0.2"/>
    <row r="342" x14ac:dyDescent="0.2"/>
    <row r="343" x14ac:dyDescent="0.2"/>
    <row r="344" x14ac:dyDescent="0.2"/>
    <row r="345" x14ac:dyDescent="0.2"/>
    <row r="346" x14ac:dyDescent="0.2"/>
    <row r="347" x14ac:dyDescent="0.2"/>
    <row r="348" x14ac:dyDescent="0.2"/>
    <row r="349" x14ac:dyDescent="0.2"/>
    <row r="350" x14ac:dyDescent="0.2"/>
    <row r="351" x14ac:dyDescent="0.2"/>
    <row r="352" x14ac:dyDescent="0.2"/>
    <row r="353" x14ac:dyDescent="0.2"/>
    <row r="354" x14ac:dyDescent="0.2"/>
    <row r="355" x14ac:dyDescent="0.2"/>
    <row r="356" x14ac:dyDescent="0.2"/>
    <row r="357" x14ac:dyDescent="0.2"/>
    <row r="358" x14ac:dyDescent="0.2"/>
    <row r="359" x14ac:dyDescent="0.2"/>
    <row r="360" x14ac:dyDescent="0.2"/>
    <row r="361" x14ac:dyDescent="0.2"/>
    <row r="362" x14ac:dyDescent="0.2"/>
    <row r="363" x14ac:dyDescent="0.2"/>
    <row r="364" x14ac:dyDescent="0.2"/>
    <row r="365" x14ac:dyDescent="0.2"/>
    <row r="366" x14ac:dyDescent="0.2"/>
    <row r="367" x14ac:dyDescent="0.2"/>
    <row r="368" x14ac:dyDescent="0.2"/>
    <row r="369" x14ac:dyDescent="0.2"/>
    <row r="370" x14ac:dyDescent="0.2"/>
    <row r="371" x14ac:dyDescent="0.2"/>
    <row r="372" x14ac:dyDescent="0.2"/>
    <row r="373" x14ac:dyDescent="0.2"/>
    <row r="374" x14ac:dyDescent="0.2"/>
    <row r="375" x14ac:dyDescent="0.2"/>
    <row r="376" x14ac:dyDescent="0.2"/>
    <row r="377" x14ac:dyDescent="0.2"/>
    <row r="378" x14ac:dyDescent="0.2"/>
    <row r="379" x14ac:dyDescent="0.2"/>
    <row r="380" x14ac:dyDescent="0.2"/>
    <row r="381" x14ac:dyDescent="0.2"/>
    <row r="382" x14ac:dyDescent="0.2"/>
    <row r="383" x14ac:dyDescent="0.2"/>
    <row r="384" x14ac:dyDescent="0.2"/>
    <row r="385" x14ac:dyDescent="0.2"/>
    <row r="386" x14ac:dyDescent="0.2"/>
    <row r="387" x14ac:dyDescent="0.2"/>
    <row r="388" x14ac:dyDescent="0.2"/>
    <row r="389" x14ac:dyDescent="0.2"/>
    <row r="390" x14ac:dyDescent="0.2"/>
    <row r="391" x14ac:dyDescent="0.2"/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439"/>
  <sheetViews>
    <sheetView zoomScale="80" zoomScaleNormal="80" workbookViewId="0">
      <selection activeCell="C9" sqref="C9"/>
    </sheetView>
  </sheetViews>
  <sheetFormatPr defaultColWidth="9" defaultRowHeight="12.75" x14ac:dyDescent="0.2"/>
  <cols>
    <col min="1" max="1" width="14" style="97" customWidth="1"/>
    <col min="2" max="2" width="1.875" style="97" customWidth="1"/>
    <col min="3" max="3" width="95.875" style="97" customWidth="1"/>
    <col min="4" max="4" width="12" style="866" customWidth="1"/>
    <col min="5" max="5" width="12.375" style="866" customWidth="1"/>
    <col min="6" max="6" width="10.75" style="866" customWidth="1"/>
    <col min="7" max="7" width="11.875" style="866" customWidth="1"/>
    <col min="8" max="9" width="10.75" style="866" customWidth="1"/>
    <col min="10" max="10" width="10.875" style="1018" customWidth="1"/>
    <col min="11" max="12" width="11.375" style="866" customWidth="1"/>
    <col min="13" max="13" width="10.375" style="97" customWidth="1"/>
    <col min="14" max="16384" width="9" style="97"/>
  </cols>
  <sheetData>
    <row r="1" spans="1:13" ht="13.5" customHeight="1" thickBot="1" x14ac:dyDescent="0.25">
      <c r="A1" s="1388" t="s">
        <v>6100</v>
      </c>
      <c r="B1" s="1388"/>
      <c r="C1" s="1389"/>
      <c r="D1" s="1399" t="s">
        <v>0</v>
      </c>
      <c r="E1" s="1400"/>
      <c r="F1" s="1400"/>
      <c r="G1" s="1401"/>
      <c r="H1" s="1402" t="s">
        <v>1</v>
      </c>
      <c r="I1" s="1400"/>
      <c r="J1" s="1403"/>
    </row>
    <row r="2" spans="1:13" ht="13.5" customHeight="1" thickBot="1" x14ac:dyDescent="0.25">
      <c r="A2" s="561" t="s">
        <v>2</v>
      </c>
      <c r="B2" s="562"/>
      <c r="C2" s="562" t="s">
        <v>3</v>
      </c>
      <c r="D2" s="917" t="s">
        <v>4</v>
      </c>
      <c r="E2" s="917" t="s">
        <v>5</v>
      </c>
      <c r="F2" s="917" t="s">
        <v>6</v>
      </c>
      <c r="G2" s="983" t="s">
        <v>7</v>
      </c>
      <c r="H2" s="984" t="s">
        <v>5</v>
      </c>
      <c r="I2" s="917" t="s">
        <v>6</v>
      </c>
      <c r="J2" s="985" t="s">
        <v>7</v>
      </c>
    </row>
    <row r="3" spans="1:13" ht="13.5" customHeight="1" x14ac:dyDescent="0.2">
      <c r="A3" s="568" t="s">
        <v>6101</v>
      </c>
      <c r="B3" s="603"/>
      <c r="C3" s="570" t="s">
        <v>8</v>
      </c>
      <c r="D3" s="986"/>
      <c r="E3" s="930"/>
      <c r="F3" s="950"/>
      <c r="G3" s="987">
        <v>-9.82</v>
      </c>
      <c r="H3" s="988"/>
      <c r="I3" s="989"/>
      <c r="J3" s="990">
        <v>917.22000000000617</v>
      </c>
      <c r="K3" s="866">
        <v>-9.82</v>
      </c>
      <c r="L3" s="866">
        <f>J3</f>
        <v>917.22000000000617</v>
      </c>
      <c r="M3" s="573"/>
    </row>
    <row r="4" spans="1:13" ht="13.5" customHeight="1" x14ac:dyDescent="0.2">
      <c r="A4" s="786">
        <v>43010</v>
      </c>
      <c r="B4" s="787"/>
      <c r="C4" s="722" t="s">
        <v>6102</v>
      </c>
      <c r="D4" s="986"/>
      <c r="E4" s="930"/>
      <c r="F4" s="392"/>
      <c r="G4" s="991"/>
      <c r="H4" s="992"/>
      <c r="I4" s="993">
        <v>1360</v>
      </c>
      <c r="J4" s="994">
        <v>2277.2200000000062</v>
      </c>
      <c r="K4" s="866">
        <v>-9.82</v>
      </c>
      <c r="L4" s="866">
        <v>2277.2200000000062</v>
      </c>
      <c r="M4" s="573"/>
    </row>
    <row r="5" spans="1:13" ht="13.5" customHeight="1" x14ac:dyDescent="0.2">
      <c r="A5" s="786"/>
      <c r="B5" s="787"/>
      <c r="C5" s="722" t="s">
        <v>6103</v>
      </c>
      <c r="D5" s="986" t="s">
        <v>336</v>
      </c>
      <c r="E5" s="930">
        <v>-58.23</v>
      </c>
      <c r="F5" s="392" t="s">
        <v>549</v>
      </c>
      <c r="G5" s="991"/>
      <c r="H5" s="992"/>
      <c r="I5" s="993"/>
      <c r="J5" s="994"/>
      <c r="K5" s="866">
        <v>-68.05</v>
      </c>
      <c r="L5" s="866">
        <v>2277.2200000000062</v>
      </c>
      <c r="M5" s="573"/>
    </row>
    <row r="6" spans="1:13" ht="13.5" customHeight="1" x14ac:dyDescent="0.2">
      <c r="A6" s="786"/>
      <c r="B6" s="787"/>
      <c r="C6" s="722" t="s">
        <v>109</v>
      </c>
      <c r="D6" s="986" t="s">
        <v>271</v>
      </c>
      <c r="E6" s="930">
        <v>-58.23</v>
      </c>
      <c r="F6" s="392" t="s">
        <v>549</v>
      </c>
      <c r="G6" s="991"/>
      <c r="H6" s="992"/>
      <c r="I6" s="993"/>
      <c r="J6" s="994"/>
      <c r="K6" s="866">
        <v>-126.28</v>
      </c>
      <c r="L6" s="866">
        <v>2277.2200000000062</v>
      </c>
      <c r="M6" s="573"/>
    </row>
    <row r="7" spans="1:13" ht="13.5" customHeight="1" x14ac:dyDescent="0.2">
      <c r="A7" s="786"/>
      <c r="B7" s="787"/>
      <c r="C7" s="722" t="s">
        <v>1002</v>
      </c>
      <c r="D7" s="986" t="s">
        <v>6104</v>
      </c>
      <c r="E7" s="931">
        <v>-41.97</v>
      </c>
      <c r="F7" s="392" t="s">
        <v>549</v>
      </c>
      <c r="G7" s="991"/>
      <c r="H7" s="992"/>
      <c r="I7" s="993"/>
      <c r="J7" s="994"/>
      <c r="K7" s="866">
        <v>-168.25</v>
      </c>
      <c r="L7" s="866">
        <v>2277.2200000000062</v>
      </c>
      <c r="M7" s="573"/>
    </row>
    <row r="8" spans="1:13" ht="13.5" customHeight="1" x14ac:dyDescent="0.2">
      <c r="A8" s="786"/>
      <c r="B8" s="787"/>
      <c r="C8" s="722" t="s">
        <v>5557</v>
      </c>
      <c r="D8" s="986" t="s">
        <v>19</v>
      </c>
      <c r="E8" s="931">
        <v>-0.56999999999999995</v>
      </c>
      <c r="F8" s="392" t="s">
        <v>549</v>
      </c>
      <c r="G8" s="991"/>
      <c r="H8" s="992"/>
      <c r="I8" s="993"/>
      <c r="J8" s="994"/>
      <c r="K8" s="866">
        <v>-168.82</v>
      </c>
      <c r="L8" s="866">
        <v>2277.2200000000062</v>
      </c>
      <c r="M8" s="573"/>
    </row>
    <row r="9" spans="1:13" ht="13.5" customHeight="1" x14ac:dyDescent="0.2">
      <c r="A9" s="786"/>
      <c r="B9" s="787"/>
      <c r="C9" s="722" t="s">
        <v>1598</v>
      </c>
      <c r="D9" s="986" t="s">
        <v>19</v>
      </c>
      <c r="E9" s="931">
        <v>-7.78</v>
      </c>
      <c r="F9" s="392" t="s">
        <v>549</v>
      </c>
      <c r="G9" s="995">
        <v>-176.6</v>
      </c>
      <c r="H9" s="992"/>
      <c r="I9" s="993"/>
      <c r="J9" s="994"/>
      <c r="K9" s="866">
        <v>-176.6</v>
      </c>
      <c r="L9" s="866">
        <v>2277.2200000000062</v>
      </c>
      <c r="M9" s="573"/>
    </row>
    <row r="10" spans="1:13" ht="13.5" customHeight="1" x14ac:dyDescent="0.2">
      <c r="A10" s="786">
        <v>43011</v>
      </c>
      <c r="B10" s="787"/>
      <c r="C10" s="722" t="s">
        <v>6105</v>
      </c>
      <c r="D10" s="986"/>
      <c r="E10" s="930"/>
      <c r="F10" s="392"/>
      <c r="G10" s="991"/>
      <c r="H10" s="992"/>
      <c r="I10" s="993">
        <v>220</v>
      </c>
      <c r="J10" s="994"/>
      <c r="K10" s="866">
        <v>-176.6</v>
      </c>
      <c r="L10" s="866">
        <v>2497.2200000000062</v>
      </c>
      <c r="M10" s="573"/>
    </row>
    <row r="11" spans="1:13" ht="13.5" customHeight="1" x14ac:dyDescent="0.2">
      <c r="A11" s="786"/>
      <c r="B11" s="787"/>
      <c r="C11" s="722" t="s">
        <v>6106</v>
      </c>
      <c r="D11" s="986"/>
      <c r="E11" s="930"/>
      <c r="F11" s="392"/>
      <c r="G11" s="991"/>
      <c r="H11" s="992"/>
      <c r="I11" s="993">
        <v>2296.13</v>
      </c>
      <c r="J11" s="994"/>
      <c r="K11" s="866">
        <v>-176.6</v>
      </c>
      <c r="L11" s="866">
        <v>4793.3500000000058</v>
      </c>
      <c r="M11" s="573"/>
    </row>
    <row r="12" spans="1:13" ht="13.5" customHeight="1" x14ac:dyDescent="0.2">
      <c r="A12" s="786"/>
      <c r="B12" s="787"/>
      <c r="C12" s="722" t="s">
        <v>6107</v>
      </c>
      <c r="D12" s="986"/>
      <c r="E12" s="930"/>
      <c r="F12" s="392"/>
      <c r="G12" s="991"/>
      <c r="H12" s="992"/>
      <c r="I12" s="993">
        <v>60</v>
      </c>
      <c r="J12" s="994"/>
      <c r="K12" s="866">
        <v>-176.6</v>
      </c>
      <c r="L12" s="866">
        <v>4853.3500000000058</v>
      </c>
      <c r="M12" s="573"/>
    </row>
    <row r="13" spans="1:13" ht="13.5" customHeight="1" x14ac:dyDescent="0.2">
      <c r="A13" s="786"/>
      <c r="B13" s="787"/>
      <c r="C13" s="722" t="s">
        <v>6108</v>
      </c>
      <c r="D13" s="986"/>
      <c r="E13" s="930"/>
      <c r="F13" s="392"/>
      <c r="G13" s="991"/>
      <c r="H13" s="992"/>
      <c r="I13" s="993">
        <v>1020</v>
      </c>
      <c r="J13" s="994"/>
      <c r="K13" s="866">
        <v>-176.6</v>
      </c>
      <c r="L13" s="866">
        <v>5873.3500000000058</v>
      </c>
      <c r="M13" s="573"/>
    </row>
    <row r="14" spans="1:13" ht="13.5" customHeight="1" x14ac:dyDescent="0.2">
      <c r="A14" s="786"/>
      <c r="B14" s="787"/>
      <c r="C14" s="722" t="s">
        <v>6109</v>
      </c>
      <c r="D14" s="986"/>
      <c r="E14" s="930"/>
      <c r="F14" s="392"/>
      <c r="G14" s="991"/>
      <c r="H14" s="992">
        <v>10.75</v>
      </c>
      <c r="I14" s="993"/>
      <c r="J14" s="994"/>
      <c r="K14" s="866">
        <v>-176.6</v>
      </c>
      <c r="L14" s="866">
        <v>5862.6000000000058</v>
      </c>
      <c r="M14" s="573"/>
    </row>
    <row r="15" spans="1:13" ht="13.5" customHeight="1" x14ac:dyDescent="0.2">
      <c r="A15" s="786"/>
      <c r="B15" s="787"/>
      <c r="C15" s="722" t="s">
        <v>5600</v>
      </c>
      <c r="D15" s="986"/>
      <c r="E15" s="930"/>
      <c r="F15" s="392"/>
      <c r="G15" s="991"/>
      <c r="H15" s="992">
        <v>16</v>
      </c>
      <c r="I15" s="993"/>
      <c r="J15" s="994"/>
      <c r="K15" s="866">
        <v>-176.6</v>
      </c>
      <c r="L15" s="866">
        <v>5846.6000000000058</v>
      </c>
      <c r="M15" s="573"/>
    </row>
    <row r="16" spans="1:13" ht="13.5" customHeight="1" x14ac:dyDescent="0.2">
      <c r="A16" s="786"/>
      <c r="B16" s="787"/>
      <c r="C16" s="722" t="s">
        <v>6110</v>
      </c>
      <c r="D16" s="986"/>
      <c r="E16" s="930"/>
      <c r="F16" s="392"/>
      <c r="G16" s="991"/>
      <c r="H16" s="992">
        <v>3.99</v>
      </c>
      <c r="I16" s="993"/>
      <c r="J16" s="994"/>
      <c r="K16" s="866">
        <v>-176.6</v>
      </c>
      <c r="L16" s="866">
        <v>5842.610000000006</v>
      </c>
      <c r="M16" s="573"/>
    </row>
    <row r="17" spans="1:13" ht="13.5" customHeight="1" x14ac:dyDescent="0.2">
      <c r="A17" s="786"/>
      <c r="B17" s="787"/>
      <c r="C17" s="722" t="s">
        <v>6111</v>
      </c>
      <c r="D17" s="986"/>
      <c r="E17" s="930"/>
      <c r="F17" s="392"/>
      <c r="G17" s="991"/>
      <c r="H17" s="992">
        <v>10.5</v>
      </c>
      <c r="I17" s="993"/>
      <c r="J17" s="994"/>
      <c r="K17" s="866">
        <v>-176.6</v>
      </c>
      <c r="L17" s="866">
        <v>5832.110000000006</v>
      </c>
      <c r="M17" s="573"/>
    </row>
    <row r="18" spans="1:13" ht="13.5" customHeight="1" x14ac:dyDescent="0.2">
      <c r="A18" s="786"/>
      <c r="B18" s="787"/>
      <c r="C18" s="722" t="s">
        <v>6112</v>
      </c>
      <c r="D18" s="986"/>
      <c r="E18" s="930"/>
      <c r="F18" s="392"/>
      <c r="G18" s="991"/>
      <c r="H18" s="992">
        <v>6</v>
      </c>
      <c r="I18" s="993"/>
      <c r="J18" s="994"/>
      <c r="K18" s="866">
        <v>-176.6</v>
      </c>
      <c r="L18" s="866">
        <v>5826.110000000006</v>
      </c>
      <c r="M18" s="573"/>
    </row>
    <row r="19" spans="1:13" ht="13.5" customHeight="1" x14ac:dyDescent="0.2">
      <c r="A19" s="786"/>
      <c r="B19" s="787"/>
      <c r="C19" s="722" t="s">
        <v>6113</v>
      </c>
      <c r="D19" s="986"/>
      <c r="E19" s="930"/>
      <c r="F19" s="392"/>
      <c r="G19" s="991"/>
      <c r="H19" s="992">
        <v>3.25</v>
      </c>
      <c r="I19" s="993"/>
      <c r="J19" s="994"/>
      <c r="K19" s="866">
        <v>-176.6</v>
      </c>
      <c r="L19" s="866">
        <v>5822.860000000006</v>
      </c>
      <c r="M19" s="573"/>
    </row>
    <row r="20" spans="1:13" ht="13.5" customHeight="1" x14ac:dyDescent="0.2">
      <c r="A20" s="786"/>
      <c r="B20" s="787"/>
      <c r="C20" s="722" t="s">
        <v>6114</v>
      </c>
      <c r="D20" s="986"/>
      <c r="E20" s="930"/>
      <c r="F20" s="392"/>
      <c r="G20" s="991"/>
      <c r="H20" s="992">
        <v>17.899999999999999</v>
      </c>
      <c r="I20" s="993"/>
      <c r="J20" s="994"/>
      <c r="K20" s="866">
        <v>-176.6</v>
      </c>
      <c r="L20" s="866">
        <v>5804.9600000000064</v>
      </c>
      <c r="M20" s="573"/>
    </row>
    <row r="21" spans="1:13" ht="13.5" customHeight="1" x14ac:dyDescent="0.2">
      <c r="A21" s="786"/>
      <c r="B21" s="787"/>
      <c r="C21" s="722" t="s">
        <v>6115</v>
      </c>
      <c r="D21" s="986"/>
      <c r="E21" s="930"/>
      <c r="F21" s="392"/>
      <c r="G21" s="991"/>
      <c r="H21" s="992">
        <v>4.5999999999999996</v>
      </c>
      <c r="I21" s="993"/>
      <c r="J21" s="994"/>
      <c r="K21" s="866">
        <v>-176.6</v>
      </c>
      <c r="L21" s="866">
        <v>5800.360000000006</v>
      </c>
      <c r="M21" s="573"/>
    </row>
    <row r="22" spans="1:13" ht="13.5" customHeight="1" x14ac:dyDescent="0.2">
      <c r="A22" s="786"/>
      <c r="B22" s="787"/>
      <c r="C22" s="722" t="s">
        <v>6116</v>
      </c>
      <c r="D22" s="986"/>
      <c r="E22" s="930"/>
      <c r="F22" s="392"/>
      <c r="G22" s="991"/>
      <c r="H22" s="992">
        <v>5.5</v>
      </c>
      <c r="I22" s="993"/>
      <c r="J22" s="994">
        <v>5794.860000000006</v>
      </c>
      <c r="K22" s="866">
        <v>-176.6</v>
      </c>
      <c r="L22" s="866">
        <v>5794.860000000006</v>
      </c>
      <c r="M22" s="573"/>
    </row>
    <row r="23" spans="1:13" ht="13.5" customHeight="1" x14ac:dyDescent="0.2">
      <c r="A23" s="786">
        <v>43012</v>
      </c>
      <c r="B23" s="787"/>
      <c r="C23" s="722" t="s">
        <v>6117</v>
      </c>
      <c r="D23" s="986"/>
      <c r="E23" s="930"/>
      <c r="F23" s="392"/>
      <c r="G23" s="991"/>
      <c r="H23" s="996">
        <v>2296.13</v>
      </c>
      <c r="I23" s="993"/>
      <c r="J23" s="994"/>
      <c r="K23" s="866">
        <v>-176.6</v>
      </c>
      <c r="L23" s="866">
        <v>3498.7300000000059</v>
      </c>
      <c r="M23" s="573"/>
    </row>
    <row r="24" spans="1:13" ht="13.5" customHeight="1" x14ac:dyDescent="0.2">
      <c r="A24" s="786"/>
      <c r="B24" s="787"/>
      <c r="C24" s="722" t="s">
        <v>6118</v>
      </c>
      <c r="D24" s="986"/>
      <c r="E24" s="930"/>
      <c r="F24" s="392"/>
      <c r="G24" s="991"/>
      <c r="H24" s="992">
        <v>1</v>
      </c>
      <c r="I24" s="993"/>
      <c r="J24" s="994"/>
      <c r="K24" s="866">
        <v>-176.6</v>
      </c>
      <c r="L24" s="866">
        <v>3497.7300000000059</v>
      </c>
      <c r="M24" s="573"/>
    </row>
    <row r="25" spans="1:13" ht="13.5" customHeight="1" x14ac:dyDescent="0.2">
      <c r="A25" s="786"/>
      <c r="B25" s="787"/>
      <c r="C25" s="722" t="s">
        <v>6119</v>
      </c>
      <c r="D25" s="986"/>
      <c r="E25" s="930"/>
      <c r="F25" s="392"/>
      <c r="G25" s="991"/>
      <c r="H25" s="992">
        <v>500</v>
      </c>
      <c r="I25" s="993"/>
      <c r="J25" s="994"/>
      <c r="K25" s="866">
        <v>-176.6</v>
      </c>
      <c r="L25" s="866">
        <v>2997.7300000000059</v>
      </c>
      <c r="M25" s="573"/>
    </row>
    <row r="26" spans="1:13" ht="13.5" customHeight="1" x14ac:dyDescent="0.2">
      <c r="A26" s="786"/>
      <c r="B26" s="787"/>
      <c r="C26" s="722" t="s">
        <v>5591</v>
      </c>
      <c r="D26" s="986"/>
      <c r="E26" s="930"/>
      <c r="F26" s="392"/>
      <c r="G26" s="991"/>
      <c r="H26" s="992">
        <v>360</v>
      </c>
      <c r="I26" s="993"/>
      <c r="J26" s="994">
        <v>2637.7300000000059</v>
      </c>
      <c r="K26" s="866">
        <v>-176.6</v>
      </c>
      <c r="L26" s="866">
        <v>2637.7300000000059</v>
      </c>
      <c r="M26" s="573"/>
    </row>
    <row r="27" spans="1:13" ht="13.5" customHeight="1" x14ac:dyDescent="0.2">
      <c r="A27" s="786"/>
      <c r="B27" s="787"/>
      <c r="C27" s="722" t="s">
        <v>6120</v>
      </c>
      <c r="D27" s="986" t="s">
        <v>19</v>
      </c>
      <c r="E27" s="573">
        <v>-2000</v>
      </c>
      <c r="F27" s="392" t="s">
        <v>549</v>
      </c>
      <c r="G27" s="991"/>
      <c r="H27" s="992"/>
      <c r="I27" s="993"/>
      <c r="J27" s="994"/>
      <c r="K27" s="866">
        <v>-2176.6</v>
      </c>
      <c r="L27" s="866">
        <v>2637.7300000000059</v>
      </c>
      <c r="M27" s="573"/>
    </row>
    <row r="28" spans="1:13" ht="13.5" customHeight="1" x14ac:dyDescent="0.2">
      <c r="A28" s="786"/>
      <c r="B28" s="787"/>
      <c r="C28" s="569" t="s">
        <v>6121</v>
      </c>
      <c r="D28" s="986" t="s">
        <v>19</v>
      </c>
      <c r="E28" s="930" t="s">
        <v>549</v>
      </c>
      <c r="F28" s="22">
        <v>2400</v>
      </c>
      <c r="G28" s="995">
        <v>223.4</v>
      </c>
      <c r="H28" s="992"/>
      <c r="I28" s="993"/>
      <c r="J28" s="994"/>
      <c r="K28" s="866">
        <v>223.40000000000009</v>
      </c>
      <c r="L28" s="866">
        <v>2637.7300000000059</v>
      </c>
      <c r="M28" s="573"/>
    </row>
    <row r="29" spans="1:13" ht="13.5" customHeight="1" x14ac:dyDescent="0.2">
      <c r="A29" s="786">
        <v>43013</v>
      </c>
      <c r="B29" s="787"/>
      <c r="C29" s="722" t="s">
        <v>6122</v>
      </c>
      <c r="D29" s="986"/>
      <c r="E29" s="930"/>
      <c r="F29" s="392"/>
      <c r="G29" s="991"/>
      <c r="H29" s="992"/>
      <c r="I29" s="993">
        <v>1200</v>
      </c>
      <c r="J29" s="994"/>
      <c r="K29" s="866">
        <v>223.40000000000009</v>
      </c>
      <c r="L29" s="866">
        <v>3837.7300000000059</v>
      </c>
      <c r="M29" s="573"/>
    </row>
    <row r="30" spans="1:13" ht="13.5" customHeight="1" x14ac:dyDescent="0.2">
      <c r="A30" s="786"/>
      <c r="B30" s="787"/>
      <c r="C30" s="722" t="s">
        <v>6123</v>
      </c>
      <c r="D30" s="986"/>
      <c r="E30" s="930"/>
      <c r="F30" s="392"/>
      <c r="G30" s="991"/>
      <c r="H30" s="992"/>
      <c r="I30" s="993">
        <v>150</v>
      </c>
      <c r="J30" s="994"/>
      <c r="K30" s="866">
        <v>223.40000000000009</v>
      </c>
      <c r="L30" s="866">
        <v>3987.7300000000059</v>
      </c>
      <c r="M30" s="573"/>
    </row>
    <row r="31" spans="1:13" ht="13.5" customHeight="1" x14ac:dyDescent="0.2">
      <c r="A31" s="786"/>
      <c r="B31" s="787"/>
      <c r="C31" s="722" t="s">
        <v>6124</v>
      </c>
      <c r="D31" s="986"/>
      <c r="E31" s="930"/>
      <c r="F31" s="392"/>
      <c r="G31" s="991"/>
      <c r="H31" s="992"/>
      <c r="I31" s="993">
        <v>39.6</v>
      </c>
      <c r="J31" s="994"/>
      <c r="K31" s="866">
        <v>223.40000000000009</v>
      </c>
      <c r="L31" s="866">
        <v>4027.3300000000058</v>
      </c>
      <c r="M31" s="573"/>
    </row>
    <row r="32" spans="1:13" ht="13.5" customHeight="1" x14ac:dyDescent="0.2">
      <c r="A32" s="786"/>
      <c r="B32" s="787"/>
      <c r="C32" s="722" t="s">
        <v>6125</v>
      </c>
      <c r="D32" s="986"/>
      <c r="E32" s="930"/>
      <c r="F32" s="392"/>
      <c r="G32" s="991"/>
      <c r="H32" s="992">
        <v>200</v>
      </c>
      <c r="I32" s="993"/>
      <c r="J32" s="994">
        <v>3827.3300000000058</v>
      </c>
      <c r="K32" s="866">
        <v>223.40000000000009</v>
      </c>
      <c r="L32" s="866">
        <v>3827.3300000000058</v>
      </c>
      <c r="M32" s="573"/>
    </row>
    <row r="33" spans="1:13" ht="13.5" customHeight="1" x14ac:dyDescent="0.2">
      <c r="A33" s="786">
        <v>43014</v>
      </c>
      <c r="B33" s="787"/>
      <c r="C33" s="722" t="s">
        <v>6126</v>
      </c>
      <c r="D33" s="986"/>
      <c r="E33" s="930"/>
      <c r="F33" s="392"/>
      <c r="G33" s="991"/>
      <c r="H33" s="992"/>
      <c r="I33" s="993">
        <v>1971.41</v>
      </c>
      <c r="J33" s="994"/>
      <c r="K33" s="866">
        <v>223.40000000000009</v>
      </c>
      <c r="L33" s="866">
        <v>5798.7400000000061</v>
      </c>
      <c r="M33" s="573"/>
    </row>
    <row r="34" spans="1:13" ht="13.5" customHeight="1" x14ac:dyDescent="0.2">
      <c r="A34" s="786"/>
      <c r="B34" s="787"/>
      <c r="C34" s="722" t="s">
        <v>6127</v>
      </c>
      <c r="D34" s="986"/>
      <c r="E34" s="930"/>
      <c r="F34" s="392"/>
      <c r="G34" s="991"/>
      <c r="H34" s="992"/>
      <c r="I34" s="993">
        <v>38.4</v>
      </c>
      <c r="J34" s="994"/>
      <c r="K34" s="866">
        <v>223.40000000000009</v>
      </c>
      <c r="L34" s="866">
        <v>5837.1400000000058</v>
      </c>
      <c r="M34" s="573"/>
    </row>
    <row r="35" spans="1:13" ht="13.5" customHeight="1" x14ac:dyDescent="0.2">
      <c r="A35" s="786"/>
      <c r="B35" s="787"/>
      <c r="C35" s="722" t="s">
        <v>6128</v>
      </c>
      <c r="D35" s="986"/>
      <c r="E35" s="930"/>
      <c r="F35" s="392"/>
      <c r="G35" s="991"/>
      <c r="H35" s="992">
        <v>80</v>
      </c>
      <c r="I35" s="993"/>
      <c r="J35" s="994"/>
      <c r="K35" s="866">
        <v>223.40000000000009</v>
      </c>
      <c r="L35" s="866">
        <v>5757.1400000000058</v>
      </c>
      <c r="M35" s="573"/>
    </row>
    <row r="36" spans="1:13" ht="13.5" customHeight="1" x14ac:dyDescent="0.2">
      <c r="A36" s="786"/>
      <c r="B36" s="787"/>
      <c r="C36" s="722" t="s">
        <v>6129</v>
      </c>
      <c r="D36" s="986"/>
      <c r="E36" s="930"/>
      <c r="F36" s="392"/>
      <c r="G36" s="991"/>
      <c r="H36" s="992">
        <v>15.2</v>
      </c>
      <c r="I36" s="993"/>
      <c r="J36" s="994"/>
      <c r="K36" s="866">
        <v>223.40000000000009</v>
      </c>
      <c r="L36" s="866">
        <v>5741.940000000006</v>
      </c>
      <c r="M36" s="573"/>
    </row>
    <row r="37" spans="1:13" ht="13.5" customHeight="1" x14ac:dyDescent="0.2">
      <c r="A37" s="786"/>
      <c r="B37" s="787"/>
      <c r="C37" s="722" t="s">
        <v>6130</v>
      </c>
      <c r="D37" s="986"/>
      <c r="E37" s="930"/>
      <c r="F37" s="392"/>
      <c r="G37" s="991"/>
      <c r="H37" s="992">
        <v>9.1999999999999993</v>
      </c>
      <c r="I37" s="993"/>
      <c r="J37" s="994"/>
      <c r="K37" s="866">
        <v>223.40000000000009</v>
      </c>
      <c r="L37" s="866">
        <v>5732.7400000000061</v>
      </c>
      <c r="M37" s="573"/>
    </row>
    <row r="38" spans="1:13" ht="13.5" customHeight="1" x14ac:dyDescent="0.2">
      <c r="A38" s="786"/>
      <c r="B38" s="787"/>
      <c r="C38" s="722" t="s">
        <v>6131</v>
      </c>
      <c r="D38" s="986"/>
      <c r="E38" s="930"/>
      <c r="F38" s="392"/>
      <c r="G38" s="991"/>
      <c r="H38" s="992">
        <v>1.75</v>
      </c>
      <c r="I38" s="993"/>
      <c r="J38" s="994"/>
      <c r="K38" s="866">
        <v>223.40000000000009</v>
      </c>
      <c r="L38" s="866">
        <v>5730.9900000000061</v>
      </c>
      <c r="M38" s="573"/>
    </row>
    <row r="39" spans="1:13" ht="13.5" customHeight="1" x14ac:dyDescent="0.2">
      <c r="A39" s="786"/>
      <c r="B39" s="787"/>
      <c r="C39" s="722" t="s">
        <v>5944</v>
      </c>
      <c r="D39" s="986"/>
      <c r="E39" s="930"/>
      <c r="F39" s="392"/>
      <c r="G39" s="991"/>
      <c r="H39" s="992">
        <v>26</v>
      </c>
      <c r="I39" s="993"/>
      <c r="J39" s="994"/>
      <c r="K39" s="866">
        <v>223.40000000000009</v>
      </c>
      <c r="L39" s="866">
        <v>5704.9900000000061</v>
      </c>
      <c r="M39" s="573"/>
    </row>
    <row r="40" spans="1:13" ht="13.5" customHeight="1" x14ac:dyDescent="0.2">
      <c r="A40" s="786"/>
      <c r="B40" s="787"/>
      <c r="C40" s="722" t="s">
        <v>6132</v>
      </c>
      <c r="D40" s="986"/>
      <c r="E40" s="930"/>
      <c r="F40" s="392"/>
      <c r="G40" s="991"/>
      <c r="H40" s="992"/>
      <c r="I40" s="993">
        <v>1020</v>
      </c>
      <c r="J40" s="994"/>
      <c r="K40" s="866">
        <v>223.40000000000009</v>
      </c>
      <c r="L40" s="866">
        <v>6724.9900000000061</v>
      </c>
      <c r="M40" s="573"/>
    </row>
    <row r="41" spans="1:13" ht="13.5" customHeight="1" x14ac:dyDescent="0.2">
      <c r="A41" s="786"/>
      <c r="B41" s="787"/>
      <c r="C41" s="722" t="s">
        <v>5976</v>
      </c>
      <c r="D41" s="986"/>
      <c r="E41" s="930"/>
      <c r="F41" s="392"/>
      <c r="G41" s="991"/>
      <c r="H41" s="992">
        <v>140</v>
      </c>
      <c r="I41" s="993"/>
      <c r="J41" s="994"/>
      <c r="K41" s="866">
        <v>223.40000000000009</v>
      </c>
      <c r="L41" s="866">
        <v>6584.9900000000061</v>
      </c>
      <c r="M41" s="573"/>
    </row>
    <row r="42" spans="1:13" ht="13.5" customHeight="1" x14ac:dyDescent="0.2">
      <c r="A42" s="786"/>
      <c r="B42" s="787"/>
      <c r="C42" s="722" t="s">
        <v>5977</v>
      </c>
      <c r="D42" s="986"/>
      <c r="E42" s="930"/>
      <c r="F42" s="392"/>
      <c r="G42" s="991"/>
      <c r="H42" s="992">
        <v>70</v>
      </c>
      <c r="I42" s="993"/>
      <c r="J42" s="994"/>
      <c r="K42" s="866">
        <v>223.40000000000009</v>
      </c>
      <c r="L42" s="866">
        <v>6514.9900000000061</v>
      </c>
      <c r="M42" s="573"/>
    </row>
    <row r="43" spans="1:13" ht="13.5" customHeight="1" x14ac:dyDescent="0.2">
      <c r="A43" s="786"/>
      <c r="B43" s="787"/>
      <c r="C43" s="722" t="s">
        <v>5593</v>
      </c>
      <c r="D43" s="986"/>
      <c r="E43" s="930"/>
      <c r="F43" s="392"/>
      <c r="G43" s="991"/>
      <c r="H43" s="992">
        <v>300</v>
      </c>
      <c r="I43" s="993"/>
      <c r="J43" s="994"/>
      <c r="K43" s="866">
        <v>223.40000000000009</v>
      </c>
      <c r="L43" s="866">
        <v>6214.9900000000061</v>
      </c>
      <c r="M43" s="573"/>
    </row>
    <row r="44" spans="1:13" ht="13.5" customHeight="1" x14ac:dyDescent="0.2">
      <c r="A44" s="786"/>
      <c r="B44" s="787"/>
      <c r="C44" s="722" t="s">
        <v>6133</v>
      </c>
      <c r="D44" s="986"/>
      <c r="E44" s="930"/>
      <c r="F44" s="392"/>
      <c r="G44" s="991"/>
      <c r="H44" s="992">
        <v>100</v>
      </c>
      <c r="I44" s="993"/>
      <c r="J44" s="994"/>
      <c r="K44" s="866">
        <v>223.40000000000009</v>
      </c>
      <c r="L44" s="866">
        <v>6114.9900000000061</v>
      </c>
      <c r="M44" s="573"/>
    </row>
    <row r="45" spans="1:13" ht="13.5" customHeight="1" x14ac:dyDescent="0.2">
      <c r="A45" s="786"/>
      <c r="B45" s="787"/>
      <c r="C45" s="722" t="s">
        <v>6134</v>
      </c>
      <c r="D45" s="986"/>
      <c r="E45" s="930"/>
      <c r="F45" s="392"/>
      <c r="G45" s="991"/>
      <c r="H45" s="992"/>
      <c r="I45" s="993">
        <v>1304</v>
      </c>
      <c r="J45" s="994"/>
      <c r="K45" s="866">
        <v>223.40000000000009</v>
      </c>
      <c r="L45" s="866">
        <v>7418.9900000000061</v>
      </c>
      <c r="M45" s="573"/>
    </row>
    <row r="46" spans="1:13" ht="13.5" customHeight="1" x14ac:dyDescent="0.2">
      <c r="A46" s="786"/>
      <c r="B46" s="787"/>
      <c r="C46" s="722" t="s">
        <v>5596</v>
      </c>
      <c r="D46" s="986"/>
      <c r="E46" s="930"/>
      <c r="F46" s="392"/>
      <c r="G46" s="991"/>
      <c r="H46" s="992">
        <v>1000</v>
      </c>
      <c r="I46" s="993"/>
      <c r="J46" s="994"/>
      <c r="K46" s="866">
        <v>223.40000000000009</v>
      </c>
      <c r="L46" s="866">
        <v>6418.9900000000061</v>
      </c>
      <c r="M46" s="573"/>
    </row>
    <row r="47" spans="1:13" ht="13.5" customHeight="1" x14ac:dyDescent="0.2">
      <c r="A47" s="786"/>
      <c r="B47" s="787"/>
      <c r="C47" s="722" t="s">
        <v>6135</v>
      </c>
      <c r="D47" s="986"/>
      <c r="E47" s="930"/>
      <c r="F47" s="392"/>
      <c r="G47" s="991"/>
      <c r="H47" s="992">
        <v>5000</v>
      </c>
      <c r="I47" s="993"/>
      <c r="J47" s="994">
        <v>1418.9900000000061</v>
      </c>
      <c r="K47" s="866">
        <v>223.40000000000009</v>
      </c>
      <c r="L47" s="866">
        <v>1418.9900000000061</v>
      </c>
      <c r="M47" s="573"/>
    </row>
    <row r="48" spans="1:13" ht="13.5" customHeight="1" x14ac:dyDescent="0.2">
      <c r="A48" s="786"/>
      <c r="B48" s="787"/>
      <c r="C48" s="569" t="s">
        <v>6121</v>
      </c>
      <c r="D48" s="986" t="s">
        <v>19</v>
      </c>
      <c r="E48" s="930" t="s">
        <v>549</v>
      </c>
      <c r="F48" s="22">
        <v>2500</v>
      </c>
      <c r="G48" s="991"/>
      <c r="H48" s="992"/>
      <c r="I48" s="993"/>
      <c r="J48" s="994"/>
      <c r="K48" s="866">
        <v>2723.4</v>
      </c>
      <c r="L48" s="866">
        <v>1418.9900000000061</v>
      </c>
      <c r="M48" s="573"/>
    </row>
    <row r="49" spans="1:13" ht="13.5" customHeight="1" x14ac:dyDescent="0.2">
      <c r="A49" s="786"/>
      <c r="B49" s="787"/>
      <c r="C49" s="722" t="s">
        <v>1002</v>
      </c>
      <c r="D49" s="986" t="s">
        <v>19</v>
      </c>
      <c r="E49" s="573">
        <v>-2000</v>
      </c>
      <c r="F49" s="392" t="s">
        <v>549</v>
      </c>
      <c r="G49" s="991" t="s">
        <v>6136</v>
      </c>
      <c r="H49" s="992"/>
      <c r="I49" s="993"/>
      <c r="J49" s="994"/>
      <c r="K49" s="866">
        <v>723.40000000000009</v>
      </c>
      <c r="L49" s="866">
        <v>1418.9900000000061</v>
      </c>
      <c r="M49" s="573"/>
    </row>
    <row r="50" spans="1:13" ht="13.5" customHeight="1" x14ac:dyDescent="0.2">
      <c r="A50" s="786">
        <v>43017</v>
      </c>
      <c r="B50" s="787"/>
      <c r="C50" s="722" t="s">
        <v>6137</v>
      </c>
      <c r="D50" s="986"/>
      <c r="E50" s="930"/>
      <c r="F50" s="392"/>
      <c r="G50" s="991"/>
      <c r="H50" s="992"/>
      <c r="I50" s="993">
        <v>1430</v>
      </c>
      <c r="J50" s="994"/>
      <c r="K50" s="866">
        <v>723.40000000000009</v>
      </c>
      <c r="L50" s="866">
        <v>2848.9900000000061</v>
      </c>
      <c r="M50" s="573"/>
    </row>
    <row r="51" spans="1:13" ht="13.5" customHeight="1" x14ac:dyDescent="0.2">
      <c r="A51" s="786"/>
      <c r="B51" s="787"/>
      <c r="C51" s="722" t="s">
        <v>6138</v>
      </c>
      <c r="D51" s="986"/>
      <c r="E51" s="930"/>
      <c r="F51" s="392"/>
      <c r="G51" s="991"/>
      <c r="H51" s="992">
        <v>7.25</v>
      </c>
      <c r="I51" s="993"/>
      <c r="J51" s="994"/>
      <c r="K51" s="866">
        <v>723.40000000000009</v>
      </c>
      <c r="L51" s="866">
        <v>2841.7400000000061</v>
      </c>
      <c r="M51" s="573"/>
    </row>
    <row r="52" spans="1:13" ht="13.5" customHeight="1" x14ac:dyDescent="0.2">
      <c r="A52" s="786"/>
      <c r="B52" s="787"/>
      <c r="C52" s="722" t="s">
        <v>6139</v>
      </c>
      <c r="D52" s="986"/>
      <c r="E52" s="930"/>
      <c r="F52" s="392"/>
      <c r="G52" s="991"/>
      <c r="H52" s="992">
        <v>10.5</v>
      </c>
      <c r="I52" s="993"/>
      <c r="J52" s="994"/>
      <c r="K52" s="866">
        <v>723.40000000000009</v>
      </c>
      <c r="L52" s="866">
        <v>2831.2400000000061</v>
      </c>
      <c r="M52" s="573"/>
    </row>
    <row r="53" spans="1:13" ht="13.5" customHeight="1" x14ac:dyDescent="0.2">
      <c r="A53" s="786"/>
      <c r="B53" s="787"/>
      <c r="C53" s="722" t="s">
        <v>6114</v>
      </c>
      <c r="D53" s="986"/>
      <c r="E53" s="930"/>
      <c r="F53" s="392"/>
      <c r="G53" s="991"/>
      <c r="H53" s="992">
        <v>6.1</v>
      </c>
      <c r="I53" s="993"/>
      <c r="J53" s="994"/>
      <c r="K53" s="866">
        <v>723.40000000000009</v>
      </c>
      <c r="L53" s="866">
        <v>2825.1400000000062</v>
      </c>
      <c r="M53" s="573"/>
    </row>
    <row r="54" spans="1:13" ht="13.5" customHeight="1" x14ac:dyDescent="0.2">
      <c r="A54" s="786"/>
      <c r="B54" s="787"/>
      <c r="C54" s="722" t="s">
        <v>5600</v>
      </c>
      <c r="D54" s="986"/>
      <c r="E54" s="930"/>
      <c r="F54" s="392"/>
      <c r="G54" s="991"/>
      <c r="H54" s="992">
        <v>16</v>
      </c>
      <c r="I54" s="993"/>
      <c r="J54" s="994"/>
      <c r="K54" s="866">
        <v>723.40000000000009</v>
      </c>
      <c r="L54" s="866">
        <v>2809.1400000000062</v>
      </c>
      <c r="M54" s="573"/>
    </row>
    <row r="55" spans="1:13" ht="13.5" customHeight="1" x14ac:dyDescent="0.2">
      <c r="A55" s="786"/>
      <c r="B55" s="787"/>
      <c r="C55" s="722" t="s">
        <v>6140</v>
      </c>
      <c r="D55" s="986"/>
      <c r="E55" s="930"/>
      <c r="F55" s="392"/>
      <c r="G55" s="991"/>
      <c r="H55" s="992"/>
      <c r="I55" s="993">
        <v>1580</v>
      </c>
      <c r="J55" s="994"/>
      <c r="K55" s="866">
        <v>723.40000000000009</v>
      </c>
      <c r="L55" s="866">
        <v>4389.1400000000067</v>
      </c>
      <c r="M55" s="573"/>
    </row>
    <row r="56" spans="1:13" ht="13.5" customHeight="1" x14ac:dyDescent="0.2">
      <c r="A56" s="786"/>
      <c r="B56" s="787"/>
      <c r="C56" s="722" t="s">
        <v>5568</v>
      </c>
      <c r="D56" s="986"/>
      <c r="E56" s="930"/>
      <c r="F56" s="392"/>
      <c r="G56" s="991"/>
      <c r="H56" s="996">
        <v>2450</v>
      </c>
      <c r="I56" s="993"/>
      <c r="J56" s="994">
        <v>1939.1400000000067</v>
      </c>
      <c r="K56" s="866">
        <v>723.40000000000009</v>
      </c>
      <c r="L56" s="866">
        <v>1939.1400000000067</v>
      </c>
      <c r="M56" s="573"/>
    </row>
    <row r="57" spans="1:13" ht="13.5" customHeight="1" x14ac:dyDescent="0.2">
      <c r="A57" s="786"/>
      <c r="B57" s="787"/>
      <c r="C57" s="569" t="s">
        <v>6141</v>
      </c>
      <c r="D57" s="986" t="s">
        <v>19</v>
      </c>
      <c r="E57" s="931">
        <v>-76.69</v>
      </c>
      <c r="F57" s="392" t="s">
        <v>549</v>
      </c>
      <c r="G57" s="991"/>
      <c r="H57" s="992"/>
      <c r="I57" s="993"/>
      <c r="J57" s="994"/>
      <c r="K57" s="866">
        <v>646.71</v>
      </c>
      <c r="L57" s="866">
        <v>1939.1400000000067</v>
      </c>
      <c r="M57" s="573"/>
    </row>
    <row r="58" spans="1:13" ht="13.5" customHeight="1" x14ac:dyDescent="0.2">
      <c r="A58" s="786"/>
      <c r="B58" s="787"/>
      <c r="C58" s="722" t="s">
        <v>62</v>
      </c>
      <c r="D58" s="986" t="s">
        <v>19</v>
      </c>
      <c r="E58" s="931">
        <v>-496.61</v>
      </c>
      <c r="F58" s="392" t="s">
        <v>549</v>
      </c>
      <c r="G58" s="991"/>
      <c r="H58" s="992"/>
      <c r="I58" s="993"/>
      <c r="J58" s="994"/>
      <c r="K58" s="866">
        <v>150.10000000000002</v>
      </c>
      <c r="L58" s="866">
        <v>1939.1400000000067</v>
      </c>
      <c r="M58" s="573"/>
    </row>
    <row r="59" spans="1:13" ht="13.5" customHeight="1" x14ac:dyDescent="0.2">
      <c r="A59" s="786"/>
      <c r="B59" s="787"/>
      <c r="C59" s="793" t="s">
        <v>6142</v>
      </c>
      <c r="D59" s="986" t="s">
        <v>1853</v>
      </c>
      <c r="E59" s="931">
        <v>-83.72</v>
      </c>
      <c r="F59" s="392" t="s">
        <v>549</v>
      </c>
      <c r="G59" s="991"/>
      <c r="H59" s="992"/>
      <c r="I59" s="993"/>
      <c r="J59" s="994"/>
      <c r="K59" s="866">
        <v>66.380000000000024</v>
      </c>
      <c r="L59" s="866">
        <v>1939.1400000000067</v>
      </c>
      <c r="M59" s="573"/>
    </row>
    <row r="60" spans="1:13" ht="13.5" customHeight="1" x14ac:dyDescent="0.2">
      <c r="A60" s="786"/>
      <c r="B60" s="787"/>
      <c r="C60" s="722" t="s">
        <v>5935</v>
      </c>
      <c r="D60" s="986" t="s">
        <v>19</v>
      </c>
      <c r="E60" s="931">
        <v>-44.14</v>
      </c>
      <c r="F60" s="392" t="s">
        <v>549</v>
      </c>
      <c r="G60" s="991"/>
      <c r="H60" s="992"/>
      <c r="I60" s="993"/>
      <c r="J60" s="994"/>
      <c r="K60" s="866">
        <v>22.240000000000023</v>
      </c>
      <c r="L60" s="866">
        <v>1939.1400000000067</v>
      </c>
      <c r="M60" s="573"/>
    </row>
    <row r="61" spans="1:13" ht="13.5" customHeight="1" x14ac:dyDescent="0.2">
      <c r="A61" s="786"/>
      <c r="B61" s="787"/>
      <c r="C61" s="722" t="s">
        <v>20</v>
      </c>
      <c r="D61" s="986" t="s">
        <v>19</v>
      </c>
      <c r="E61" s="930" t="s">
        <v>549</v>
      </c>
      <c r="F61" s="932">
        <v>0.01</v>
      </c>
      <c r="G61" s="991" t="s">
        <v>6143</v>
      </c>
      <c r="H61" s="992"/>
      <c r="I61" s="993"/>
      <c r="J61" s="994"/>
      <c r="K61" s="866">
        <v>22.250000000000025</v>
      </c>
      <c r="L61" s="866">
        <v>1939.1400000000067</v>
      </c>
      <c r="M61" s="573"/>
    </row>
    <row r="62" spans="1:13" ht="13.5" customHeight="1" x14ac:dyDescent="0.2">
      <c r="A62" s="786">
        <v>43018</v>
      </c>
      <c r="B62" s="787"/>
      <c r="C62" s="793" t="s">
        <v>6144</v>
      </c>
      <c r="D62" s="986"/>
      <c r="E62" s="930"/>
      <c r="F62" s="392"/>
      <c r="G62" s="991"/>
      <c r="H62" s="992"/>
      <c r="I62" s="993">
        <v>185</v>
      </c>
      <c r="J62" s="994"/>
      <c r="K62" s="866">
        <v>22.250000000000025</v>
      </c>
      <c r="L62" s="866">
        <v>2124.1400000000067</v>
      </c>
      <c r="M62" s="573"/>
    </row>
    <row r="63" spans="1:13" ht="13.5" customHeight="1" x14ac:dyDescent="0.2">
      <c r="A63" s="786"/>
      <c r="B63" s="787"/>
      <c r="C63" s="793" t="s">
        <v>5568</v>
      </c>
      <c r="D63" s="986"/>
      <c r="E63" s="930"/>
      <c r="F63" s="392"/>
      <c r="G63" s="991"/>
      <c r="H63" s="996">
        <v>185</v>
      </c>
      <c r="I63" s="993"/>
      <c r="J63" s="994"/>
      <c r="K63" s="866">
        <v>22.250000000000025</v>
      </c>
      <c r="L63" s="866">
        <v>1939.1400000000067</v>
      </c>
      <c r="M63" s="573"/>
    </row>
    <row r="64" spans="1:13" ht="13.5" customHeight="1" x14ac:dyDescent="0.2">
      <c r="A64" s="786"/>
      <c r="B64" s="787"/>
      <c r="C64" s="793" t="s">
        <v>6145</v>
      </c>
      <c r="D64" s="986"/>
      <c r="E64" s="930"/>
      <c r="F64" s="392"/>
      <c r="G64" s="991"/>
      <c r="H64" s="992">
        <v>3.2</v>
      </c>
      <c r="I64" s="993"/>
      <c r="J64" s="994"/>
      <c r="K64" s="866">
        <v>22.250000000000025</v>
      </c>
      <c r="L64" s="866">
        <v>1935.9400000000066</v>
      </c>
      <c r="M64" s="573"/>
    </row>
    <row r="65" spans="1:13" ht="13.5" customHeight="1" x14ac:dyDescent="0.2">
      <c r="A65" s="786"/>
      <c r="B65" s="787"/>
      <c r="C65" s="793" t="s">
        <v>6146</v>
      </c>
      <c r="D65" s="986"/>
      <c r="E65" s="930"/>
      <c r="F65" s="392"/>
      <c r="G65" s="991"/>
      <c r="H65" s="992">
        <v>1</v>
      </c>
      <c r="I65" s="993"/>
      <c r="J65" s="994"/>
      <c r="K65" s="866">
        <v>22.250000000000025</v>
      </c>
      <c r="L65" s="866">
        <v>1934.9400000000066</v>
      </c>
      <c r="M65" s="573"/>
    </row>
    <row r="66" spans="1:13" ht="13.5" customHeight="1" x14ac:dyDescent="0.2">
      <c r="A66" s="786"/>
      <c r="B66" s="787"/>
      <c r="C66" s="793" t="s">
        <v>6147</v>
      </c>
      <c r="D66" s="986"/>
      <c r="E66" s="930"/>
      <c r="F66" s="392"/>
      <c r="G66" s="991"/>
      <c r="H66" s="992">
        <v>5.4</v>
      </c>
      <c r="I66" s="993"/>
      <c r="J66" s="994"/>
      <c r="K66" s="866">
        <v>22.250000000000025</v>
      </c>
      <c r="L66" s="866">
        <v>1929.5400000000066</v>
      </c>
      <c r="M66" s="573"/>
    </row>
    <row r="67" spans="1:13" ht="13.5" customHeight="1" x14ac:dyDescent="0.2">
      <c r="A67" s="786"/>
      <c r="B67" s="787"/>
      <c r="C67" s="793" t="s">
        <v>6148</v>
      </c>
      <c r="D67" s="986"/>
      <c r="E67" s="930"/>
      <c r="F67" s="392"/>
      <c r="G67" s="991"/>
      <c r="H67" s="992">
        <v>1.65</v>
      </c>
      <c r="I67" s="993"/>
      <c r="J67" s="994">
        <v>1927.8900000000065</v>
      </c>
      <c r="K67" s="866">
        <v>22.250000000000025</v>
      </c>
      <c r="L67" s="866">
        <v>1927.8900000000065</v>
      </c>
      <c r="M67" s="573"/>
    </row>
    <row r="68" spans="1:13" ht="13.5" customHeight="1" x14ac:dyDescent="0.2">
      <c r="A68" s="786"/>
      <c r="B68" s="787"/>
      <c r="C68" s="722" t="s">
        <v>6149</v>
      </c>
      <c r="D68" s="986" t="s">
        <v>6150</v>
      </c>
      <c r="E68" s="931">
        <v>-27.88</v>
      </c>
      <c r="F68" s="392" t="s">
        <v>549</v>
      </c>
      <c r="G68" s="991"/>
      <c r="H68" s="992"/>
      <c r="I68" s="993"/>
      <c r="J68" s="994"/>
      <c r="K68" s="866">
        <v>-5.6299999999999741</v>
      </c>
      <c r="L68" s="866">
        <v>1927.8900000000065</v>
      </c>
      <c r="M68" s="573"/>
    </row>
    <row r="69" spans="1:13" ht="13.5" customHeight="1" x14ac:dyDescent="0.2">
      <c r="A69" s="786"/>
      <c r="B69" s="787"/>
      <c r="C69" s="722" t="s">
        <v>5568</v>
      </c>
      <c r="D69" s="986" t="s">
        <v>6151</v>
      </c>
      <c r="E69" s="930" t="s">
        <v>549</v>
      </c>
      <c r="F69" s="162">
        <v>2450</v>
      </c>
      <c r="G69" s="991"/>
      <c r="H69" s="992"/>
      <c r="I69" s="993"/>
      <c r="J69" s="994"/>
      <c r="K69" s="866">
        <v>2444.37</v>
      </c>
      <c r="L69" s="866">
        <v>1927.8900000000065</v>
      </c>
      <c r="M69" s="573"/>
    </row>
    <row r="70" spans="1:13" ht="13.5" customHeight="1" x14ac:dyDescent="0.2">
      <c r="A70" s="786"/>
      <c r="B70" s="787"/>
      <c r="C70" s="793" t="s">
        <v>5568</v>
      </c>
      <c r="D70" s="986" t="s">
        <v>6152</v>
      </c>
      <c r="E70" s="930" t="s">
        <v>549</v>
      </c>
      <c r="F70" s="933">
        <v>185</v>
      </c>
      <c r="G70" s="991"/>
      <c r="H70" s="992"/>
      <c r="I70" s="993"/>
      <c r="J70" s="994"/>
      <c r="K70" s="866">
        <v>2629.37</v>
      </c>
      <c r="L70" s="866">
        <v>1927.8900000000065</v>
      </c>
      <c r="M70" s="573"/>
    </row>
    <row r="71" spans="1:13" ht="13.5" customHeight="1" x14ac:dyDescent="0.2">
      <c r="A71" s="786"/>
      <c r="B71" s="787"/>
      <c r="C71" s="795" t="s">
        <v>6153</v>
      </c>
      <c r="D71" s="986" t="s">
        <v>19</v>
      </c>
      <c r="E71" s="931">
        <v>-39.6</v>
      </c>
      <c r="F71" s="392" t="s">
        <v>549</v>
      </c>
      <c r="G71" s="792">
        <v>2589.7600000000002</v>
      </c>
      <c r="H71" s="992"/>
      <c r="I71" s="993"/>
      <c r="J71" s="994"/>
      <c r="K71" s="866">
        <v>2589.77</v>
      </c>
      <c r="L71" s="866">
        <v>1927.8900000000065</v>
      </c>
      <c r="M71" s="573"/>
    </row>
    <row r="72" spans="1:13" ht="13.5" customHeight="1" x14ac:dyDescent="0.2">
      <c r="A72" s="786">
        <v>43020</v>
      </c>
      <c r="B72" s="787"/>
      <c r="C72" s="793" t="s">
        <v>6154</v>
      </c>
      <c r="D72" s="986"/>
      <c r="E72" s="930"/>
      <c r="F72" s="392"/>
      <c r="G72" s="991"/>
      <c r="H72" s="992">
        <v>32</v>
      </c>
      <c r="I72" s="993"/>
      <c r="J72" s="994"/>
      <c r="K72" s="866">
        <v>2589.77</v>
      </c>
      <c r="L72" s="866">
        <v>1895.8900000000065</v>
      </c>
      <c r="M72" s="573"/>
    </row>
    <row r="73" spans="1:13" ht="13.5" customHeight="1" x14ac:dyDescent="0.2">
      <c r="A73" s="786"/>
      <c r="B73" s="787"/>
      <c r="C73" s="793" t="s">
        <v>6155</v>
      </c>
      <c r="D73" s="986"/>
      <c r="E73" s="930"/>
      <c r="F73" s="392"/>
      <c r="G73" s="991"/>
      <c r="H73" s="992">
        <v>38.44</v>
      </c>
      <c r="I73" s="993"/>
      <c r="J73" s="994"/>
      <c r="K73" s="866">
        <v>2589.77</v>
      </c>
      <c r="L73" s="866">
        <v>1857.4500000000064</v>
      </c>
      <c r="M73" s="573"/>
    </row>
    <row r="74" spans="1:13" ht="13.5" customHeight="1" x14ac:dyDescent="0.2">
      <c r="A74" s="786"/>
      <c r="B74" s="787"/>
      <c r="C74" s="793" t="s">
        <v>6156</v>
      </c>
      <c r="D74" s="986"/>
      <c r="E74" s="930"/>
      <c r="F74" s="392"/>
      <c r="G74" s="991"/>
      <c r="H74" s="992">
        <v>70</v>
      </c>
      <c r="I74" s="993"/>
      <c r="J74" s="994"/>
      <c r="K74" s="866">
        <v>2589.77</v>
      </c>
      <c r="L74" s="866">
        <v>1787.4500000000064</v>
      </c>
      <c r="M74" s="573"/>
    </row>
    <row r="75" spans="1:13" ht="13.5" customHeight="1" x14ac:dyDescent="0.2">
      <c r="A75" s="786"/>
      <c r="B75" s="787"/>
      <c r="C75" s="793" t="s">
        <v>6157</v>
      </c>
      <c r="D75" s="986"/>
      <c r="E75" s="930"/>
      <c r="F75" s="392"/>
      <c r="G75" s="991"/>
      <c r="H75" s="992">
        <v>27</v>
      </c>
      <c r="I75" s="993"/>
      <c r="J75" s="994">
        <v>1760.4500000000064</v>
      </c>
      <c r="K75" s="866">
        <v>2589.77</v>
      </c>
      <c r="L75" s="866">
        <v>1760.4500000000064</v>
      </c>
      <c r="M75" s="573"/>
    </row>
    <row r="76" spans="1:13" ht="13.5" customHeight="1" x14ac:dyDescent="0.2">
      <c r="A76" s="786">
        <v>43021</v>
      </c>
      <c r="B76" s="787"/>
      <c r="C76" s="793" t="s">
        <v>5976</v>
      </c>
      <c r="D76" s="986"/>
      <c r="E76" s="930"/>
      <c r="F76" s="392"/>
      <c r="G76" s="991"/>
      <c r="H76" s="992">
        <v>140</v>
      </c>
      <c r="I76" s="993"/>
      <c r="J76" s="994"/>
      <c r="K76" s="866">
        <v>2589.77</v>
      </c>
      <c r="L76" s="866">
        <v>1620.4500000000064</v>
      </c>
      <c r="M76" s="573"/>
    </row>
    <row r="77" spans="1:13" ht="13.5" customHeight="1" x14ac:dyDescent="0.2">
      <c r="A77" s="786"/>
      <c r="B77" s="787"/>
      <c r="C77" s="793" t="s">
        <v>5977</v>
      </c>
      <c r="D77" s="986"/>
      <c r="E77" s="930"/>
      <c r="F77" s="392"/>
      <c r="G77" s="991"/>
      <c r="H77" s="992">
        <v>70</v>
      </c>
      <c r="I77" s="993"/>
      <c r="J77" s="994"/>
      <c r="K77" s="866">
        <v>2589.77</v>
      </c>
      <c r="L77" s="866">
        <v>1550.4500000000064</v>
      </c>
      <c r="M77" s="573"/>
    </row>
    <row r="78" spans="1:13" ht="13.5" customHeight="1" x14ac:dyDescent="0.2">
      <c r="A78" s="786"/>
      <c r="B78" s="787"/>
      <c r="C78" s="793" t="s">
        <v>6158</v>
      </c>
      <c r="D78" s="986"/>
      <c r="E78" s="930"/>
      <c r="F78" s="392"/>
      <c r="G78" s="991"/>
      <c r="H78" s="992">
        <v>250</v>
      </c>
      <c r="I78" s="993"/>
      <c r="J78" s="994"/>
      <c r="K78" s="866">
        <v>2589.77</v>
      </c>
      <c r="L78" s="866">
        <v>1300.4500000000064</v>
      </c>
      <c r="M78" s="573"/>
    </row>
    <row r="79" spans="1:13" ht="13.5" customHeight="1" x14ac:dyDescent="0.2">
      <c r="A79" s="786"/>
      <c r="B79" s="787"/>
      <c r="C79" s="793" t="s">
        <v>6159</v>
      </c>
      <c r="D79" s="986"/>
      <c r="E79" s="930"/>
      <c r="F79" s="392"/>
      <c r="G79" s="991"/>
      <c r="H79" s="992">
        <v>300</v>
      </c>
      <c r="I79" s="993"/>
      <c r="J79" s="994"/>
      <c r="K79" s="866">
        <v>2589.77</v>
      </c>
      <c r="L79" s="866">
        <v>1000.4500000000064</v>
      </c>
      <c r="M79" s="573"/>
    </row>
    <row r="80" spans="1:13" ht="13.5" customHeight="1" x14ac:dyDescent="0.2">
      <c r="A80" s="786"/>
      <c r="B80" s="787"/>
      <c r="C80" s="793" t="s">
        <v>6160</v>
      </c>
      <c r="D80" s="986"/>
      <c r="E80" s="930"/>
      <c r="F80" s="392"/>
      <c r="G80" s="991"/>
      <c r="H80" s="992"/>
      <c r="I80" s="993">
        <v>190</v>
      </c>
      <c r="J80" s="994"/>
      <c r="K80" s="866">
        <v>2589.77</v>
      </c>
      <c r="L80" s="866">
        <v>1190.4500000000064</v>
      </c>
      <c r="M80" s="573"/>
    </row>
    <row r="81" spans="1:13" ht="13.5" customHeight="1" x14ac:dyDescent="0.2">
      <c r="A81" s="786"/>
      <c r="B81" s="787"/>
      <c r="C81" s="793" t="s">
        <v>6161</v>
      </c>
      <c r="D81" s="986"/>
      <c r="E81" s="930"/>
      <c r="F81" s="392"/>
      <c r="G81" s="991"/>
      <c r="H81" s="992"/>
      <c r="I81" s="993">
        <v>190</v>
      </c>
      <c r="J81" s="994"/>
      <c r="K81" s="866">
        <v>2589.77</v>
      </c>
      <c r="L81" s="866">
        <v>1380.4500000000064</v>
      </c>
      <c r="M81" s="573"/>
    </row>
    <row r="82" spans="1:13" ht="13.5" customHeight="1" x14ac:dyDescent="0.2">
      <c r="A82" s="786"/>
      <c r="B82" s="787"/>
      <c r="C82" s="793" t="s">
        <v>6162</v>
      </c>
      <c r="D82" s="986"/>
      <c r="E82" s="930"/>
      <c r="F82" s="392"/>
      <c r="G82" s="991"/>
      <c r="H82" s="992"/>
      <c r="I82" s="993">
        <v>50</v>
      </c>
      <c r="J82" s="994"/>
      <c r="K82" s="866">
        <v>2589.77</v>
      </c>
      <c r="L82" s="866">
        <v>1430.4500000000064</v>
      </c>
      <c r="M82" s="573"/>
    </row>
    <row r="83" spans="1:13" ht="13.5" customHeight="1" x14ac:dyDescent="0.2">
      <c r="A83" s="786"/>
      <c r="B83" s="787"/>
      <c r="C83" s="793" t="s">
        <v>6163</v>
      </c>
      <c r="D83" s="986"/>
      <c r="E83" s="930"/>
      <c r="F83" s="392"/>
      <c r="G83" s="991"/>
      <c r="H83" s="992"/>
      <c r="I83" s="993">
        <v>80</v>
      </c>
      <c r="J83" s="994">
        <v>1510.4500000000064</v>
      </c>
      <c r="K83" s="866">
        <v>2589.77</v>
      </c>
      <c r="L83" s="866">
        <v>1510.4500000000064</v>
      </c>
      <c r="M83" s="573"/>
    </row>
    <row r="84" spans="1:13" ht="13.5" customHeight="1" x14ac:dyDescent="0.2">
      <c r="A84" s="786">
        <v>43024</v>
      </c>
      <c r="B84" s="787"/>
      <c r="C84" s="793" t="s">
        <v>6164</v>
      </c>
      <c r="D84" s="986"/>
      <c r="E84" s="930"/>
      <c r="F84" s="392"/>
      <c r="G84" s="991"/>
      <c r="H84" s="992"/>
      <c r="I84" s="993">
        <v>185</v>
      </c>
      <c r="J84" s="994"/>
      <c r="K84" s="866">
        <v>2589.77</v>
      </c>
      <c r="L84" s="866">
        <v>1695.4500000000064</v>
      </c>
      <c r="M84" s="573"/>
    </row>
    <row r="85" spans="1:13" ht="13.5" customHeight="1" x14ac:dyDescent="0.2">
      <c r="A85" s="786"/>
      <c r="B85" s="787"/>
      <c r="C85" s="793" t="s">
        <v>6165</v>
      </c>
      <c r="D85" s="986"/>
      <c r="E85" s="930"/>
      <c r="F85" s="392"/>
      <c r="G85" s="991"/>
      <c r="H85" s="992"/>
      <c r="I85" s="993">
        <v>3500</v>
      </c>
      <c r="J85" s="994"/>
      <c r="K85" s="866">
        <v>2589.77</v>
      </c>
      <c r="L85" s="866">
        <v>5195.4500000000062</v>
      </c>
      <c r="M85" s="573"/>
    </row>
    <row r="86" spans="1:13" ht="13.5" customHeight="1" x14ac:dyDescent="0.2">
      <c r="A86" s="786"/>
      <c r="B86" s="787"/>
      <c r="C86" s="793" t="s">
        <v>6166</v>
      </c>
      <c r="D86" s="986"/>
      <c r="E86" s="930"/>
      <c r="F86" s="392"/>
      <c r="G86" s="991"/>
      <c r="H86" s="992"/>
      <c r="I86" s="993">
        <v>942</v>
      </c>
      <c r="J86" s="994"/>
      <c r="K86" s="866">
        <v>2589.77</v>
      </c>
      <c r="L86" s="866">
        <v>6137.4500000000062</v>
      </c>
      <c r="M86" s="573"/>
    </row>
    <row r="87" spans="1:13" ht="13.5" customHeight="1" x14ac:dyDescent="0.2">
      <c r="A87" s="786"/>
      <c r="B87" s="787"/>
      <c r="C87" s="793" t="s">
        <v>6167</v>
      </c>
      <c r="D87" s="986"/>
      <c r="E87" s="930"/>
      <c r="F87" s="392"/>
      <c r="G87" s="991"/>
      <c r="H87" s="996">
        <v>1580</v>
      </c>
      <c r="I87" s="993"/>
      <c r="J87" s="994"/>
      <c r="K87" s="866">
        <v>2589.77</v>
      </c>
      <c r="L87" s="866">
        <v>4557.4500000000062</v>
      </c>
      <c r="M87" s="573"/>
    </row>
    <row r="88" spans="1:13" ht="13.5" customHeight="1" x14ac:dyDescent="0.2">
      <c r="A88" s="786"/>
      <c r="B88" s="787"/>
      <c r="C88" s="793" t="s">
        <v>6168</v>
      </c>
      <c r="D88" s="986"/>
      <c r="E88" s="930"/>
      <c r="F88" s="392"/>
      <c r="G88" s="991"/>
      <c r="H88" s="992"/>
      <c r="I88" s="997">
        <v>1000</v>
      </c>
      <c r="J88" s="994"/>
      <c r="K88" s="866">
        <v>2589.77</v>
      </c>
      <c r="L88" s="866">
        <v>5557.4500000000062</v>
      </c>
      <c r="M88" s="573"/>
    </row>
    <row r="89" spans="1:13" ht="13.5" customHeight="1" x14ac:dyDescent="0.2">
      <c r="A89" s="786"/>
      <c r="B89" s="787"/>
      <c r="C89" s="793" t="s">
        <v>6169</v>
      </c>
      <c r="D89" s="986"/>
      <c r="E89" s="930"/>
      <c r="F89" s="392"/>
      <c r="G89" s="991"/>
      <c r="H89" s="992">
        <v>13.96</v>
      </c>
      <c r="I89" s="993"/>
      <c r="J89" s="994"/>
      <c r="K89" s="866">
        <v>2589.77</v>
      </c>
      <c r="L89" s="866">
        <v>5543.4900000000061</v>
      </c>
      <c r="M89" s="573"/>
    </row>
    <row r="90" spans="1:13" ht="13.5" customHeight="1" x14ac:dyDescent="0.2">
      <c r="A90" s="786"/>
      <c r="B90" s="787"/>
      <c r="C90" s="793" t="s">
        <v>6170</v>
      </c>
      <c r="D90" s="986"/>
      <c r="E90" s="930"/>
      <c r="F90" s="392"/>
      <c r="G90" s="991"/>
      <c r="H90" s="992">
        <v>5.4</v>
      </c>
      <c r="I90" s="993"/>
      <c r="J90" s="994"/>
      <c r="K90" s="866">
        <v>2589.77</v>
      </c>
      <c r="L90" s="866">
        <v>5538.0900000000065</v>
      </c>
      <c r="M90" s="573"/>
    </row>
    <row r="91" spans="1:13" ht="13.5" customHeight="1" x14ac:dyDescent="0.2">
      <c r="A91" s="786"/>
      <c r="B91" s="787"/>
      <c r="C91" s="793" t="s">
        <v>6171</v>
      </c>
      <c r="D91" s="986"/>
      <c r="E91" s="930"/>
      <c r="F91" s="392"/>
      <c r="G91" s="991"/>
      <c r="H91" s="992">
        <v>2.2999999999999998</v>
      </c>
      <c r="I91" s="993"/>
      <c r="J91" s="994"/>
      <c r="K91" s="866">
        <v>2589.77</v>
      </c>
      <c r="L91" s="866">
        <v>5535.7900000000063</v>
      </c>
      <c r="M91" s="573"/>
    </row>
    <row r="92" spans="1:13" ht="13.5" customHeight="1" x14ac:dyDescent="0.2">
      <c r="A92" s="786"/>
      <c r="B92" s="787"/>
      <c r="C92" s="793" t="s">
        <v>6172</v>
      </c>
      <c r="D92" s="986"/>
      <c r="E92" s="930"/>
      <c r="F92" s="392"/>
      <c r="G92" s="991"/>
      <c r="H92" s="992">
        <v>2</v>
      </c>
      <c r="I92" s="993"/>
      <c r="J92" s="994"/>
      <c r="K92" s="866">
        <v>2589.77</v>
      </c>
      <c r="L92" s="866">
        <v>5533.7900000000063</v>
      </c>
      <c r="M92" s="573"/>
    </row>
    <row r="93" spans="1:13" ht="13.5" customHeight="1" x14ac:dyDescent="0.2">
      <c r="A93" s="786"/>
      <c r="B93" s="787"/>
      <c r="C93" s="793" t="s">
        <v>6173</v>
      </c>
      <c r="D93" s="986"/>
      <c r="E93" s="930"/>
      <c r="F93" s="392"/>
      <c r="G93" s="991"/>
      <c r="H93" s="992">
        <v>2</v>
      </c>
      <c r="I93" s="993"/>
      <c r="J93" s="994"/>
      <c r="K93" s="866">
        <v>2589.77</v>
      </c>
      <c r="L93" s="866">
        <v>5531.7900000000063</v>
      </c>
      <c r="M93" s="573"/>
    </row>
    <row r="94" spans="1:13" ht="13.5" customHeight="1" x14ac:dyDescent="0.2">
      <c r="A94" s="786"/>
      <c r="B94" s="787"/>
      <c r="C94" s="793" t="s">
        <v>6174</v>
      </c>
      <c r="D94" s="986"/>
      <c r="E94" s="930"/>
      <c r="F94" s="392"/>
      <c r="G94" s="991"/>
      <c r="H94" s="992">
        <v>2</v>
      </c>
      <c r="I94" s="993"/>
      <c r="J94" s="994"/>
      <c r="K94" s="866">
        <v>2589.77</v>
      </c>
      <c r="L94" s="866">
        <v>5529.7900000000063</v>
      </c>
      <c r="M94" s="573"/>
    </row>
    <row r="95" spans="1:13" ht="13.5" customHeight="1" x14ac:dyDescent="0.2">
      <c r="A95" s="786"/>
      <c r="B95" s="787"/>
      <c r="C95" s="793" t="s">
        <v>6175</v>
      </c>
      <c r="D95" s="986"/>
      <c r="E95" s="930"/>
      <c r="F95" s="392"/>
      <c r="G95" s="991"/>
      <c r="H95" s="992">
        <v>21</v>
      </c>
      <c r="I95" s="993"/>
      <c r="J95" s="994"/>
      <c r="K95" s="866">
        <v>2589.77</v>
      </c>
      <c r="L95" s="866">
        <v>5508.7900000000063</v>
      </c>
      <c r="M95" s="573"/>
    </row>
    <row r="96" spans="1:13" ht="13.5" customHeight="1" x14ac:dyDescent="0.2">
      <c r="A96" s="786"/>
      <c r="B96" s="787"/>
      <c r="C96" s="793" t="s">
        <v>6176</v>
      </c>
      <c r="D96" s="986"/>
      <c r="E96" s="930"/>
      <c r="F96" s="392"/>
      <c r="G96" s="991"/>
      <c r="H96" s="992"/>
      <c r="I96" s="993">
        <v>190</v>
      </c>
      <c r="J96" s="994"/>
      <c r="K96" s="866">
        <v>2589.77</v>
      </c>
      <c r="L96" s="866">
        <v>5698.7900000000063</v>
      </c>
      <c r="M96" s="573"/>
    </row>
    <row r="97" spans="1:13" ht="13.5" customHeight="1" x14ac:dyDescent="0.2">
      <c r="A97" s="786"/>
      <c r="B97" s="787"/>
      <c r="C97" s="793" t="s">
        <v>6177</v>
      </c>
      <c r="D97" s="986"/>
      <c r="E97" s="930"/>
      <c r="F97" s="392"/>
      <c r="G97" s="991"/>
      <c r="H97" s="992"/>
      <c r="I97" s="993">
        <v>7500</v>
      </c>
      <c r="J97" s="994"/>
      <c r="K97" s="866">
        <v>2589.77</v>
      </c>
      <c r="L97" s="866">
        <v>13198.790000000006</v>
      </c>
      <c r="M97" s="573"/>
    </row>
    <row r="98" spans="1:13" ht="13.5" customHeight="1" x14ac:dyDescent="0.2">
      <c r="A98" s="786"/>
      <c r="B98" s="787"/>
      <c r="C98" s="793" t="s">
        <v>6178</v>
      </c>
      <c r="D98" s="986"/>
      <c r="E98" s="930"/>
      <c r="F98" s="392"/>
      <c r="G98" s="991"/>
      <c r="H98" s="992"/>
      <c r="I98" s="993">
        <v>500</v>
      </c>
      <c r="J98" s="994">
        <v>13698.790000000006</v>
      </c>
      <c r="K98" s="866">
        <v>2589.77</v>
      </c>
      <c r="L98" s="866">
        <v>13698.790000000006</v>
      </c>
      <c r="M98" s="573"/>
    </row>
    <row r="99" spans="1:13" ht="13.5" customHeight="1" x14ac:dyDescent="0.2">
      <c r="A99" s="786"/>
      <c r="B99" s="787"/>
      <c r="C99" s="793" t="s">
        <v>86</v>
      </c>
      <c r="D99" s="986" t="s">
        <v>19</v>
      </c>
      <c r="E99" s="931">
        <v>-69</v>
      </c>
      <c r="F99" s="392" t="s">
        <v>549</v>
      </c>
      <c r="G99" s="991"/>
      <c r="H99" s="992"/>
      <c r="I99" s="993"/>
      <c r="J99" s="994"/>
      <c r="K99" s="866">
        <v>2520.77</v>
      </c>
      <c r="L99" s="866">
        <v>13698.790000000006</v>
      </c>
      <c r="M99" s="573"/>
    </row>
    <row r="100" spans="1:13" ht="13.5" customHeight="1" x14ac:dyDescent="0.2">
      <c r="A100" s="786"/>
      <c r="B100" s="787"/>
      <c r="C100" s="793" t="s">
        <v>6167</v>
      </c>
      <c r="D100" s="986" t="s">
        <v>6179</v>
      </c>
      <c r="E100" s="930" t="s">
        <v>549</v>
      </c>
      <c r="F100" s="162">
        <v>1580</v>
      </c>
      <c r="G100" s="991" t="s">
        <v>6180</v>
      </c>
      <c r="H100" s="992"/>
      <c r="I100" s="993"/>
      <c r="J100" s="994"/>
      <c r="K100" s="866">
        <v>4100.7700000000004</v>
      </c>
      <c r="L100" s="866">
        <v>13698.790000000006</v>
      </c>
      <c r="M100" s="573"/>
    </row>
    <row r="101" spans="1:13" ht="13.5" customHeight="1" x14ac:dyDescent="0.2">
      <c r="A101" s="786">
        <v>43025</v>
      </c>
      <c r="B101" s="787"/>
      <c r="C101" s="793" t="s">
        <v>6181</v>
      </c>
      <c r="D101" s="986"/>
      <c r="E101" s="930"/>
      <c r="F101" s="392"/>
      <c r="G101" s="991"/>
      <c r="H101" s="992"/>
      <c r="I101" s="993">
        <v>380</v>
      </c>
      <c r="J101" s="994"/>
      <c r="K101" s="866">
        <v>4100.7700000000004</v>
      </c>
      <c r="L101" s="866">
        <v>14078.790000000006</v>
      </c>
      <c r="M101" s="573"/>
    </row>
    <row r="102" spans="1:13" ht="13.5" customHeight="1" x14ac:dyDescent="0.2">
      <c r="A102" s="786"/>
      <c r="B102" s="787"/>
      <c r="C102" s="793" t="s">
        <v>6182</v>
      </c>
      <c r="D102" s="986"/>
      <c r="E102" s="930"/>
      <c r="F102" s="392"/>
      <c r="G102" s="991"/>
      <c r="H102" s="992"/>
      <c r="I102" s="993">
        <v>1030</v>
      </c>
      <c r="J102" s="994"/>
      <c r="K102" s="866">
        <v>4100.7700000000004</v>
      </c>
      <c r="L102" s="866">
        <v>15108.790000000006</v>
      </c>
      <c r="M102" s="573"/>
    </row>
    <row r="103" spans="1:13" ht="13.5" customHeight="1" x14ac:dyDescent="0.2">
      <c r="A103" s="786"/>
      <c r="B103" s="787"/>
      <c r="C103" s="793" t="s">
        <v>6183</v>
      </c>
      <c r="D103" s="986"/>
      <c r="E103" s="930"/>
      <c r="F103" s="392"/>
      <c r="G103" s="991"/>
      <c r="H103" s="992"/>
      <c r="I103" s="993">
        <v>1040</v>
      </c>
      <c r="J103" s="994"/>
      <c r="K103" s="866">
        <v>4100.7700000000004</v>
      </c>
      <c r="L103" s="866">
        <v>16148.790000000006</v>
      </c>
      <c r="M103" s="573"/>
    </row>
    <row r="104" spans="1:13" ht="13.5" customHeight="1" x14ac:dyDescent="0.2">
      <c r="A104" s="786"/>
      <c r="B104" s="787"/>
      <c r="C104" s="793" t="s">
        <v>6184</v>
      </c>
      <c r="D104" s="986"/>
      <c r="E104" s="930"/>
      <c r="F104" s="392"/>
      <c r="G104" s="991"/>
      <c r="H104" s="992">
        <v>95</v>
      </c>
      <c r="I104" s="993"/>
      <c r="J104" s="994"/>
      <c r="K104" s="866">
        <v>4100.7700000000004</v>
      </c>
      <c r="L104" s="866">
        <v>16053.790000000006</v>
      </c>
      <c r="M104" s="573"/>
    </row>
    <row r="105" spans="1:13" ht="13.5" customHeight="1" x14ac:dyDescent="0.2">
      <c r="A105" s="786"/>
      <c r="B105" s="787"/>
      <c r="C105" s="793" t="s">
        <v>6185</v>
      </c>
      <c r="D105" s="986"/>
      <c r="E105" s="930"/>
      <c r="F105" s="392"/>
      <c r="G105" s="991"/>
      <c r="H105" s="992">
        <v>4</v>
      </c>
      <c r="I105" s="993"/>
      <c r="J105" s="994"/>
      <c r="K105" s="866">
        <v>4100.7700000000004</v>
      </c>
      <c r="L105" s="866">
        <v>16049.790000000006</v>
      </c>
      <c r="M105" s="573"/>
    </row>
    <row r="106" spans="1:13" ht="13.5" customHeight="1" x14ac:dyDescent="0.2">
      <c r="A106" s="786"/>
      <c r="B106" s="787"/>
      <c r="C106" s="793" t="s">
        <v>5933</v>
      </c>
      <c r="D106" s="986"/>
      <c r="E106" s="930"/>
      <c r="F106" s="392"/>
      <c r="G106" s="991"/>
      <c r="H106" s="992">
        <v>1000</v>
      </c>
      <c r="I106" s="993"/>
      <c r="J106" s="994"/>
      <c r="K106" s="866">
        <v>4100.7700000000004</v>
      </c>
      <c r="L106" s="866">
        <v>15049.790000000006</v>
      </c>
      <c r="M106" s="573"/>
    </row>
    <row r="107" spans="1:13" ht="13.5" customHeight="1" x14ac:dyDescent="0.2">
      <c r="A107" s="786"/>
      <c r="B107" s="787"/>
      <c r="C107" s="793" t="s">
        <v>6186</v>
      </c>
      <c r="D107" s="986"/>
      <c r="E107" s="930"/>
      <c r="F107" s="392"/>
      <c r="G107" s="991"/>
      <c r="H107" s="996">
        <v>8000</v>
      </c>
      <c r="I107" s="993"/>
      <c r="J107" s="994"/>
      <c r="K107" s="866">
        <v>4100.7700000000004</v>
      </c>
      <c r="L107" s="866">
        <v>7049.7900000000063</v>
      </c>
      <c r="M107" s="573"/>
    </row>
    <row r="108" spans="1:13" ht="13.5" customHeight="1" x14ac:dyDescent="0.2">
      <c r="A108" s="786"/>
      <c r="B108" s="787"/>
      <c r="C108" s="793" t="s">
        <v>6187</v>
      </c>
      <c r="D108" s="986"/>
      <c r="E108" s="930"/>
      <c r="F108" s="392"/>
      <c r="G108" s="991"/>
      <c r="H108" s="996">
        <v>380</v>
      </c>
      <c r="I108" s="993"/>
      <c r="J108" s="994"/>
      <c r="K108" s="866">
        <v>4100.7700000000004</v>
      </c>
      <c r="L108" s="866">
        <v>6669.7900000000063</v>
      </c>
      <c r="M108" s="573"/>
    </row>
    <row r="109" spans="1:13" ht="13.5" customHeight="1" x14ac:dyDescent="0.2">
      <c r="A109" s="786"/>
      <c r="B109" s="787"/>
      <c r="C109" s="793" t="s">
        <v>1332</v>
      </c>
      <c r="D109" s="986"/>
      <c r="E109" s="930"/>
      <c r="F109" s="392"/>
      <c r="G109" s="991"/>
      <c r="H109" s="998">
        <v>4000</v>
      </c>
      <c r="I109" s="993"/>
      <c r="J109" s="994">
        <v>2669.7900000000063</v>
      </c>
      <c r="K109" s="866">
        <v>4100.7700000000004</v>
      </c>
      <c r="L109" s="866">
        <v>2669.7900000000063</v>
      </c>
      <c r="M109" s="573"/>
    </row>
    <row r="110" spans="1:13" ht="13.5" customHeight="1" x14ac:dyDescent="0.2">
      <c r="A110" s="786"/>
      <c r="B110" s="787"/>
      <c r="C110" s="793" t="s">
        <v>6188</v>
      </c>
      <c r="D110" s="986" t="s">
        <v>6189</v>
      </c>
      <c r="E110" s="931">
        <v>-57</v>
      </c>
      <c r="F110" s="392" t="s">
        <v>549</v>
      </c>
      <c r="G110" s="991"/>
      <c r="H110" s="992"/>
      <c r="I110" s="993"/>
      <c r="J110" s="994"/>
      <c r="K110" s="866">
        <v>4043.7700000000004</v>
      </c>
      <c r="L110" s="866">
        <v>2669.7900000000063</v>
      </c>
      <c r="M110" s="573"/>
    </row>
    <row r="111" spans="1:13" ht="13.5" customHeight="1" x14ac:dyDescent="0.2">
      <c r="A111" s="786"/>
      <c r="B111" s="787"/>
      <c r="C111" s="793" t="s">
        <v>6190</v>
      </c>
      <c r="D111" s="986" t="s">
        <v>6191</v>
      </c>
      <c r="E111" s="931">
        <v>-79.599999999999994</v>
      </c>
      <c r="F111" s="392" t="s">
        <v>549</v>
      </c>
      <c r="G111" s="991"/>
      <c r="H111" s="992"/>
      <c r="I111" s="993"/>
      <c r="J111" s="994"/>
      <c r="K111" s="866">
        <v>3964.1700000000005</v>
      </c>
      <c r="L111" s="866">
        <v>2669.7900000000063</v>
      </c>
      <c r="M111" s="573"/>
    </row>
    <row r="112" spans="1:13" ht="13.5" customHeight="1" x14ac:dyDescent="0.2">
      <c r="A112" s="786"/>
      <c r="B112" s="787"/>
      <c r="C112" s="793" t="s">
        <v>6192</v>
      </c>
      <c r="D112" s="986" t="s">
        <v>6193</v>
      </c>
      <c r="E112" s="931">
        <v>-43.85</v>
      </c>
      <c r="F112" s="392" t="s">
        <v>549</v>
      </c>
      <c r="G112" s="991"/>
      <c r="H112" s="992"/>
      <c r="I112" s="993"/>
      <c r="J112" s="994"/>
      <c r="K112" s="866">
        <v>3920.3200000000006</v>
      </c>
      <c r="L112" s="866">
        <v>2669.7900000000063</v>
      </c>
      <c r="M112" s="573"/>
    </row>
    <row r="113" spans="1:13" ht="13.5" customHeight="1" x14ac:dyDescent="0.2">
      <c r="A113" s="786"/>
      <c r="B113" s="787"/>
      <c r="C113" s="793" t="s">
        <v>6194</v>
      </c>
      <c r="D113" s="986" t="s">
        <v>6195</v>
      </c>
      <c r="E113" s="931">
        <v>-135.5</v>
      </c>
      <c r="F113" s="392" t="s">
        <v>549</v>
      </c>
      <c r="G113" s="991"/>
      <c r="H113" s="992"/>
      <c r="I113" s="993"/>
      <c r="J113" s="994"/>
      <c r="K113" s="866">
        <v>3784.8200000000006</v>
      </c>
      <c r="L113" s="866">
        <v>2669.7900000000063</v>
      </c>
      <c r="M113" s="573"/>
    </row>
    <row r="114" spans="1:13" ht="13.5" customHeight="1" x14ac:dyDescent="0.2">
      <c r="A114" s="786"/>
      <c r="B114" s="787"/>
      <c r="C114" s="793" t="s">
        <v>6196</v>
      </c>
      <c r="D114" s="986" t="s">
        <v>6197</v>
      </c>
      <c r="E114" s="931">
        <v>-41.94</v>
      </c>
      <c r="F114" s="392" t="s">
        <v>549</v>
      </c>
      <c r="G114" s="991"/>
      <c r="H114" s="992"/>
      <c r="I114" s="993"/>
      <c r="J114" s="994"/>
      <c r="K114" s="866">
        <v>3742.8800000000006</v>
      </c>
      <c r="L114" s="866">
        <v>2669.7900000000063</v>
      </c>
      <c r="M114" s="573"/>
    </row>
    <row r="115" spans="1:13" ht="13.5" customHeight="1" x14ac:dyDescent="0.2">
      <c r="A115" s="786"/>
      <c r="B115" s="787"/>
      <c r="C115" s="722" t="s">
        <v>20</v>
      </c>
      <c r="D115" s="986" t="s">
        <v>19</v>
      </c>
      <c r="E115" s="930" t="s">
        <v>549</v>
      </c>
      <c r="F115" s="932">
        <v>0.01</v>
      </c>
      <c r="G115" s="991"/>
      <c r="H115" s="992"/>
      <c r="I115" s="993"/>
      <c r="J115" s="994"/>
      <c r="K115" s="866">
        <v>3742.8900000000008</v>
      </c>
      <c r="L115" s="866">
        <v>2669.7900000000063</v>
      </c>
      <c r="M115" s="573"/>
    </row>
    <row r="116" spans="1:13" ht="13.5" customHeight="1" x14ac:dyDescent="0.2">
      <c r="A116" s="786" t="s">
        <v>6198</v>
      </c>
      <c r="B116" s="787"/>
      <c r="C116" s="793" t="s">
        <v>6199</v>
      </c>
      <c r="D116" s="986" t="s">
        <v>2463</v>
      </c>
      <c r="E116" s="931">
        <v>-94.33</v>
      </c>
      <c r="F116" s="392" t="s">
        <v>549</v>
      </c>
      <c r="G116" s="991"/>
      <c r="H116" s="992"/>
      <c r="I116" s="993"/>
      <c r="J116" s="994"/>
      <c r="K116" s="866">
        <v>3648.5600000000009</v>
      </c>
      <c r="L116" s="866">
        <v>2669.7900000000063</v>
      </c>
      <c r="M116" s="573"/>
    </row>
    <row r="117" spans="1:13" ht="13.5" customHeight="1" x14ac:dyDescent="0.2">
      <c r="A117" s="786"/>
      <c r="B117" s="787"/>
      <c r="C117" s="793" t="s">
        <v>6200</v>
      </c>
      <c r="D117" s="986" t="s">
        <v>337</v>
      </c>
      <c r="E117" s="931">
        <v>-233.84</v>
      </c>
      <c r="F117" s="392" t="s">
        <v>549</v>
      </c>
      <c r="G117" s="991"/>
      <c r="H117" s="992"/>
      <c r="I117" s="993"/>
      <c r="J117" s="994"/>
      <c r="K117" s="866">
        <v>3414.7200000000007</v>
      </c>
      <c r="L117" s="866">
        <v>2669.7900000000063</v>
      </c>
      <c r="M117" s="573"/>
    </row>
    <row r="118" spans="1:13" ht="13.5" customHeight="1" x14ac:dyDescent="0.2">
      <c r="A118" s="786"/>
      <c r="B118" s="787"/>
      <c r="C118" s="793" t="s">
        <v>6201</v>
      </c>
      <c r="D118" s="986" t="s">
        <v>6202</v>
      </c>
      <c r="E118" s="931">
        <v>-17.02</v>
      </c>
      <c r="F118" s="392" t="s">
        <v>549</v>
      </c>
      <c r="G118" s="991"/>
      <c r="H118" s="992"/>
      <c r="I118" s="993"/>
      <c r="J118" s="994"/>
      <c r="K118" s="866">
        <v>3397.7000000000007</v>
      </c>
      <c r="L118" s="866">
        <v>2669.7900000000063</v>
      </c>
      <c r="M118" s="573"/>
    </row>
    <row r="119" spans="1:13" ht="13.5" customHeight="1" x14ac:dyDescent="0.2">
      <c r="A119" s="786"/>
      <c r="B119" s="787"/>
      <c r="C119" s="793" t="s">
        <v>6203</v>
      </c>
      <c r="D119" s="986" t="s">
        <v>6204</v>
      </c>
      <c r="E119" s="931">
        <v>-7.64</v>
      </c>
      <c r="F119" s="392" t="s">
        <v>549</v>
      </c>
      <c r="G119" s="991"/>
      <c r="H119" s="992"/>
      <c r="I119" s="993"/>
      <c r="J119" s="994"/>
      <c r="K119" s="866">
        <v>3390.0600000000009</v>
      </c>
      <c r="L119" s="866">
        <v>2669.7900000000063</v>
      </c>
      <c r="M119" s="573"/>
    </row>
    <row r="120" spans="1:13" ht="13.5" customHeight="1" x14ac:dyDescent="0.2">
      <c r="A120" s="786"/>
      <c r="B120" s="787"/>
      <c r="C120" s="793" t="s">
        <v>6205</v>
      </c>
      <c r="D120" s="986" t="s">
        <v>6206</v>
      </c>
      <c r="E120" s="931">
        <v>-140</v>
      </c>
      <c r="F120" s="392" t="s">
        <v>549</v>
      </c>
      <c r="G120" s="991"/>
      <c r="H120" s="992"/>
      <c r="I120" s="993"/>
      <c r="J120" s="994"/>
      <c r="K120" s="866">
        <v>3250.0600000000009</v>
      </c>
      <c r="L120" s="866">
        <v>2669.7900000000063</v>
      </c>
      <c r="M120" s="573"/>
    </row>
    <row r="121" spans="1:13" ht="13.5" customHeight="1" x14ac:dyDescent="0.2">
      <c r="A121" s="786"/>
      <c r="B121" s="787"/>
      <c r="C121" s="793" t="s">
        <v>6207</v>
      </c>
      <c r="D121" s="986" t="s">
        <v>6208</v>
      </c>
      <c r="E121" s="930" t="s">
        <v>549</v>
      </c>
      <c r="F121" s="162">
        <v>1300</v>
      </c>
      <c r="G121" s="991"/>
      <c r="H121" s="992"/>
      <c r="I121" s="993"/>
      <c r="J121" s="994"/>
      <c r="K121" s="866">
        <v>4550.0600000000013</v>
      </c>
      <c r="L121" s="866">
        <v>2669.7900000000063</v>
      </c>
      <c r="M121" s="573"/>
    </row>
    <row r="122" spans="1:13" ht="13.5" customHeight="1" x14ac:dyDescent="0.2">
      <c r="A122" s="786"/>
      <c r="B122" s="787"/>
      <c r="C122" s="793" t="s">
        <v>6187</v>
      </c>
      <c r="D122" s="986" t="s">
        <v>6209</v>
      </c>
      <c r="E122" s="930" t="s">
        <v>549</v>
      </c>
      <c r="F122" s="933">
        <v>380</v>
      </c>
      <c r="G122" s="991" t="s">
        <v>6210</v>
      </c>
      <c r="H122" s="992"/>
      <c r="I122" s="993"/>
      <c r="J122" s="994"/>
      <c r="K122" s="866">
        <v>4930.0600000000013</v>
      </c>
      <c r="L122" s="866">
        <v>2669.7900000000063</v>
      </c>
      <c r="M122" s="573"/>
    </row>
    <row r="123" spans="1:13" ht="13.5" customHeight="1" x14ac:dyDescent="0.2">
      <c r="A123" s="786"/>
      <c r="B123" s="787"/>
      <c r="C123" s="793" t="s">
        <v>6211</v>
      </c>
      <c r="D123" s="986"/>
      <c r="E123" s="930"/>
      <c r="F123" s="392"/>
      <c r="G123" s="991"/>
      <c r="H123" s="992"/>
      <c r="I123" s="993">
        <v>2050</v>
      </c>
      <c r="J123" s="994"/>
      <c r="K123" s="866">
        <v>4930.0600000000013</v>
      </c>
      <c r="L123" s="866">
        <v>4719.7900000000063</v>
      </c>
      <c r="M123" s="573"/>
    </row>
    <row r="124" spans="1:13" ht="13.5" customHeight="1" x14ac:dyDescent="0.2">
      <c r="A124" s="786"/>
      <c r="B124" s="787"/>
      <c r="C124" s="793" t="s">
        <v>6207</v>
      </c>
      <c r="D124" s="986"/>
      <c r="E124" s="930"/>
      <c r="F124" s="392"/>
      <c r="G124" s="991"/>
      <c r="H124" s="996">
        <v>1300</v>
      </c>
      <c r="I124" s="993"/>
      <c r="J124" s="994">
        <v>3419.7900000000063</v>
      </c>
      <c r="K124" s="866">
        <v>4930.0600000000013</v>
      </c>
      <c r="L124" s="866">
        <v>3419.7900000000063</v>
      </c>
      <c r="M124" s="573"/>
    </row>
    <row r="125" spans="1:13" ht="13.5" customHeight="1" x14ac:dyDescent="0.2">
      <c r="A125" s="786" t="s">
        <v>6212</v>
      </c>
      <c r="B125" s="787"/>
      <c r="C125" s="793" t="s">
        <v>6213</v>
      </c>
      <c r="D125" s="986" t="s">
        <v>6214</v>
      </c>
      <c r="E125" s="931">
        <v>-18.45</v>
      </c>
      <c r="F125" s="392" t="s">
        <v>549</v>
      </c>
      <c r="G125" s="991"/>
      <c r="H125" s="992"/>
      <c r="I125" s="993"/>
      <c r="J125" s="994"/>
      <c r="K125" s="866">
        <v>4911.6100000000015</v>
      </c>
      <c r="L125" s="866">
        <v>3419.7900000000063</v>
      </c>
      <c r="M125" s="573"/>
    </row>
    <row r="126" spans="1:13" ht="13.5" customHeight="1" x14ac:dyDescent="0.2">
      <c r="A126" s="786"/>
      <c r="B126" s="787"/>
      <c r="C126" s="793" t="s">
        <v>6215</v>
      </c>
      <c r="D126" s="986" t="s">
        <v>6216</v>
      </c>
      <c r="E126" s="931">
        <v>-56.52</v>
      </c>
      <c r="F126" s="392" t="s">
        <v>549</v>
      </c>
      <c r="G126" s="991"/>
      <c r="H126" s="992"/>
      <c r="I126" s="993"/>
      <c r="J126" s="994"/>
      <c r="K126" s="866">
        <v>4855.0900000000011</v>
      </c>
      <c r="L126" s="866">
        <v>3419.7900000000063</v>
      </c>
      <c r="M126" s="573"/>
    </row>
    <row r="127" spans="1:13" ht="13.5" customHeight="1" x14ac:dyDescent="0.2">
      <c r="A127" s="786"/>
      <c r="B127" s="787"/>
      <c r="C127" s="793" t="s">
        <v>6217</v>
      </c>
      <c r="D127" s="986" t="s">
        <v>6218</v>
      </c>
      <c r="E127" s="931">
        <v>-37.5</v>
      </c>
      <c r="F127" s="392" t="s">
        <v>549</v>
      </c>
      <c r="G127" s="991"/>
      <c r="H127" s="992"/>
      <c r="I127" s="993"/>
      <c r="J127" s="994"/>
      <c r="K127" s="866">
        <v>4817.5900000000011</v>
      </c>
      <c r="L127" s="866">
        <v>3419.7900000000063</v>
      </c>
      <c r="M127" s="573"/>
    </row>
    <row r="128" spans="1:13" ht="13.5" customHeight="1" x14ac:dyDescent="0.2">
      <c r="A128" s="786"/>
      <c r="B128" s="787"/>
      <c r="C128" s="793" t="s">
        <v>6219</v>
      </c>
      <c r="D128" s="986" t="s">
        <v>6220</v>
      </c>
      <c r="E128" s="931">
        <v>-11.98</v>
      </c>
      <c r="F128" s="392" t="s">
        <v>549</v>
      </c>
      <c r="G128" s="792">
        <v>4805.6099999999997</v>
      </c>
      <c r="H128" s="992"/>
      <c r="I128" s="993"/>
      <c r="J128" s="994"/>
      <c r="K128" s="866">
        <v>4805.6100000000015</v>
      </c>
      <c r="L128" s="866">
        <v>3419.7900000000063</v>
      </c>
      <c r="M128" s="573"/>
    </row>
    <row r="129" spans="1:13" ht="13.5" customHeight="1" x14ac:dyDescent="0.2">
      <c r="A129" s="786">
        <v>43028</v>
      </c>
      <c r="B129" s="787"/>
      <c r="C129" s="793" t="s">
        <v>6221</v>
      </c>
      <c r="D129" s="986"/>
      <c r="E129" s="930"/>
      <c r="F129" s="392"/>
      <c r="G129" s="991"/>
      <c r="H129" s="992">
        <v>11.8</v>
      </c>
      <c r="I129" s="993"/>
      <c r="J129" s="994"/>
      <c r="K129" s="866">
        <v>4805.6100000000015</v>
      </c>
      <c r="L129" s="866">
        <v>3407.9900000000061</v>
      </c>
      <c r="M129" s="573"/>
    </row>
    <row r="130" spans="1:13" ht="13.5" customHeight="1" x14ac:dyDescent="0.2">
      <c r="A130" s="786"/>
      <c r="B130" s="787"/>
      <c r="C130" s="793" t="s">
        <v>6222</v>
      </c>
      <c r="D130" s="986"/>
      <c r="E130" s="930"/>
      <c r="F130" s="392"/>
      <c r="G130" s="991"/>
      <c r="H130" s="992">
        <v>8.98</v>
      </c>
      <c r="I130" s="993"/>
      <c r="J130" s="994"/>
      <c r="K130" s="866">
        <v>4805.6100000000015</v>
      </c>
      <c r="L130" s="866">
        <v>3399.0100000000061</v>
      </c>
      <c r="M130" s="573"/>
    </row>
    <row r="131" spans="1:13" ht="13.5" customHeight="1" x14ac:dyDescent="0.2">
      <c r="A131" s="786"/>
      <c r="B131" s="787"/>
      <c r="C131" s="793" t="s">
        <v>6223</v>
      </c>
      <c r="D131" s="986"/>
      <c r="E131" s="930"/>
      <c r="F131" s="392"/>
      <c r="G131" s="991"/>
      <c r="H131" s="992">
        <v>2.1</v>
      </c>
      <c r="I131" s="993"/>
      <c r="J131" s="994"/>
      <c r="K131" s="866">
        <v>4805.6100000000015</v>
      </c>
      <c r="L131" s="866">
        <v>3396.9100000000062</v>
      </c>
      <c r="M131" s="573"/>
    </row>
    <row r="132" spans="1:13" ht="13.5" customHeight="1" x14ac:dyDescent="0.2">
      <c r="A132" s="786"/>
      <c r="B132" s="787"/>
      <c r="C132" s="793" t="s">
        <v>6224</v>
      </c>
      <c r="D132" s="986"/>
      <c r="E132" s="930"/>
      <c r="F132" s="392"/>
      <c r="G132" s="991"/>
      <c r="H132" s="992">
        <v>1.05</v>
      </c>
      <c r="I132" s="993"/>
      <c r="J132" s="994"/>
      <c r="K132" s="866">
        <v>4805.6100000000015</v>
      </c>
      <c r="L132" s="866">
        <v>3395.860000000006</v>
      </c>
      <c r="M132" s="573"/>
    </row>
    <row r="133" spans="1:13" ht="13.5" customHeight="1" x14ac:dyDescent="0.2">
      <c r="A133" s="786"/>
      <c r="B133" s="787"/>
      <c r="C133" s="793" t="s">
        <v>6133</v>
      </c>
      <c r="D133" s="986"/>
      <c r="E133" s="930"/>
      <c r="F133" s="392"/>
      <c r="G133" s="991"/>
      <c r="H133" s="992">
        <v>250</v>
      </c>
      <c r="I133" s="993"/>
      <c r="J133" s="994"/>
      <c r="K133" s="866">
        <v>4805.6100000000015</v>
      </c>
      <c r="L133" s="866">
        <v>3145.860000000006</v>
      </c>
      <c r="M133" s="573"/>
    </row>
    <row r="134" spans="1:13" ht="13.5" customHeight="1" x14ac:dyDescent="0.2">
      <c r="A134" s="786"/>
      <c r="B134" s="787"/>
      <c r="C134" s="793" t="s">
        <v>6225</v>
      </c>
      <c r="D134" s="986"/>
      <c r="E134" s="930"/>
      <c r="F134" s="392"/>
      <c r="G134" s="991"/>
      <c r="H134" s="992">
        <v>3.45</v>
      </c>
      <c r="I134" s="993"/>
      <c r="J134" s="994"/>
      <c r="K134" s="866">
        <v>4805.6100000000015</v>
      </c>
      <c r="L134" s="866">
        <v>3142.4100000000062</v>
      </c>
      <c r="M134" s="573"/>
    </row>
    <row r="135" spans="1:13" ht="13.5" customHeight="1" x14ac:dyDescent="0.2">
      <c r="A135" s="786"/>
      <c r="B135" s="787"/>
      <c r="C135" s="793" t="s">
        <v>6226</v>
      </c>
      <c r="D135" s="986"/>
      <c r="E135" s="930"/>
      <c r="F135" s="392"/>
      <c r="G135" s="991"/>
      <c r="H135" s="992">
        <v>31</v>
      </c>
      <c r="I135" s="993"/>
      <c r="J135" s="994"/>
      <c r="K135" s="866">
        <v>4805.6100000000015</v>
      </c>
      <c r="L135" s="866">
        <v>3111.4100000000062</v>
      </c>
      <c r="M135" s="573"/>
    </row>
    <row r="136" spans="1:13" ht="13.5" customHeight="1" x14ac:dyDescent="0.2">
      <c r="A136" s="786"/>
      <c r="B136" s="787"/>
      <c r="C136" s="793" t="s">
        <v>5593</v>
      </c>
      <c r="D136" s="986"/>
      <c r="E136" s="930"/>
      <c r="F136" s="392"/>
      <c r="G136" s="991"/>
      <c r="H136" s="992">
        <v>300</v>
      </c>
      <c r="I136" s="993"/>
      <c r="J136" s="994"/>
      <c r="K136" s="866">
        <v>4805.6100000000015</v>
      </c>
      <c r="L136" s="866">
        <v>2811.4100000000062</v>
      </c>
      <c r="M136" s="573"/>
    </row>
    <row r="137" spans="1:13" ht="13.5" customHeight="1" x14ac:dyDescent="0.2">
      <c r="A137" s="786"/>
      <c r="B137" s="787"/>
      <c r="C137" s="793" t="s">
        <v>6227</v>
      </c>
      <c r="D137" s="986"/>
      <c r="E137" s="930"/>
      <c r="F137" s="392"/>
      <c r="G137" s="991"/>
      <c r="H137" s="992">
        <v>4.9000000000000004</v>
      </c>
      <c r="I137" s="993"/>
      <c r="J137" s="994">
        <v>2806.5100000000061</v>
      </c>
      <c r="K137" s="866">
        <v>4805.6100000000015</v>
      </c>
      <c r="L137" s="866">
        <v>2806.5100000000061</v>
      </c>
      <c r="M137" s="573"/>
    </row>
    <row r="138" spans="1:13" ht="13.5" customHeight="1" x14ac:dyDescent="0.2">
      <c r="A138" s="786" t="s">
        <v>6228</v>
      </c>
      <c r="B138" s="787"/>
      <c r="C138" s="793" t="s">
        <v>6229</v>
      </c>
      <c r="D138" s="986" t="s">
        <v>6230</v>
      </c>
      <c r="E138" s="931">
        <v>-31.7</v>
      </c>
      <c r="F138" s="392" t="s">
        <v>549</v>
      </c>
      <c r="G138" s="792">
        <v>4773.91</v>
      </c>
      <c r="H138" s="992"/>
      <c r="I138" s="993"/>
      <c r="J138" s="994"/>
      <c r="K138" s="866">
        <v>4773.9100000000017</v>
      </c>
      <c r="L138" s="866">
        <v>2806.5100000000061</v>
      </c>
      <c r="M138" s="573"/>
    </row>
    <row r="139" spans="1:13" ht="13.5" customHeight="1" x14ac:dyDescent="0.2">
      <c r="A139" s="786" t="s">
        <v>6231</v>
      </c>
      <c r="B139" s="787"/>
      <c r="C139" s="793" t="s">
        <v>5726</v>
      </c>
      <c r="D139" s="986" t="s">
        <v>19</v>
      </c>
      <c r="E139" s="931">
        <v>-16.54</v>
      </c>
      <c r="F139" s="392" t="s">
        <v>549</v>
      </c>
      <c r="G139" s="991"/>
      <c r="H139" s="992"/>
      <c r="I139" s="993"/>
      <c r="J139" s="994"/>
      <c r="K139" s="866">
        <v>4757.3700000000017</v>
      </c>
      <c r="L139" s="866">
        <v>2806.5100000000061</v>
      </c>
      <c r="M139" s="573"/>
    </row>
    <row r="140" spans="1:13" ht="13.5" customHeight="1" x14ac:dyDescent="0.2">
      <c r="A140" s="786"/>
      <c r="B140" s="787"/>
      <c r="C140" s="793" t="s">
        <v>127</v>
      </c>
      <c r="D140" s="986" t="s">
        <v>19</v>
      </c>
      <c r="E140" s="931">
        <v>-24.36</v>
      </c>
      <c r="F140" s="392" t="s">
        <v>549</v>
      </c>
      <c r="G140" s="991"/>
      <c r="H140" s="992"/>
      <c r="I140" s="993"/>
      <c r="J140" s="994"/>
      <c r="K140" s="866">
        <v>4733.010000000002</v>
      </c>
      <c r="L140" s="866">
        <v>2806.5100000000061</v>
      </c>
      <c r="M140" s="573"/>
    </row>
    <row r="141" spans="1:13" ht="13.5" customHeight="1" x14ac:dyDescent="0.2">
      <c r="A141" s="786"/>
      <c r="B141" s="787"/>
      <c r="C141" s="793" t="s">
        <v>128</v>
      </c>
      <c r="D141" s="986" t="s">
        <v>19</v>
      </c>
      <c r="E141" s="931">
        <v>-42.93</v>
      </c>
      <c r="F141" s="392" t="s">
        <v>549</v>
      </c>
      <c r="G141" s="991"/>
      <c r="H141" s="992"/>
      <c r="I141" s="993"/>
      <c r="J141" s="994"/>
      <c r="K141" s="866">
        <v>4690.0800000000017</v>
      </c>
      <c r="L141" s="866">
        <v>2806.5100000000061</v>
      </c>
      <c r="M141" s="573"/>
    </row>
    <row r="142" spans="1:13" ht="13.5" customHeight="1" x14ac:dyDescent="0.2">
      <c r="A142" s="786"/>
      <c r="B142" s="787"/>
      <c r="C142" s="793" t="s">
        <v>5730</v>
      </c>
      <c r="D142" s="986" t="s">
        <v>19</v>
      </c>
      <c r="E142" s="931">
        <v>-128.93</v>
      </c>
      <c r="F142" s="392" t="s">
        <v>549</v>
      </c>
      <c r="G142" s="991"/>
      <c r="H142" s="992"/>
      <c r="I142" s="993"/>
      <c r="J142" s="994"/>
      <c r="K142" s="866">
        <v>4561.1500000000015</v>
      </c>
      <c r="L142" s="866">
        <v>2806.5100000000061</v>
      </c>
      <c r="M142" s="573"/>
    </row>
    <row r="143" spans="1:13" ht="13.5" customHeight="1" x14ac:dyDescent="0.2">
      <c r="A143" s="786"/>
      <c r="B143" s="787"/>
      <c r="C143" s="722" t="s">
        <v>5732</v>
      </c>
      <c r="D143" s="986" t="s">
        <v>19</v>
      </c>
      <c r="E143" s="931">
        <v>-141.11000000000001</v>
      </c>
      <c r="F143" s="392" t="s">
        <v>549</v>
      </c>
      <c r="G143" s="991"/>
      <c r="H143" s="992"/>
      <c r="I143" s="993"/>
      <c r="J143" s="994"/>
      <c r="K143" s="866">
        <v>4420.0400000000018</v>
      </c>
      <c r="L143" s="866">
        <v>2806.5100000000061</v>
      </c>
      <c r="M143" s="573"/>
    </row>
    <row r="144" spans="1:13" ht="13.5" customHeight="1" x14ac:dyDescent="0.2">
      <c r="A144" s="786"/>
      <c r="B144" s="787"/>
      <c r="C144" s="793" t="s">
        <v>6232</v>
      </c>
      <c r="D144" s="986" t="s">
        <v>6233</v>
      </c>
      <c r="E144" s="930" t="s">
        <v>549</v>
      </c>
      <c r="F144" s="162">
        <v>1000</v>
      </c>
      <c r="G144" s="991"/>
      <c r="H144" s="992"/>
      <c r="I144" s="993"/>
      <c r="J144" s="994"/>
      <c r="K144" s="866">
        <v>5420.0400000000018</v>
      </c>
      <c r="L144" s="866">
        <v>2806.5100000000061</v>
      </c>
      <c r="M144" s="573"/>
    </row>
    <row r="145" spans="1:13" ht="13.5" customHeight="1" x14ac:dyDescent="0.2">
      <c r="A145" s="786"/>
      <c r="B145" s="787"/>
      <c r="C145" s="722" t="s">
        <v>6234</v>
      </c>
      <c r="D145" s="986" t="s">
        <v>6235</v>
      </c>
      <c r="E145" s="931">
        <v>-560</v>
      </c>
      <c r="F145" s="392" t="s">
        <v>549</v>
      </c>
      <c r="G145" s="792">
        <v>4860.04</v>
      </c>
      <c r="H145" s="992"/>
      <c r="I145" s="993"/>
      <c r="J145" s="994"/>
      <c r="K145" s="866">
        <v>4860.0400000000018</v>
      </c>
      <c r="L145" s="866">
        <v>2806.5100000000061</v>
      </c>
      <c r="M145" s="573"/>
    </row>
    <row r="146" spans="1:13" ht="13.5" customHeight="1" x14ac:dyDescent="0.2">
      <c r="A146" s="786">
        <v>43032</v>
      </c>
      <c r="B146" s="787"/>
      <c r="C146" s="793" t="s">
        <v>6236</v>
      </c>
      <c r="D146" s="986"/>
      <c r="E146" s="930"/>
      <c r="F146" s="392"/>
      <c r="G146" s="991"/>
      <c r="H146" s="992">
        <v>6.9</v>
      </c>
      <c r="I146" s="993"/>
      <c r="J146" s="994"/>
      <c r="K146" s="866">
        <v>4860.0400000000018</v>
      </c>
      <c r="L146" s="866">
        <v>2799.610000000006</v>
      </c>
      <c r="M146" s="573"/>
    </row>
    <row r="147" spans="1:13" ht="13.5" customHeight="1" x14ac:dyDescent="0.2">
      <c r="A147" s="786"/>
      <c r="B147" s="787"/>
      <c r="C147" s="793" t="s">
        <v>6237</v>
      </c>
      <c r="D147" s="986"/>
      <c r="E147" s="930"/>
      <c r="F147" s="392"/>
      <c r="G147" s="991"/>
      <c r="H147" s="992">
        <v>4.2</v>
      </c>
      <c r="I147" s="993"/>
      <c r="J147" s="994"/>
      <c r="K147" s="866">
        <v>4860.0400000000018</v>
      </c>
      <c r="L147" s="866">
        <v>2795.4100000000062</v>
      </c>
      <c r="M147" s="573"/>
    </row>
    <row r="148" spans="1:13" ht="13.5" customHeight="1" x14ac:dyDescent="0.2">
      <c r="A148" s="786"/>
      <c r="B148" s="787"/>
      <c r="C148" s="793" t="s">
        <v>6236</v>
      </c>
      <c r="D148" s="986"/>
      <c r="E148" s="930"/>
      <c r="F148" s="392"/>
      <c r="G148" s="991"/>
      <c r="H148" s="992">
        <v>1.25</v>
      </c>
      <c r="I148" s="993"/>
      <c r="J148" s="994"/>
      <c r="K148" s="866">
        <v>4860.0400000000018</v>
      </c>
      <c r="L148" s="866">
        <v>2794.1600000000062</v>
      </c>
      <c r="M148" s="573"/>
    </row>
    <row r="149" spans="1:13" ht="13.5" customHeight="1" x14ac:dyDescent="0.2">
      <c r="A149" s="786"/>
      <c r="B149" s="787"/>
      <c r="C149" s="793" t="s">
        <v>5660</v>
      </c>
      <c r="D149" s="986"/>
      <c r="E149" s="930"/>
      <c r="F149" s="392"/>
      <c r="G149" s="991"/>
      <c r="H149" s="992">
        <v>12.75</v>
      </c>
      <c r="I149" s="993"/>
      <c r="J149" s="994"/>
      <c r="K149" s="866">
        <v>4860.0400000000018</v>
      </c>
      <c r="L149" s="866">
        <v>2781.4100000000062</v>
      </c>
      <c r="M149" s="573"/>
    </row>
    <row r="150" spans="1:13" ht="13.5" customHeight="1" x14ac:dyDescent="0.2">
      <c r="A150" s="786"/>
      <c r="B150" s="787"/>
      <c r="C150" s="722" t="s">
        <v>6236</v>
      </c>
      <c r="D150" s="986"/>
      <c r="E150" s="930"/>
      <c r="F150" s="392"/>
      <c r="G150" s="991"/>
      <c r="H150" s="992">
        <v>2.7</v>
      </c>
      <c r="I150" s="993"/>
      <c r="J150" s="994"/>
      <c r="K150" s="866">
        <v>4860.0400000000018</v>
      </c>
      <c r="L150" s="866">
        <v>2778.7100000000064</v>
      </c>
      <c r="M150" s="573"/>
    </row>
    <row r="151" spans="1:13" ht="13.5" customHeight="1" x14ac:dyDescent="0.2">
      <c r="A151" s="786"/>
      <c r="B151" s="787"/>
      <c r="C151" s="793" t="s">
        <v>6238</v>
      </c>
      <c r="D151" s="986"/>
      <c r="E151" s="930"/>
      <c r="F151" s="392"/>
      <c r="G151" s="991"/>
      <c r="H151" s="992">
        <v>35.6</v>
      </c>
      <c r="I151" s="993"/>
      <c r="J151" s="994"/>
      <c r="K151" s="866">
        <v>4860.0400000000018</v>
      </c>
      <c r="L151" s="866">
        <v>2743.1100000000065</v>
      </c>
      <c r="M151" s="573"/>
    </row>
    <row r="152" spans="1:13" ht="13.5" customHeight="1" x14ac:dyDescent="0.2">
      <c r="A152" s="786"/>
      <c r="B152" s="787"/>
      <c r="C152" s="793" t="s">
        <v>6232</v>
      </c>
      <c r="D152" s="986"/>
      <c r="E152" s="930"/>
      <c r="F152" s="392"/>
      <c r="G152" s="991"/>
      <c r="H152" s="996">
        <v>1000</v>
      </c>
      <c r="I152" s="993"/>
      <c r="J152" s="994">
        <v>1743.1100000000065</v>
      </c>
      <c r="K152" s="866">
        <v>4860.0400000000018</v>
      </c>
      <c r="L152" s="866">
        <v>1743.1100000000065</v>
      </c>
      <c r="M152" s="573"/>
    </row>
    <row r="153" spans="1:13" ht="13.5" customHeight="1" x14ac:dyDescent="0.2">
      <c r="A153" s="786"/>
      <c r="B153" s="787"/>
      <c r="C153" s="793" t="s">
        <v>6239</v>
      </c>
      <c r="D153" s="986" t="s">
        <v>19</v>
      </c>
      <c r="E153" s="573">
        <v>-1250</v>
      </c>
      <c r="F153" s="392" t="s">
        <v>549</v>
      </c>
      <c r="G153" s="991"/>
      <c r="H153" s="992"/>
      <c r="I153" s="993"/>
      <c r="J153" s="994"/>
      <c r="K153" s="866">
        <v>3610.0400000000018</v>
      </c>
      <c r="L153" s="866">
        <v>1743.1100000000065</v>
      </c>
      <c r="M153" s="573"/>
    </row>
    <row r="154" spans="1:13" ht="13.5" customHeight="1" x14ac:dyDescent="0.2">
      <c r="A154" s="786"/>
      <c r="B154" s="787"/>
      <c r="C154" s="722" t="s">
        <v>20</v>
      </c>
      <c r="D154" s="986" t="s">
        <v>19</v>
      </c>
      <c r="E154" s="930" t="s">
        <v>549</v>
      </c>
      <c r="F154" s="932">
        <v>0.06</v>
      </c>
      <c r="G154" s="792">
        <v>3610.1</v>
      </c>
      <c r="H154" s="992"/>
      <c r="I154" s="993"/>
      <c r="J154" s="994"/>
      <c r="K154" s="866">
        <v>3610.1000000000017</v>
      </c>
      <c r="L154" s="866">
        <v>1743.1100000000065</v>
      </c>
      <c r="M154" s="573"/>
    </row>
    <row r="155" spans="1:13" ht="13.5" customHeight="1" x14ac:dyDescent="0.2">
      <c r="A155" s="786" t="s">
        <v>6240</v>
      </c>
      <c r="B155" s="787"/>
      <c r="C155" s="793" t="s">
        <v>6241</v>
      </c>
      <c r="D155" s="986" t="s">
        <v>19</v>
      </c>
      <c r="E155" s="931">
        <v>-44.99</v>
      </c>
      <c r="F155" s="392" t="s">
        <v>549</v>
      </c>
      <c r="G155" s="792">
        <v>3565.11</v>
      </c>
      <c r="H155" s="992"/>
      <c r="I155" s="993"/>
      <c r="J155" s="994"/>
      <c r="K155" s="866">
        <v>3565.1100000000019</v>
      </c>
      <c r="L155" s="866">
        <v>1743.1100000000065</v>
      </c>
      <c r="M155" s="573"/>
    </row>
    <row r="156" spans="1:13" ht="13.5" customHeight="1" x14ac:dyDescent="0.2">
      <c r="A156" s="786">
        <v>43034</v>
      </c>
      <c r="B156" s="787"/>
      <c r="C156" s="793" t="s">
        <v>6242</v>
      </c>
      <c r="D156" s="986"/>
      <c r="E156" s="930"/>
      <c r="F156" s="392"/>
      <c r="G156" s="991"/>
      <c r="H156" s="996">
        <v>1100</v>
      </c>
      <c r="I156" s="993"/>
      <c r="J156" s="994"/>
      <c r="K156" s="866">
        <v>3565.1100000000019</v>
      </c>
      <c r="L156" s="866">
        <v>643.11000000000649</v>
      </c>
      <c r="M156" s="573"/>
    </row>
    <row r="157" spans="1:13" ht="13.5" customHeight="1" x14ac:dyDescent="0.2">
      <c r="A157" s="786"/>
      <c r="B157" s="787"/>
      <c r="C157" s="793" t="s">
        <v>6243</v>
      </c>
      <c r="D157" s="986"/>
      <c r="E157" s="930"/>
      <c r="F157" s="392"/>
      <c r="G157" s="991"/>
      <c r="H157" s="992">
        <v>140</v>
      </c>
      <c r="I157" s="993"/>
      <c r="J157" s="994"/>
      <c r="K157" s="866">
        <v>3565.1100000000019</v>
      </c>
      <c r="L157" s="866">
        <v>503.11000000000649</v>
      </c>
      <c r="M157" s="573"/>
    </row>
    <row r="158" spans="1:13" ht="13.5" customHeight="1" x14ac:dyDescent="0.2">
      <c r="A158" s="786"/>
      <c r="B158" s="787"/>
      <c r="C158" s="793" t="s">
        <v>6244</v>
      </c>
      <c r="D158" s="986"/>
      <c r="E158" s="930"/>
      <c r="F158" s="392"/>
      <c r="G158" s="991"/>
      <c r="H158" s="992">
        <v>140</v>
      </c>
      <c r="I158" s="993"/>
      <c r="J158" s="994">
        <v>363.11000000000649</v>
      </c>
      <c r="K158" s="866">
        <v>3565.1100000000019</v>
      </c>
      <c r="L158" s="866">
        <v>363.11000000000649</v>
      </c>
      <c r="M158" s="573"/>
    </row>
    <row r="159" spans="1:13" ht="13.5" customHeight="1" x14ac:dyDescent="0.2">
      <c r="A159" s="786"/>
      <c r="B159" s="787"/>
      <c r="C159" s="793" t="s">
        <v>6245</v>
      </c>
      <c r="D159" s="986" t="s">
        <v>2938</v>
      </c>
      <c r="E159" s="573">
        <v>-2000</v>
      </c>
      <c r="F159" s="392" t="s">
        <v>549</v>
      </c>
      <c r="G159" s="991"/>
      <c r="H159" s="992"/>
      <c r="I159" s="993"/>
      <c r="J159" s="994"/>
      <c r="K159" s="866">
        <v>1565.1100000000019</v>
      </c>
      <c r="L159" s="866">
        <v>363.11000000000649</v>
      </c>
      <c r="M159" s="573"/>
    </row>
    <row r="160" spans="1:13" ht="13.5" customHeight="1" x14ac:dyDescent="0.2">
      <c r="A160" s="786"/>
      <c r="B160" s="787"/>
      <c r="C160" s="793" t="s">
        <v>6246</v>
      </c>
      <c r="D160" s="986" t="s">
        <v>6247</v>
      </c>
      <c r="E160" s="930" t="s">
        <v>549</v>
      </c>
      <c r="F160" s="932">
        <v>940</v>
      </c>
      <c r="G160" s="991"/>
      <c r="H160" s="992"/>
      <c r="I160" s="993"/>
      <c r="J160" s="994"/>
      <c r="K160" s="866">
        <v>2505.1100000000019</v>
      </c>
      <c r="L160" s="866">
        <v>363.11000000000649</v>
      </c>
      <c r="M160" s="573"/>
    </row>
    <row r="161" spans="1:13" ht="13.5" customHeight="1" x14ac:dyDescent="0.2">
      <c r="A161" s="786"/>
      <c r="B161" s="787"/>
      <c r="C161" s="722" t="s">
        <v>20</v>
      </c>
      <c r="D161" s="986" t="s">
        <v>19</v>
      </c>
      <c r="E161" s="930" t="s">
        <v>549</v>
      </c>
      <c r="F161" s="932">
        <v>0.08</v>
      </c>
      <c r="G161" s="792">
        <v>2505.19</v>
      </c>
      <c r="H161" s="992"/>
      <c r="I161" s="993"/>
      <c r="J161" s="994"/>
      <c r="K161" s="866">
        <v>2505.1900000000019</v>
      </c>
      <c r="L161" s="866">
        <v>363.11000000000649</v>
      </c>
      <c r="M161" s="573"/>
    </row>
    <row r="162" spans="1:13" ht="13.5" customHeight="1" x14ac:dyDescent="0.2">
      <c r="A162" s="786">
        <v>43035</v>
      </c>
      <c r="B162" s="787"/>
      <c r="C162" s="793" t="s">
        <v>6248</v>
      </c>
      <c r="D162" s="986"/>
      <c r="E162" s="930"/>
      <c r="F162" s="392"/>
      <c r="G162" s="991"/>
      <c r="H162" s="992">
        <v>18.96</v>
      </c>
      <c r="I162" s="993"/>
      <c r="J162" s="994"/>
      <c r="K162" s="866">
        <v>2505.1900000000019</v>
      </c>
      <c r="L162" s="866">
        <v>344.15000000000651</v>
      </c>
      <c r="M162" s="573"/>
    </row>
    <row r="163" spans="1:13" ht="13.5" customHeight="1" x14ac:dyDescent="0.2">
      <c r="A163" s="786"/>
      <c r="B163" s="787"/>
      <c r="C163" s="793" t="s">
        <v>5600</v>
      </c>
      <c r="D163" s="986"/>
      <c r="E163" s="930"/>
      <c r="F163" s="392"/>
      <c r="G163" s="991"/>
      <c r="H163" s="992">
        <v>14</v>
      </c>
      <c r="I163" s="993"/>
      <c r="J163" s="994"/>
      <c r="K163" s="866">
        <v>2505.1900000000019</v>
      </c>
      <c r="L163" s="866">
        <v>330.15000000000651</v>
      </c>
      <c r="M163" s="573"/>
    </row>
    <row r="164" spans="1:13" ht="13.5" customHeight="1" x14ac:dyDescent="0.2">
      <c r="A164" s="786"/>
      <c r="B164" s="787"/>
      <c r="C164" s="793" t="s">
        <v>6249</v>
      </c>
      <c r="D164" s="986"/>
      <c r="E164" s="930"/>
      <c r="F164" s="392"/>
      <c r="G164" s="991"/>
      <c r="H164" s="992"/>
      <c r="I164" s="993">
        <v>1360</v>
      </c>
      <c r="J164" s="994"/>
      <c r="K164" s="866">
        <v>2505.1900000000019</v>
      </c>
      <c r="L164" s="866">
        <v>1690.1500000000065</v>
      </c>
      <c r="M164" s="573"/>
    </row>
    <row r="165" spans="1:13" ht="13.5" customHeight="1" x14ac:dyDescent="0.2">
      <c r="A165" s="786"/>
      <c r="B165" s="787"/>
      <c r="C165" s="793" t="s">
        <v>6133</v>
      </c>
      <c r="D165" s="986"/>
      <c r="E165" s="930"/>
      <c r="F165" s="392"/>
      <c r="G165" s="991"/>
      <c r="H165" s="992">
        <v>250</v>
      </c>
      <c r="I165" s="993"/>
      <c r="J165" s="994"/>
      <c r="K165" s="866">
        <v>2505.1900000000019</v>
      </c>
      <c r="L165" s="866">
        <v>1440.1500000000065</v>
      </c>
      <c r="M165" s="573"/>
    </row>
    <row r="166" spans="1:13" ht="13.5" customHeight="1" x14ac:dyDescent="0.2">
      <c r="A166" s="786"/>
      <c r="B166" s="787"/>
      <c r="C166" s="793" t="s">
        <v>5593</v>
      </c>
      <c r="D166" s="986"/>
      <c r="E166" s="930"/>
      <c r="F166" s="392"/>
      <c r="G166" s="991"/>
      <c r="H166" s="992">
        <v>300</v>
      </c>
      <c r="I166" s="993"/>
      <c r="J166" s="994"/>
      <c r="K166" s="866">
        <v>2505.1900000000019</v>
      </c>
      <c r="L166" s="866">
        <v>1140.1500000000065</v>
      </c>
      <c r="M166" s="573"/>
    </row>
    <row r="167" spans="1:13" ht="13.5" customHeight="1" x14ac:dyDescent="0.2">
      <c r="A167" s="786"/>
      <c r="B167" s="787"/>
      <c r="C167" s="793" t="s">
        <v>6250</v>
      </c>
      <c r="D167" s="986"/>
      <c r="E167" s="930"/>
      <c r="F167" s="392"/>
      <c r="G167" s="991"/>
      <c r="H167" s="992">
        <v>3</v>
      </c>
      <c r="I167" s="993"/>
      <c r="J167" s="994"/>
      <c r="K167" s="866">
        <v>2505.1900000000019</v>
      </c>
      <c r="L167" s="866">
        <v>1137.1500000000065</v>
      </c>
      <c r="M167" s="573"/>
    </row>
    <row r="168" spans="1:13" ht="13.5" customHeight="1" x14ac:dyDescent="0.2">
      <c r="A168" s="786"/>
      <c r="B168" s="787"/>
      <c r="C168" s="793" t="s">
        <v>6251</v>
      </c>
      <c r="D168" s="986"/>
      <c r="E168" s="930"/>
      <c r="F168" s="392"/>
      <c r="G168" s="991"/>
      <c r="H168" s="992">
        <v>10</v>
      </c>
      <c r="I168" s="993"/>
      <c r="J168" s="994"/>
      <c r="K168" s="866">
        <v>2505.1900000000019</v>
      </c>
      <c r="L168" s="866">
        <v>1127.1500000000065</v>
      </c>
      <c r="M168" s="573"/>
    </row>
    <row r="169" spans="1:13" ht="13.5" customHeight="1" x14ac:dyDescent="0.2">
      <c r="A169" s="786"/>
      <c r="B169" s="787"/>
      <c r="C169" s="793" t="s">
        <v>6252</v>
      </c>
      <c r="D169" s="986"/>
      <c r="E169" s="930"/>
      <c r="F169" s="392"/>
      <c r="G169" s="991"/>
      <c r="H169" s="992">
        <v>1.95</v>
      </c>
      <c r="I169" s="993"/>
      <c r="J169" s="994"/>
      <c r="K169" s="866">
        <v>2505.1900000000019</v>
      </c>
      <c r="L169" s="866">
        <v>1125.2000000000064</v>
      </c>
      <c r="M169" s="573"/>
    </row>
    <row r="170" spans="1:13" ht="13.5" customHeight="1" x14ac:dyDescent="0.2">
      <c r="A170" s="786"/>
      <c r="B170" s="787"/>
      <c r="C170" s="793" t="s">
        <v>6253</v>
      </c>
      <c r="D170" s="986"/>
      <c r="E170" s="930"/>
      <c r="F170" s="392"/>
      <c r="G170" s="991"/>
      <c r="H170" s="992">
        <v>11</v>
      </c>
      <c r="I170" s="993"/>
      <c r="J170" s="994">
        <v>1114.2000000000064</v>
      </c>
      <c r="K170" s="866">
        <v>2505.1900000000019</v>
      </c>
      <c r="L170" s="866">
        <v>1114.2000000000064</v>
      </c>
      <c r="M170" s="573"/>
    </row>
    <row r="171" spans="1:13" ht="13.5" customHeight="1" x14ac:dyDescent="0.2">
      <c r="A171" s="786"/>
      <c r="B171" s="787"/>
      <c r="C171" s="793" t="s">
        <v>6242</v>
      </c>
      <c r="D171" s="986" t="s">
        <v>6254</v>
      </c>
      <c r="E171" s="930" t="s">
        <v>549</v>
      </c>
      <c r="F171" s="162">
        <v>1100</v>
      </c>
      <c r="G171" s="991"/>
      <c r="H171" s="992"/>
      <c r="I171" s="993"/>
      <c r="J171" s="994"/>
      <c r="K171" s="866">
        <v>3605.1900000000019</v>
      </c>
      <c r="L171" s="866">
        <v>1114.2000000000064</v>
      </c>
      <c r="M171" s="573"/>
    </row>
    <row r="172" spans="1:13" ht="13.5" customHeight="1" x14ac:dyDescent="0.2">
      <c r="A172" s="786"/>
      <c r="B172" s="787"/>
      <c r="C172" s="793" t="s">
        <v>6255</v>
      </c>
      <c r="D172" s="986" t="s">
        <v>6256</v>
      </c>
      <c r="E172" s="931">
        <v>-155.31</v>
      </c>
      <c r="F172" s="392" t="s">
        <v>549</v>
      </c>
      <c r="G172" s="792">
        <v>3449.88</v>
      </c>
      <c r="H172" s="992"/>
      <c r="I172" s="993"/>
      <c r="J172" s="994"/>
      <c r="K172" s="866">
        <v>3449.8800000000019</v>
      </c>
      <c r="L172" s="866">
        <v>1114.2000000000064</v>
      </c>
      <c r="M172" s="573"/>
    </row>
    <row r="173" spans="1:13" ht="13.5" customHeight="1" x14ac:dyDescent="0.2">
      <c r="A173" s="786">
        <v>43038</v>
      </c>
      <c r="B173" s="787"/>
      <c r="C173" s="793" t="s">
        <v>6257</v>
      </c>
      <c r="D173" s="986"/>
      <c r="E173" s="930"/>
      <c r="F173" s="392"/>
      <c r="G173" s="991"/>
      <c r="H173" s="992"/>
      <c r="I173" s="993">
        <v>1020</v>
      </c>
      <c r="J173" s="994"/>
      <c r="K173" s="866">
        <v>3449.8800000000019</v>
      </c>
      <c r="L173" s="866">
        <v>2134.2000000000062</v>
      </c>
      <c r="M173" s="573"/>
    </row>
    <row r="174" spans="1:13" ht="13.5" customHeight="1" x14ac:dyDescent="0.2">
      <c r="A174" s="786"/>
      <c r="B174" s="787"/>
      <c r="C174" s="793" t="s">
        <v>6258</v>
      </c>
      <c r="D174" s="986"/>
      <c r="E174" s="930"/>
      <c r="F174" s="392"/>
      <c r="G174" s="991"/>
      <c r="H174" s="992">
        <v>7</v>
      </c>
      <c r="I174" s="993"/>
      <c r="J174" s="994">
        <v>2127.2000000000062</v>
      </c>
      <c r="K174" s="866">
        <v>3449.8800000000019</v>
      </c>
      <c r="L174" s="866">
        <v>2127.2000000000062</v>
      </c>
      <c r="M174" s="573"/>
    </row>
    <row r="175" spans="1:13" ht="13.5" customHeight="1" x14ac:dyDescent="0.2">
      <c r="A175" s="786"/>
      <c r="B175" s="787"/>
      <c r="C175" s="793" t="s">
        <v>6259</v>
      </c>
      <c r="D175" s="986" t="s">
        <v>2945</v>
      </c>
      <c r="E175" s="931">
        <v>-10.5</v>
      </c>
      <c r="F175" s="392" t="s">
        <v>549</v>
      </c>
      <c r="G175" s="991"/>
      <c r="H175" s="992"/>
      <c r="I175" s="993"/>
      <c r="J175" s="994"/>
      <c r="K175" s="866">
        <v>3439.3800000000019</v>
      </c>
      <c r="L175" s="866">
        <v>2127.2000000000062</v>
      </c>
      <c r="M175" s="573"/>
    </row>
    <row r="176" spans="1:13" ht="13.5" customHeight="1" x14ac:dyDescent="0.2">
      <c r="A176" s="786"/>
      <c r="B176" s="787"/>
      <c r="C176" s="793" t="s">
        <v>6260</v>
      </c>
      <c r="D176" s="986" t="s">
        <v>6261</v>
      </c>
      <c r="E176" s="931">
        <v>-12.25</v>
      </c>
      <c r="F176" s="392" t="s">
        <v>549</v>
      </c>
      <c r="G176" s="792">
        <v>3427.13</v>
      </c>
      <c r="H176" s="992"/>
      <c r="I176" s="993"/>
      <c r="J176" s="994"/>
      <c r="K176" s="866">
        <v>3427.1300000000019</v>
      </c>
      <c r="L176" s="866">
        <v>2127.2000000000062</v>
      </c>
      <c r="M176" s="573"/>
    </row>
    <row r="177" spans="1:13" ht="13.5" customHeight="1" x14ac:dyDescent="0.2">
      <c r="A177" s="786" t="s">
        <v>6262</v>
      </c>
      <c r="B177" s="787"/>
      <c r="C177" s="793" t="s">
        <v>6263</v>
      </c>
      <c r="D177" s="986" t="s">
        <v>6264</v>
      </c>
      <c r="E177" s="931">
        <v>-75</v>
      </c>
      <c r="F177" s="392" t="s">
        <v>549</v>
      </c>
      <c r="G177" s="991"/>
      <c r="H177" s="992"/>
      <c r="I177" s="993"/>
      <c r="J177" s="994"/>
      <c r="K177" s="866">
        <v>3352.1300000000019</v>
      </c>
      <c r="L177" s="866">
        <v>2127.2000000000062</v>
      </c>
      <c r="M177" s="573"/>
    </row>
    <row r="178" spans="1:13" ht="13.5" customHeight="1" x14ac:dyDescent="0.2">
      <c r="A178" s="786"/>
      <c r="B178" s="787"/>
      <c r="C178" s="722" t="s">
        <v>20</v>
      </c>
      <c r="D178" s="986" t="s">
        <v>19</v>
      </c>
      <c r="E178" s="930" t="s">
        <v>549</v>
      </c>
      <c r="F178" s="932">
        <v>0.01</v>
      </c>
      <c r="G178" s="999">
        <v>3352.14</v>
      </c>
      <c r="H178" s="992"/>
      <c r="I178" s="993"/>
      <c r="J178" s="994"/>
      <c r="K178" s="866">
        <v>3352.1400000000021</v>
      </c>
      <c r="L178" s="866">
        <v>2127.2000000000062</v>
      </c>
      <c r="M178" s="573"/>
    </row>
    <row r="179" spans="1:13" ht="13.5" customHeight="1" x14ac:dyDescent="0.2">
      <c r="A179" s="786"/>
      <c r="B179" s="787"/>
      <c r="C179" s="793" t="s">
        <v>6265</v>
      </c>
      <c r="D179" s="986"/>
      <c r="E179" s="930"/>
      <c r="F179" s="392"/>
      <c r="G179" s="991"/>
      <c r="H179" s="992">
        <v>6.95</v>
      </c>
      <c r="I179" s="993"/>
      <c r="J179" s="994"/>
      <c r="K179" s="866">
        <v>3352.1400000000021</v>
      </c>
      <c r="L179" s="866">
        <v>2120.2500000000064</v>
      </c>
      <c r="M179" s="573"/>
    </row>
    <row r="180" spans="1:13" ht="13.5" customHeight="1" x14ac:dyDescent="0.2">
      <c r="A180" s="786"/>
      <c r="B180" s="787"/>
      <c r="C180" s="793" t="s">
        <v>6266</v>
      </c>
      <c r="D180" s="986"/>
      <c r="E180" s="930"/>
      <c r="F180" s="392"/>
      <c r="G180" s="991"/>
      <c r="H180" s="992">
        <v>9.8000000000000007</v>
      </c>
      <c r="I180" s="993"/>
      <c r="J180" s="1000">
        <v>2110.4500000000062</v>
      </c>
      <c r="K180" s="1001">
        <v>3352.1400000000021</v>
      </c>
      <c r="L180" s="1001">
        <v>2110.4500000000098</v>
      </c>
      <c r="M180" s="573"/>
    </row>
    <row r="181" spans="1:13" ht="13.5" customHeight="1" thickBot="1" x14ac:dyDescent="0.25">
      <c r="A181" s="800"/>
      <c r="B181" s="801"/>
      <c r="C181" s="802"/>
      <c r="D181" s="1002"/>
      <c r="E181" s="937"/>
      <c r="F181" s="1003"/>
      <c r="G181" s="1004"/>
      <c r="H181" s="1005"/>
      <c r="I181" s="1006"/>
      <c r="J181" s="1003"/>
      <c r="M181" s="573"/>
    </row>
    <row r="182" spans="1:13" ht="13.5" customHeight="1" thickBot="1" x14ac:dyDescent="0.25">
      <c r="A182" s="561" t="s">
        <v>2</v>
      </c>
      <c r="B182" s="562"/>
      <c r="C182" s="562" t="s">
        <v>481</v>
      </c>
      <c r="D182" s="917" t="s">
        <v>4</v>
      </c>
      <c r="E182" s="917" t="s">
        <v>5</v>
      </c>
      <c r="F182" s="917" t="s">
        <v>6</v>
      </c>
      <c r="G182" s="983" t="s">
        <v>7</v>
      </c>
      <c r="H182" s="1404" t="s">
        <v>482</v>
      </c>
      <c r="I182" s="1405"/>
      <c r="J182" s="1406"/>
    </row>
    <row r="183" spans="1:13" ht="13.5" customHeight="1" x14ac:dyDescent="0.2">
      <c r="A183" s="568" t="s">
        <v>6101</v>
      </c>
      <c r="B183" s="569"/>
      <c r="C183" s="570" t="s">
        <v>8</v>
      </c>
      <c r="D183" s="986">
        <v>0</v>
      </c>
      <c r="E183" s="937"/>
      <c r="F183" s="930"/>
      <c r="G183" s="1007">
        <v>0</v>
      </c>
      <c r="H183" s="1008"/>
      <c r="I183" s="1009"/>
      <c r="J183" s="1010">
        <v>4005.489999999998</v>
      </c>
      <c r="K183" s="866">
        <v>0</v>
      </c>
      <c r="L183" s="866">
        <v>4005.489999999998</v>
      </c>
      <c r="M183" s="804"/>
    </row>
    <row r="184" spans="1:13" ht="13.5" customHeight="1" x14ac:dyDescent="0.2">
      <c r="A184" s="578" t="s">
        <v>6267</v>
      </c>
      <c r="B184" s="569" t="s">
        <v>483</v>
      </c>
      <c r="C184" s="569" t="s">
        <v>6268</v>
      </c>
      <c r="D184" s="986" t="s">
        <v>3920</v>
      </c>
      <c r="E184" s="938">
        <v>-860</v>
      </c>
      <c r="F184" s="930"/>
      <c r="G184" s="1011" t="s">
        <v>483</v>
      </c>
      <c r="H184" s="1012"/>
      <c r="I184" s="1013"/>
      <c r="J184" s="945">
        <v>4005.489999999998</v>
      </c>
      <c r="K184" s="866">
        <v>-860</v>
      </c>
      <c r="L184" s="866">
        <v>4005.489999999998</v>
      </c>
      <c r="M184" s="572"/>
    </row>
    <row r="185" spans="1:13" ht="13.5" customHeight="1" x14ac:dyDescent="0.2">
      <c r="A185" s="578"/>
      <c r="B185" s="569" t="s">
        <v>483</v>
      </c>
      <c r="C185" s="569" t="s">
        <v>6268</v>
      </c>
      <c r="D185" s="986" t="s">
        <v>1367</v>
      </c>
      <c r="E185" s="938">
        <v>-136.99</v>
      </c>
      <c r="F185" s="930"/>
      <c r="G185" s="1011" t="s">
        <v>483</v>
      </c>
      <c r="H185" s="1012"/>
      <c r="I185" s="1013"/>
      <c r="J185" s="945">
        <v>4005.489999999998</v>
      </c>
      <c r="K185" s="866">
        <v>-996.99</v>
      </c>
      <c r="L185" s="866">
        <v>4005.489999999998</v>
      </c>
      <c r="M185" s="572">
        <v>136.99</v>
      </c>
    </row>
    <row r="186" spans="1:13" ht="13.5" customHeight="1" x14ac:dyDescent="0.2">
      <c r="A186" s="578"/>
      <c r="B186" s="569" t="s">
        <v>483</v>
      </c>
      <c r="C186" s="722" t="s">
        <v>5557</v>
      </c>
      <c r="D186" s="986" t="s">
        <v>488</v>
      </c>
      <c r="E186" s="938">
        <v>-0.62</v>
      </c>
      <c r="F186" s="930"/>
      <c r="G186" s="1011" t="s">
        <v>483</v>
      </c>
      <c r="H186" s="1012"/>
      <c r="I186" s="1013"/>
      <c r="J186" s="945">
        <v>4005.489999999998</v>
      </c>
      <c r="K186" s="866">
        <v>-997.61</v>
      </c>
      <c r="L186" s="866">
        <v>4005.489999999998</v>
      </c>
      <c r="M186" s="572"/>
    </row>
    <row r="187" spans="1:13" ht="13.5" customHeight="1" x14ac:dyDescent="0.2">
      <c r="A187" s="578"/>
      <c r="B187" s="569" t="s">
        <v>483</v>
      </c>
      <c r="C187" s="722" t="s">
        <v>5558</v>
      </c>
      <c r="D187" s="986" t="s">
        <v>488</v>
      </c>
      <c r="E187" s="938">
        <v>-19.21</v>
      </c>
      <c r="F187" s="930"/>
      <c r="G187" s="1011" t="s">
        <v>483</v>
      </c>
      <c r="H187" s="1012"/>
      <c r="I187" s="1013"/>
      <c r="J187" s="945">
        <v>4005.489999999998</v>
      </c>
      <c r="K187" s="866">
        <v>-1016.82</v>
      </c>
      <c r="L187" s="866">
        <v>4005.489999999998</v>
      </c>
      <c r="M187" s="572"/>
    </row>
    <row r="188" spans="1:13" ht="13.5" customHeight="1" x14ac:dyDescent="0.2">
      <c r="A188" s="578"/>
      <c r="B188" s="569" t="s">
        <v>483</v>
      </c>
      <c r="C188" s="569" t="s">
        <v>6121</v>
      </c>
      <c r="D188" s="986" t="s">
        <v>488</v>
      </c>
      <c r="E188" s="874"/>
      <c r="F188" s="943">
        <v>1016.82</v>
      </c>
      <c r="G188" s="1011">
        <v>0</v>
      </c>
      <c r="H188" s="1012">
        <v>1016.82</v>
      </c>
      <c r="I188" s="1013"/>
      <c r="J188" s="945">
        <v>2988.6699999999978</v>
      </c>
      <c r="K188" s="866">
        <v>0</v>
      </c>
      <c r="L188" s="866">
        <v>2988.6699999999978</v>
      </c>
      <c r="M188" s="572"/>
    </row>
    <row r="189" spans="1:13" ht="13.5" customHeight="1" x14ac:dyDescent="0.2">
      <c r="A189" s="578" t="s">
        <v>6269</v>
      </c>
      <c r="B189" s="569" t="s">
        <v>483</v>
      </c>
      <c r="C189" s="569" t="s">
        <v>749</v>
      </c>
      <c r="D189" s="986" t="s">
        <v>6270</v>
      </c>
      <c r="E189" s="938">
        <v>-950.84</v>
      </c>
      <c r="F189" s="930"/>
      <c r="G189" s="1011" t="s">
        <v>483</v>
      </c>
      <c r="H189" s="1012"/>
      <c r="I189" s="1013"/>
      <c r="J189" s="945">
        <v>2988.6699999999978</v>
      </c>
      <c r="K189" s="866">
        <v>-950.84</v>
      </c>
      <c r="L189" s="866">
        <v>2988.6699999999978</v>
      </c>
      <c r="M189" s="572"/>
    </row>
    <row r="190" spans="1:13" ht="13.5" customHeight="1" x14ac:dyDescent="0.2">
      <c r="A190" s="578"/>
      <c r="B190" s="569" t="s">
        <v>483</v>
      </c>
      <c r="C190" s="569" t="s">
        <v>751</v>
      </c>
      <c r="D190" s="986" t="s">
        <v>6271</v>
      </c>
      <c r="E190" s="938">
        <v>-568.61</v>
      </c>
      <c r="F190" s="930"/>
      <c r="G190" s="1011" t="s">
        <v>483</v>
      </c>
      <c r="H190" s="1012"/>
      <c r="I190" s="1013"/>
      <c r="J190" s="945">
        <v>2988.6699999999978</v>
      </c>
      <c r="K190" s="866">
        <v>-1519.45</v>
      </c>
      <c r="L190" s="866">
        <v>2988.6699999999978</v>
      </c>
      <c r="M190" s="572"/>
    </row>
    <row r="191" spans="1:13" ht="13.5" customHeight="1" x14ac:dyDescent="0.2">
      <c r="A191" s="578"/>
      <c r="B191" s="569" t="s">
        <v>483</v>
      </c>
      <c r="C191" s="569" t="s">
        <v>174</v>
      </c>
      <c r="D191" s="986" t="s">
        <v>488</v>
      </c>
      <c r="E191" s="874"/>
      <c r="F191" s="943">
        <v>1519.45</v>
      </c>
      <c r="G191" s="1011">
        <v>0</v>
      </c>
      <c r="H191" s="1012">
        <v>1519.45</v>
      </c>
      <c r="I191" s="1013"/>
      <c r="J191" s="945">
        <v>1469.2199999999978</v>
      </c>
      <c r="K191" s="866">
        <v>0</v>
      </c>
      <c r="L191" s="866">
        <v>1469.2199999999978</v>
      </c>
      <c r="M191" s="572"/>
    </row>
    <row r="192" spans="1:13" ht="13.5" customHeight="1" x14ac:dyDescent="0.2">
      <c r="A192" s="578" t="s">
        <v>6272</v>
      </c>
      <c r="B192" s="569" t="s">
        <v>483</v>
      </c>
      <c r="C192" s="569" t="s">
        <v>180</v>
      </c>
      <c r="D192" s="986" t="s">
        <v>488</v>
      </c>
      <c r="E192" s="938">
        <v>-117.42</v>
      </c>
      <c r="F192" s="930"/>
      <c r="G192" s="1011" t="s">
        <v>483</v>
      </c>
      <c r="H192" s="1012"/>
      <c r="I192" s="1013"/>
      <c r="J192" s="945">
        <v>1469.2199999999978</v>
      </c>
      <c r="K192" s="866">
        <v>-117.42</v>
      </c>
      <c r="L192" s="866">
        <v>1469.2199999999978</v>
      </c>
      <c r="M192" s="572"/>
    </row>
    <row r="193" spans="1:13" ht="13.5" customHeight="1" x14ac:dyDescent="0.2">
      <c r="A193" s="578"/>
      <c r="B193" s="569" t="s">
        <v>483</v>
      </c>
      <c r="C193" s="569" t="s">
        <v>6121</v>
      </c>
      <c r="D193" s="986" t="s">
        <v>488</v>
      </c>
      <c r="E193" s="874"/>
      <c r="F193" s="943">
        <v>117.42</v>
      </c>
      <c r="G193" s="1011">
        <v>0</v>
      </c>
      <c r="H193" s="1012">
        <v>117.42</v>
      </c>
      <c r="I193" s="1013"/>
      <c r="J193" s="945">
        <v>1351.7999999999977</v>
      </c>
      <c r="K193" s="866">
        <v>0</v>
      </c>
      <c r="L193" s="866">
        <v>1351.7999999999977</v>
      </c>
      <c r="M193" s="572"/>
    </row>
    <row r="194" spans="1:13" ht="13.5" customHeight="1" x14ac:dyDescent="0.2">
      <c r="A194" s="578" t="s">
        <v>6273</v>
      </c>
      <c r="B194" s="569" t="s">
        <v>483</v>
      </c>
      <c r="C194" s="569" t="s">
        <v>20</v>
      </c>
      <c r="D194" s="986" t="s">
        <v>488</v>
      </c>
      <c r="E194" s="938">
        <v>-83.97</v>
      </c>
      <c r="F194" s="930"/>
      <c r="G194" s="1011" t="s">
        <v>483</v>
      </c>
      <c r="H194" s="1012"/>
      <c r="I194" s="1013"/>
      <c r="J194" s="945">
        <v>1351.7999999999977</v>
      </c>
      <c r="K194" s="866">
        <v>-83.97</v>
      </c>
      <c r="L194" s="866">
        <v>1351.7999999999977</v>
      </c>
      <c r="M194" s="572"/>
    </row>
    <row r="195" spans="1:13" ht="13.5" customHeight="1" x14ac:dyDescent="0.2">
      <c r="A195" s="578"/>
      <c r="B195" s="569" t="s">
        <v>483</v>
      </c>
      <c r="C195" s="569" t="s">
        <v>6121</v>
      </c>
      <c r="D195" s="986" t="s">
        <v>488</v>
      </c>
      <c r="E195" s="874"/>
      <c r="F195" s="943">
        <v>83.97</v>
      </c>
      <c r="G195" s="1011">
        <v>0</v>
      </c>
      <c r="H195" s="1012">
        <v>83.97</v>
      </c>
      <c r="I195" s="1013"/>
      <c r="J195" s="945">
        <v>1267.8299999999977</v>
      </c>
      <c r="K195" s="866">
        <v>0</v>
      </c>
      <c r="L195" s="866">
        <v>1267.8299999999977</v>
      </c>
      <c r="M195" s="572"/>
    </row>
    <row r="196" spans="1:13" ht="13.5" customHeight="1" x14ac:dyDescent="0.2">
      <c r="A196" s="578" t="s">
        <v>6274</v>
      </c>
      <c r="B196" s="569" t="s">
        <v>483</v>
      </c>
      <c r="C196" s="569" t="s">
        <v>177</v>
      </c>
      <c r="D196" s="986" t="s">
        <v>490</v>
      </c>
      <c r="E196" s="938">
        <v>-228.59</v>
      </c>
      <c r="F196" s="930"/>
      <c r="G196" s="1011">
        <v>2296.13</v>
      </c>
      <c r="H196" s="1012"/>
      <c r="I196" s="1013"/>
      <c r="J196" s="945">
        <v>1267.8299999999977</v>
      </c>
      <c r="K196" s="866">
        <v>-228.59</v>
      </c>
      <c r="L196" s="866">
        <v>1267.8299999999977</v>
      </c>
      <c r="M196" s="572"/>
    </row>
    <row r="197" spans="1:13" ht="13.5" customHeight="1" x14ac:dyDescent="0.2">
      <c r="A197" s="578"/>
      <c r="B197" s="569"/>
      <c r="C197" s="722" t="s">
        <v>6117</v>
      </c>
      <c r="D197" s="986" t="s">
        <v>6275</v>
      </c>
      <c r="E197" s="938"/>
      <c r="F197" s="1014">
        <v>2296.13</v>
      </c>
      <c r="G197" s="1011"/>
      <c r="H197" s="1012"/>
      <c r="I197" s="1013"/>
      <c r="J197" s="945">
        <v>1267.8299999999977</v>
      </c>
      <c r="K197" s="866">
        <v>2067.54</v>
      </c>
      <c r="L197" s="866">
        <v>1267.8299999999977</v>
      </c>
      <c r="M197" s="572"/>
    </row>
    <row r="198" spans="1:13" ht="13.5" customHeight="1" x14ac:dyDescent="0.2">
      <c r="A198" s="578"/>
      <c r="B198" s="569"/>
      <c r="C198" s="569" t="s">
        <v>6121</v>
      </c>
      <c r="D198" s="986" t="s">
        <v>488</v>
      </c>
      <c r="E198" s="874"/>
      <c r="F198" s="943">
        <v>228.59</v>
      </c>
      <c r="G198" s="1011">
        <v>2296.13</v>
      </c>
      <c r="H198" s="1012">
        <v>228.59</v>
      </c>
      <c r="I198" s="1013"/>
      <c r="J198" s="945">
        <v>1039.2399999999977</v>
      </c>
      <c r="K198" s="866">
        <v>2296.13</v>
      </c>
      <c r="L198" s="866">
        <v>1039.2399999999977</v>
      </c>
      <c r="M198" s="572"/>
    </row>
    <row r="199" spans="1:13" ht="13.5" customHeight="1" x14ac:dyDescent="0.2">
      <c r="A199" s="578" t="s">
        <v>6276</v>
      </c>
      <c r="B199" s="569" t="s">
        <v>483</v>
      </c>
      <c r="C199" s="569" t="s">
        <v>189</v>
      </c>
      <c r="D199" s="986" t="s">
        <v>488</v>
      </c>
      <c r="E199" s="938">
        <v>-2296.13</v>
      </c>
      <c r="F199" s="930"/>
      <c r="G199" s="1011">
        <v>0</v>
      </c>
      <c r="H199" s="1012"/>
      <c r="I199" s="1013">
        <v>2296.13</v>
      </c>
      <c r="J199" s="945">
        <v>3335.3699999999981</v>
      </c>
      <c r="K199" s="866">
        <v>0</v>
      </c>
      <c r="L199" s="866">
        <v>3335.3699999999981</v>
      </c>
      <c r="M199" s="572"/>
    </row>
    <row r="200" spans="1:13" ht="13.5" customHeight="1" x14ac:dyDescent="0.2">
      <c r="A200" s="578" t="s">
        <v>6277</v>
      </c>
      <c r="B200" s="569" t="s">
        <v>483</v>
      </c>
      <c r="C200" s="569" t="s">
        <v>6278</v>
      </c>
      <c r="D200" s="986" t="s">
        <v>6279</v>
      </c>
      <c r="E200" s="938">
        <v>-108</v>
      </c>
      <c r="F200" s="930"/>
      <c r="G200" s="1011" t="s">
        <v>483</v>
      </c>
      <c r="H200" s="1012"/>
      <c r="I200" s="1013"/>
      <c r="J200" s="945">
        <v>3335.3699999999981</v>
      </c>
      <c r="K200" s="866">
        <v>-108</v>
      </c>
      <c r="L200" s="866">
        <v>3335.3699999999981</v>
      </c>
      <c r="M200" s="572"/>
    </row>
    <row r="201" spans="1:13" ht="13.5" customHeight="1" x14ac:dyDescent="0.2">
      <c r="A201" s="578"/>
      <c r="B201" s="569" t="s">
        <v>483</v>
      </c>
      <c r="C201" s="569" t="s">
        <v>407</v>
      </c>
      <c r="D201" s="986" t="s">
        <v>6280</v>
      </c>
      <c r="E201" s="874">
        <v>-140</v>
      </c>
      <c r="F201" s="930"/>
      <c r="G201" s="1011" t="s">
        <v>483</v>
      </c>
      <c r="H201" s="1012"/>
      <c r="I201" s="1013"/>
      <c r="J201" s="945">
        <v>3335.3699999999981</v>
      </c>
      <c r="K201" s="866">
        <v>-248</v>
      </c>
      <c r="L201" s="866">
        <v>3335.3699999999981</v>
      </c>
      <c r="M201" s="572"/>
    </row>
    <row r="202" spans="1:13" ht="13.5" customHeight="1" x14ac:dyDescent="0.2">
      <c r="A202" s="578"/>
      <c r="B202" s="569" t="s">
        <v>483</v>
      </c>
      <c r="C202" s="569" t="s">
        <v>6281</v>
      </c>
      <c r="D202" s="986" t="s">
        <v>6282</v>
      </c>
      <c r="E202" s="938">
        <v>-140</v>
      </c>
      <c r="F202" s="930"/>
      <c r="G202" s="1011" t="s">
        <v>483</v>
      </c>
      <c r="H202" s="1012"/>
      <c r="I202" s="1013"/>
      <c r="J202" s="945">
        <v>3335.3699999999981</v>
      </c>
      <c r="K202" s="866">
        <v>-388</v>
      </c>
      <c r="L202" s="866">
        <v>3335.3699999999981</v>
      </c>
      <c r="M202" s="572"/>
    </row>
    <row r="203" spans="1:13" ht="13.5" customHeight="1" x14ac:dyDescent="0.2">
      <c r="A203" s="578"/>
      <c r="B203" s="569" t="s">
        <v>483</v>
      </c>
      <c r="C203" s="569" t="s">
        <v>6121</v>
      </c>
      <c r="D203" s="986" t="s">
        <v>488</v>
      </c>
      <c r="E203" s="874"/>
      <c r="F203" s="943">
        <v>388</v>
      </c>
      <c r="G203" s="1011">
        <v>0</v>
      </c>
      <c r="H203" s="1012">
        <v>388</v>
      </c>
      <c r="I203" s="1013"/>
      <c r="J203" s="945">
        <v>2947.3699999999981</v>
      </c>
      <c r="K203" s="866">
        <v>0</v>
      </c>
      <c r="L203" s="866">
        <v>2947.3699999999981</v>
      </c>
      <c r="M203" s="572"/>
    </row>
    <row r="204" spans="1:13" ht="13.5" customHeight="1" x14ac:dyDescent="0.2">
      <c r="A204" s="578" t="s">
        <v>6283</v>
      </c>
      <c r="B204" s="569" t="s">
        <v>483</v>
      </c>
      <c r="C204" s="569" t="s">
        <v>6284</v>
      </c>
      <c r="D204" s="986" t="s">
        <v>4460</v>
      </c>
      <c r="E204" s="938">
        <v>-708</v>
      </c>
      <c r="F204" s="930"/>
      <c r="G204" s="1011" t="s">
        <v>483</v>
      </c>
      <c r="H204" s="1012"/>
      <c r="I204" s="1013"/>
      <c r="J204" s="945">
        <v>2947.3699999999981</v>
      </c>
      <c r="K204" s="866">
        <v>-708</v>
      </c>
      <c r="L204" s="866">
        <v>2947.3699999999981</v>
      </c>
      <c r="M204" s="572"/>
    </row>
    <row r="205" spans="1:13" ht="13.5" customHeight="1" x14ac:dyDescent="0.2">
      <c r="A205" s="578"/>
      <c r="B205" s="569" t="s">
        <v>483</v>
      </c>
      <c r="C205" s="569" t="s">
        <v>6121</v>
      </c>
      <c r="D205" s="986" t="s">
        <v>488</v>
      </c>
      <c r="E205" s="874"/>
      <c r="F205" s="943">
        <v>708</v>
      </c>
      <c r="G205" s="1011">
        <v>0</v>
      </c>
      <c r="H205" s="1012">
        <v>708</v>
      </c>
      <c r="I205" s="1013"/>
      <c r="J205" s="945">
        <v>2239.3699999999981</v>
      </c>
      <c r="K205" s="866">
        <v>0</v>
      </c>
      <c r="L205" s="866">
        <v>2239.3699999999981</v>
      </c>
      <c r="M205" s="572"/>
    </row>
    <row r="206" spans="1:13" ht="13.5" customHeight="1" x14ac:dyDescent="0.2">
      <c r="A206" s="578" t="s">
        <v>6285</v>
      </c>
      <c r="B206" s="569" t="s">
        <v>591</v>
      </c>
      <c r="C206" s="793" t="s">
        <v>6186</v>
      </c>
      <c r="D206" s="986" t="s">
        <v>6286</v>
      </c>
      <c r="E206" s="938"/>
      <c r="F206" s="1014">
        <v>8000</v>
      </c>
      <c r="G206" s="1011" t="s">
        <v>483</v>
      </c>
      <c r="H206" s="1012"/>
      <c r="I206" s="1013"/>
      <c r="J206" s="945">
        <v>2239.3699999999981</v>
      </c>
      <c r="K206" s="866">
        <v>8000</v>
      </c>
      <c r="L206" s="866">
        <v>2239.3699999999981</v>
      </c>
      <c r="M206" s="572"/>
    </row>
    <row r="207" spans="1:13" ht="13.5" customHeight="1" x14ac:dyDescent="0.2">
      <c r="A207" s="578"/>
      <c r="B207" s="569" t="s">
        <v>483</v>
      </c>
      <c r="C207" s="569" t="s">
        <v>6287</v>
      </c>
      <c r="D207" s="986" t="s">
        <v>6288</v>
      </c>
      <c r="E207" s="938">
        <v>-393.36</v>
      </c>
      <c r="F207" s="930"/>
      <c r="G207" s="1011" t="s">
        <v>483</v>
      </c>
      <c r="H207" s="1012"/>
      <c r="I207" s="1013"/>
      <c r="J207" s="945">
        <v>2239.3699999999981</v>
      </c>
      <c r="K207" s="866">
        <v>7606.64</v>
      </c>
      <c r="L207" s="866">
        <v>2239.3699999999981</v>
      </c>
      <c r="M207" s="572"/>
    </row>
    <row r="208" spans="1:13" ht="13.5" customHeight="1" x14ac:dyDescent="0.2">
      <c r="A208" s="578"/>
      <c r="B208" s="569" t="s">
        <v>483</v>
      </c>
      <c r="C208" s="569" t="s">
        <v>6289</v>
      </c>
      <c r="D208" s="986" t="s">
        <v>6290</v>
      </c>
      <c r="E208" s="938">
        <v>-749.6</v>
      </c>
      <c r="F208" s="930"/>
      <c r="G208" s="1011" t="s">
        <v>483</v>
      </c>
      <c r="H208" s="1012"/>
      <c r="I208" s="1013"/>
      <c r="J208" s="945">
        <v>2239.3699999999981</v>
      </c>
      <c r="K208" s="866">
        <v>6857.04</v>
      </c>
      <c r="L208" s="866">
        <v>2239.3699999999981</v>
      </c>
      <c r="M208" s="572"/>
    </row>
    <row r="209" spans="1:13" ht="13.5" customHeight="1" x14ac:dyDescent="0.2">
      <c r="A209" s="578"/>
      <c r="B209" s="569" t="s">
        <v>483</v>
      </c>
      <c r="C209" s="569" t="s">
        <v>6121</v>
      </c>
      <c r="D209" s="986" t="s">
        <v>488</v>
      </c>
      <c r="E209" s="874"/>
      <c r="F209" s="943">
        <v>1142.96</v>
      </c>
      <c r="G209" s="1011">
        <v>8000</v>
      </c>
      <c r="H209" s="1012">
        <v>1142.96</v>
      </c>
      <c r="I209" s="1013"/>
      <c r="J209" s="945">
        <v>1096.409999999998</v>
      </c>
      <c r="K209" s="866">
        <v>8000</v>
      </c>
      <c r="L209" s="866">
        <v>1096.409999999998</v>
      </c>
      <c r="M209" s="572"/>
    </row>
    <row r="210" spans="1:13" ht="13.5" customHeight="1" x14ac:dyDescent="0.2">
      <c r="A210" s="578" t="s">
        <v>6291</v>
      </c>
      <c r="B210" s="569" t="s">
        <v>483</v>
      </c>
      <c r="C210" s="569" t="s">
        <v>6292</v>
      </c>
      <c r="D210" s="986" t="s">
        <v>6293</v>
      </c>
      <c r="E210" s="938">
        <v>-131.4</v>
      </c>
      <c r="F210" s="930"/>
      <c r="G210" s="1011" t="s">
        <v>483</v>
      </c>
      <c r="H210" s="1012"/>
      <c r="I210" s="1013"/>
      <c r="J210" s="945">
        <v>1096.409999999998</v>
      </c>
      <c r="K210" s="866">
        <v>7868.6</v>
      </c>
      <c r="L210" s="866">
        <v>1096.409999999998</v>
      </c>
      <c r="M210" s="572"/>
    </row>
    <row r="211" spans="1:13" ht="13.5" customHeight="1" x14ac:dyDescent="0.2">
      <c r="A211" s="578"/>
      <c r="B211" s="569" t="s">
        <v>483</v>
      </c>
      <c r="C211" s="569" t="s">
        <v>6294</v>
      </c>
      <c r="D211" s="986" t="s">
        <v>6295</v>
      </c>
      <c r="E211" s="938">
        <v>-2400</v>
      </c>
      <c r="F211" s="930"/>
      <c r="G211" s="1011" t="s">
        <v>483</v>
      </c>
      <c r="H211" s="1012"/>
      <c r="I211" s="1013"/>
      <c r="J211" s="945">
        <v>1096.409999999998</v>
      </c>
      <c r="K211" s="866">
        <v>5468.6</v>
      </c>
      <c r="L211" s="866">
        <v>1096.409999999998</v>
      </c>
      <c r="M211" s="572"/>
    </row>
    <row r="212" spans="1:13" ht="13.5" customHeight="1" x14ac:dyDescent="0.2">
      <c r="A212" s="578"/>
      <c r="B212" s="569" t="s">
        <v>483</v>
      </c>
      <c r="C212" s="569" t="s">
        <v>189</v>
      </c>
      <c r="D212" s="986" t="s">
        <v>488</v>
      </c>
      <c r="E212" s="938">
        <v>-5468.6</v>
      </c>
      <c r="F212" s="930"/>
      <c r="G212" s="1011">
        <v>0</v>
      </c>
      <c r="H212" s="1012"/>
      <c r="I212" s="1013">
        <v>5468.6</v>
      </c>
      <c r="J212" s="945">
        <v>6565.0099999999984</v>
      </c>
      <c r="K212" s="866">
        <v>0</v>
      </c>
      <c r="L212" s="866">
        <v>6565.0099999999984</v>
      </c>
      <c r="M212" s="572"/>
    </row>
    <row r="213" spans="1:13" ht="13.5" customHeight="1" x14ac:dyDescent="0.2">
      <c r="A213" s="578" t="s">
        <v>6296</v>
      </c>
      <c r="B213" s="569" t="s">
        <v>483</v>
      </c>
      <c r="C213" s="569" t="s">
        <v>198</v>
      </c>
      <c r="D213" s="986" t="s">
        <v>4201</v>
      </c>
      <c r="E213" s="938">
        <v>-1241.43</v>
      </c>
      <c r="F213" s="930"/>
      <c r="G213" s="1011" t="s">
        <v>483</v>
      </c>
      <c r="H213" s="1012"/>
      <c r="I213" s="1013"/>
      <c r="J213" s="945">
        <v>6565.0099999999984</v>
      </c>
      <c r="K213" s="866">
        <v>-1241.43</v>
      </c>
      <c r="L213" s="866">
        <v>6565.0099999999984</v>
      </c>
      <c r="M213" s="572"/>
    </row>
    <row r="214" spans="1:13" ht="13.5" customHeight="1" x14ac:dyDescent="0.2">
      <c r="A214" s="578"/>
      <c r="B214" s="569" t="s">
        <v>483</v>
      </c>
      <c r="C214" s="569" t="s">
        <v>174</v>
      </c>
      <c r="D214" s="986" t="s">
        <v>488</v>
      </c>
      <c r="E214" s="874"/>
      <c r="F214" s="943">
        <v>1241.43</v>
      </c>
      <c r="G214" s="1011">
        <v>0</v>
      </c>
      <c r="H214" s="1012">
        <v>1241.43</v>
      </c>
      <c r="I214" s="1013"/>
      <c r="J214" s="945">
        <v>5323.5799999999981</v>
      </c>
      <c r="K214" s="866">
        <v>0</v>
      </c>
      <c r="L214" s="866">
        <v>5323.5799999999981</v>
      </c>
      <c r="M214" s="572"/>
    </row>
    <row r="215" spans="1:13" ht="13.5" customHeight="1" x14ac:dyDescent="0.2">
      <c r="A215" s="578" t="s">
        <v>6297</v>
      </c>
      <c r="B215" s="569" t="s">
        <v>483</v>
      </c>
      <c r="C215" s="569" t="s">
        <v>86</v>
      </c>
      <c r="D215" s="986" t="s">
        <v>488</v>
      </c>
      <c r="E215" s="938">
        <v>-72</v>
      </c>
      <c r="F215" s="930"/>
      <c r="G215" s="1011" t="s">
        <v>483</v>
      </c>
      <c r="H215" s="1012"/>
      <c r="I215" s="1013"/>
      <c r="J215" s="945">
        <v>5323.5799999999981</v>
      </c>
      <c r="K215" s="866">
        <v>-72</v>
      </c>
      <c r="L215" s="866">
        <v>5323.5799999999981</v>
      </c>
      <c r="M215" s="572"/>
    </row>
    <row r="216" spans="1:13" ht="13.5" customHeight="1" x14ac:dyDescent="0.2">
      <c r="A216" s="578"/>
      <c r="B216" s="569" t="s">
        <v>483</v>
      </c>
      <c r="C216" s="795" t="s">
        <v>199</v>
      </c>
      <c r="D216" s="986" t="s">
        <v>488</v>
      </c>
      <c r="E216" s="938">
        <v>-75.319999999999993</v>
      </c>
      <c r="F216" s="930"/>
      <c r="G216" s="1011" t="s">
        <v>483</v>
      </c>
      <c r="H216" s="1012"/>
      <c r="I216" s="1013"/>
      <c r="J216" s="945">
        <v>5323.5799999999981</v>
      </c>
      <c r="K216" s="866">
        <v>-147.32</v>
      </c>
      <c r="L216" s="866">
        <v>5323.5799999999981</v>
      </c>
      <c r="M216" s="572"/>
    </row>
    <row r="217" spans="1:13" ht="13.5" customHeight="1" x14ac:dyDescent="0.2">
      <c r="A217" s="578"/>
      <c r="B217" s="569" t="s">
        <v>483</v>
      </c>
      <c r="C217" s="569" t="s">
        <v>6298</v>
      </c>
      <c r="D217" s="986" t="s">
        <v>6299</v>
      </c>
      <c r="E217" s="938">
        <v>-104.9</v>
      </c>
      <c r="F217" s="930"/>
      <c r="G217" s="1011" t="s">
        <v>483</v>
      </c>
      <c r="H217" s="1012"/>
      <c r="I217" s="1013"/>
      <c r="J217" s="945">
        <v>5323.5799999999981</v>
      </c>
      <c r="K217" s="866">
        <v>-252.22</v>
      </c>
      <c r="L217" s="866">
        <v>5323.5799999999981</v>
      </c>
      <c r="M217" s="572">
        <v>104.9</v>
      </c>
    </row>
    <row r="218" spans="1:13" ht="13.5" customHeight="1" x14ac:dyDescent="0.2">
      <c r="A218" s="578"/>
      <c r="B218" s="569" t="s">
        <v>483</v>
      </c>
      <c r="C218" s="569" t="s">
        <v>194</v>
      </c>
      <c r="D218" s="986" t="s">
        <v>488</v>
      </c>
      <c r="E218" s="938">
        <v>-68.72</v>
      </c>
      <c r="F218" s="930"/>
      <c r="G218" s="1011" t="s">
        <v>483</v>
      </c>
      <c r="H218" s="1012"/>
      <c r="I218" s="1013"/>
      <c r="J218" s="945">
        <v>5323.5799999999981</v>
      </c>
      <c r="K218" s="866">
        <v>-320.94</v>
      </c>
      <c r="L218" s="866">
        <v>5323.5799999999981</v>
      </c>
      <c r="M218" s="572"/>
    </row>
    <row r="219" spans="1:13" ht="13.5" customHeight="1" x14ac:dyDescent="0.2">
      <c r="A219" s="578"/>
      <c r="B219" s="569" t="s">
        <v>483</v>
      </c>
      <c r="C219" s="569" t="s">
        <v>195</v>
      </c>
      <c r="D219" s="986" t="s">
        <v>488</v>
      </c>
      <c r="E219" s="938">
        <v>-317.19</v>
      </c>
      <c r="F219" s="930"/>
      <c r="G219" s="1011" t="s">
        <v>483</v>
      </c>
      <c r="H219" s="1012"/>
      <c r="I219" s="1013"/>
      <c r="J219" s="945">
        <v>5323.5799999999981</v>
      </c>
      <c r="K219" s="866">
        <v>-638.13</v>
      </c>
      <c r="L219" s="866">
        <v>5323.5799999999981</v>
      </c>
      <c r="M219" s="572"/>
    </row>
    <row r="220" spans="1:13" ht="13.5" customHeight="1" x14ac:dyDescent="0.2">
      <c r="A220" s="578"/>
      <c r="B220" s="569" t="s">
        <v>483</v>
      </c>
      <c r="C220" s="569" t="s">
        <v>174</v>
      </c>
      <c r="D220" s="986" t="s">
        <v>488</v>
      </c>
      <c r="E220" s="874"/>
      <c r="F220" s="943">
        <v>638.13</v>
      </c>
      <c r="G220" s="1011">
        <v>0</v>
      </c>
      <c r="H220" s="1012">
        <v>638.13</v>
      </c>
      <c r="I220" s="1013"/>
      <c r="J220" s="945">
        <v>4685.449999999998</v>
      </c>
      <c r="K220" s="866">
        <v>0</v>
      </c>
      <c r="L220" s="866">
        <v>4685.449999999998</v>
      </c>
      <c r="M220" s="572"/>
    </row>
    <row r="221" spans="1:13" ht="13.5" customHeight="1" x14ac:dyDescent="0.2">
      <c r="A221" s="578" t="s">
        <v>6300</v>
      </c>
      <c r="B221" s="569" t="s">
        <v>483</v>
      </c>
      <c r="C221" s="569" t="s">
        <v>86</v>
      </c>
      <c r="D221" s="986" t="s">
        <v>488</v>
      </c>
      <c r="E221" s="938">
        <v>-9.9</v>
      </c>
      <c r="F221" s="930"/>
      <c r="G221" s="1011" t="s">
        <v>483</v>
      </c>
      <c r="H221" s="1012"/>
      <c r="I221" s="1013"/>
      <c r="J221" s="945">
        <v>4685.449999999998</v>
      </c>
      <c r="K221" s="866">
        <v>-9.9</v>
      </c>
      <c r="L221" s="866">
        <v>4685.449999999998</v>
      </c>
      <c r="M221" s="572"/>
    </row>
    <row r="222" spans="1:13" ht="13.5" customHeight="1" x14ac:dyDescent="0.2">
      <c r="A222" s="578"/>
      <c r="B222" s="569" t="s">
        <v>483</v>
      </c>
      <c r="C222" s="569" t="s">
        <v>174</v>
      </c>
      <c r="D222" s="986" t="s">
        <v>488</v>
      </c>
      <c r="E222" s="874"/>
      <c r="F222" s="943">
        <v>9.9</v>
      </c>
      <c r="G222" s="1011">
        <v>0</v>
      </c>
      <c r="H222" s="1012">
        <v>9.9</v>
      </c>
      <c r="I222" s="1013"/>
      <c r="J222" s="945">
        <v>4675.5499999999984</v>
      </c>
      <c r="K222" s="866">
        <v>0</v>
      </c>
      <c r="L222" s="866">
        <v>4675.5499999999984</v>
      </c>
      <c r="M222" s="572"/>
    </row>
    <row r="223" spans="1:13" ht="13.5" customHeight="1" x14ac:dyDescent="0.2">
      <c r="A223" s="578" t="s">
        <v>6301</v>
      </c>
      <c r="B223" s="569" t="s">
        <v>483</v>
      </c>
      <c r="C223" s="569" t="s">
        <v>6302</v>
      </c>
      <c r="D223" s="986" t="s">
        <v>6303</v>
      </c>
      <c r="E223" s="938">
        <v>-980</v>
      </c>
      <c r="F223" s="930"/>
      <c r="G223" s="1011" t="s">
        <v>483</v>
      </c>
      <c r="H223" s="1012"/>
      <c r="I223" s="1013"/>
      <c r="J223" s="945">
        <v>4675.5499999999984</v>
      </c>
      <c r="K223" s="866">
        <v>-980</v>
      </c>
      <c r="L223" s="866">
        <v>4675.5499999999984</v>
      </c>
      <c r="M223" s="572"/>
    </row>
    <row r="224" spans="1:13" ht="13.5" customHeight="1" x14ac:dyDescent="0.2">
      <c r="A224" s="578"/>
      <c r="B224" s="569" t="s">
        <v>483</v>
      </c>
      <c r="C224" s="569" t="s">
        <v>174</v>
      </c>
      <c r="D224" s="986" t="s">
        <v>488</v>
      </c>
      <c r="E224" s="874"/>
      <c r="F224" s="943">
        <v>980</v>
      </c>
      <c r="G224" s="1011">
        <v>0</v>
      </c>
      <c r="H224" s="1012">
        <v>980</v>
      </c>
      <c r="I224" s="1013"/>
      <c r="J224" s="945">
        <v>3695.5499999999984</v>
      </c>
      <c r="K224" s="866">
        <v>0</v>
      </c>
      <c r="L224" s="866">
        <v>3695.5499999999984</v>
      </c>
      <c r="M224" s="572"/>
    </row>
    <row r="225" spans="1:13" ht="13.5" customHeight="1" x14ac:dyDescent="0.2">
      <c r="A225" s="578" t="s">
        <v>6304</v>
      </c>
      <c r="B225" s="569" t="s">
        <v>483</v>
      </c>
      <c r="C225" s="569" t="s">
        <v>6305</v>
      </c>
      <c r="D225" s="986" t="s">
        <v>6306</v>
      </c>
      <c r="E225" s="938">
        <v>-249</v>
      </c>
      <c r="F225" s="930"/>
      <c r="G225" s="1011" t="s">
        <v>483</v>
      </c>
      <c r="H225" s="1012"/>
      <c r="I225" s="1013"/>
      <c r="J225" s="945">
        <v>3695.5499999999984</v>
      </c>
      <c r="K225" s="866">
        <v>-249</v>
      </c>
      <c r="L225" s="866">
        <v>3695.5499999999984</v>
      </c>
      <c r="M225" s="572"/>
    </row>
    <row r="226" spans="1:13" ht="13.5" customHeight="1" x14ac:dyDescent="0.2">
      <c r="A226" s="578"/>
      <c r="B226" s="569" t="s">
        <v>483</v>
      </c>
      <c r="C226" s="569" t="s">
        <v>174</v>
      </c>
      <c r="D226" s="986" t="s">
        <v>488</v>
      </c>
      <c r="E226" s="874"/>
      <c r="F226" s="943">
        <v>249</v>
      </c>
      <c r="G226" s="1011">
        <v>0</v>
      </c>
      <c r="H226" s="1012">
        <v>249</v>
      </c>
      <c r="I226" s="1013"/>
      <c r="J226" s="945">
        <v>3446.5499999999984</v>
      </c>
      <c r="K226" s="866">
        <v>0</v>
      </c>
      <c r="L226" s="866">
        <v>3446.5499999999984</v>
      </c>
      <c r="M226" s="572"/>
    </row>
    <row r="227" spans="1:13" ht="13.5" customHeight="1" x14ac:dyDescent="0.2">
      <c r="A227" s="578" t="s">
        <v>6307</v>
      </c>
      <c r="B227" s="569" t="s">
        <v>483</v>
      </c>
      <c r="C227" s="569" t="s">
        <v>1013</v>
      </c>
      <c r="D227" s="986" t="s">
        <v>6308</v>
      </c>
      <c r="E227" s="938">
        <v>-825</v>
      </c>
      <c r="F227" s="930"/>
      <c r="G227" s="1011" t="s">
        <v>483</v>
      </c>
      <c r="H227" s="1012"/>
      <c r="I227" s="1013"/>
      <c r="J227" s="945">
        <v>3446.5499999999984</v>
      </c>
      <c r="K227" s="866">
        <v>-825</v>
      </c>
      <c r="L227" s="866">
        <v>3446.5499999999984</v>
      </c>
      <c r="M227" s="572"/>
    </row>
    <row r="228" spans="1:13" ht="13.5" customHeight="1" x14ac:dyDescent="0.2">
      <c r="A228" s="578"/>
      <c r="B228" s="569" t="s">
        <v>483</v>
      </c>
      <c r="C228" s="569" t="s">
        <v>174</v>
      </c>
      <c r="D228" s="986" t="s">
        <v>488</v>
      </c>
      <c r="E228" s="874"/>
      <c r="F228" s="943">
        <v>825</v>
      </c>
      <c r="G228" s="1011">
        <v>0</v>
      </c>
      <c r="H228" s="1012">
        <v>825</v>
      </c>
      <c r="I228" s="1013"/>
      <c r="J228" s="945">
        <v>2621.5499999999984</v>
      </c>
      <c r="K228" s="866">
        <v>0</v>
      </c>
      <c r="L228" s="866">
        <v>2621.5499999999984</v>
      </c>
      <c r="M228" s="572"/>
    </row>
    <row r="229" spans="1:13" ht="13.5" customHeight="1" x14ac:dyDescent="0.2">
      <c r="A229" s="578" t="s">
        <v>6309</v>
      </c>
      <c r="B229" s="569" t="s">
        <v>483</v>
      </c>
      <c r="C229" s="569" t="s">
        <v>197</v>
      </c>
      <c r="D229" s="986" t="s">
        <v>488</v>
      </c>
      <c r="E229" s="938">
        <v>-2261.19</v>
      </c>
      <c r="F229" s="930"/>
      <c r="G229" s="1011" t="s">
        <v>483</v>
      </c>
      <c r="H229" s="1012"/>
      <c r="I229" s="1013"/>
      <c r="J229" s="945">
        <v>2621.5499999999984</v>
      </c>
      <c r="K229" s="866">
        <v>-2261.19</v>
      </c>
      <c r="L229" s="866">
        <v>2621.5499999999984</v>
      </c>
      <c r="M229" s="572"/>
    </row>
    <row r="230" spans="1:13" ht="13.5" customHeight="1" x14ac:dyDescent="0.2">
      <c r="A230" s="578"/>
      <c r="B230" s="569" t="s">
        <v>483</v>
      </c>
      <c r="C230" s="569" t="s">
        <v>196</v>
      </c>
      <c r="D230" s="986" t="s">
        <v>488</v>
      </c>
      <c r="E230" s="938">
        <v>-1356.71</v>
      </c>
      <c r="F230" s="930"/>
      <c r="G230" s="1011" t="s">
        <v>483</v>
      </c>
      <c r="H230" s="1012"/>
      <c r="I230" s="1013"/>
      <c r="J230" s="945">
        <v>2621.5499999999984</v>
      </c>
      <c r="K230" s="866">
        <v>-3617.9</v>
      </c>
      <c r="L230" s="866">
        <v>2621.5499999999984</v>
      </c>
      <c r="M230" s="572"/>
    </row>
    <row r="231" spans="1:13" ht="13.5" customHeight="1" x14ac:dyDescent="0.2">
      <c r="A231" s="578"/>
      <c r="B231" s="569" t="s">
        <v>483</v>
      </c>
      <c r="C231" s="569" t="s">
        <v>769</v>
      </c>
      <c r="D231" s="986" t="s">
        <v>488</v>
      </c>
      <c r="E231" s="874"/>
      <c r="F231" s="943">
        <v>1000</v>
      </c>
      <c r="G231" s="1011" t="s">
        <v>483</v>
      </c>
      <c r="H231" s="1012"/>
      <c r="I231" s="1013"/>
      <c r="J231" s="945">
        <v>2621.5499999999984</v>
      </c>
      <c r="K231" s="866">
        <v>-2617.9</v>
      </c>
      <c r="L231" s="866">
        <v>2621.5499999999984</v>
      </c>
      <c r="M231" s="572"/>
    </row>
    <row r="232" spans="1:13" ht="13.5" customHeight="1" x14ac:dyDescent="0.2">
      <c r="A232" s="578"/>
      <c r="B232" s="569" t="s">
        <v>483</v>
      </c>
      <c r="C232" s="569" t="s">
        <v>174</v>
      </c>
      <c r="D232" s="986" t="s">
        <v>488</v>
      </c>
      <c r="E232" s="874"/>
      <c r="F232" s="943">
        <v>2617.9</v>
      </c>
      <c r="G232" s="1015">
        <v>0</v>
      </c>
      <c r="H232" s="1012">
        <v>2617.9</v>
      </c>
      <c r="I232" s="1013"/>
      <c r="J232" s="945">
        <v>3.649999999998272</v>
      </c>
      <c r="K232" s="866">
        <v>0</v>
      </c>
      <c r="L232" s="866">
        <v>3.649999999998272</v>
      </c>
      <c r="M232" s="572"/>
    </row>
    <row r="233" spans="1:13" ht="13.5" customHeight="1" x14ac:dyDescent="0.2">
      <c r="A233" s="578"/>
      <c r="B233" s="569"/>
      <c r="C233" s="795" t="s">
        <v>20</v>
      </c>
      <c r="D233" s="986"/>
      <c r="E233" s="874"/>
      <c r="F233" s="930"/>
      <c r="G233" s="1016"/>
      <c r="H233" s="1012"/>
      <c r="I233" s="1013">
        <v>0.32</v>
      </c>
      <c r="J233" s="1017">
        <v>3.9699999999982718</v>
      </c>
      <c r="K233" s="866">
        <v>0</v>
      </c>
      <c r="L233" s="866">
        <v>3.9699999999982718</v>
      </c>
      <c r="M233" s="572"/>
    </row>
    <row r="234" spans="1:13" ht="13.5" customHeight="1" x14ac:dyDescent="0.2">
      <c r="A234" s="578"/>
      <c r="B234" s="569"/>
      <c r="C234" s="795" t="s">
        <v>5809</v>
      </c>
      <c r="D234" s="986"/>
      <c r="E234" s="874"/>
      <c r="F234" s="930"/>
      <c r="G234" s="1016"/>
      <c r="H234" s="1012"/>
      <c r="I234" s="1013"/>
      <c r="J234" s="1017">
        <v>19189.05</v>
      </c>
      <c r="K234" s="1001">
        <v>0</v>
      </c>
      <c r="L234" s="1001">
        <v>3.9699999999982718</v>
      </c>
      <c r="M234" s="572"/>
    </row>
    <row r="235" spans="1:13" ht="13.5" customHeight="1" x14ac:dyDescent="0.2">
      <c r="A235" s="578"/>
      <c r="B235" s="569"/>
      <c r="C235" s="819" t="s">
        <v>5810</v>
      </c>
      <c r="D235" s="986"/>
      <c r="E235" s="874"/>
      <c r="F235" s="930"/>
      <c r="G235" s="1016"/>
      <c r="H235" s="1012"/>
      <c r="I235" s="1013"/>
      <c r="J235" s="1017">
        <v>19193.019999999997</v>
      </c>
      <c r="M235" s="572"/>
    </row>
    <row r="236" spans="1:13" s="823" customFormat="1" ht="13.5" customHeight="1" thickBot="1" x14ac:dyDescent="0.25">
      <c r="A236" s="820"/>
      <c r="B236" s="795"/>
      <c r="C236" s="795"/>
      <c r="D236" s="1002"/>
      <c r="E236" s="937"/>
      <c r="F236" s="950"/>
      <c r="G236" s="1004"/>
      <c r="H236" s="1008"/>
      <c r="I236" s="1009"/>
      <c r="J236" s="944"/>
      <c r="K236" s="1018"/>
      <c r="L236" s="1018"/>
      <c r="M236" s="804"/>
    </row>
    <row r="237" spans="1:13" ht="13.5" customHeight="1" thickBot="1" x14ac:dyDescent="0.25">
      <c r="A237" s="561" t="s">
        <v>2</v>
      </c>
      <c r="B237" s="562"/>
      <c r="C237" s="562" t="s">
        <v>525</v>
      </c>
      <c r="D237" s="917" t="s">
        <v>4</v>
      </c>
      <c r="E237" s="917" t="s">
        <v>5</v>
      </c>
      <c r="F237" s="917" t="s">
        <v>6</v>
      </c>
      <c r="G237" s="983" t="s">
        <v>7</v>
      </c>
      <c r="H237" s="948"/>
      <c r="I237" s="1019"/>
      <c r="J237" s="1020"/>
    </row>
    <row r="238" spans="1:13" ht="13.5" customHeight="1" x14ac:dyDescent="0.2">
      <c r="A238" s="568" t="s">
        <v>6101</v>
      </c>
      <c r="B238" s="569"/>
      <c r="C238" s="570" t="s">
        <v>8</v>
      </c>
      <c r="D238" s="986"/>
      <c r="E238" s="937"/>
      <c r="F238" s="930"/>
      <c r="G238" s="1007">
        <v>5289.5199999999986</v>
      </c>
      <c r="H238" s="1008"/>
      <c r="I238" s="1009"/>
      <c r="J238" s="944"/>
      <c r="K238" s="866">
        <v>5289.5199999999986</v>
      </c>
      <c r="M238" s="804"/>
    </row>
    <row r="239" spans="1:13" s="823" customFormat="1" ht="13.5" customHeight="1" x14ac:dyDescent="0.2">
      <c r="A239" s="820">
        <v>43377</v>
      </c>
      <c r="B239" s="795"/>
      <c r="C239" s="569" t="s">
        <v>5811</v>
      </c>
      <c r="D239" s="1002"/>
      <c r="E239" s="938">
        <v>500</v>
      </c>
      <c r="F239" s="950"/>
      <c r="G239" s="1004">
        <v>4789.5199999999986</v>
      </c>
      <c r="H239" s="1008"/>
      <c r="I239" s="1009"/>
      <c r="J239" s="944"/>
      <c r="K239" s="1018">
        <v>4789.5199999999986</v>
      </c>
      <c r="L239" s="1018"/>
      <c r="M239" s="804"/>
    </row>
    <row r="240" spans="1:13" s="823" customFormat="1" ht="13.5" customHeight="1" x14ac:dyDescent="0.2">
      <c r="A240" s="820">
        <v>43378</v>
      </c>
      <c r="B240" s="795"/>
      <c r="C240" s="569" t="s">
        <v>815</v>
      </c>
      <c r="D240" s="1002"/>
      <c r="E240" s="938">
        <v>833.93</v>
      </c>
      <c r="F240" s="950"/>
      <c r="G240" s="1004">
        <v>3955.5899999999988</v>
      </c>
      <c r="H240" s="1008"/>
      <c r="I240" s="1009"/>
      <c r="J240" s="944"/>
      <c r="K240" s="1018">
        <v>3955.5899999999988</v>
      </c>
      <c r="L240" s="1018"/>
      <c r="M240" s="804"/>
    </row>
    <row r="241" spans="1:14" s="823" customFormat="1" ht="13.5" customHeight="1" x14ac:dyDescent="0.2">
      <c r="A241" s="820">
        <v>43403</v>
      </c>
      <c r="B241" s="795"/>
      <c r="C241" s="569" t="s">
        <v>175</v>
      </c>
      <c r="D241" s="1002"/>
      <c r="E241" s="938">
        <v>28.3</v>
      </c>
      <c r="F241" s="950"/>
      <c r="G241" s="1007">
        <v>3927.2899999999986</v>
      </c>
      <c r="H241" s="1008"/>
      <c r="I241" s="1009"/>
      <c r="J241" s="944"/>
      <c r="K241" s="1021">
        <v>3927.2899999999986</v>
      </c>
      <c r="L241" s="1018"/>
      <c r="M241" s="804"/>
    </row>
    <row r="242" spans="1:14" ht="13.5" customHeight="1" thickBot="1" x14ac:dyDescent="0.25">
      <c r="A242" s="578"/>
      <c r="B242" s="569"/>
      <c r="C242" s="569"/>
      <c r="D242" s="986"/>
      <c r="E242" s="874"/>
      <c r="F242" s="930"/>
      <c r="G242" s="1011"/>
      <c r="H242" s="1012"/>
      <c r="I242" s="1013"/>
      <c r="J242" s="945"/>
      <c r="K242" s="1018"/>
      <c r="M242" s="572"/>
    </row>
    <row r="243" spans="1:14" ht="13.5" customHeight="1" thickBot="1" x14ac:dyDescent="0.25">
      <c r="A243" s="561" t="s">
        <v>2</v>
      </c>
      <c r="B243" s="562"/>
      <c r="C243" s="562" t="s">
        <v>534</v>
      </c>
      <c r="D243" s="917" t="s">
        <v>4</v>
      </c>
      <c r="E243" s="917" t="s">
        <v>5</v>
      </c>
      <c r="F243" s="917" t="s">
        <v>6</v>
      </c>
      <c r="G243" s="983" t="s">
        <v>7</v>
      </c>
      <c r="H243" s="948"/>
      <c r="I243" s="1019"/>
      <c r="J243" s="1020"/>
    </row>
    <row r="244" spans="1:14" ht="13.5" customHeight="1" x14ac:dyDescent="0.2">
      <c r="A244" s="568">
        <v>42370</v>
      </c>
      <c r="B244" s="569"/>
      <c r="C244" s="570" t="s">
        <v>8</v>
      </c>
      <c r="D244" s="986"/>
      <c r="E244" s="937"/>
      <c r="F244" s="930"/>
      <c r="G244" s="1007">
        <v>27143.14</v>
      </c>
      <c r="H244" s="1008"/>
      <c r="I244" s="1009"/>
      <c r="J244" s="944"/>
      <c r="K244" s="866">
        <v>27143.14</v>
      </c>
      <c r="M244" s="804"/>
    </row>
    <row r="245" spans="1:14" ht="13.5" customHeight="1" x14ac:dyDescent="0.2">
      <c r="A245" s="578">
        <v>42723</v>
      </c>
      <c r="B245" s="569"/>
      <c r="C245" s="795" t="s">
        <v>1206</v>
      </c>
      <c r="D245" s="986"/>
      <c r="E245" s="937"/>
      <c r="F245" s="943">
        <v>256.86</v>
      </c>
      <c r="G245" s="1004">
        <v>27400</v>
      </c>
      <c r="H245" s="1008"/>
      <c r="I245" s="1009"/>
      <c r="J245" s="944"/>
      <c r="K245" s="866">
        <v>27400</v>
      </c>
      <c r="M245" s="804"/>
    </row>
    <row r="246" spans="1:14" ht="13.5" customHeight="1" x14ac:dyDescent="0.2">
      <c r="A246" s="820">
        <v>42740</v>
      </c>
      <c r="B246" s="569"/>
      <c r="C246" s="569" t="s">
        <v>1206</v>
      </c>
      <c r="D246" s="986"/>
      <c r="E246" s="937"/>
      <c r="F246" s="943">
        <v>2000</v>
      </c>
      <c r="G246" s="1004">
        <v>29400</v>
      </c>
      <c r="H246" s="1008"/>
      <c r="I246" s="1009"/>
      <c r="J246" s="944"/>
      <c r="K246" s="866">
        <v>29400</v>
      </c>
      <c r="M246" s="804"/>
    </row>
    <row r="247" spans="1:14" s="823" customFormat="1" ht="13.5" customHeight="1" x14ac:dyDescent="0.2">
      <c r="A247" s="820">
        <v>42754</v>
      </c>
      <c r="B247" s="795"/>
      <c r="C247" s="795" t="s">
        <v>5813</v>
      </c>
      <c r="D247" s="1002"/>
      <c r="E247" s="938">
        <v>2400</v>
      </c>
      <c r="F247" s="950"/>
      <c r="G247" s="1004">
        <v>27000</v>
      </c>
      <c r="H247" s="1008"/>
      <c r="I247" s="1009"/>
      <c r="J247" s="944"/>
      <c r="K247" s="866">
        <v>27000</v>
      </c>
      <c r="L247" s="1018"/>
      <c r="M247" s="804"/>
    </row>
    <row r="248" spans="1:14" s="823" customFormat="1" ht="13.5" customHeight="1" x14ac:dyDescent="0.2">
      <c r="A248" s="820">
        <v>42782</v>
      </c>
      <c r="B248" s="795"/>
      <c r="C248" s="795" t="s">
        <v>5814</v>
      </c>
      <c r="D248" s="1002"/>
      <c r="E248" s="938">
        <v>2500</v>
      </c>
      <c r="F248" s="950"/>
      <c r="G248" s="1004">
        <v>24500</v>
      </c>
      <c r="H248" s="1008"/>
      <c r="I248" s="1009"/>
      <c r="J248" s="944"/>
      <c r="K248" s="866">
        <v>24500</v>
      </c>
      <c r="L248" s="1018"/>
      <c r="M248" s="804"/>
    </row>
    <row r="249" spans="1:14" s="823" customFormat="1" ht="13.5" customHeight="1" x14ac:dyDescent="0.2">
      <c r="A249" s="820">
        <v>42789</v>
      </c>
      <c r="B249" s="795"/>
      <c r="C249" s="795" t="s">
        <v>5814</v>
      </c>
      <c r="D249" s="1002"/>
      <c r="E249" s="938">
        <v>2000</v>
      </c>
      <c r="F249" s="950"/>
      <c r="G249" s="1004">
        <v>22500</v>
      </c>
      <c r="H249" s="1008"/>
      <c r="I249" s="1009"/>
      <c r="J249" s="944"/>
      <c r="K249" s="866">
        <v>22500</v>
      </c>
      <c r="L249" s="1018"/>
      <c r="M249" s="804"/>
    </row>
    <row r="250" spans="1:14" s="823" customFormat="1" ht="13.5" customHeight="1" x14ac:dyDescent="0.2">
      <c r="A250" s="820">
        <v>42849</v>
      </c>
      <c r="B250" s="795"/>
      <c r="C250" s="795" t="s">
        <v>5814</v>
      </c>
      <c r="D250" s="1002"/>
      <c r="E250" s="938">
        <v>1500</v>
      </c>
      <c r="F250" s="950"/>
      <c r="G250" s="1004">
        <v>21000</v>
      </c>
      <c r="H250" s="1008"/>
      <c r="I250" s="1009"/>
      <c r="J250" s="944"/>
      <c r="K250" s="866">
        <v>21000</v>
      </c>
      <c r="L250" s="1018"/>
      <c r="M250" s="804"/>
    </row>
    <row r="251" spans="1:14" s="823" customFormat="1" ht="13.5" customHeight="1" x14ac:dyDescent="0.2">
      <c r="A251" s="578">
        <v>42933</v>
      </c>
      <c r="B251" s="569"/>
      <c r="C251" s="569" t="s">
        <v>5814</v>
      </c>
      <c r="D251" s="986"/>
      <c r="E251" s="938">
        <v>9000</v>
      </c>
      <c r="F251" s="950"/>
      <c r="G251" s="1004">
        <v>12000</v>
      </c>
      <c r="H251" s="1008"/>
      <c r="I251" s="1009"/>
      <c r="J251" s="944"/>
      <c r="K251" s="866">
        <v>12000</v>
      </c>
      <c r="L251" s="1018"/>
      <c r="M251" s="804"/>
    </row>
    <row r="252" spans="1:14" s="823" customFormat="1" ht="13.5" customHeight="1" x14ac:dyDescent="0.2">
      <c r="A252" s="820">
        <v>43328</v>
      </c>
      <c r="B252" s="795"/>
      <c r="C252" s="569" t="s">
        <v>5814</v>
      </c>
      <c r="D252" s="1002"/>
      <c r="E252" s="943">
        <v>5000</v>
      </c>
      <c r="F252" s="930"/>
      <c r="G252" s="1007">
        <v>7000</v>
      </c>
      <c r="H252" s="1008"/>
      <c r="I252" s="1009"/>
      <c r="J252" s="944"/>
      <c r="K252" s="1001">
        <v>7000</v>
      </c>
      <c r="L252" s="1018"/>
      <c r="M252" s="804"/>
      <c r="N252" s="826"/>
    </row>
    <row r="253" spans="1:14" ht="13.5" customHeight="1" thickBot="1" x14ac:dyDescent="0.25">
      <c r="A253" s="578"/>
      <c r="B253" s="569"/>
      <c r="C253" s="569"/>
      <c r="D253" s="986"/>
      <c r="E253" s="874"/>
      <c r="F253" s="930"/>
      <c r="G253" s="1011"/>
      <c r="H253" s="1012"/>
      <c r="I253" s="1013"/>
      <c r="J253" s="945"/>
      <c r="M253" s="572"/>
    </row>
    <row r="254" spans="1:14" ht="13.5" customHeight="1" thickBot="1" x14ac:dyDescent="0.25">
      <c r="A254" s="561" t="s">
        <v>2</v>
      </c>
      <c r="B254" s="562"/>
      <c r="C254" s="562" t="s">
        <v>536</v>
      </c>
      <c r="D254" s="917"/>
      <c r="E254" s="917"/>
      <c r="F254" s="917"/>
      <c r="G254" s="983" t="s">
        <v>7</v>
      </c>
      <c r="H254" s="984" t="s">
        <v>5</v>
      </c>
      <c r="I254" s="917" t="s">
        <v>6</v>
      </c>
      <c r="J254" s="985" t="s">
        <v>7</v>
      </c>
    </row>
    <row r="255" spans="1:14" ht="13.5" customHeight="1" x14ac:dyDescent="0.2">
      <c r="A255" s="568" t="s">
        <v>6101</v>
      </c>
      <c r="B255" s="585"/>
      <c r="C255" s="570" t="s">
        <v>537</v>
      </c>
      <c r="D255" s="1022"/>
      <c r="E255" s="944"/>
      <c r="F255" s="944"/>
      <c r="G255" s="1007"/>
      <c r="H255" s="1008"/>
      <c r="I255" s="1009"/>
      <c r="J255" s="1010">
        <v>266.96000000000083</v>
      </c>
      <c r="L255" s="866">
        <v>266.96000000000083</v>
      </c>
      <c r="M255" s="791"/>
    </row>
    <row r="256" spans="1:14" ht="13.5" customHeight="1" x14ac:dyDescent="0.2">
      <c r="A256" s="831"/>
      <c r="B256" s="603"/>
      <c r="C256" s="722" t="s">
        <v>6310</v>
      </c>
      <c r="D256" s="1023"/>
      <c r="E256" s="945"/>
      <c r="F256" s="945"/>
      <c r="G256" s="1011"/>
      <c r="H256" s="1012"/>
      <c r="I256" s="1012">
        <v>1000</v>
      </c>
      <c r="J256" s="945">
        <v>1266.9600000000009</v>
      </c>
      <c r="L256" s="866">
        <v>1266.9600000000009</v>
      </c>
      <c r="M256" s="791"/>
      <c r="N256" s="791"/>
    </row>
    <row r="257" spans="1:14" ht="13.5" customHeight="1" x14ac:dyDescent="0.2">
      <c r="A257" s="831"/>
      <c r="B257" s="603"/>
      <c r="C257" s="722" t="s">
        <v>6311</v>
      </c>
      <c r="D257" s="1023"/>
      <c r="E257" s="945"/>
      <c r="F257" s="945"/>
      <c r="G257" s="1011"/>
      <c r="H257" s="1012">
        <v>1000</v>
      </c>
      <c r="I257" s="1012"/>
      <c r="J257" s="945">
        <v>266.96000000000095</v>
      </c>
      <c r="L257" s="866">
        <v>266.96000000000095</v>
      </c>
      <c r="M257" s="791"/>
      <c r="N257" s="791"/>
    </row>
    <row r="258" spans="1:14" ht="13.5" customHeight="1" x14ac:dyDescent="0.2">
      <c r="A258" s="831"/>
      <c r="B258" s="603"/>
      <c r="C258" s="569" t="s">
        <v>6312</v>
      </c>
      <c r="D258" s="1023"/>
      <c r="E258" s="945"/>
      <c r="F258" s="945"/>
      <c r="G258" s="1011"/>
      <c r="H258" s="1012">
        <v>500</v>
      </c>
      <c r="I258" s="1012"/>
      <c r="J258" s="945">
        <v>-233.03999999999905</v>
      </c>
      <c r="L258" s="866">
        <v>-233.03999999999905</v>
      </c>
      <c r="M258" s="791"/>
      <c r="N258" s="791"/>
    </row>
    <row r="259" spans="1:14" ht="13.5" customHeight="1" x14ac:dyDescent="0.2">
      <c r="A259" s="831">
        <v>43376</v>
      </c>
      <c r="B259" s="603"/>
      <c r="C259" s="569" t="s">
        <v>6075</v>
      </c>
      <c r="D259" s="1023"/>
      <c r="E259" s="945"/>
      <c r="F259" s="945"/>
      <c r="G259" s="1011"/>
      <c r="H259" s="1012">
        <v>10</v>
      </c>
      <c r="I259" s="1012"/>
      <c r="J259" s="945">
        <v>-243.03999999999905</v>
      </c>
      <c r="L259" s="866">
        <v>-243.03999999999905</v>
      </c>
      <c r="M259" s="791"/>
      <c r="N259" s="791"/>
    </row>
    <row r="260" spans="1:14" ht="13.5" customHeight="1" x14ac:dyDescent="0.2">
      <c r="A260" s="831">
        <v>43378</v>
      </c>
      <c r="B260" s="603"/>
      <c r="C260" s="569" t="s">
        <v>6313</v>
      </c>
      <c r="D260" s="1023"/>
      <c r="E260" s="945"/>
      <c r="F260" s="945"/>
      <c r="G260" s="1011"/>
      <c r="H260" s="1012">
        <v>4</v>
      </c>
      <c r="I260" s="1012"/>
      <c r="J260" s="945">
        <v>-247.03999999999905</v>
      </c>
      <c r="L260" s="866">
        <v>-247.03999999999905</v>
      </c>
      <c r="M260" s="791"/>
      <c r="N260" s="791"/>
    </row>
    <row r="261" spans="1:14" ht="13.5" customHeight="1" x14ac:dyDescent="0.2">
      <c r="A261" s="831"/>
      <c r="B261" s="603"/>
      <c r="C261" s="722" t="s">
        <v>6314</v>
      </c>
      <c r="D261" s="1023"/>
      <c r="E261" s="945"/>
      <c r="F261" s="945"/>
      <c r="G261" s="1011"/>
      <c r="H261" s="1012">
        <v>9.6999999999999993</v>
      </c>
      <c r="I261" s="1012"/>
      <c r="J261" s="945">
        <v>-256.73999999999904</v>
      </c>
      <c r="L261" s="866">
        <v>-256.73999999999904</v>
      </c>
      <c r="M261" s="791"/>
      <c r="N261" s="791"/>
    </row>
    <row r="262" spans="1:14" ht="13.5" customHeight="1" x14ac:dyDescent="0.2">
      <c r="A262" s="831"/>
      <c r="B262" s="603"/>
      <c r="C262" s="722" t="s">
        <v>5973</v>
      </c>
      <c r="D262" s="1023"/>
      <c r="E262" s="945"/>
      <c r="F262" s="945"/>
      <c r="G262" s="1011"/>
      <c r="H262" s="1012">
        <v>100</v>
      </c>
      <c r="I262" s="1012"/>
      <c r="J262" s="945">
        <v>-356.73999999999904</v>
      </c>
      <c r="L262" s="866">
        <v>-356.73999999999904</v>
      </c>
      <c r="M262" s="791"/>
      <c r="N262" s="791"/>
    </row>
    <row r="263" spans="1:14" ht="13.5" customHeight="1" x14ac:dyDescent="0.2">
      <c r="A263" s="831">
        <v>43385</v>
      </c>
      <c r="B263" s="603"/>
      <c r="C263" s="722" t="s">
        <v>5635</v>
      </c>
      <c r="D263" s="1023"/>
      <c r="E263" s="945"/>
      <c r="F263" s="945"/>
      <c r="G263" s="1011"/>
      <c r="H263" s="1012">
        <v>8</v>
      </c>
      <c r="I263" s="1012"/>
      <c r="J263" s="945">
        <v>-364.73999999999904</v>
      </c>
      <c r="L263" s="866">
        <v>-364.73999999999904</v>
      </c>
      <c r="M263" s="791"/>
      <c r="N263" s="791"/>
    </row>
    <row r="264" spans="1:14" ht="13.5" customHeight="1" x14ac:dyDescent="0.2">
      <c r="A264" s="831">
        <v>43386</v>
      </c>
      <c r="B264" s="603"/>
      <c r="C264" s="722" t="s">
        <v>6315</v>
      </c>
      <c r="D264" s="1023"/>
      <c r="E264" s="945"/>
      <c r="F264" s="945"/>
      <c r="G264" s="1011"/>
      <c r="H264" s="1012">
        <v>33.6</v>
      </c>
      <c r="I264" s="1012"/>
      <c r="J264" s="945">
        <v>-398.33999999999907</v>
      </c>
      <c r="L264" s="866">
        <v>-398.33999999999907</v>
      </c>
      <c r="M264" s="791"/>
      <c r="N264" s="791"/>
    </row>
    <row r="265" spans="1:14" ht="13.5" customHeight="1" x14ac:dyDescent="0.2">
      <c r="A265" s="831"/>
      <c r="B265" s="603"/>
      <c r="C265" s="722" t="s">
        <v>6315</v>
      </c>
      <c r="D265" s="1023"/>
      <c r="E265" s="945"/>
      <c r="F265" s="945"/>
      <c r="G265" s="1011"/>
      <c r="H265" s="1012">
        <v>8.1</v>
      </c>
      <c r="I265" s="1012"/>
      <c r="J265" s="945">
        <v>-406.43999999999909</v>
      </c>
      <c r="L265" s="866">
        <v>-406.43999999999909</v>
      </c>
      <c r="M265" s="791"/>
      <c r="N265" s="791"/>
    </row>
    <row r="266" spans="1:14" ht="13.5" customHeight="1" x14ac:dyDescent="0.2">
      <c r="A266" s="831"/>
      <c r="B266" s="603"/>
      <c r="C266" s="793" t="s">
        <v>6168</v>
      </c>
      <c r="D266" s="1023"/>
      <c r="E266" s="945"/>
      <c r="F266" s="945"/>
      <c r="G266" s="1011"/>
      <c r="H266" s="1024">
        <v>1000</v>
      </c>
      <c r="I266" s="1012"/>
      <c r="J266" s="945">
        <v>-1406.4399999999991</v>
      </c>
      <c r="L266" s="866">
        <v>-1406.4399999999991</v>
      </c>
      <c r="M266" s="791"/>
      <c r="N266" s="791"/>
    </row>
    <row r="267" spans="1:14" ht="13.5" customHeight="1" x14ac:dyDescent="0.2">
      <c r="A267" s="831">
        <v>43390</v>
      </c>
      <c r="B267" s="603"/>
      <c r="C267" s="793" t="s">
        <v>1332</v>
      </c>
      <c r="D267" s="1023"/>
      <c r="E267" s="945"/>
      <c r="F267" s="945"/>
      <c r="G267" s="1011"/>
      <c r="H267" s="1012"/>
      <c r="I267" s="1024">
        <v>4000</v>
      </c>
      <c r="J267" s="945">
        <v>2593.5600000000009</v>
      </c>
      <c r="L267" s="866">
        <v>2593.5600000000009</v>
      </c>
      <c r="M267" s="791"/>
      <c r="N267" s="791"/>
    </row>
    <row r="268" spans="1:14" ht="13.5" customHeight="1" x14ac:dyDescent="0.2">
      <c r="A268" s="831"/>
      <c r="B268" s="603"/>
      <c r="C268" s="722" t="s">
        <v>5635</v>
      </c>
      <c r="D268" s="1023"/>
      <c r="E268" s="945"/>
      <c r="F268" s="945"/>
      <c r="G268" s="1011"/>
      <c r="H268" s="1012">
        <v>0.6</v>
      </c>
      <c r="I268" s="1012"/>
      <c r="J268" s="945">
        <v>2592.9600000000009</v>
      </c>
      <c r="L268" s="866">
        <v>2592.9600000000009</v>
      </c>
      <c r="M268" s="791"/>
      <c r="N268" s="791"/>
    </row>
    <row r="269" spans="1:14" ht="13.5" customHeight="1" x14ac:dyDescent="0.2">
      <c r="A269" s="831"/>
      <c r="B269" s="603"/>
      <c r="C269" s="722" t="s">
        <v>5635</v>
      </c>
      <c r="D269" s="1023"/>
      <c r="E269" s="945"/>
      <c r="F269" s="945"/>
      <c r="G269" s="1011"/>
      <c r="H269" s="1012">
        <v>2</v>
      </c>
      <c r="I269" s="1012"/>
      <c r="J269" s="945">
        <v>2590.9600000000009</v>
      </c>
      <c r="L269" s="866">
        <v>2590.9600000000009</v>
      </c>
      <c r="M269" s="791"/>
      <c r="N269" s="791"/>
    </row>
    <row r="270" spans="1:14" ht="13.5" customHeight="1" x14ac:dyDescent="0.2">
      <c r="A270" s="831"/>
      <c r="B270" s="603"/>
      <c r="C270" s="722" t="s">
        <v>5635</v>
      </c>
      <c r="D270" s="1023"/>
      <c r="E270" s="945"/>
      <c r="F270" s="945"/>
      <c r="G270" s="1011"/>
      <c r="H270" s="1012">
        <v>6</v>
      </c>
      <c r="I270" s="1012"/>
      <c r="J270" s="945">
        <v>2584.9600000000009</v>
      </c>
      <c r="L270" s="866">
        <v>2584.9600000000009</v>
      </c>
      <c r="M270" s="791"/>
      <c r="N270" s="791"/>
    </row>
    <row r="271" spans="1:14" ht="13.5" customHeight="1" x14ac:dyDescent="0.2">
      <c r="A271" s="831">
        <v>43118</v>
      </c>
      <c r="B271" s="603"/>
      <c r="C271" s="722" t="s">
        <v>5973</v>
      </c>
      <c r="D271" s="1023"/>
      <c r="E271" s="945"/>
      <c r="F271" s="945"/>
      <c r="G271" s="1011"/>
      <c r="H271" s="1012">
        <v>100</v>
      </c>
      <c r="I271" s="1012"/>
      <c r="J271" s="945">
        <v>2484.9600000000009</v>
      </c>
      <c r="L271" s="866">
        <v>2484.9600000000009</v>
      </c>
      <c r="M271" s="791"/>
      <c r="N271" s="791"/>
    </row>
    <row r="272" spans="1:14" ht="13.5" customHeight="1" x14ac:dyDescent="0.2">
      <c r="A272" s="831">
        <v>43392</v>
      </c>
      <c r="B272" s="603"/>
      <c r="C272" s="722" t="s">
        <v>6316</v>
      </c>
      <c r="D272" s="1023"/>
      <c r="E272" s="945"/>
      <c r="F272" s="945"/>
      <c r="G272" s="1011"/>
      <c r="H272" s="1012">
        <v>40</v>
      </c>
      <c r="I272" s="1012"/>
      <c r="J272" s="945">
        <v>2444.9600000000009</v>
      </c>
      <c r="L272" s="866">
        <v>2444.9600000000009</v>
      </c>
      <c r="M272" s="791"/>
      <c r="N272" s="791"/>
    </row>
    <row r="273" spans="1:14" ht="13.5" customHeight="1" x14ac:dyDescent="0.2">
      <c r="A273" s="831"/>
      <c r="B273" s="603"/>
      <c r="C273" s="722" t="s">
        <v>6317</v>
      </c>
      <c r="D273" s="1023"/>
      <c r="E273" s="945"/>
      <c r="F273" s="945"/>
      <c r="G273" s="1011"/>
      <c r="H273" s="1012">
        <v>19</v>
      </c>
      <c r="I273" s="1012"/>
      <c r="J273" s="945">
        <v>2425.9600000000009</v>
      </c>
      <c r="L273" s="866">
        <v>2425.9600000000009</v>
      </c>
      <c r="M273" s="791"/>
      <c r="N273" s="791"/>
    </row>
    <row r="274" spans="1:14" ht="13.5" customHeight="1" x14ac:dyDescent="0.2">
      <c r="A274" s="831"/>
      <c r="B274" s="603"/>
      <c r="C274" s="722" t="s">
        <v>6318</v>
      </c>
      <c r="D274" s="1023"/>
      <c r="E274" s="945"/>
      <c r="F274" s="945"/>
      <c r="G274" s="1011"/>
      <c r="H274" s="1012">
        <v>20</v>
      </c>
      <c r="I274" s="1012"/>
      <c r="J274" s="945">
        <v>2405.9600000000009</v>
      </c>
      <c r="L274" s="866">
        <v>2405.9600000000009</v>
      </c>
      <c r="M274" s="791"/>
      <c r="N274" s="791"/>
    </row>
    <row r="275" spans="1:14" ht="13.5" customHeight="1" x14ac:dyDescent="0.2">
      <c r="A275" s="831">
        <v>43393</v>
      </c>
      <c r="B275" s="603"/>
      <c r="C275" s="722" t="s">
        <v>6319</v>
      </c>
      <c r="D275" s="1023"/>
      <c r="E275" s="945"/>
      <c r="F275" s="945"/>
      <c r="G275" s="1011"/>
      <c r="H275" s="1012">
        <v>3.2</v>
      </c>
      <c r="I275" s="1012"/>
      <c r="J275" s="945">
        <v>2402.7600000000011</v>
      </c>
      <c r="L275" s="866">
        <v>2402.7600000000011</v>
      </c>
      <c r="M275" s="791"/>
      <c r="N275" s="791"/>
    </row>
    <row r="276" spans="1:14" ht="13.5" customHeight="1" x14ac:dyDescent="0.2">
      <c r="A276" s="831"/>
      <c r="B276" s="603"/>
      <c r="C276" s="722" t="s">
        <v>6315</v>
      </c>
      <c r="D276" s="1023"/>
      <c r="E276" s="945"/>
      <c r="F276" s="945"/>
      <c r="G276" s="1011"/>
      <c r="H276" s="1012">
        <v>1.4</v>
      </c>
      <c r="I276" s="1012"/>
      <c r="J276" s="945">
        <v>2401.360000000001</v>
      </c>
      <c r="L276" s="866">
        <v>2401.360000000001</v>
      </c>
      <c r="M276" s="791"/>
      <c r="N276" s="791"/>
    </row>
    <row r="277" spans="1:14" ht="13.5" customHeight="1" x14ac:dyDescent="0.2">
      <c r="A277" s="831"/>
      <c r="B277" s="603"/>
      <c r="C277" s="722" t="s">
        <v>6320</v>
      </c>
      <c r="D277" s="1023"/>
      <c r="E277" s="945"/>
      <c r="F277" s="945"/>
      <c r="G277" s="1011"/>
      <c r="H277" s="1012">
        <v>56.52</v>
      </c>
      <c r="I277" s="1012"/>
      <c r="J277" s="945">
        <v>2344.8400000000011</v>
      </c>
      <c r="L277" s="866">
        <v>2344.8400000000011</v>
      </c>
      <c r="M277" s="791"/>
      <c r="N277" s="791"/>
    </row>
    <row r="278" spans="1:14" s="823" customFormat="1" ht="13.5" customHeight="1" x14ac:dyDescent="0.2">
      <c r="A278" s="849"/>
      <c r="B278" s="585"/>
      <c r="C278" s="793" t="s">
        <v>6321</v>
      </c>
      <c r="D278" s="1025"/>
      <c r="E278" s="944"/>
      <c r="F278" s="944"/>
      <c r="G278" s="1004"/>
      <c r="H278" s="1008">
        <v>111</v>
      </c>
      <c r="I278" s="1008"/>
      <c r="J278" s="945">
        <v>2233.8400000000011</v>
      </c>
      <c r="K278" s="1018"/>
      <c r="L278" s="866">
        <v>2233.8400000000011</v>
      </c>
      <c r="M278" s="826"/>
      <c r="N278" s="826"/>
    </row>
    <row r="279" spans="1:14" s="823" customFormat="1" ht="13.5" customHeight="1" x14ac:dyDescent="0.2">
      <c r="A279" s="849"/>
      <c r="B279" s="585"/>
      <c r="C279" s="793" t="s">
        <v>6321</v>
      </c>
      <c r="D279" s="1025"/>
      <c r="E279" s="944"/>
      <c r="F279" s="944"/>
      <c r="G279" s="1004"/>
      <c r="H279" s="1008">
        <v>2</v>
      </c>
      <c r="I279" s="1008"/>
      <c r="J279" s="945">
        <v>2231.8400000000011</v>
      </c>
      <c r="K279" s="1018"/>
      <c r="L279" s="866">
        <v>2231.8400000000011</v>
      </c>
      <c r="M279" s="826"/>
      <c r="N279" s="826"/>
    </row>
    <row r="280" spans="1:14" s="823" customFormat="1" ht="13.5" customHeight="1" x14ac:dyDescent="0.2">
      <c r="A280" s="849"/>
      <c r="B280" s="585"/>
      <c r="C280" s="793" t="s">
        <v>6322</v>
      </c>
      <c r="D280" s="1025"/>
      <c r="E280" s="944"/>
      <c r="F280" s="944"/>
      <c r="G280" s="1004"/>
      <c r="H280" s="1008">
        <v>8.86</v>
      </c>
      <c r="I280" s="1008"/>
      <c r="J280" s="945">
        <v>2222.9800000000009</v>
      </c>
      <c r="K280" s="1018"/>
      <c r="L280" s="866">
        <v>2222.9800000000009</v>
      </c>
      <c r="M280" s="826"/>
      <c r="N280" s="826"/>
    </row>
    <row r="281" spans="1:14" s="823" customFormat="1" ht="13.5" customHeight="1" x14ac:dyDescent="0.2">
      <c r="A281" s="849">
        <v>43396</v>
      </c>
      <c r="B281" s="585"/>
      <c r="C281" s="793" t="s">
        <v>6323</v>
      </c>
      <c r="D281" s="1025"/>
      <c r="E281" s="944"/>
      <c r="F281" s="944"/>
      <c r="G281" s="1004"/>
      <c r="H281" s="1008">
        <v>49.68</v>
      </c>
      <c r="I281" s="1008"/>
      <c r="J281" s="945">
        <v>2173.3000000000011</v>
      </c>
      <c r="K281" s="1018"/>
      <c r="L281" s="866">
        <v>2173.3000000000011</v>
      </c>
      <c r="M281" s="826"/>
      <c r="N281" s="826"/>
    </row>
    <row r="282" spans="1:14" s="823" customFormat="1" ht="13.5" customHeight="1" x14ac:dyDescent="0.2">
      <c r="A282" s="849"/>
      <c r="B282" s="585"/>
      <c r="C282" s="793" t="s">
        <v>6322</v>
      </c>
      <c r="D282" s="1025"/>
      <c r="E282" s="944"/>
      <c r="F282" s="944"/>
      <c r="G282" s="1004"/>
      <c r="H282" s="1008">
        <v>21.8</v>
      </c>
      <c r="I282" s="1008"/>
      <c r="J282" s="945">
        <v>2151.5000000000009</v>
      </c>
      <c r="K282" s="1018"/>
      <c r="L282" s="866">
        <v>2151.5000000000009</v>
      </c>
      <c r="M282" s="826"/>
      <c r="N282" s="826"/>
    </row>
    <row r="283" spans="1:14" s="823" customFormat="1" ht="13.5" customHeight="1" x14ac:dyDescent="0.2">
      <c r="A283" s="849"/>
      <c r="B283" s="585"/>
      <c r="C283" s="793" t="s">
        <v>6322</v>
      </c>
      <c r="D283" s="1025"/>
      <c r="E283" s="944"/>
      <c r="F283" s="944"/>
      <c r="G283" s="1004"/>
      <c r="H283" s="1008">
        <v>87</v>
      </c>
      <c r="I283" s="1008"/>
      <c r="J283" s="945">
        <v>2064.5000000000009</v>
      </c>
      <c r="K283" s="1018"/>
      <c r="L283" s="866">
        <v>2064.5000000000009</v>
      </c>
      <c r="M283" s="826"/>
      <c r="N283" s="826"/>
    </row>
    <row r="284" spans="1:14" s="823" customFormat="1" ht="13.5" customHeight="1" x14ac:dyDescent="0.2">
      <c r="A284" s="849">
        <v>43400</v>
      </c>
      <c r="B284" s="585"/>
      <c r="C284" s="722" t="s">
        <v>5635</v>
      </c>
      <c r="D284" s="1025"/>
      <c r="E284" s="944"/>
      <c r="F284" s="944"/>
      <c r="G284" s="1004"/>
      <c r="H284" s="1008">
        <v>0.7</v>
      </c>
      <c r="I284" s="1008"/>
      <c r="J284" s="945">
        <v>2063.8000000000011</v>
      </c>
      <c r="K284" s="1018"/>
      <c r="L284" s="866">
        <v>2063.8000000000011</v>
      </c>
      <c r="M284" s="826"/>
      <c r="N284" s="826"/>
    </row>
    <row r="285" spans="1:14" s="823" customFormat="1" ht="13.5" customHeight="1" x14ac:dyDescent="0.2">
      <c r="A285" s="849"/>
      <c r="B285" s="585"/>
      <c r="C285" s="722" t="s">
        <v>6078</v>
      </c>
      <c r="D285" s="1025"/>
      <c r="E285" s="944"/>
      <c r="F285" s="944"/>
      <c r="G285" s="1004"/>
      <c r="H285" s="1008">
        <v>500</v>
      </c>
      <c r="I285" s="1008"/>
      <c r="J285" s="945">
        <v>1563.8000000000011</v>
      </c>
      <c r="K285" s="1018"/>
      <c r="L285" s="866">
        <v>1563.8000000000011</v>
      </c>
      <c r="M285" s="826"/>
      <c r="N285" s="826"/>
    </row>
    <row r="286" spans="1:14" s="823" customFormat="1" ht="13.5" customHeight="1" x14ac:dyDescent="0.2">
      <c r="A286" s="849"/>
      <c r="B286" s="585"/>
      <c r="C286" s="793" t="s">
        <v>6322</v>
      </c>
      <c r="D286" s="1025"/>
      <c r="E286" s="944"/>
      <c r="F286" s="944"/>
      <c r="G286" s="1004"/>
      <c r="H286" s="1008">
        <v>3.75</v>
      </c>
      <c r="I286" s="1008"/>
      <c r="J286" s="945">
        <v>1560.0500000000011</v>
      </c>
      <c r="K286" s="1018"/>
      <c r="L286" s="866">
        <v>1560.0500000000011</v>
      </c>
      <c r="M286" s="826"/>
      <c r="N286" s="826"/>
    </row>
    <row r="287" spans="1:14" s="823" customFormat="1" ht="13.5" customHeight="1" x14ac:dyDescent="0.2">
      <c r="A287" s="849">
        <v>43403</v>
      </c>
      <c r="B287" s="585"/>
      <c r="C287" s="793" t="s">
        <v>6324</v>
      </c>
      <c r="D287" s="1025"/>
      <c r="E287" s="944"/>
      <c r="F287" s="944"/>
      <c r="G287" s="1004"/>
      <c r="H287" s="1008">
        <v>100</v>
      </c>
      <c r="I287" s="1008"/>
      <c r="J287" s="945">
        <v>1460.0500000000011</v>
      </c>
      <c r="K287" s="1018"/>
      <c r="L287" s="866">
        <v>1460.0500000000011</v>
      </c>
      <c r="M287" s="826"/>
      <c r="N287" s="826"/>
    </row>
    <row r="288" spans="1:14" s="823" customFormat="1" ht="13.5" customHeight="1" x14ac:dyDescent="0.2">
      <c r="A288" s="849"/>
      <c r="B288" s="585"/>
      <c r="C288" s="793" t="s">
        <v>6325</v>
      </c>
      <c r="D288" s="1025"/>
      <c r="E288" s="944"/>
      <c r="F288" s="944"/>
      <c r="G288" s="1004"/>
      <c r="H288" s="1008">
        <v>4.08</v>
      </c>
      <c r="I288" s="1008"/>
      <c r="J288" s="945">
        <v>1455.9700000000012</v>
      </c>
      <c r="K288" s="1018"/>
      <c r="L288" s="866">
        <v>1455.9700000000012</v>
      </c>
      <c r="M288" s="826"/>
      <c r="N288" s="826"/>
    </row>
    <row r="289" spans="1:14" s="823" customFormat="1" ht="13.5" customHeight="1" x14ac:dyDescent="0.2">
      <c r="A289" s="849"/>
      <c r="B289" s="585"/>
      <c r="C289" s="722" t="s">
        <v>6326</v>
      </c>
      <c r="D289" s="1025"/>
      <c r="E289" s="944"/>
      <c r="F289" s="944"/>
      <c r="G289" s="1004"/>
      <c r="H289" s="1008">
        <v>268.02999999999997</v>
      </c>
      <c r="I289" s="1008"/>
      <c r="J289" s="945">
        <v>1187.9400000000012</v>
      </c>
      <c r="K289" s="1018"/>
      <c r="L289" s="866">
        <v>1187.9400000000012</v>
      </c>
      <c r="M289" s="826"/>
      <c r="N289" s="826"/>
    </row>
    <row r="290" spans="1:14" s="823" customFormat="1" ht="13.5" customHeight="1" x14ac:dyDescent="0.2">
      <c r="A290" s="849"/>
      <c r="B290" s="585"/>
      <c r="C290" s="793" t="s">
        <v>6327</v>
      </c>
      <c r="D290" s="1025"/>
      <c r="E290" s="944"/>
      <c r="F290" s="944"/>
      <c r="G290" s="1004"/>
      <c r="H290" s="1008">
        <v>16.75</v>
      </c>
      <c r="I290" s="1008"/>
      <c r="J290" s="1026">
        <v>1171.1900000000012</v>
      </c>
      <c r="K290" s="1018"/>
      <c r="L290" s="1001">
        <v>1171.1900000000012</v>
      </c>
      <c r="M290" s="826"/>
      <c r="N290" s="826"/>
    </row>
    <row r="291" spans="1:14" ht="13.5" customHeight="1" thickBot="1" x14ac:dyDescent="0.25">
      <c r="A291" s="207"/>
      <c r="B291" s="207"/>
      <c r="C291" s="208"/>
      <c r="D291" s="947"/>
      <c r="E291" s="947"/>
      <c r="F291" s="947"/>
      <c r="G291" s="1027"/>
      <c r="H291" s="1028"/>
      <c r="I291" s="1028"/>
      <c r="J291" s="1029"/>
    </row>
    <row r="292" spans="1:14" ht="13.5" customHeight="1" thickBot="1" x14ac:dyDescent="0.25">
      <c r="A292" s="838"/>
      <c r="B292" s="839"/>
      <c r="C292" s="840" t="s">
        <v>539</v>
      </c>
      <c r="D292" s="1030"/>
      <c r="E292" s="948"/>
      <c r="F292" s="948"/>
      <c r="G292" s="985" t="s">
        <v>7</v>
      </c>
      <c r="H292" s="948"/>
      <c r="I292" s="948"/>
      <c r="J292" s="1020"/>
    </row>
    <row r="293" spans="1:14" ht="13.5" customHeight="1" x14ac:dyDescent="0.2">
      <c r="A293" s="843" t="s">
        <v>540</v>
      </c>
      <c r="B293" s="843"/>
      <c r="C293" s="844" t="s">
        <v>541</v>
      </c>
      <c r="D293" s="1031"/>
      <c r="E293" s="949"/>
      <c r="F293" s="949"/>
      <c r="G293" s="1032">
        <v>19192.330000000002</v>
      </c>
      <c r="H293" s="949"/>
      <c r="I293" s="949"/>
      <c r="J293" s="949"/>
    </row>
    <row r="294" spans="1:14" ht="13.5" customHeight="1" x14ac:dyDescent="0.25">
      <c r="A294" s="585" t="s">
        <v>1785</v>
      </c>
      <c r="B294" s="585"/>
      <c r="C294" s="795" t="s">
        <v>542</v>
      </c>
      <c r="D294" s="1002"/>
      <c r="E294" s="950"/>
      <c r="F294" s="950"/>
      <c r="G294" s="1033">
        <v>2095.02</v>
      </c>
      <c r="H294" s="950"/>
      <c r="I294" s="950"/>
      <c r="J294" s="950"/>
    </row>
    <row r="295" spans="1:14" ht="13.5" customHeight="1" x14ac:dyDescent="0.2">
      <c r="A295" s="585"/>
      <c r="B295" s="585"/>
      <c r="C295" s="819" t="s">
        <v>543</v>
      </c>
      <c r="D295" s="1002"/>
      <c r="E295" s="950"/>
      <c r="F295" s="950"/>
      <c r="G295" s="987">
        <f>SUM(G293:G294)</f>
        <v>21287.350000000002</v>
      </c>
      <c r="H295" s="950"/>
      <c r="I295" s="950"/>
      <c r="J295" s="950"/>
    </row>
    <row r="296" spans="1:14" ht="13.5" customHeight="1" x14ac:dyDescent="0.2">
      <c r="A296" s="585"/>
      <c r="B296" s="585"/>
      <c r="C296" s="795"/>
      <c r="D296" s="1002"/>
      <c r="E296" s="950"/>
      <c r="F296" s="950"/>
      <c r="G296" s="987"/>
      <c r="H296" s="950"/>
      <c r="I296" s="950"/>
      <c r="J296" s="950"/>
      <c r="M296" s="791"/>
    </row>
    <row r="297" spans="1:14" ht="13.5" customHeight="1" x14ac:dyDescent="0.2">
      <c r="A297" s="585"/>
      <c r="B297" s="585"/>
      <c r="C297" s="819" t="s">
        <v>544</v>
      </c>
      <c r="D297" s="1002"/>
      <c r="E297" s="950"/>
      <c r="F297" s="950"/>
      <c r="G297" s="987">
        <v>0</v>
      </c>
      <c r="H297" s="950"/>
      <c r="I297" s="950"/>
      <c r="J297" s="950"/>
    </row>
    <row r="298" spans="1:14" ht="13.5" customHeight="1" x14ac:dyDescent="0.2">
      <c r="A298" s="585"/>
      <c r="B298" s="585"/>
      <c r="C298" s="795"/>
      <c r="D298" s="1002"/>
      <c r="E298" s="950"/>
      <c r="F298" s="950"/>
      <c r="G298" s="1032"/>
      <c r="H298" s="950"/>
      <c r="I298" s="950"/>
      <c r="J298" s="950"/>
    </row>
    <row r="299" spans="1:14" ht="13.5" customHeight="1" x14ac:dyDescent="0.2">
      <c r="A299" s="76"/>
      <c r="B299" s="76"/>
      <c r="C299" s="819" t="s">
        <v>545</v>
      </c>
      <c r="D299" s="951"/>
      <c r="E299" s="951"/>
      <c r="F299" s="951"/>
      <c r="G299" s="987">
        <v>0</v>
      </c>
      <c r="H299" s="1034"/>
      <c r="I299" s="1034"/>
      <c r="J299" s="950"/>
      <c r="M299" s="791"/>
    </row>
    <row r="300" spans="1:14" ht="13.5" customHeight="1" thickBot="1" x14ac:dyDescent="0.25">
      <c r="A300" s="76"/>
      <c r="B300" s="76"/>
      <c r="C300" s="78"/>
      <c r="D300" s="951"/>
      <c r="E300" s="951"/>
      <c r="F300" s="951"/>
      <c r="G300" s="1032"/>
      <c r="H300" s="1034"/>
      <c r="I300" s="1034"/>
      <c r="J300" s="950"/>
    </row>
    <row r="301" spans="1:14" ht="13.5" customHeight="1" thickBot="1" x14ac:dyDescent="0.25">
      <c r="A301" s="848" t="s">
        <v>5829</v>
      </c>
      <c r="B301" s="839"/>
      <c r="C301" s="840" t="s">
        <v>5830</v>
      </c>
      <c r="D301" s="1030"/>
      <c r="E301" s="948"/>
      <c r="F301" s="948"/>
      <c r="G301" s="985" t="s">
        <v>7</v>
      </c>
      <c r="H301" s="948"/>
      <c r="I301" s="948"/>
      <c r="J301" s="1020"/>
    </row>
    <row r="302" spans="1:14" ht="13.5" customHeight="1" x14ac:dyDescent="0.2">
      <c r="A302" s="585"/>
      <c r="B302" s="585"/>
      <c r="C302" s="795" t="s">
        <v>5831</v>
      </c>
      <c r="D302" s="1002"/>
      <c r="E302" s="950"/>
      <c r="F302" s="950"/>
      <c r="G302" s="1032">
        <v>37000</v>
      </c>
      <c r="H302" s="950"/>
      <c r="I302" s="950"/>
      <c r="J302" s="950"/>
      <c r="K302" s="866">
        <v>37000</v>
      </c>
    </row>
    <row r="303" spans="1:14" ht="13.5" customHeight="1" x14ac:dyDescent="0.2">
      <c r="A303" s="79">
        <v>42145</v>
      </c>
      <c r="B303" s="585"/>
      <c r="C303" s="795" t="s">
        <v>5832</v>
      </c>
      <c r="D303" s="1002"/>
      <c r="E303" s="950">
        <v>5000</v>
      </c>
      <c r="F303" s="950"/>
      <c r="G303" s="1032">
        <v>32000</v>
      </c>
      <c r="H303" s="950"/>
      <c r="I303" s="950"/>
      <c r="J303" s="950"/>
      <c r="K303" s="866">
        <v>32000</v>
      </c>
    </row>
    <row r="304" spans="1:14" ht="13.5" customHeight="1" x14ac:dyDescent="0.2">
      <c r="A304" s="79">
        <v>42216</v>
      </c>
      <c r="B304" s="79"/>
      <c r="C304" s="795" t="s">
        <v>5832</v>
      </c>
      <c r="D304" s="951"/>
      <c r="E304" s="950">
        <v>5000</v>
      </c>
      <c r="F304" s="950"/>
      <c r="G304" s="1032">
        <v>27000</v>
      </c>
      <c r="H304" s="1034"/>
      <c r="I304" s="1034"/>
      <c r="J304" s="950"/>
      <c r="K304" s="866">
        <v>27000</v>
      </c>
    </row>
    <row r="305" spans="1:11" ht="13.5" customHeight="1" x14ac:dyDescent="0.2">
      <c r="A305" s="79">
        <v>42311</v>
      </c>
      <c r="B305" s="79"/>
      <c r="C305" s="795" t="s">
        <v>5833</v>
      </c>
      <c r="D305" s="951"/>
      <c r="E305" s="950">
        <v>3000</v>
      </c>
      <c r="F305" s="950"/>
      <c r="G305" s="1032">
        <v>24000</v>
      </c>
      <c r="H305" s="1034"/>
      <c r="I305" s="1034"/>
      <c r="J305" s="950"/>
      <c r="K305" s="866">
        <v>24000</v>
      </c>
    </row>
    <row r="306" spans="1:11" ht="13.5" customHeight="1" x14ac:dyDescent="0.2">
      <c r="A306" s="79">
        <v>42349</v>
      </c>
      <c r="B306" s="79"/>
      <c r="C306" s="795" t="s">
        <v>5833</v>
      </c>
      <c r="D306" s="951"/>
      <c r="E306" s="950">
        <v>3000</v>
      </c>
      <c r="F306" s="951"/>
      <c r="G306" s="1032">
        <v>21000</v>
      </c>
      <c r="H306" s="1034"/>
      <c r="I306" s="1034"/>
      <c r="J306" s="950"/>
      <c r="K306" s="866">
        <v>21000</v>
      </c>
    </row>
    <row r="307" spans="1:11" ht="13.5" customHeight="1" x14ac:dyDescent="0.2">
      <c r="A307" s="849">
        <v>42390</v>
      </c>
      <c r="B307" s="585"/>
      <c r="C307" s="795" t="s">
        <v>5833</v>
      </c>
      <c r="D307" s="951"/>
      <c r="E307" s="950">
        <v>3000</v>
      </c>
      <c r="F307" s="951"/>
      <c r="G307" s="1032">
        <v>18000</v>
      </c>
      <c r="H307" s="1034"/>
      <c r="I307" s="1034"/>
      <c r="J307" s="950"/>
      <c r="K307" s="866">
        <v>18000</v>
      </c>
    </row>
    <row r="308" spans="1:11" ht="13.5" customHeight="1" x14ac:dyDescent="0.2">
      <c r="A308" s="79">
        <v>42432</v>
      </c>
      <c r="B308" s="76"/>
      <c r="C308" s="795" t="s">
        <v>5833</v>
      </c>
      <c r="D308" s="1002"/>
      <c r="E308" s="950">
        <v>1500</v>
      </c>
      <c r="F308" s="950"/>
      <c r="G308" s="1032">
        <v>16500</v>
      </c>
      <c r="H308" s="1034"/>
      <c r="I308" s="1034"/>
      <c r="J308" s="950"/>
      <c r="K308" s="866">
        <v>16500</v>
      </c>
    </row>
    <row r="309" spans="1:11" ht="13.5" customHeight="1" x14ac:dyDescent="0.2">
      <c r="A309" s="79">
        <v>42509</v>
      </c>
      <c r="B309" s="76"/>
      <c r="C309" s="795" t="s">
        <v>5834</v>
      </c>
      <c r="D309" s="1002"/>
      <c r="E309" s="950">
        <v>1500</v>
      </c>
      <c r="F309" s="950"/>
      <c r="G309" s="1032">
        <v>15000</v>
      </c>
      <c r="H309" s="1034"/>
      <c r="I309" s="1034"/>
      <c r="J309" s="950"/>
      <c r="K309" s="866">
        <v>15000</v>
      </c>
    </row>
    <row r="310" spans="1:11" ht="13.5" customHeight="1" x14ac:dyDescent="0.2">
      <c r="A310" s="79">
        <v>42537</v>
      </c>
      <c r="B310" s="76"/>
      <c r="C310" s="795" t="s">
        <v>5835</v>
      </c>
      <c r="D310" s="1002"/>
      <c r="E310" s="950">
        <v>1500</v>
      </c>
      <c r="F310" s="950"/>
      <c r="G310" s="1032">
        <v>13500</v>
      </c>
      <c r="H310" s="1034"/>
      <c r="I310" s="1034"/>
      <c r="J310" s="950"/>
      <c r="K310" s="866">
        <v>13500</v>
      </c>
    </row>
    <row r="311" spans="1:11" ht="13.5" customHeight="1" x14ac:dyDescent="0.2">
      <c r="A311" s="79">
        <v>42566</v>
      </c>
      <c r="B311" s="76"/>
      <c r="C311" s="795" t="s">
        <v>5835</v>
      </c>
      <c r="D311" s="951"/>
      <c r="E311" s="950">
        <v>1500</v>
      </c>
      <c r="F311" s="951"/>
      <c r="G311" s="1032">
        <v>12000</v>
      </c>
      <c r="H311" s="1034"/>
      <c r="I311" s="1034"/>
      <c r="J311" s="950"/>
      <c r="K311" s="866">
        <v>12000</v>
      </c>
    </row>
    <row r="312" spans="1:11" ht="13.5" customHeight="1" x14ac:dyDescent="0.2">
      <c r="A312" s="79">
        <v>42590</v>
      </c>
      <c r="B312" s="76"/>
      <c r="C312" s="795" t="s">
        <v>5835</v>
      </c>
      <c r="D312" s="951"/>
      <c r="E312" s="950">
        <v>1500</v>
      </c>
      <c r="F312" s="951"/>
      <c r="G312" s="1032">
        <v>10500</v>
      </c>
      <c r="H312" s="1034"/>
      <c r="I312" s="1034"/>
      <c r="J312" s="950"/>
      <c r="K312" s="866">
        <v>10500</v>
      </c>
    </row>
    <row r="313" spans="1:11" ht="13.5" customHeight="1" x14ac:dyDescent="0.2">
      <c r="A313" s="79">
        <v>42612</v>
      </c>
      <c r="B313" s="76"/>
      <c r="C313" s="795" t="s">
        <v>5835</v>
      </c>
      <c r="D313" s="951"/>
      <c r="E313" s="950">
        <v>1500</v>
      </c>
      <c r="F313" s="951"/>
      <c r="G313" s="1032">
        <v>9000</v>
      </c>
      <c r="H313" s="1034"/>
      <c r="I313" s="1034"/>
      <c r="J313" s="950"/>
      <c r="K313" s="866">
        <v>9000</v>
      </c>
    </row>
    <row r="314" spans="1:11" ht="13.5" customHeight="1" x14ac:dyDescent="0.2">
      <c r="A314" s="79">
        <v>42634</v>
      </c>
      <c r="B314" s="76"/>
      <c r="C314" s="795" t="s">
        <v>5835</v>
      </c>
      <c r="D314" s="951"/>
      <c r="E314" s="950">
        <v>1500</v>
      </c>
      <c r="F314" s="951"/>
      <c r="G314" s="1032">
        <v>7500</v>
      </c>
      <c r="H314" s="1034"/>
      <c r="I314" s="1034"/>
      <c r="J314" s="950"/>
      <c r="K314" s="866">
        <v>7500</v>
      </c>
    </row>
    <row r="315" spans="1:11" ht="13.5" customHeight="1" x14ac:dyDescent="0.2">
      <c r="A315" s="79">
        <v>42683</v>
      </c>
      <c r="B315" s="585"/>
      <c r="C315" s="795" t="s">
        <v>5836</v>
      </c>
      <c r="D315" s="1002"/>
      <c r="E315" s="950">
        <v>2000</v>
      </c>
      <c r="F315" s="950"/>
      <c r="G315" s="1032">
        <v>5500</v>
      </c>
      <c r="H315" s="950"/>
      <c r="I315" s="950"/>
      <c r="J315" s="950"/>
      <c r="K315" s="866">
        <v>5500</v>
      </c>
    </row>
    <row r="316" spans="1:11" ht="13.5" customHeight="1" x14ac:dyDescent="0.2">
      <c r="A316" s="79">
        <v>42719</v>
      </c>
      <c r="B316" s="585"/>
      <c r="C316" s="795" t="s">
        <v>5837</v>
      </c>
      <c r="D316" s="1002"/>
      <c r="E316" s="950">
        <v>500</v>
      </c>
      <c r="F316" s="950"/>
      <c r="G316" s="1032">
        <v>5000</v>
      </c>
      <c r="H316" s="950"/>
      <c r="I316" s="950"/>
      <c r="J316" s="950"/>
      <c r="K316" s="866">
        <v>5000</v>
      </c>
    </row>
    <row r="317" spans="1:11" ht="13.5" customHeight="1" x14ac:dyDescent="0.2">
      <c r="A317" s="79">
        <v>42775</v>
      </c>
      <c r="B317" s="585"/>
      <c r="C317" s="795" t="s">
        <v>5838</v>
      </c>
      <c r="D317" s="1002"/>
      <c r="E317" s="950">
        <v>500</v>
      </c>
      <c r="F317" s="950"/>
      <c r="G317" s="1032">
        <v>4500</v>
      </c>
      <c r="H317" s="950"/>
      <c r="I317" s="950"/>
      <c r="J317" s="950"/>
      <c r="K317" s="866">
        <v>4500</v>
      </c>
    </row>
    <row r="318" spans="1:11" ht="13.5" customHeight="1" x14ac:dyDescent="0.2">
      <c r="A318" s="79">
        <v>42836</v>
      </c>
      <c r="B318" s="585"/>
      <c r="C318" s="795" t="s">
        <v>5839</v>
      </c>
      <c r="D318" s="1002"/>
      <c r="E318" s="950">
        <v>500</v>
      </c>
      <c r="F318" s="950"/>
      <c r="G318" s="1032">
        <v>4000</v>
      </c>
      <c r="H318" s="950"/>
      <c r="I318" s="950"/>
      <c r="J318" s="950"/>
      <c r="K318" s="866">
        <v>4000</v>
      </c>
    </row>
    <row r="319" spans="1:11" ht="13.5" customHeight="1" x14ac:dyDescent="0.2">
      <c r="A319" s="79">
        <v>42870</v>
      </c>
      <c r="B319" s="585"/>
      <c r="C319" s="795" t="s">
        <v>5840</v>
      </c>
      <c r="D319" s="1002"/>
      <c r="E319" s="950">
        <v>500</v>
      </c>
      <c r="F319" s="950"/>
      <c r="G319" s="1032">
        <v>3500</v>
      </c>
      <c r="H319" s="950"/>
      <c r="I319" s="950"/>
      <c r="J319" s="950"/>
      <c r="K319" s="866">
        <v>3500</v>
      </c>
    </row>
    <row r="320" spans="1:11" ht="13.5" customHeight="1" x14ac:dyDescent="0.2">
      <c r="A320" s="79">
        <v>42902</v>
      </c>
      <c r="B320" s="585"/>
      <c r="C320" s="795" t="s">
        <v>5841</v>
      </c>
      <c r="D320" s="1002"/>
      <c r="E320" s="950">
        <v>500</v>
      </c>
      <c r="F320" s="950"/>
      <c r="G320" s="1032">
        <v>3000</v>
      </c>
      <c r="H320" s="950"/>
      <c r="I320" s="950"/>
      <c r="J320" s="950"/>
      <c r="K320" s="866">
        <v>3000</v>
      </c>
    </row>
    <row r="321" spans="1:11" ht="13.5" customHeight="1" x14ac:dyDescent="0.2">
      <c r="A321" s="79">
        <v>42933</v>
      </c>
      <c r="B321" s="585"/>
      <c r="C321" s="795" t="s">
        <v>5842</v>
      </c>
      <c r="D321" s="1002"/>
      <c r="E321" s="950">
        <v>500</v>
      </c>
      <c r="F321" s="950"/>
      <c r="G321" s="1032">
        <v>2500</v>
      </c>
      <c r="H321" s="950"/>
      <c r="I321" s="950"/>
      <c r="J321" s="950"/>
      <c r="K321" s="866">
        <v>2500</v>
      </c>
    </row>
    <row r="322" spans="1:11" ht="13.5" customHeight="1" x14ac:dyDescent="0.2">
      <c r="A322" s="79">
        <v>42963</v>
      </c>
      <c r="B322" s="585"/>
      <c r="C322" s="795" t="s">
        <v>5704</v>
      </c>
      <c r="D322" s="1002"/>
      <c r="E322" s="950">
        <v>500</v>
      </c>
      <c r="F322" s="950"/>
      <c r="G322" s="1032">
        <v>2000</v>
      </c>
      <c r="H322" s="950"/>
      <c r="I322" s="950"/>
      <c r="J322" s="950"/>
      <c r="K322" s="866">
        <v>2000</v>
      </c>
    </row>
    <row r="323" spans="1:11" ht="13.5" customHeight="1" x14ac:dyDescent="0.2">
      <c r="A323" s="79">
        <v>43005</v>
      </c>
      <c r="B323" s="585"/>
      <c r="C323" s="795" t="s">
        <v>5704</v>
      </c>
      <c r="D323" s="1002"/>
      <c r="E323" s="950">
        <v>500</v>
      </c>
      <c r="F323" s="950"/>
      <c r="G323" s="1032">
        <v>1500</v>
      </c>
      <c r="H323" s="950"/>
      <c r="I323" s="950"/>
      <c r="J323" s="950"/>
      <c r="K323" s="866">
        <v>1500</v>
      </c>
    </row>
    <row r="324" spans="1:11" ht="13.5" customHeight="1" x14ac:dyDescent="0.2">
      <c r="A324" s="79">
        <v>43018</v>
      </c>
      <c r="B324" s="585"/>
      <c r="C324" s="795" t="s">
        <v>6328</v>
      </c>
      <c r="D324" s="1002"/>
      <c r="E324" s="950">
        <v>0</v>
      </c>
      <c r="F324" s="950"/>
      <c r="G324" s="1032">
        <v>1500</v>
      </c>
      <c r="H324" s="950"/>
      <c r="I324" s="950"/>
      <c r="J324" s="950"/>
      <c r="K324" s="866">
        <v>1500</v>
      </c>
    </row>
    <row r="325" spans="1:11" ht="13.5" customHeight="1" x14ac:dyDescent="0.2">
      <c r="A325" s="79">
        <v>43076</v>
      </c>
      <c r="B325" s="585"/>
      <c r="C325" s="795" t="s">
        <v>6329</v>
      </c>
      <c r="D325" s="1002"/>
      <c r="E325" s="950">
        <v>1500</v>
      </c>
      <c r="F325" s="950"/>
      <c r="G325" s="987">
        <v>0</v>
      </c>
      <c r="H325" s="950"/>
      <c r="I325" s="950"/>
      <c r="J325" s="950"/>
      <c r="K325" s="1001">
        <v>0</v>
      </c>
    </row>
    <row r="326" spans="1:11" ht="13.5" customHeight="1" x14ac:dyDescent="0.2">
      <c r="A326" s="79"/>
      <c r="B326" s="585"/>
      <c r="C326" s="795"/>
      <c r="D326" s="1002"/>
      <c r="E326" s="950"/>
      <c r="F326" s="950"/>
      <c r="G326" s="987"/>
      <c r="H326" s="950"/>
      <c r="I326" s="950"/>
      <c r="J326" s="950"/>
    </row>
    <row r="327" spans="1:11" ht="13.5" customHeight="1" thickBot="1" x14ac:dyDescent="0.25">
      <c r="A327" s="76"/>
      <c r="B327" s="76"/>
      <c r="C327" s="78"/>
      <c r="D327" s="951"/>
      <c r="E327" s="951"/>
      <c r="F327" s="951"/>
      <c r="G327" s="1032"/>
      <c r="H327" s="1034"/>
      <c r="I327" s="1034"/>
      <c r="J327" s="950"/>
    </row>
    <row r="328" spans="1:11" ht="13.5" customHeight="1" thickBot="1" x14ac:dyDescent="0.25">
      <c r="A328" s="848" t="s">
        <v>5829</v>
      </c>
      <c r="B328" s="839"/>
      <c r="C328" s="840" t="s">
        <v>5843</v>
      </c>
      <c r="D328" s="1030"/>
      <c r="E328" s="948"/>
      <c r="F328" s="948"/>
      <c r="G328" s="985" t="s">
        <v>7</v>
      </c>
      <c r="H328" s="948"/>
      <c r="I328" s="948"/>
      <c r="J328" s="1020"/>
    </row>
    <row r="329" spans="1:11" ht="13.5" customHeight="1" x14ac:dyDescent="0.2">
      <c r="A329" s="585"/>
      <c r="B329" s="585"/>
      <c r="C329" s="795" t="s">
        <v>5831</v>
      </c>
      <c r="D329" s="1002"/>
      <c r="E329" s="950"/>
      <c r="F329" s="950"/>
      <c r="G329" s="1032">
        <v>6000</v>
      </c>
      <c r="H329" s="950"/>
      <c r="I329" s="950"/>
      <c r="J329" s="950"/>
    </row>
    <row r="330" spans="1:11" ht="13.5" customHeight="1" x14ac:dyDescent="0.2">
      <c r="A330" s="79">
        <v>42594</v>
      </c>
      <c r="B330" s="585"/>
      <c r="C330" s="795" t="s">
        <v>5844</v>
      </c>
      <c r="D330" s="1002"/>
      <c r="E330" s="950">
        <v>2000</v>
      </c>
      <c r="F330" s="950"/>
      <c r="G330" s="1032">
        <v>4000</v>
      </c>
      <c r="H330" s="950"/>
      <c r="I330" s="950"/>
      <c r="J330" s="950"/>
    </row>
    <row r="331" spans="1:11" ht="13.5" customHeight="1" x14ac:dyDescent="0.2">
      <c r="A331" s="79">
        <v>42682</v>
      </c>
      <c r="B331" s="79"/>
      <c r="C331" s="795" t="s">
        <v>5845</v>
      </c>
      <c r="D331" s="951"/>
      <c r="E331" s="950">
        <v>3500</v>
      </c>
      <c r="F331" s="950"/>
      <c r="G331" s="1032">
        <v>500</v>
      </c>
      <c r="H331" s="1034"/>
      <c r="I331" s="1034"/>
      <c r="J331" s="950"/>
    </row>
    <row r="332" spans="1:11" ht="13.5" customHeight="1" x14ac:dyDescent="0.2">
      <c r="A332" s="79"/>
      <c r="B332" s="79"/>
      <c r="C332" s="78"/>
      <c r="D332" s="951"/>
      <c r="E332" s="951"/>
      <c r="F332" s="951"/>
      <c r="G332" s="1032"/>
      <c r="H332" s="1034"/>
      <c r="I332" s="1034"/>
      <c r="J332" s="950"/>
    </row>
    <row r="333" spans="1:11" ht="13.5" customHeight="1" thickBot="1" x14ac:dyDescent="0.25">
      <c r="A333" s="79"/>
      <c r="B333" s="79"/>
      <c r="C333" s="78"/>
      <c r="D333" s="951"/>
      <c r="E333" s="951"/>
      <c r="F333" s="951"/>
      <c r="G333" s="1032"/>
      <c r="H333" s="1034"/>
      <c r="I333" s="1034"/>
      <c r="J333" s="950"/>
    </row>
    <row r="334" spans="1:11" ht="13.5" customHeight="1" thickBot="1" x14ac:dyDescent="0.25">
      <c r="A334" s="848" t="s">
        <v>5829</v>
      </c>
      <c r="B334" s="839"/>
      <c r="C334" s="840" t="s">
        <v>5846</v>
      </c>
      <c r="D334" s="1030"/>
      <c r="E334" s="948"/>
      <c r="F334" s="948"/>
      <c r="G334" s="985" t="s">
        <v>7</v>
      </c>
      <c r="H334" s="1034"/>
      <c r="I334" s="1034"/>
      <c r="J334" s="950"/>
    </row>
    <row r="335" spans="1:11" ht="13.5" customHeight="1" x14ac:dyDescent="0.2">
      <c r="A335" s="79"/>
      <c r="B335" s="585"/>
      <c r="C335" s="795" t="s">
        <v>5831</v>
      </c>
      <c r="D335" s="1002"/>
      <c r="E335" s="950"/>
      <c r="F335" s="950"/>
      <c r="G335" s="1032">
        <v>1400</v>
      </c>
      <c r="H335" s="1034"/>
      <c r="I335" s="1034"/>
      <c r="J335" s="950"/>
      <c r="K335" s="866">
        <v>1400</v>
      </c>
    </row>
    <row r="336" spans="1:11" ht="13.5" customHeight="1" x14ac:dyDescent="0.2">
      <c r="A336" s="79">
        <v>42465</v>
      </c>
      <c r="B336" s="585"/>
      <c r="C336" s="795" t="s">
        <v>5847</v>
      </c>
      <c r="D336" s="1002"/>
      <c r="E336" s="950">
        <v>123.9</v>
      </c>
      <c r="F336" s="950"/>
      <c r="G336" s="1032">
        <v>1276.0999999999999</v>
      </c>
      <c r="H336" s="1034"/>
      <c r="I336" s="1034"/>
      <c r="J336" s="950"/>
      <c r="K336" s="866">
        <v>1276.0999999999999</v>
      </c>
    </row>
    <row r="337" spans="1:11" ht="13.5" customHeight="1" x14ac:dyDescent="0.2">
      <c r="A337" s="79"/>
      <c r="B337" s="585"/>
      <c r="C337" s="795" t="s">
        <v>5848</v>
      </c>
      <c r="D337" s="1002"/>
      <c r="E337" s="950">
        <v>150</v>
      </c>
      <c r="F337" s="950"/>
      <c r="G337" s="1032">
        <v>1126.0999999999999</v>
      </c>
      <c r="H337" s="1034"/>
      <c r="I337" s="1034"/>
      <c r="J337" s="950"/>
      <c r="K337" s="866">
        <v>1126.0999999999999</v>
      </c>
    </row>
    <row r="338" spans="1:11" ht="13.5" customHeight="1" x14ac:dyDescent="0.2">
      <c r="A338" s="79">
        <v>42543</v>
      </c>
      <c r="B338" s="585"/>
      <c r="C338" s="795" t="s">
        <v>5849</v>
      </c>
      <c r="D338" s="1002"/>
      <c r="E338" s="950">
        <v>176.9</v>
      </c>
      <c r="F338" s="950"/>
      <c r="G338" s="1032">
        <v>949.19999999999993</v>
      </c>
      <c r="H338" s="950"/>
      <c r="I338" s="950"/>
      <c r="J338" s="950"/>
      <c r="K338" s="866">
        <v>949.19999999999993</v>
      </c>
    </row>
    <row r="339" spans="1:11" ht="13.5" customHeight="1" x14ac:dyDescent="0.2">
      <c r="A339" s="79"/>
      <c r="B339" s="79"/>
      <c r="C339" s="795" t="s">
        <v>5850</v>
      </c>
      <c r="D339" s="951"/>
      <c r="E339" s="950">
        <v>105.5</v>
      </c>
      <c r="F339" s="950"/>
      <c r="G339" s="1032">
        <v>843.69999999999993</v>
      </c>
      <c r="H339" s="950"/>
      <c r="I339" s="950"/>
      <c r="J339" s="950"/>
      <c r="K339" s="866">
        <v>843.69999999999993</v>
      </c>
    </row>
    <row r="340" spans="1:11" ht="13.5" customHeight="1" x14ac:dyDescent="0.2">
      <c r="A340" s="79"/>
      <c r="B340" s="79"/>
      <c r="C340" s="78" t="s">
        <v>5851</v>
      </c>
      <c r="D340" s="951"/>
      <c r="E340" s="950">
        <v>37.5</v>
      </c>
      <c r="F340" s="950"/>
      <c r="G340" s="1032">
        <v>806.19999999999993</v>
      </c>
      <c r="H340" s="1034"/>
      <c r="I340" s="1034"/>
      <c r="J340" s="950"/>
      <c r="K340" s="866">
        <v>806.19999999999993</v>
      </c>
    </row>
    <row r="341" spans="1:11" ht="13.5" customHeight="1" x14ac:dyDescent="0.2">
      <c r="A341" s="79">
        <v>42576</v>
      </c>
      <c r="B341" s="79"/>
      <c r="C341" s="78" t="s">
        <v>5852</v>
      </c>
      <c r="D341" s="951"/>
      <c r="E341" s="950">
        <v>39.9</v>
      </c>
      <c r="F341" s="950"/>
      <c r="G341" s="1032">
        <v>766.3</v>
      </c>
      <c r="H341" s="1034"/>
      <c r="I341" s="1034"/>
      <c r="J341" s="950"/>
      <c r="K341" s="866">
        <v>766.3</v>
      </c>
    </row>
    <row r="342" spans="1:11" ht="13.5" customHeight="1" x14ac:dyDescent="0.2">
      <c r="A342" s="79">
        <v>42600</v>
      </c>
      <c r="B342" s="79"/>
      <c r="C342" s="850" t="s">
        <v>5853</v>
      </c>
      <c r="D342" s="951"/>
      <c r="E342" s="950">
        <v>11.8</v>
      </c>
      <c r="F342" s="950"/>
      <c r="G342" s="1032">
        <v>754.5</v>
      </c>
      <c r="H342" s="1034"/>
      <c r="I342" s="1034"/>
      <c r="J342" s="950"/>
      <c r="K342" s="866">
        <v>754.5</v>
      </c>
    </row>
    <row r="343" spans="1:11" ht="13.5" customHeight="1" x14ac:dyDescent="0.2">
      <c r="A343" s="79">
        <v>42611</v>
      </c>
      <c r="B343" s="79"/>
      <c r="C343" s="795" t="s">
        <v>5854</v>
      </c>
      <c r="D343" s="951"/>
      <c r="E343" s="950">
        <v>176.9</v>
      </c>
      <c r="F343" s="950"/>
      <c r="G343" s="1032">
        <v>577.6</v>
      </c>
      <c r="H343" s="1034"/>
      <c r="I343" s="1034"/>
      <c r="J343" s="950"/>
      <c r="K343" s="866">
        <v>577.6</v>
      </c>
    </row>
    <row r="344" spans="1:11" ht="13.5" customHeight="1" x14ac:dyDescent="0.2">
      <c r="A344" s="79">
        <v>42633</v>
      </c>
      <c r="B344" s="585"/>
      <c r="C344" s="795" t="s">
        <v>5855</v>
      </c>
      <c r="D344" s="1002"/>
      <c r="E344" s="950">
        <v>5</v>
      </c>
      <c r="F344" s="950"/>
      <c r="G344" s="1032">
        <v>572.6</v>
      </c>
      <c r="H344" s="950"/>
      <c r="I344" s="950"/>
      <c r="J344" s="950"/>
      <c r="K344" s="866">
        <v>572.6</v>
      </c>
    </row>
    <row r="345" spans="1:11" ht="13.5" customHeight="1" x14ac:dyDescent="0.2">
      <c r="A345" s="79">
        <v>42664</v>
      </c>
      <c r="B345" s="851"/>
      <c r="C345" s="852" t="s">
        <v>5856</v>
      </c>
      <c r="D345" s="1002"/>
      <c r="E345" s="950">
        <v>95</v>
      </c>
      <c r="F345" s="950"/>
      <c r="G345" s="1032">
        <v>477.6</v>
      </c>
      <c r="H345" s="950"/>
      <c r="I345" s="950"/>
      <c r="J345" s="950"/>
      <c r="K345" s="866">
        <v>477.6</v>
      </c>
    </row>
    <row r="346" spans="1:11" ht="13.5" customHeight="1" x14ac:dyDescent="0.2">
      <c r="A346" s="79">
        <v>42704</v>
      </c>
      <c r="B346" s="79"/>
      <c r="C346" s="78" t="s">
        <v>5857</v>
      </c>
      <c r="D346" s="951"/>
      <c r="E346" s="950">
        <v>31.7</v>
      </c>
      <c r="F346" s="950"/>
      <c r="G346" s="1032">
        <v>445.90000000000003</v>
      </c>
      <c r="H346" s="1034"/>
      <c r="I346" s="1034"/>
      <c r="J346" s="950"/>
      <c r="K346" s="866">
        <v>445.90000000000003</v>
      </c>
    </row>
    <row r="347" spans="1:11" ht="13.5" customHeight="1" x14ac:dyDescent="0.2">
      <c r="A347" s="79">
        <v>42705</v>
      </c>
      <c r="B347" s="79"/>
      <c r="C347" s="78" t="s">
        <v>5858</v>
      </c>
      <c r="D347" s="1002"/>
      <c r="E347" s="950">
        <v>14.4</v>
      </c>
      <c r="F347" s="950"/>
      <c r="G347" s="1032">
        <v>431.50000000000006</v>
      </c>
      <c r="H347" s="1034"/>
      <c r="I347" s="1034"/>
      <c r="J347" s="950"/>
      <c r="K347" s="866">
        <v>431.50000000000006</v>
      </c>
    </row>
    <row r="348" spans="1:11" ht="13.5" customHeight="1" x14ac:dyDescent="0.2">
      <c r="A348" s="79">
        <v>42716</v>
      </c>
      <c r="B348" s="79"/>
      <c r="C348" s="78" t="s">
        <v>5847</v>
      </c>
      <c r="D348" s="951"/>
      <c r="E348" s="950">
        <v>120</v>
      </c>
      <c r="F348" s="950"/>
      <c r="G348" s="1032">
        <v>311.50000000000006</v>
      </c>
      <c r="H348" s="1034"/>
      <c r="I348" s="1034"/>
      <c r="J348" s="950"/>
      <c r="K348" s="866">
        <v>311.50000000000006</v>
      </c>
    </row>
    <row r="349" spans="1:11" ht="13.5" customHeight="1" x14ac:dyDescent="0.2">
      <c r="A349" s="79">
        <v>42718</v>
      </c>
      <c r="B349" s="79"/>
      <c r="C349" s="78" t="s">
        <v>5859</v>
      </c>
      <c r="D349" s="1002"/>
      <c r="E349" s="950">
        <v>23.7</v>
      </c>
      <c r="F349" s="950"/>
      <c r="G349" s="1032">
        <v>287.80000000000007</v>
      </c>
      <c r="H349" s="1034"/>
      <c r="I349" s="1034"/>
      <c r="J349" s="950"/>
      <c r="K349" s="866">
        <v>287.80000000000007</v>
      </c>
    </row>
    <row r="350" spans="1:11" ht="13.5" customHeight="1" x14ac:dyDescent="0.2">
      <c r="A350" s="79">
        <v>42759</v>
      </c>
      <c r="B350" s="851"/>
      <c r="C350" s="853" t="s">
        <v>5860</v>
      </c>
      <c r="D350" s="951"/>
      <c r="E350" s="950">
        <v>1</v>
      </c>
      <c r="F350" s="950"/>
      <c r="G350" s="1032">
        <v>286.80000000000007</v>
      </c>
      <c r="H350" s="950"/>
      <c r="I350" s="950"/>
      <c r="J350" s="950"/>
      <c r="K350" s="866">
        <v>286.80000000000007</v>
      </c>
    </row>
    <row r="351" spans="1:11" ht="13.5" customHeight="1" x14ac:dyDescent="0.2">
      <c r="A351" s="79">
        <v>42765</v>
      </c>
      <c r="B351" s="79"/>
      <c r="C351" s="78" t="s">
        <v>5861</v>
      </c>
      <c r="D351" s="1002"/>
      <c r="E351" s="950">
        <v>45</v>
      </c>
      <c r="F351" s="950"/>
      <c r="G351" s="1032">
        <v>241.80000000000007</v>
      </c>
      <c r="H351" s="1034"/>
      <c r="I351" s="1034"/>
      <c r="J351" s="950"/>
      <c r="K351" s="866">
        <v>241.80000000000007</v>
      </c>
    </row>
    <row r="352" spans="1:11" ht="13.5" customHeight="1" x14ac:dyDescent="0.2">
      <c r="A352" s="79">
        <v>42899</v>
      </c>
      <c r="B352" s="79"/>
      <c r="C352" s="78" t="s">
        <v>5862</v>
      </c>
      <c r="D352" s="951"/>
      <c r="E352" s="950">
        <v>130</v>
      </c>
      <c r="F352" s="950"/>
      <c r="G352" s="1032">
        <v>111.80000000000007</v>
      </c>
      <c r="H352" s="1034"/>
      <c r="I352" s="1034"/>
      <c r="J352" s="950"/>
      <c r="K352" s="1001">
        <v>111.80000000000007</v>
      </c>
    </row>
    <row r="353" spans="1:10" ht="13.5" customHeight="1" x14ac:dyDescent="0.2">
      <c r="A353" s="79"/>
      <c r="B353" s="79"/>
      <c r="C353" s="78"/>
      <c r="D353" s="951"/>
      <c r="E353" s="950"/>
      <c r="F353" s="950"/>
      <c r="G353" s="1032"/>
      <c r="H353" s="1034"/>
      <c r="I353" s="1034"/>
      <c r="J353" s="950"/>
    </row>
    <row r="354" spans="1:10" ht="13.5" customHeight="1" x14ac:dyDescent="0.2">
      <c r="A354" s="843"/>
      <c r="B354" s="851"/>
      <c r="C354" s="852"/>
      <c r="D354" s="1002"/>
      <c r="E354" s="950"/>
      <c r="F354" s="950"/>
      <c r="G354" s="1032"/>
      <c r="H354" s="950"/>
      <c r="I354" s="950"/>
      <c r="J354" s="950"/>
    </row>
    <row r="355" spans="1:10" ht="13.5" customHeight="1" x14ac:dyDescent="0.2">
      <c r="A355" s="79"/>
      <c r="B355" s="79"/>
      <c r="C355" s="78"/>
      <c r="D355" s="951"/>
      <c r="E355" s="950"/>
      <c r="F355" s="950"/>
      <c r="G355" s="1032"/>
      <c r="H355" s="1034"/>
      <c r="I355" s="1034"/>
      <c r="J355" s="950"/>
    </row>
    <row r="356" spans="1:10" ht="13.5" customHeight="1" x14ac:dyDescent="0.2">
      <c r="A356" s="79"/>
      <c r="B356" s="79"/>
      <c r="C356" s="78"/>
      <c r="D356" s="951"/>
      <c r="E356" s="950"/>
      <c r="F356" s="950"/>
      <c r="G356" s="1032"/>
      <c r="H356" s="1034"/>
      <c r="I356" s="1034"/>
      <c r="J356" s="950"/>
    </row>
    <row r="357" spans="1:10" ht="13.5" customHeight="1" x14ac:dyDescent="0.2">
      <c r="A357" s="79"/>
      <c r="B357" s="79"/>
      <c r="C357" s="78"/>
      <c r="D357" s="951"/>
      <c r="E357" s="951"/>
      <c r="F357" s="951"/>
      <c r="G357" s="1032"/>
      <c r="H357" s="1034"/>
      <c r="I357" s="1034"/>
      <c r="J357" s="950"/>
    </row>
    <row r="358" spans="1:10" ht="13.5" customHeight="1" x14ac:dyDescent="0.2">
      <c r="A358" s="79"/>
      <c r="B358" s="79"/>
      <c r="C358" s="78"/>
      <c r="D358" s="951"/>
      <c r="E358" s="951"/>
      <c r="F358" s="951"/>
      <c r="G358" s="1032"/>
      <c r="H358" s="1034"/>
      <c r="I358" s="1034"/>
      <c r="J358" s="950"/>
    </row>
    <row r="359" spans="1:10" ht="13.5" customHeight="1" x14ac:dyDescent="0.2">
      <c r="A359" s="79"/>
      <c r="B359" s="79"/>
      <c r="C359" s="78"/>
      <c r="D359" s="951"/>
      <c r="E359" s="951"/>
      <c r="F359" s="951"/>
      <c r="G359" s="1032"/>
      <c r="H359" s="1034"/>
      <c r="I359" s="1034"/>
      <c r="J359" s="950"/>
    </row>
    <row r="360" spans="1:10" ht="13.5" customHeight="1" x14ac:dyDescent="0.2">
      <c r="A360" s="79"/>
      <c r="B360" s="79"/>
      <c r="C360" s="78"/>
      <c r="D360" s="951"/>
      <c r="E360" s="951"/>
      <c r="F360" s="951"/>
      <c r="G360" s="1032"/>
      <c r="H360" s="1034"/>
      <c r="I360" s="1034"/>
      <c r="J360" s="950"/>
    </row>
    <row r="361" spans="1:10" ht="13.5" customHeight="1" x14ac:dyDescent="0.2">
      <c r="A361" s="79"/>
      <c r="B361" s="79"/>
      <c r="C361" s="78"/>
      <c r="D361" s="951"/>
      <c r="E361" s="951"/>
      <c r="F361" s="951"/>
      <c r="G361" s="1032"/>
      <c r="H361" s="1034"/>
      <c r="I361" s="1034"/>
      <c r="J361" s="950"/>
    </row>
    <row r="362" spans="1:10" ht="13.5" customHeight="1" x14ac:dyDescent="0.2">
      <c r="A362" s="79"/>
      <c r="B362" s="79"/>
      <c r="C362" s="78"/>
      <c r="D362" s="951"/>
      <c r="E362" s="951"/>
      <c r="F362" s="951"/>
      <c r="G362" s="987"/>
      <c r="H362" s="1034"/>
      <c r="I362" s="1034"/>
      <c r="J362" s="1035"/>
    </row>
    <row r="363" spans="1:10" ht="13.5" customHeight="1" x14ac:dyDescent="0.2">
      <c r="A363" s="585"/>
      <c r="B363" s="585"/>
      <c r="C363" s="795"/>
      <c r="D363" s="1002"/>
      <c r="E363" s="950"/>
      <c r="F363" s="950"/>
      <c r="G363" s="1032"/>
      <c r="H363" s="1036"/>
      <c r="I363" s="950"/>
      <c r="J363" s="950"/>
    </row>
    <row r="364" spans="1:10" ht="13.5" customHeight="1" x14ac:dyDescent="0.2">
      <c r="A364" s="585"/>
      <c r="B364" s="585"/>
      <c r="C364" s="795"/>
      <c r="D364" s="1002"/>
      <c r="E364" s="950"/>
      <c r="F364" s="950"/>
      <c r="G364" s="1032"/>
      <c r="H364" s="1036"/>
      <c r="I364" s="950"/>
      <c r="J364" s="950"/>
    </row>
    <row r="365" spans="1:10" ht="13.5" customHeight="1" x14ac:dyDescent="0.2">
      <c r="A365" s="585"/>
      <c r="B365" s="585"/>
      <c r="C365" s="795"/>
      <c r="D365" s="1002"/>
      <c r="E365" s="950"/>
      <c r="F365" s="950"/>
      <c r="G365" s="1032"/>
      <c r="H365" s="1036"/>
      <c r="I365" s="950"/>
      <c r="J365" s="950"/>
    </row>
    <row r="366" spans="1:10" ht="13.5" customHeight="1" x14ac:dyDescent="0.2">
      <c r="A366" s="585"/>
      <c r="B366" s="585"/>
      <c r="C366" s="795"/>
      <c r="D366" s="1002"/>
      <c r="E366" s="950"/>
      <c r="F366" s="950"/>
      <c r="G366" s="1032"/>
      <c r="H366" s="1036"/>
      <c r="I366" s="950"/>
      <c r="J366" s="950"/>
    </row>
    <row r="367" spans="1:10" ht="13.5" customHeight="1" x14ac:dyDescent="0.2">
      <c r="A367" s="585"/>
      <c r="B367" s="585"/>
      <c r="C367" s="795"/>
      <c r="D367" s="1002"/>
      <c r="E367" s="950"/>
      <c r="F367" s="950"/>
      <c r="G367" s="1032"/>
      <c r="H367" s="1036"/>
      <c r="I367" s="950"/>
      <c r="J367" s="950"/>
    </row>
    <row r="368" spans="1:10" ht="13.5" customHeight="1" x14ac:dyDescent="0.2">
      <c r="A368" s="585"/>
      <c r="B368" s="585"/>
      <c r="C368" s="795"/>
      <c r="D368" s="1002"/>
      <c r="E368" s="950"/>
      <c r="F368" s="950"/>
      <c r="G368" s="1032"/>
      <c r="H368" s="1036"/>
      <c r="I368" s="950"/>
      <c r="J368" s="950"/>
    </row>
    <row r="369" spans="1:10" ht="13.5" customHeight="1" x14ac:dyDescent="0.2">
      <c r="A369" s="585"/>
      <c r="B369" s="585"/>
      <c r="C369" s="795"/>
      <c r="D369" s="1002"/>
      <c r="E369" s="950"/>
      <c r="F369" s="950"/>
      <c r="G369" s="1032"/>
      <c r="H369" s="1036"/>
      <c r="I369" s="950"/>
      <c r="J369" s="950"/>
    </row>
    <row r="370" spans="1:10" ht="13.5" customHeight="1" x14ac:dyDescent="0.2">
      <c r="A370" s="585"/>
      <c r="B370" s="585"/>
      <c r="C370" s="795"/>
      <c r="D370" s="1002"/>
      <c r="E370" s="950"/>
      <c r="F370" s="950"/>
      <c r="G370" s="1032"/>
      <c r="H370" s="1036"/>
      <c r="I370" s="950"/>
      <c r="J370" s="950"/>
    </row>
    <row r="371" spans="1:10" ht="13.5" customHeight="1" x14ac:dyDescent="0.2">
      <c r="A371" s="585"/>
      <c r="B371" s="585"/>
      <c r="C371" s="795"/>
      <c r="D371" s="1002"/>
      <c r="E371" s="950"/>
      <c r="F371" s="950"/>
      <c r="G371" s="1032"/>
      <c r="H371" s="1036"/>
      <c r="I371" s="950"/>
      <c r="J371" s="950"/>
    </row>
    <row r="372" spans="1:10" ht="13.5" customHeight="1" x14ac:dyDescent="0.2">
      <c r="A372" s="585"/>
      <c r="B372" s="585"/>
      <c r="C372" s="795"/>
      <c r="D372" s="1002"/>
      <c r="E372" s="950"/>
      <c r="F372" s="950"/>
      <c r="G372" s="1032"/>
      <c r="H372" s="1036"/>
      <c r="I372" s="950"/>
      <c r="J372" s="950"/>
    </row>
    <row r="373" spans="1:10" ht="13.5" customHeight="1" x14ac:dyDescent="0.2">
      <c r="A373" s="585"/>
      <c r="B373" s="585"/>
      <c r="C373" s="795"/>
      <c r="D373" s="1002"/>
      <c r="E373" s="950"/>
      <c r="F373" s="950"/>
      <c r="G373" s="1032"/>
      <c r="H373" s="1036"/>
      <c r="I373" s="950"/>
      <c r="J373" s="950"/>
    </row>
    <row r="374" spans="1:10" ht="13.5" customHeight="1" x14ac:dyDescent="0.2">
      <c r="A374" s="585"/>
      <c r="B374" s="585"/>
      <c r="C374" s="795"/>
      <c r="D374" s="1002"/>
      <c r="E374" s="950"/>
      <c r="F374" s="950"/>
      <c r="G374" s="1032"/>
      <c r="H374" s="1036"/>
      <c r="I374" s="950"/>
      <c r="J374" s="950"/>
    </row>
    <row r="375" spans="1:10" ht="13.5" customHeight="1" x14ac:dyDescent="0.2">
      <c r="A375" s="585"/>
      <c r="B375" s="585"/>
      <c r="C375" s="795"/>
      <c r="D375" s="1002"/>
      <c r="E375" s="950"/>
      <c r="F375" s="950"/>
      <c r="G375" s="1032"/>
      <c r="H375" s="1036"/>
      <c r="I375" s="950"/>
      <c r="J375" s="950"/>
    </row>
    <row r="376" spans="1:10" ht="13.5" customHeight="1" x14ac:dyDescent="0.2">
      <c r="A376" s="585"/>
      <c r="B376" s="585"/>
      <c r="C376" s="795"/>
      <c r="D376" s="1002"/>
      <c r="E376" s="950"/>
      <c r="F376" s="950"/>
      <c r="G376" s="1032"/>
      <c r="H376" s="1036"/>
      <c r="I376" s="950"/>
      <c r="J376" s="950"/>
    </row>
    <row r="377" spans="1:10" ht="13.5" customHeight="1" x14ac:dyDescent="0.2">
      <c r="A377" s="585"/>
      <c r="B377" s="585"/>
      <c r="C377" s="795"/>
      <c r="D377" s="1002"/>
      <c r="E377" s="950"/>
      <c r="F377" s="950"/>
      <c r="G377" s="1032"/>
      <c r="H377" s="1036"/>
      <c r="I377" s="950"/>
      <c r="J377" s="950"/>
    </row>
    <row r="378" spans="1:10" ht="13.5" customHeight="1" x14ac:dyDescent="0.2">
      <c r="A378" s="585"/>
      <c r="B378" s="585"/>
      <c r="C378" s="795"/>
      <c r="D378" s="1002"/>
      <c r="E378" s="950"/>
      <c r="F378" s="950"/>
      <c r="G378" s="1032"/>
      <c r="H378" s="1036"/>
      <c r="I378" s="950"/>
      <c r="J378" s="950"/>
    </row>
    <row r="379" spans="1:10" ht="13.5" customHeight="1" x14ac:dyDescent="0.2">
      <c r="A379" s="585"/>
      <c r="B379" s="585"/>
      <c r="C379" s="795"/>
      <c r="D379" s="1002"/>
      <c r="E379" s="950"/>
      <c r="F379" s="950"/>
      <c r="G379" s="1032"/>
      <c r="H379" s="1036"/>
      <c r="I379" s="950"/>
      <c r="J379" s="950"/>
    </row>
    <row r="380" spans="1:10" ht="13.5" customHeight="1" x14ac:dyDescent="0.2">
      <c r="A380" s="585"/>
      <c r="B380" s="585"/>
      <c r="C380" s="795"/>
      <c r="D380" s="1002"/>
      <c r="E380" s="950"/>
      <c r="F380" s="950"/>
      <c r="G380" s="1032"/>
      <c r="H380" s="1036"/>
      <c r="I380" s="950"/>
      <c r="J380" s="950"/>
    </row>
    <row r="381" spans="1:10" ht="13.5" customHeight="1" x14ac:dyDescent="0.2">
      <c r="A381" s="585"/>
      <c r="B381" s="585"/>
      <c r="C381" s="795"/>
      <c r="D381" s="1002"/>
      <c r="E381" s="950"/>
      <c r="F381" s="950"/>
      <c r="G381" s="1032"/>
      <c r="H381" s="1036"/>
      <c r="I381" s="950"/>
      <c r="J381" s="950"/>
    </row>
    <row r="382" spans="1:10" ht="13.5" customHeight="1" x14ac:dyDescent="0.2">
      <c r="A382" s="585"/>
      <c r="B382" s="585"/>
      <c r="C382" s="795"/>
      <c r="D382" s="1002"/>
      <c r="E382" s="950"/>
      <c r="F382" s="950"/>
      <c r="G382" s="1032"/>
      <c r="H382" s="1036"/>
      <c r="I382" s="950"/>
      <c r="J382" s="950"/>
    </row>
    <row r="383" spans="1:10" ht="13.5" customHeight="1" x14ac:dyDescent="0.2">
      <c r="A383" s="585"/>
      <c r="B383" s="585"/>
      <c r="C383" s="795"/>
      <c r="D383" s="1002"/>
      <c r="E383" s="950"/>
      <c r="F383" s="950"/>
      <c r="G383" s="1032"/>
      <c r="H383" s="1036"/>
      <c r="I383" s="950"/>
      <c r="J383" s="950"/>
    </row>
    <row r="384" spans="1:10" ht="13.5" customHeight="1" x14ac:dyDescent="0.2">
      <c r="A384" s="585"/>
      <c r="B384" s="585"/>
      <c r="C384" s="795"/>
      <c r="D384" s="1002"/>
      <c r="E384" s="950"/>
      <c r="F384" s="950"/>
      <c r="G384" s="1032"/>
      <c r="H384" s="1036"/>
      <c r="I384" s="950"/>
      <c r="J384" s="950"/>
    </row>
    <row r="385" spans="1:10" ht="13.5" customHeight="1" x14ac:dyDescent="0.2">
      <c r="A385" s="585"/>
      <c r="B385" s="585"/>
      <c r="C385" s="795"/>
      <c r="D385" s="1002"/>
      <c r="E385" s="950"/>
      <c r="F385" s="950"/>
      <c r="G385" s="1032"/>
      <c r="H385" s="1036"/>
      <c r="I385" s="950"/>
      <c r="J385" s="950"/>
    </row>
    <row r="386" spans="1:10" ht="13.5" customHeight="1" x14ac:dyDescent="0.2">
      <c r="A386" s="585"/>
      <c r="B386" s="585"/>
      <c r="C386" s="795"/>
      <c r="D386" s="1002"/>
      <c r="E386" s="950"/>
      <c r="F386" s="950"/>
      <c r="G386" s="1032"/>
      <c r="H386" s="1036"/>
      <c r="I386" s="950"/>
      <c r="J386" s="950"/>
    </row>
    <row r="387" spans="1:10" ht="13.5" customHeight="1" x14ac:dyDescent="0.2">
      <c r="A387" s="585"/>
      <c r="B387" s="585"/>
      <c r="C387" s="795"/>
      <c r="D387" s="1002"/>
      <c r="E387" s="950"/>
      <c r="F387" s="950"/>
      <c r="G387" s="1032"/>
      <c r="H387" s="1036"/>
      <c r="I387" s="950"/>
      <c r="J387" s="950"/>
    </row>
    <row r="388" spans="1:10" ht="13.5" customHeight="1" x14ac:dyDescent="0.2">
      <c r="A388" s="585"/>
      <c r="B388" s="585"/>
      <c r="C388" s="795"/>
      <c r="D388" s="1002"/>
      <c r="E388" s="950"/>
      <c r="F388" s="950"/>
      <c r="G388" s="1032"/>
      <c r="H388" s="1036"/>
      <c r="I388" s="950"/>
      <c r="J388" s="950"/>
    </row>
    <row r="389" spans="1:10" ht="13.5" customHeight="1" x14ac:dyDescent="0.2">
      <c r="A389" s="585"/>
      <c r="B389" s="585"/>
      <c r="C389" s="795"/>
      <c r="D389" s="1002"/>
      <c r="E389" s="950"/>
      <c r="F389" s="950"/>
      <c r="G389" s="1032"/>
      <c r="H389" s="1036"/>
      <c r="I389" s="950"/>
      <c r="J389" s="950"/>
    </row>
    <row r="390" spans="1:10" ht="13.5" customHeight="1" x14ac:dyDescent="0.2">
      <c r="A390" s="585"/>
      <c r="B390" s="585"/>
      <c r="C390" s="795"/>
      <c r="D390" s="1002"/>
      <c r="E390" s="950"/>
      <c r="F390" s="950"/>
      <c r="G390" s="1032"/>
      <c r="H390" s="1036"/>
      <c r="I390" s="950"/>
      <c r="J390" s="950"/>
    </row>
    <row r="391" spans="1:10" ht="13.5" customHeight="1" x14ac:dyDescent="0.2">
      <c r="A391" s="585"/>
      <c r="B391" s="585"/>
      <c r="C391" s="795"/>
      <c r="D391" s="1002"/>
      <c r="E391" s="950"/>
      <c r="F391" s="950"/>
      <c r="G391" s="1032"/>
      <c r="H391" s="1036"/>
      <c r="I391" s="950"/>
      <c r="J391" s="950"/>
    </row>
    <row r="392" spans="1:10" ht="13.5" customHeight="1" x14ac:dyDescent="0.2">
      <c r="A392" s="585"/>
      <c r="B392" s="585"/>
      <c r="C392" s="795"/>
      <c r="D392" s="1002"/>
      <c r="E392" s="950"/>
      <c r="F392" s="950"/>
      <c r="G392" s="1032"/>
      <c r="H392" s="1036"/>
      <c r="I392" s="950"/>
      <c r="J392" s="950"/>
    </row>
    <row r="393" spans="1:10" ht="13.5" customHeight="1" x14ac:dyDescent="0.2">
      <c r="A393" s="585"/>
      <c r="B393" s="585"/>
      <c r="C393" s="795"/>
      <c r="D393" s="1002"/>
      <c r="E393" s="950"/>
      <c r="F393" s="950"/>
      <c r="G393" s="1032"/>
      <c r="H393" s="1036"/>
      <c r="I393" s="950"/>
      <c r="J393" s="950"/>
    </row>
    <row r="394" spans="1:10" ht="13.5" customHeight="1" x14ac:dyDescent="0.2">
      <c r="A394" s="585"/>
      <c r="B394" s="585"/>
      <c r="C394" s="795"/>
      <c r="D394" s="1002"/>
      <c r="E394" s="950"/>
      <c r="F394" s="950"/>
      <c r="G394" s="1032"/>
      <c r="H394" s="1036"/>
      <c r="I394" s="950"/>
      <c r="J394" s="950"/>
    </row>
    <row r="395" spans="1:10" ht="13.5" customHeight="1" x14ac:dyDescent="0.2">
      <c r="A395" s="585"/>
      <c r="B395" s="585"/>
      <c r="C395" s="795"/>
      <c r="D395" s="1002"/>
      <c r="E395" s="950"/>
      <c r="F395" s="950"/>
      <c r="G395" s="1032"/>
      <c r="H395" s="1036"/>
      <c r="I395" s="950"/>
      <c r="J395" s="950"/>
    </row>
    <row r="396" spans="1:10" ht="13.5" customHeight="1" x14ac:dyDescent="0.2">
      <c r="A396" s="585"/>
      <c r="B396" s="585"/>
      <c r="C396" s="795"/>
      <c r="D396" s="1002"/>
      <c r="E396" s="950"/>
      <c r="F396" s="950"/>
      <c r="G396" s="1032"/>
      <c r="H396" s="1036"/>
      <c r="I396" s="950"/>
      <c r="J396" s="950"/>
    </row>
    <row r="397" spans="1:10" ht="13.5" customHeight="1" x14ac:dyDescent="0.2">
      <c r="A397" s="585"/>
      <c r="B397" s="585"/>
      <c r="C397" s="795"/>
      <c r="D397" s="1002"/>
      <c r="E397" s="950"/>
      <c r="F397" s="950"/>
      <c r="G397" s="1032"/>
      <c r="H397" s="1036"/>
      <c r="I397" s="950"/>
      <c r="J397" s="950"/>
    </row>
    <row r="398" spans="1:10" ht="13.5" customHeight="1" x14ac:dyDescent="0.2">
      <c r="A398" s="585"/>
      <c r="B398" s="585"/>
      <c r="C398" s="795"/>
      <c r="D398" s="1002"/>
      <c r="E398" s="950"/>
      <c r="F398" s="950"/>
      <c r="G398" s="1032"/>
      <c r="H398" s="1036"/>
      <c r="I398" s="950"/>
      <c r="J398" s="950"/>
    </row>
    <row r="399" spans="1:10" ht="13.5" customHeight="1" x14ac:dyDescent="0.2">
      <c r="A399" s="585"/>
      <c r="B399" s="585"/>
      <c r="C399" s="795"/>
      <c r="D399" s="1002"/>
      <c r="E399" s="950"/>
      <c r="F399" s="950"/>
      <c r="G399" s="1032"/>
      <c r="H399" s="1036"/>
      <c r="I399" s="950"/>
      <c r="J399" s="950"/>
    </row>
    <row r="400" spans="1:10" ht="13.5" customHeight="1" x14ac:dyDescent="0.2">
      <c r="A400" s="585"/>
      <c r="B400" s="585"/>
      <c r="C400" s="795"/>
      <c r="D400" s="1002"/>
      <c r="E400" s="950"/>
      <c r="F400" s="950"/>
      <c r="G400" s="1032"/>
      <c r="H400" s="1036"/>
      <c r="I400" s="950"/>
      <c r="J400" s="950"/>
    </row>
    <row r="401" spans="1:10" ht="13.5" customHeight="1" x14ac:dyDescent="0.2">
      <c r="A401" s="585"/>
      <c r="B401" s="585"/>
      <c r="C401" s="795"/>
      <c r="D401" s="1002"/>
      <c r="E401" s="950"/>
      <c r="F401" s="950"/>
      <c r="G401" s="1032"/>
      <c r="H401" s="1036"/>
      <c r="I401" s="950"/>
      <c r="J401" s="950"/>
    </row>
    <row r="402" spans="1:10" ht="13.5" customHeight="1" x14ac:dyDescent="0.2">
      <c r="A402" s="585"/>
      <c r="B402" s="585"/>
      <c r="C402" s="795"/>
      <c r="D402" s="1002"/>
      <c r="E402" s="950"/>
      <c r="F402" s="950"/>
      <c r="G402" s="1032"/>
      <c r="H402" s="1036"/>
      <c r="I402" s="950"/>
      <c r="J402" s="950"/>
    </row>
    <row r="403" spans="1:10" ht="13.5" customHeight="1" x14ac:dyDescent="0.2">
      <c r="A403" s="585"/>
      <c r="B403" s="585"/>
      <c r="C403" s="795"/>
      <c r="D403" s="1002"/>
      <c r="E403" s="950"/>
      <c r="F403" s="950"/>
      <c r="G403" s="1032"/>
      <c r="H403" s="1037"/>
      <c r="I403" s="950"/>
      <c r="J403" s="950"/>
    </row>
    <row r="404" spans="1:10" ht="13.5" customHeight="1" x14ac:dyDescent="0.2">
      <c r="A404" s="585"/>
      <c r="B404" s="585"/>
      <c r="C404" s="795"/>
      <c r="D404" s="1002"/>
      <c r="E404" s="950"/>
      <c r="F404" s="950"/>
      <c r="G404" s="1032"/>
      <c r="H404" s="1037"/>
      <c r="I404" s="950"/>
      <c r="J404" s="950"/>
    </row>
    <row r="405" spans="1:10" ht="13.5" customHeight="1" x14ac:dyDescent="0.2">
      <c r="A405" s="849"/>
      <c r="B405" s="585"/>
      <c r="C405" s="823"/>
      <c r="D405" s="1002"/>
      <c r="E405" s="950"/>
      <c r="F405" s="950"/>
      <c r="G405" s="1032"/>
      <c r="H405" s="1038"/>
      <c r="I405" s="950"/>
      <c r="J405" s="950"/>
    </row>
    <row r="406" spans="1:10" ht="13.5" customHeight="1" x14ac:dyDescent="0.2">
      <c r="A406" s="585"/>
      <c r="B406" s="585"/>
      <c r="C406" s="795"/>
      <c r="D406" s="1002"/>
      <c r="E406" s="950"/>
      <c r="F406" s="950"/>
      <c r="G406" s="1032"/>
      <c r="H406" s="1037"/>
      <c r="I406" s="950"/>
      <c r="J406" s="950"/>
    </row>
    <row r="407" spans="1:10" ht="13.5" customHeight="1" x14ac:dyDescent="0.2">
      <c r="A407" s="585"/>
      <c r="B407" s="585"/>
      <c r="C407" s="795"/>
      <c r="D407" s="1002"/>
      <c r="E407" s="950"/>
      <c r="F407" s="950"/>
      <c r="G407" s="1032"/>
      <c r="H407" s="1037"/>
      <c r="I407" s="950"/>
      <c r="J407" s="950"/>
    </row>
    <row r="408" spans="1:10" ht="13.5" customHeight="1" x14ac:dyDescent="0.2">
      <c r="A408" s="849"/>
      <c r="B408" s="585"/>
      <c r="C408" s="857"/>
      <c r="D408" s="1002"/>
      <c r="E408" s="950"/>
      <c r="F408" s="950"/>
      <c r="G408" s="1032"/>
      <c r="H408" s="1037"/>
      <c r="I408" s="950"/>
      <c r="J408" s="950"/>
    </row>
    <row r="409" spans="1:10" ht="13.5" customHeight="1" x14ac:dyDescent="0.2">
      <c r="A409" s="849"/>
      <c r="B409" s="585"/>
      <c r="C409" s="795"/>
      <c r="D409" s="1002"/>
      <c r="E409" s="950"/>
      <c r="F409" s="950"/>
      <c r="G409" s="1032"/>
      <c r="H409" s="1037"/>
      <c r="I409" s="950"/>
      <c r="J409" s="950"/>
    </row>
    <row r="410" spans="1:10" ht="13.5" customHeight="1" x14ac:dyDescent="0.2">
      <c r="A410" s="849"/>
      <c r="B410" s="585"/>
      <c r="C410" s="795"/>
      <c r="D410" s="1002"/>
      <c r="E410" s="950"/>
      <c r="F410" s="950"/>
      <c r="G410" s="1032"/>
      <c r="H410" s="1038"/>
      <c r="I410" s="950"/>
      <c r="J410" s="950"/>
    </row>
    <row r="411" spans="1:10" ht="13.5" customHeight="1" x14ac:dyDescent="0.2">
      <c r="A411" s="849"/>
      <c r="B411" s="585"/>
      <c r="C411" s="823"/>
      <c r="D411" s="1002"/>
      <c r="E411" s="950"/>
      <c r="F411" s="950"/>
      <c r="G411" s="1032"/>
      <c r="H411" s="1037"/>
      <c r="I411" s="950"/>
      <c r="J411" s="950"/>
    </row>
    <row r="412" spans="1:10" ht="13.5" customHeight="1" x14ac:dyDescent="0.2">
      <c r="A412" s="585"/>
      <c r="B412" s="585"/>
      <c r="C412" s="795"/>
      <c r="D412" s="1002"/>
      <c r="E412" s="950"/>
      <c r="F412" s="950"/>
      <c r="G412" s="1032"/>
      <c r="H412" s="1037"/>
      <c r="I412" s="950"/>
      <c r="J412" s="950"/>
    </row>
    <row r="413" spans="1:10" ht="13.5" customHeight="1" x14ac:dyDescent="0.2">
      <c r="A413" s="849"/>
      <c r="B413" s="585"/>
      <c r="C413" s="795"/>
      <c r="D413" s="1002"/>
      <c r="E413" s="950"/>
      <c r="F413" s="950"/>
      <c r="G413" s="1032"/>
      <c r="H413" s="1038"/>
      <c r="I413" s="950"/>
      <c r="J413" s="950"/>
    </row>
    <row r="414" spans="1:10" ht="13.5" customHeight="1" x14ac:dyDescent="0.2">
      <c r="A414" s="849"/>
      <c r="B414" s="585"/>
      <c r="C414" s="823"/>
      <c r="D414" s="1002"/>
      <c r="E414" s="950"/>
      <c r="F414" s="950"/>
      <c r="G414" s="1032"/>
      <c r="H414" s="1038"/>
      <c r="I414" s="950"/>
      <c r="J414" s="950"/>
    </row>
    <row r="415" spans="1:10" ht="13.5" customHeight="1" x14ac:dyDescent="0.2">
      <c r="A415" s="585"/>
      <c r="B415" s="585"/>
      <c r="C415" s="795"/>
      <c r="D415" s="1002"/>
      <c r="E415" s="950"/>
      <c r="F415" s="950"/>
      <c r="G415" s="1032"/>
      <c r="H415" s="1037"/>
      <c r="I415" s="950"/>
      <c r="J415" s="950"/>
    </row>
    <row r="416" spans="1:10" ht="13.5" customHeight="1" x14ac:dyDescent="0.2">
      <c r="A416" s="849"/>
      <c r="B416" s="585"/>
      <c r="C416" s="795"/>
      <c r="D416" s="1002"/>
      <c r="E416" s="950"/>
      <c r="F416" s="950"/>
      <c r="G416" s="1032"/>
      <c r="H416" s="1038"/>
      <c r="I416" s="950"/>
      <c r="J416" s="950"/>
    </row>
    <row r="417" spans="1:10" ht="13.5" customHeight="1" x14ac:dyDescent="0.2">
      <c r="A417" s="849"/>
      <c r="B417" s="585"/>
      <c r="C417" s="823"/>
      <c r="D417" s="1002"/>
      <c r="E417" s="950"/>
      <c r="F417" s="950"/>
      <c r="G417" s="1032"/>
      <c r="H417" s="1038"/>
      <c r="I417" s="950"/>
      <c r="J417" s="950"/>
    </row>
    <row r="418" spans="1:10" ht="13.5" customHeight="1" x14ac:dyDescent="0.2">
      <c r="A418" s="585"/>
      <c r="B418" s="585"/>
      <c r="C418" s="795"/>
      <c r="D418" s="1002"/>
      <c r="E418" s="950"/>
      <c r="F418" s="950"/>
      <c r="G418" s="1032"/>
      <c r="H418" s="1037"/>
      <c r="I418" s="950"/>
      <c r="J418" s="950"/>
    </row>
    <row r="419" spans="1:10" ht="13.5" customHeight="1" x14ac:dyDescent="0.2">
      <c r="A419" s="585"/>
      <c r="B419" s="585"/>
      <c r="C419" s="795"/>
      <c r="D419" s="1002"/>
      <c r="E419" s="950"/>
      <c r="F419" s="950"/>
      <c r="G419" s="1032"/>
      <c r="H419" s="1037"/>
      <c r="I419" s="950"/>
      <c r="J419" s="950"/>
    </row>
    <row r="420" spans="1:10" ht="13.5" customHeight="1" x14ac:dyDescent="0.2">
      <c r="A420" s="585"/>
      <c r="B420" s="585"/>
      <c r="C420" s="795"/>
      <c r="D420" s="1002"/>
      <c r="E420" s="950"/>
      <c r="F420" s="950"/>
      <c r="G420" s="1032"/>
      <c r="H420" s="1036"/>
      <c r="I420" s="950"/>
      <c r="J420" s="950"/>
    </row>
    <row r="421" spans="1:10" ht="13.5" customHeight="1" x14ac:dyDescent="0.2">
      <c r="A421" s="849"/>
      <c r="B421" s="585"/>
      <c r="C421" s="858"/>
      <c r="D421" s="1002"/>
      <c r="E421" s="950"/>
      <c r="F421" s="950"/>
      <c r="G421" s="1032"/>
      <c r="H421" s="1036"/>
      <c r="I421" s="950"/>
      <c r="J421" s="950"/>
    </row>
    <row r="422" spans="1:10" ht="13.5" customHeight="1" x14ac:dyDescent="0.2">
      <c r="A422" s="849"/>
      <c r="B422" s="585"/>
      <c r="C422" s="857"/>
      <c r="D422" s="1002"/>
      <c r="E422" s="950"/>
      <c r="F422" s="950"/>
      <c r="G422" s="1032"/>
      <c r="H422" s="1036"/>
      <c r="I422" s="950"/>
      <c r="J422" s="950"/>
    </row>
    <row r="423" spans="1:10" ht="13.5" customHeight="1" x14ac:dyDescent="0.2">
      <c r="A423" s="849"/>
      <c r="B423" s="585"/>
      <c r="C423" s="859"/>
      <c r="D423" s="1002"/>
      <c r="E423" s="950"/>
      <c r="F423" s="950"/>
      <c r="G423" s="1032"/>
      <c r="H423" s="1036"/>
      <c r="I423" s="950"/>
      <c r="J423" s="950"/>
    </row>
    <row r="424" spans="1:10" ht="13.5" customHeight="1" x14ac:dyDescent="0.2">
      <c r="A424" s="849"/>
      <c r="B424" s="585"/>
      <c r="C424" s="860"/>
      <c r="D424" s="1002"/>
      <c r="E424" s="950"/>
      <c r="F424" s="950"/>
      <c r="G424" s="1032"/>
      <c r="H424" s="1036"/>
      <c r="I424" s="950"/>
      <c r="J424" s="950"/>
    </row>
    <row r="425" spans="1:10" ht="13.5" customHeight="1" x14ac:dyDescent="0.2">
      <c r="A425" s="831"/>
      <c r="B425" s="603"/>
      <c r="C425" s="569"/>
      <c r="D425" s="986"/>
      <c r="E425" s="930"/>
      <c r="F425" s="930"/>
      <c r="G425" s="991"/>
      <c r="H425" s="1039"/>
      <c r="I425" s="930"/>
      <c r="J425" s="950"/>
    </row>
    <row r="426" spans="1:10" ht="13.5" customHeight="1" x14ac:dyDescent="0.2">
      <c r="A426" s="603"/>
      <c r="B426" s="603"/>
      <c r="C426" s="569"/>
      <c r="D426" s="986"/>
      <c r="E426" s="930"/>
      <c r="F426" s="930"/>
      <c r="G426" s="991"/>
      <c r="H426" s="1040"/>
      <c r="I426" s="930"/>
      <c r="J426" s="950"/>
    </row>
    <row r="427" spans="1:10" ht="13.5" customHeight="1" x14ac:dyDescent="0.2">
      <c r="A427" s="603"/>
      <c r="B427" s="603"/>
      <c r="C427" s="569"/>
      <c r="D427" s="986"/>
      <c r="E427" s="930"/>
      <c r="F427" s="930"/>
      <c r="G427" s="991"/>
      <c r="H427" s="1039"/>
      <c r="I427" s="930"/>
      <c r="J427" s="950"/>
    </row>
    <row r="428" spans="1:10" ht="13.5" customHeight="1" x14ac:dyDescent="0.2">
      <c r="A428" s="831"/>
      <c r="B428" s="603"/>
      <c r="D428" s="986"/>
      <c r="E428" s="930"/>
      <c r="F428" s="930"/>
      <c r="G428" s="991"/>
      <c r="H428" s="1039"/>
      <c r="I428" s="930"/>
      <c r="J428" s="950"/>
    </row>
    <row r="429" spans="1:10" ht="13.5" customHeight="1" x14ac:dyDescent="0.2">
      <c r="A429" s="603"/>
      <c r="B429" s="603"/>
      <c r="C429" s="569"/>
      <c r="D429" s="986"/>
      <c r="E429" s="930"/>
      <c r="F429" s="930"/>
      <c r="G429" s="991"/>
      <c r="H429" s="1040"/>
      <c r="I429" s="930"/>
      <c r="J429" s="950"/>
    </row>
    <row r="430" spans="1:10" ht="13.5" customHeight="1" x14ac:dyDescent="0.2">
      <c r="A430" s="603"/>
      <c r="B430" s="603"/>
      <c r="C430" s="569"/>
      <c r="D430" s="986"/>
      <c r="E430" s="930"/>
      <c r="F430" s="930"/>
      <c r="G430" s="991"/>
      <c r="H430" s="1040"/>
      <c r="I430" s="930"/>
      <c r="J430" s="950"/>
    </row>
    <row r="431" spans="1:10" ht="13.5" customHeight="1" x14ac:dyDescent="0.2">
      <c r="A431" s="603"/>
      <c r="B431" s="603"/>
      <c r="C431" s="569"/>
      <c r="D431" s="986"/>
      <c r="E431" s="930"/>
      <c r="F431" s="930"/>
      <c r="G431" s="991"/>
      <c r="H431" s="1040"/>
      <c r="I431" s="930"/>
      <c r="J431" s="950"/>
    </row>
    <row r="432" spans="1:10" ht="13.5" customHeight="1" x14ac:dyDescent="0.2">
      <c r="A432" s="831"/>
      <c r="B432" s="603"/>
      <c r="C432" s="634"/>
      <c r="D432" s="986"/>
      <c r="E432" s="930"/>
      <c r="F432" s="930"/>
      <c r="G432" s="991"/>
      <c r="H432" s="1041"/>
      <c r="I432" s="930"/>
      <c r="J432" s="950"/>
    </row>
    <row r="433" spans="1:10" ht="13.5" customHeight="1" x14ac:dyDescent="0.2">
      <c r="A433" s="831"/>
      <c r="B433" s="603"/>
      <c r="C433" s="634"/>
      <c r="D433" s="986"/>
      <c r="E433" s="930"/>
      <c r="F433" s="930"/>
      <c r="G433" s="991"/>
      <c r="H433" s="1040"/>
      <c r="I433" s="930"/>
      <c r="J433" s="950"/>
    </row>
    <row r="434" spans="1:10" ht="13.5" customHeight="1" x14ac:dyDescent="0.2">
      <c r="A434" s="831"/>
      <c r="B434" s="603"/>
      <c r="D434" s="986"/>
      <c r="E434" s="930"/>
      <c r="F434" s="930"/>
      <c r="G434" s="991"/>
      <c r="H434" s="1041"/>
      <c r="I434" s="930"/>
      <c r="J434" s="950"/>
    </row>
    <row r="435" spans="1:10" ht="13.5" customHeight="1" x14ac:dyDescent="0.2">
      <c r="A435" s="603"/>
      <c r="B435" s="603"/>
      <c r="C435" s="569"/>
      <c r="D435" s="986"/>
      <c r="E435" s="930"/>
      <c r="F435" s="930"/>
      <c r="G435" s="991"/>
      <c r="H435" s="1039"/>
      <c r="I435" s="930"/>
      <c r="J435" s="950"/>
    </row>
    <row r="436" spans="1:10" ht="13.5" customHeight="1" x14ac:dyDescent="0.2">
      <c r="A436" s="603"/>
      <c r="B436" s="603"/>
      <c r="C436" s="569"/>
      <c r="D436" s="986"/>
      <c r="E436" s="930"/>
      <c r="F436" s="930"/>
      <c r="G436" s="991"/>
      <c r="H436" s="1039"/>
      <c r="I436" s="930"/>
      <c r="J436" s="950"/>
    </row>
    <row r="437" spans="1:10" ht="13.5" customHeight="1" x14ac:dyDescent="0.2">
      <c r="A437" s="603"/>
      <c r="B437" s="603"/>
      <c r="C437" s="569"/>
      <c r="D437" s="986"/>
      <c r="E437" s="930"/>
      <c r="F437" s="930"/>
      <c r="G437" s="991"/>
      <c r="H437" s="1039"/>
      <c r="I437" s="930"/>
      <c r="J437" s="950"/>
    </row>
    <row r="438" spans="1:10" ht="13.5" customHeight="1" x14ac:dyDescent="0.2">
      <c r="A438" s="603"/>
      <c r="B438" s="603"/>
      <c r="C438" s="569"/>
      <c r="D438" s="986"/>
      <c r="E438" s="930"/>
      <c r="F438" s="930"/>
      <c r="G438" s="991"/>
      <c r="H438" s="1039"/>
      <c r="I438" s="930"/>
      <c r="J438" s="950"/>
    </row>
    <row r="439" spans="1:10" x14ac:dyDescent="0.2">
      <c r="A439" s="863"/>
      <c r="B439" s="864"/>
      <c r="C439" s="865"/>
      <c r="D439" s="874"/>
      <c r="E439" s="874"/>
      <c r="F439" s="874"/>
      <c r="G439" s="874"/>
      <c r="H439" s="1042"/>
      <c r="I439" s="874"/>
      <c r="J439" s="937"/>
    </row>
  </sheetData>
  <mergeCells count="4">
    <mergeCell ref="A1:C1"/>
    <mergeCell ref="D1:G1"/>
    <mergeCell ref="H1:J1"/>
    <mergeCell ref="H182:J182"/>
  </mergeCells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328"/>
  <sheetViews>
    <sheetView topLeftCell="A249" zoomScale="75" zoomScaleNormal="75" workbookViewId="0">
      <selection activeCell="B268" sqref="B268"/>
    </sheetView>
  </sheetViews>
  <sheetFormatPr defaultColWidth="9" defaultRowHeight="12.75" x14ac:dyDescent="0.2"/>
  <cols>
    <col min="1" max="1" width="10.875" style="724" bestFit="1" customWidth="1"/>
    <col min="2" max="2" width="75.125" style="97" bestFit="1" customWidth="1"/>
    <col min="3" max="3" width="12" style="791" bestFit="1" customWidth="1"/>
    <col min="4" max="4" width="10.75" style="791" customWidth="1"/>
    <col min="5" max="5" width="9.625" style="97" bestFit="1" customWidth="1"/>
    <col min="6" max="6" width="11.5" style="97" customWidth="1"/>
    <col min="7" max="7" width="10.625" style="97" bestFit="1" customWidth="1"/>
    <col min="8" max="8" width="7.5" style="97" bestFit="1" customWidth="1"/>
    <col min="9" max="9" width="8" style="97" bestFit="1" customWidth="1"/>
    <col min="10" max="10" width="10.5" style="97" bestFit="1" customWidth="1"/>
    <col min="11" max="16384" width="9" style="97"/>
  </cols>
  <sheetData>
    <row r="1" spans="1:14" x14ac:dyDescent="0.2">
      <c r="F1" s="97" t="s">
        <v>218</v>
      </c>
      <c r="G1" s="97" t="s">
        <v>219</v>
      </c>
      <c r="H1" s="97" t="s">
        <v>220</v>
      </c>
      <c r="I1" s="97" t="s">
        <v>221</v>
      </c>
      <c r="J1" s="97" t="s">
        <v>222</v>
      </c>
    </row>
    <row r="2" spans="1:14" ht="13.5" customHeight="1" x14ac:dyDescent="0.2">
      <c r="A2" s="724" t="s">
        <v>3762</v>
      </c>
      <c r="B2" s="722" t="s">
        <v>6108</v>
      </c>
      <c r="C2" s="103"/>
      <c r="D2" s="103">
        <v>940</v>
      </c>
      <c r="F2" s="100">
        <v>1020</v>
      </c>
      <c r="G2" s="402">
        <v>80</v>
      </c>
      <c r="H2" s="402"/>
      <c r="I2" s="402"/>
      <c r="J2" s="618">
        <v>940</v>
      </c>
    </row>
    <row r="3" spans="1:14" ht="13.5" customHeight="1" x14ac:dyDescent="0.2">
      <c r="A3" s="724" t="s">
        <v>3762</v>
      </c>
      <c r="B3" s="793" t="s">
        <v>6246</v>
      </c>
      <c r="C3" s="24"/>
      <c r="D3" s="24">
        <v>860</v>
      </c>
      <c r="F3" s="344">
        <v>940</v>
      </c>
      <c r="G3" s="402">
        <v>80</v>
      </c>
      <c r="H3" s="402"/>
      <c r="I3" s="402"/>
      <c r="J3" s="618">
        <f t="shared" ref="J3:J9" si="0">F3-G3-H3-I3</f>
        <v>860</v>
      </c>
    </row>
    <row r="4" spans="1:14" ht="13.5" customHeight="1" x14ac:dyDescent="0.2">
      <c r="A4" s="724" t="s">
        <v>3762</v>
      </c>
      <c r="B4" s="793" t="s">
        <v>6257</v>
      </c>
      <c r="C4" s="24"/>
      <c r="D4" s="24">
        <v>940</v>
      </c>
      <c r="F4" s="344">
        <v>1020</v>
      </c>
      <c r="G4" s="402">
        <v>80</v>
      </c>
      <c r="H4" s="402"/>
      <c r="I4" s="402"/>
      <c r="J4" s="618">
        <f t="shared" si="0"/>
        <v>940</v>
      </c>
    </row>
    <row r="5" spans="1:14" ht="13.5" customHeight="1" x14ac:dyDescent="0.2">
      <c r="A5" s="724" t="s">
        <v>3762</v>
      </c>
      <c r="B5" s="722" t="s">
        <v>6132</v>
      </c>
      <c r="C5" s="24"/>
      <c r="D5" s="24">
        <v>940</v>
      </c>
      <c r="F5" s="344">
        <v>1020</v>
      </c>
      <c r="G5" s="402">
        <v>80</v>
      </c>
      <c r="H5" s="402"/>
      <c r="I5" s="402"/>
      <c r="J5" s="618">
        <f t="shared" si="0"/>
        <v>940</v>
      </c>
    </row>
    <row r="6" spans="1:14" ht="13.5" customHeight="1" x14ac:dyDescent="0.2">
      <c r="A6" s="724" t="s">
        <v>3762</v>
      </c>
      <c r="B6" s="793" t="s">
        <v>6183</v>
      </c>
      <c r="C6" s="24"/>
      <c r="D6" s="24">
        <v>960</v>
      </c>
      <c r="F6" s="344">
        <v>1040</v>
      </c>
      <c r="G6" s="402">
        <v>80</v>
      </c>
      <c r="H6" s="402"/>
      <c r="I6" s="402"/>
      <c r="J6" s="618">
        <f t="shared" si="0"/>
        <v>960</v>
      </c>
      <c r="L6" s="823"/>
      <c r="M6" s="823"/>
      <c r="N6" s="823"/>
    </row>
    <row r="7" spans="1:14" ht="13.5" customHeight="1" x14ac:dyDescent="0.2">
      <c r="A7" s="724" t="s">
        <v>3762</v>
      </c>
      <c r="B7" s="793" t="s">
        <v>6166</v>
      </c>
      <c r="C7" s="24"/>
      <c r="D7" s="24">
        <v>862</v>
      </c>
      <c r="F7" s="344">
        <v>942</v>
      </c>
      <c r="G7" s="402">
        <v>80</v>
      </c>
      <c r="H7" s="402"/>
      <c r="I7" s="402"/>
      <c r="J7" s="618">
        <f t="shared" si="0"/>
        <v>862</v>
      </c>
    </row>
    <row r="8" spans="1:14" ht="13.5" customHeight="1" x14ac:dyDescent="0.2">
      <c r="A8" s="724" t="s">
        <v>3762</v>
      </c>
      <c r="B8" s="722" t="s">
        <v>6140</v>
      </c>
      <c r="C8" s="24"/>
      <c r="D8" s="24">
        <v>1500</v>
      </c>
      <c r="F8" s="344">
        <v>1580</v>
      </c>
      <c r="G8" s="402">
        <v>80</v>
      </c>
      <c r="H8" s="402"/>
      <c r="I8" s="402"/>
      <c r="J8" s="618">
        <f t="shared" si="0"/>
        <v>1500</v>
      </c>
      <c r="L8" s="823"/>
      <c r="M8" s="823"/>
      <c r="N8" s="823"/>
    </row>
    <row r="9" spans="1:14" ht="13.5" customHeight="1" x14ac:dyDescent="0.2">
      <c r="A9" s="724" t="s">
        <v>3762</v>
      </c>
      <c r="B9" s="722" t="s">
        <v>6137</v>
      </c>
      <c r="C9" s="24"/>
      <c r="D9" s="24">
        <v>1430</v>
      </c>
      <c r="F9" s="344">
        <v>1430</v>
      </c>
      <c r="G9" s="402"/>
      <c r="H9" s="402"/>
      <c r="I9" s="402"/>
      <c r="J9" s="618">
        <f t="shared" si="0"/>
        <v>1430</v>
      </c>
      <c r="L9" s="823"/>
      <c r="M9" s="823"/>
      <c r="N9" s="823"/>
    </row>
    <row r="10" spans="1:14" ht="13.5" customHeight="1" x14ac:dyDescent="0.2">
      <c r="A10" s="724" t="s">
        <v>3762</v>
      </c>
      <c r="B10" s="722" t="s">
        <v>6134</v>
      </c>
      <c r="C10" s="24"/>
      <c r="D10" s="24">
        <v>1200</v>
      </c>
      <c r="F10" s="344">
        <v>1304</v>
      </c>
      <c r="G10" s="402">
        <v>80</v>
      </c>
      <c r="H10" s="402">
        <v>24</v>
      </c>
      <c r="I10" s="402"/>
      <c r="J10" s="618">
        <f>F10-G10-H10-I10</f>
        <v>1200</v>
      </c>
      <c r="L10" s="823"/>
      <c r="M10" s="823"/>
      <c r="N10" s="823"/>
    </row>
    <row r="11" spans="1:14" ht="13.5" customHeight="1" x14ac:dyDescent="0.2">
      <c r="A11" s="724" t="s">
        <v>3762</v>
      </c>
      <c r="B11" s="793" t="s">
        <v>6182</v>
      </c>
      <c r="C11" s="24"/>
      <c r="D11" s="24">
        <v>950</v>
      </c>
      <c r="F11" s="344">
        <v>1030</v>
      </c>
      <c r="G11" s="109">
        <v>80</v>
      </c>
      <c r="H11" s="109"/>
      <c r="I11" s="109"/>
      <c r="J11" s="618">
        <f t="shared" ref="J11:J20" si="1">F11-G11-H11-I11</f>
        <v>950</v>
      </c>
      <c r="L11" s="823"/>
      <c r="M11" s="823"/>
      <c r="N11" s="823"/>
    </row>
    <row r="12" spans="1:14" ht="13.5" customHeight="1" x14ac:dyDescent="0.2">
      <c r="A12" s="724" t="s">
        <v>3762</v>
      </c>
      <c r="B12" s="793" t="s">
        <v>4091</v>
      </c>
      <c r="C12" s="24"/>
      <c r="D12" s="24">
        <v>900</v>
      </c>
      <c r="F12" s="24"/>
      <c r="G12" s="24"/>
      <c r="H12" s="24"/>
      <c r="I12" s="24"/>
      <c r="J12" s="24"/>
      <c r="L12" s="823"/>
      <c r="M12" s="823"/>
      <c r="N12" s="823"/>
    </row>
    <row r="13" spans="1:14" ht="13.5" customHeight="1" x14ac:dyDescent="0.2">
      <c r="A13" s="724" t="s">
        <v>3762</v>
      </c>
      <c r="B13" s="793" t="s">
        <v>10</v>
      </c>
      <c r="C13" s="24"/>
      <c r="D13" s="24">
        <v>720</v>
      </c>
      <c r="F13" s="24"/>
      <c r="G13" s="24"/>
      <c r="H13" s="24"/>
      <c r="I13" s="24"/>
      <c r="J13" s="24"/>
      <c r="L13" s="823"/>
      <c r="M13" s="823"/>
      <c r="N13" s="823"/>
    </row>
    <row r="14" spans="1:14" ht="13.5" customHeight="1" x14ac:dyDescent="0.2">
      <c r="A14" s="724" t="s">
        <v>3762</v>
      </c>
      <c r="B14" s="793" t="s">
        <v>6165</v>
      </c>
      <c r="C14" s="24"/>
      <c r="D14" s="24">
        <v>3500</v>
      </c>
      <c r="F14" s="958">
        <v>3500</v>
      </c>
      <c r="G14" s="109"/>
      <c r="H14" s="402"/>
      <c r="I14" s="402"/>
      <c r="J14" s="618">
        <f t="shared" si="1"/>
        <v>3500</v>
      </c>
      <c r="L14" s="823"/>
      <c r="M14" s="823"/>
      <c r="N14" s="823"/>
    </row>
    <row r="15" spans="1:14" ht="13.5" customHeight="1" x14ac:dyDescent="0.2">
      <c r="A15" s="724" t="s">
        <v>3762</v>
      </c>
      <c r="B15" s="793" t="s">
        <v>6211</v>
      </c>
      <c r="C15" s="24"/>
      <c r="D15" s="24">
        <v>2050</v>
      </c>
      <c r="F15" s="958">
        <v>2050</v>
      </c>
      <c r="G15" s="109"/>
      <c r="H15" s="402"/>
      <c r="I15" s="402"/>
      <c r="J15" s="618">
        <f t="shared" si="1"/>
        <v>2050</v>
      </c>
      <c r="L15" s="823"/>
      <c r="M15" s="823"/>
      <c r="N15" s="823"/>
    </row>
    <row r="16" spans="1:14" ht="13.5" customHeight="1" x14ac:dyDescent="0.2">
      <c r="A16" s="724" t="s">
        <v>3762</v>
      </c>
      <c r="B16" s="793" t="s">
        <v>6330</v>
      </c>
      <c r="C16" s="24"/>
      <c r="D16" s="24"/>
      <c r="F16" s="959" t="s">
        <v>5864</v>
      </c>
      <c r="G16" s="24"/>
      <c r="H16" s="102"/>
      <c r="I16" s="24"/>
      <c r="J16" s="24"/>
      <c r="L16" s="823"/>
      <c r="M16" s="823"/>
      <c r="N16" s="823"/>
    </row>
    <row r="17" spans="1:14" ht="13.5" customHeight="1" x14ac:dyDescent="0.2">
      <c r="A17" s="724" t="s">
        <v>3762</v>
      </c>
      <c r="B17" s="722" t="s">
        <v>6126</v>
      </c>
      <c r="C17" s="24"/>
      <c r="D17" s="24">
        <v>1971.41</v>
      </c>
      <c r="F17" s="100">
        <v>1971.41</v>
      </c>
      <c r="G17" s="101"/>
      <c r="H17" s="102"/>
      <c r="I17" s="24"/>
      <c r="J17" s="618">
        <f>F17-G17-H17-I17</f>
        <v>1971.41</v>
      </c>
      <c r="L17" s="823"/>
      <c r="M17" s="823"/>
      <c r="N17" s="823"/>
    </row>
    <row r="18" spans="1:14" ht="13.5" customHeight="1" x14ac:dyDescent="0.2">
      <c r="A18" s="724" t="s">
        <v>3762</v>
      </c>
      <c r="B18" s="793" t="s">
        <v>6249</v>
      </c>
      <c r="C18" s="24"/>
      <c r="D18" s="24">
        <v>1360</v>
      </c>
      <c r="F18" s="100">
        <v>1360</v>
      </c>
      <c r="G18" s="101"/>
      <c r="H18" s="102"/>
      <c r="I18" s="24"/>
      <c r="J18" s="618">
        <f t="shared" si="1"/>
        <v>1360</v>
      </c>
      <c r="L18" s="823"/>
      <c r="M18" s="823"/>
      <c r="N18" s="823"/>
    </row>
    <row r="19" spans="1:14" ht="13.5" customHeight="1" x14ac:dyDescent="0.2">
      <c r="A19" s="724" t="s">
        <v>3762</v>
      </c>
      <c r="B19" s="722" t="s">
        <v>6102</v>
      </c>
      <c r="C19" s="24"/>
      <c r="D19" s="24">
        <v>1360</v>
      </c>
      <c r="F19" s="100">
        <v>1360</v>
      </c>
      <c r="G19" s="101"/>
      <c r="H19" s="102"/>
      <c r="I19" s="24"/>
      <c r="J19" s="618">
        <f t="shared" si="1"/>
        <v>1360</v>
      </c>
      <c r="L19" s="823"/>
      <c r="M19" s="823"/>
      <c r="N19" s="823"/>
    </row>
    <row r="20" spans="1:14" ht="13.5" customHeight="1" x14ac:dyDescent="0.2">
      <c r="A20" s="724" t="s">
        <v>3762</v>
      </c>
      <c r="B20" s="722" t="s">
        <v>6122</v>
      </c>
      <c r="C20" s="24"/>
      <c r="D20" s="24">
        <v>1200</v>
      </c>
      <c r="F20" s="100">
        <v>1200</v>
      </c>
      <c r="G20" s="101"/>
      <c r="H20" s="102"/>
      <c r="I20" s="24"/>
      <c r="J20" s="618">
        <f t="shared" si="1"/>
        <v>1200</v>
      </c>
      <c r="L20" s="823"/>
      <c r="M20" s="823"/>
      <c r="N20" s="823"/>
    </row>
    <row r="21" spans="1:14" ht="13.5" customHeight="1" x14ac:dyDescent="0.2">
      <c r="A21" s="724" t="s">
        <v>3762</v>
      </c>
      <c r="B21" s="793" t="s">
        <v>6160</v>
      </c>
      <c r="C21" s="24"/>
      <c r="D21" s="1043">
        <v>190</v>
      </c>
      <c r="G21" s="879">
        <f>SUM(G2:G20)</f>
        <v>720</v>
      </c>
      <c r="H21" s="879">
        <f>SUM(H2:H20)</f>
        <v>24</v>
      </c>
      <c r="I21" s="879">
        <f>SUM(I2:I20)</f>
        <v>0</v>
      </c>
    </row>
    <row r="22" spans="1:14" ht="13.5" customHeight="1" x14ac:dyDescent="0.2">
      <c r="A22" s="724" t="s">
        <v>3762</v>
      </c>
      <c r="B22" s="793" t="s">
        <v>6144</v>
      </c>
      <c r="C22" s="24"/>
      <c r="D22" s="1043">
        <v>185</v>
      </c>
    </row>
    <row r="23" spans="1:14" ht="13.5" customHeight="1" x14ac:dyDescent="0.2">
      <c r="A23" s="724" t="s">
        <v>3762</v>
      </c>
      <c r="B23" s="793" t="s">
        <v>6176</v>
      </c>
      <c r="C23" s="24"/>
      <c r="D23" s="1043">
        <v>190</v>
      </c>
    </row>
    <row r="24" spans="1:14" ht="13.5" customHeight="1" x14ac:dyDescent="0.2">
      <c r="A24" s="724" t="s">
        <v>3762</v>
      </c>
      <c r="B24" s="793" t="s">
        <v>6161</v>
      </c>
      <c r="C24" s="24"/>
      <c r="D24" s="1043">
        <v>190</v>
      </c>
    </row>
    <row r="25" spans="1:14" ht="13.5" customHeight="1" x14ac:dyDescent="0.2">
      <c r="A25" s="724" t="s">
        <v>3762</v>
      </c>
      <c r="B25" s="793" t="s">
        <v>6164</v>
      </c>
      <c r="C25" s="24"/>
      <c r="D25" s="1043">
        <v>185</v>
      </c>
    </row>
    <row r="26" spans="1:14" ht="13.5" customHeight="1" x14ac:dyDescent="0.2">
      <c r="A26" s="724" t="s">
        <v>3762</v>
      </c>
      <c r="B26" s="793" t="s">
        <v>6181</v>
      </c>
      <c r="C26" s="24"/>
      <c r="D26" s="1043">
        <v>380</v>
      </c>
    </row>
    <row r="27" spans="1:14" ht="13.5" customHeight="1" x14ac:dyDescent="0.2">
      <c r="A27" s="724" t="s">
        <v>3762</v>
      </c>
      <c r="B27" s="569" t="s">
        <v>6123</v>
      </c>
      <c r="C27" s="24"/>
      <c r="D27" s="1043">
        <v>150</v>
      </c>
    </row>
    <row r="28" spans="1:14" ht="13.5" customHeight="1" x14ac:dyDescent="0.2">
      <c r="A28" s="724" t="s">
        <v>3762</v>
      </c>
      <c r="B28" s="722" t="s">
        <v>6105</v>
      </c>
      <c r="C28" s="24"/>
      <c r="D28" s="1043">
        <v>220</v>
      </c>
    </row>
    <row r="29" spans="1:14" ht="13.5" customHeight="1" x14ac:dyDescent="0.2">
      <c r="A29" s="724" t="s">
        <v>3762</v>
      </c>
      <c r="B29" s="722" t="s">
        <v>6107</v>
      </c>
      <c r="C29" s="24"/>
      <c r="D29" s="1043">
        <v>60</v>
      </c>
    </row>
    <row r="30" spans="1:14" ht="13.5" customHeight="1" x14ac:dyDescent="0.2">
      <c r="A30" s="724" t="s">
        <v>3762</v>
      </c>
      <c r="B30" s="793" t="s">
        <v>6162</v>
      </c>
      <c r="C30" s="24"/>
      <c r="D30" s="1043">
        <v>50</v>
      </c>
    </row>
    <row r="31" spans="1:14" ht="13.5" customHeight="1" x14ac:dyDescent="0.2">
      <c r="A31" s="724" t="s">
        <v>3762</v>
      </c>
      <c r="B31" s="793" t="s">
        <v>6163</v>
      </c>
      <c r="C31" s="24"/>
      <c r="D31" s="1043">
        <v>80</v>
      </c>
      <c r="F31" s="962">
        <f>SUM(D21:D31)</f>
        <v>1880</v>
      </c>
    </row>
    <row r="32" spans="1:14" ht="13.5" customHeight="1" x14ac:dyDescent="0.2">
      <c r="B32" s="793"/>
      <c r="C32" s="24"/>
      <c r="D32" s="136">
        <f>SUM(D2:D31)</f>
        <v>25523.41</v>
      </c>
    </row>
    <row r="33" spans="1:14" ht="13.5" customHeight="1" x14ac:dyDescent="0.2">
      <c r="B33" s="793"/>
      <c r="C33" s="24"/>
      <c r="D33" s="24"/>
    </row>
    <row r="34" spans="1:14" ht="13.5" customHeight="1" x14ac:dyDescent="0.2">
      <c r="A34" s="724" t="s">
        <v>3762</v>
      </c>
      <c r="B34" s="722" t="s">
        <v>6106</v>
      </c>
      <c r="C34" s="24"/>
      <c r="D34" s="24">
        <v>2250</v>
      </c>
      <c r="F34" s="100">
        <v>2296.13</v>
      </c>
      <c r="G34" s="109"/>
      <c r="H34" s="109"/>
      <c r="I34" s="109">
        <v>46.13</v>
      </c>
      <c r="J34" s="618">
        <f>F34-G34-H34-I34</f>
        <v>2250</v>
      </c>
      <c r="L34" s="823"/>
      <c r="M34" s="823"/>
      <c r="N34" s="823"/>
    </row>
    <row r="35" spans="1:14" ht="13.5" customHeight="1" x14ac:dyDescent="0.2">
      <c r="A35" s="724" t="s">
        <v>3762</v>
      </c>
      <c r="B35" s="793" t="s">
        <v>6177</v>
      </c>
      <c r="C35" s="24"/>
      <c r="D35" s="24">
        <v>7500</v>
      </c>
      <c r="F35" s="100">
        <v>7500</v>
      </c>
      <c r="G35" s="109"/>
      <c r="H35" s="109"/>
      <c r="I35" s="109"/>
      <c r="J35" s="618">
        <f>F35-G35-H35-I35</f>
        <v>7500</v>
      </c>
      <c r="L35" s="823"/>
      <c r="M35" s="823"/>
      <c r="N35" s="823"/>
    </row>
    <row r="36" spans="1:14" ht="13.5" customHeight="1" x14ac:dyDescent="0.2">
      <c r="A36" s="724" t="s">
        <v>3762</v>
      </c>
      <c r="B36" s="793" t="s">
        <v>6178</v>
      </c>
      <c r="C36" s="24"/>
      <c r="D36" s="24">
        <v>500</v>
      </c>
      <c r="F36" s="100">
        <v>500</v>
      </c>
      <c r="G36" s="109"/>
      <c r="H36" s="109"/>
      <c r="I36" s="109"/>
      <c r="J36" s="618">
        <f>F36-G36-H36-I36</f>
        <v>500</v>
      </c>
    </row>
    <row r="37" spans="1:14" ht="13.5" customHeight="1" x14ac:dyDescent="0.2">
      <c r="A37" s="724" t="s">
        <v>221</v>
      </c>
      <c r="B37" s="793" t="s">
        <v>3542</v>
      </c>
      <c r="C37" s="24"/>
      <c r="D37" s="24">
        <v>46.13</v>
      </c>
      <c r="F37" s="101">
        <v>0</v>
      </c>
      <c r="G37" s="101">
        <v>0</v>
      </c>
      <c r="H37" s="101">
        <v>0</v>
      </c>
      <c r="I37" s="101">
        <v>0</v>
      </c>
      <c r="J37" s="875">
        <f>F37-G37-H37-I37</f>
        <v>0</v>
      </c>
    </row>
    <row r="38" spans="1:14" ht="13.5" customHeight="1" x14ac:dyDescent="0.2">
      <c r="B38" s="793"/>
      <c r="C38" s="24"/>
      <c r="D38" s="136">
        <f>SUM(D34:D37)</f>
        <v>10296.129999999999</v>
      </c>
      <c r="F38" s="885"/>
      <c r="G38" s="1044">
        <f>SUM(G37,G21)</f>
        <v>720</v>
      </c>
      <c r="H38" s="1044">
        <f>SUM(H30:H37)</f>
        <v>0</v>
      </c>
      <c r="I38" s="1045">
        <f>SUM(I30:I37)</f>
        <v>46.13</v>
      </c>
      <c r="J38" s="887"/>
    </row>
    <row r="39" spans="1:14" ht="13.5" customHeight="1" x14ac:dyDescent="0.2">
      <c r="B39" s="793"/>
      <c r="C39" s="24"/>
      <c r="D39" s="24"/>
    </row>
    <row r="40" spans="1:14" ht="13.5" customHeight="1" x14ac:dyDescent="0.2">
      <c r="A40" s="724" t="s">
        <v>223</v>
      </c>
      <c r="B40" s="722" t="s">
        <v>189</v>
      </c>
      <c r="C40" s="24">
        <v>5468.6</v>
      </c>
      <c r="D40" s="973"/>
      <c r="F40" s="885"/>
      <c r="G40" s="885"/>
      <c r="H40" s="885"/>
      <c r="I40" s="885"/>
      <c r="J40" s="887"/>
    </row>
    <row r="41" spans="1:14" ht="13.5" customHeight="1" x14ac:dyDescent="0.2">
      <c r="A41" s="724" t="s">
        <v>223</v>
      </c>
      <c r="B41" s="722" t="s">
        <v>189</v>
      </c>
      <c r="C41" s="24">
        <v>2296.13</v>
      </c>
      <c r="D41" s="24"/>
    </row>
    <row r="42" spans="1:14" ht="13.5" customHeight="1" x14ac:dyDescent="0.2">
      <c r="A42" s="724" t="s">
        <v>223</v>
      </c>
      <c r="B42" s="722" t="s">
        <v>6121</v>
      </c>
      <c r="C42" s="791">
        <v>-2400</v>
      </c>
      <c r="D42" s="24"/>
    </row>
    <row r="43" spans="1:14" ht="13.5" customHeight="1" x14ac:dyDescent="0.2">
      <c r="A43" s="724" t="s">
        <v>223</v>
      </c>
      <c r="B43" s="722" t="s">
        <v>6121</v>
      </c>
      <c r="C43" s="24">
        <v>-2500</v>
      </c>
      <c r="D43" s="24"/>
    </row>
    <row r="44" spans="1:14" ht="13.5" customHeight="1" x14ac:dyDescent="0.2">
      <c r="A44" s="724" t="s">
        <v>223</v>
      </c>
      <c r="B44" s="722" t="s">
        <v>6121</v>
      </c>
      <c r="C44" s="973">
        <v>-83.97</v>
      </c>
      <c r="D44" s="973"/>
    </row>
    <row r="45" spans="1:14" ht="13.5" customHeight="1" x14ac:dyDescent="0.2">
      <c r="A45" s="724" t="s">
        <v>223</v>
      </c>
      <c r="B45" s="722" t="s">
        <v>6121</v>
      </c>
      <c r="C45" s="973">
        <v>-117.42</v>
      </c>
      <c r="D45" s="973"/>
    </row>
    <row r="46" spans="1:14" ht="13.5" customHeight="1" x14ac:dyDescent="0.2">
      <c r="A46" s="724" t="s">
        <v>223</v>
      </c>
      <c r="B46" s="722" t="s">
        <v>6121</v>
      </c>
      <c r="C46" s="973">
        <v>-228.59</v>
      </c>
      <c r="D46" s="973"/>
    </row>
    <row r="47" spans="1:14" ht="13.5" customHeight="1" x14ac:dyDescent="0.2">
      <c r="A47" s="724" t="s">
        <v>223</v>
      </c>
      <c r="B47" s="722" t="s">
        <v>6121</v>
      </c>
      <c r="C47" s="973">
        <v>-388</v>
      </c>
      <c r="D47" s="973"/>
    </row>
    <row r="48" spans="1:14" ht="13.5" customHeight="1" x14ac:dyDescent="0.2">
      <c r="A48" s="724" t="s">
        <v>223</v>
      </c>
      <c r="B48" s="722" t="s">
        <v>6121</v>
      </c>
      <c r="C48" s="973">
        <v>-708</v>
      </c>
      <c r="D48" s="973"/>
    </row>
    <row r="49" spans="1:11" ht="13.5" customHeight="1" x14ac:dyDescent="0.2">
      <c r="A49" s="724" t="s">
        <v>223</v>
      </c>
      <c r="B49" s="722" t="s">
        <v>6121</v>
      </c>
      <c r="C49" s="973">
        <v>-1016.82</v>
      </c>
      <c r="D49" s="973"/>
    </row>
    <row r="50" spans="1:11" ht="13.5" customHeight="1" x14ac:dyDescent="0.2">
      <c r="A50" s="724" t="s">
        <v>223</v>
      </c>
      <c r="B50" s="722" t="s">
        <v>6121</v>
      </c>
      <c r="C50" s="973">
        <v>-1142.96</v>
      </c>
      <c r="D50" s="973"/>
    </row>
    <row r="51" spans="1:11" ht="13.5" customHeight="1" x14ac:dyDescent="0.2">
      <c r="A51" s="724" t="s">
        <v>223</v>
      </c>
      <c r="B51" s="722" t="s">
        <v>769</v>
      </c>
      <c r="C51" s="973">
        <v>-1000</v>
      </c>
      <c r="D51" s="973"/>
    </row>
    <row r="52" spans="1:11" ht="13.5" customHeight="1" x14ac:dyDescent="0.2">
      <c r="A52" s="724" t="s">
        <v>223</v>
      </c>
      <c r="B52" s="722" t="s">
        <v>174</v>
      </c>
      <c r="C52" s="973">
        <v>-9.9</v>
      </c>
      <c r="D52" s="973"/>
    </row>
    <row r="53" spans="1:11" ht="13.5" customHeight="1" x14ac:dyDescent="0.2">
      <c r="A53" s="724" t="s">
        <v>223</v>
      </c>
      <c r="B53" s="569" t="s">
        <v>174</v>
      </c>
      <c r="C53" s="973">
        <v>-249</v>
      </c>
      <c r="D53" s="973"/>
    </row>
    <row r="54" spans="1:11" ht="13.5" customHeight="1" x14ac:dyDescent="0.2">
      <c r="A54" s="724" t="s">
        <v>223</v>
      </c>
      <c r="B54" s="722" t="s">
        <v>174</v>
      </c>
      <c r="C54" s="973">
        <v>-638.13</v>
      </c>
      <c r="D54" s="973"/>
    </row>
    <row r="55" spans="1:11" ht="13.5" customHeight="1" x14ac:dyDescent="0.2">
      <c r="A55" s="724" t="s">
        <v>223</v>
      </c>
      <c r="B55" s="722" t="s">
        <v>174</v>
      </c>
      <c r="C55" s="973">
        <v>-825</v>
      </c>
      <c r="D55" s="973"/>
    </row>
    <row r="56" spans="1:11" ht="13.5" customHeight="1" x14ac:dyDescent="0.2">
      <c r="A56" s="724" t="s">
        <v>223</v>
      </c>
      <c r="B56" s="722" t="s">
        <v>174</v>
      </c>
      <c r="C56" s="973">
        <v>-980</v>
      </c>
      <c r="D56" s="973"/>
    </row>
    <row r="57" spans="1:11" ht="13.5" customHeight="1" x14ac:dyDescent="0.2">
      <c r="A57" s="724" t="s">
        <v>223</v>
      </c>
      <c r="B57" s="722" t="s">
        <v>174</v>
      </c>
      <c r="C57" s="973">
        <v>-1241.43</v>
      </c>
      <c r="D57" s="973"/>
    </row>
    <row r="58" spans="1:11" ht="13.5" customHeight="1" x14ac:dyDescent="0.2">
      <c r="A58" s="724" t="s">
        <v>223</v>
      </c>
      <c r="B58" s="722" t="s">
        <v>174</v>
      </c>
      <c r="C58" s="973">
        <v>-1519.45</v>
      </c>
      <c r="D58" s="973"/>
      <c r="E58" s="791"/>
    </row>
    <row r="59" spans="1:11" ht="13.5" customHeight="1" x14ac:dyDescent="0.2">
      <c r="A59" s="724" t="s">
        <v>223</v>
      </c>
      <c r="B59" s="722" t="s">
        <v>174</v>
      </c>
      <c r="C59" s="973">
        <v>-2617.9</v>
      </c>
      <c r="D59" s="973"/>
      <c r="E59" s="791"/>
    </row>
    <row r="60" spans="1:11" ht="13.5" customHeight="1" x14ac:dyDescent="0.2">
      <c r="B60" s="722"/>
      <c r="C60" s="972">
        <f>SUM(C40:C59)</f>
        <v>-9901.84</v>
      </c>
      <c r="D60" s="973"/>
    </row>
    <row r="61" spans="1:11" ht="13.5" customHeight="1" x14ac:dyDescent="0.2">
      <c r="B61" s="722"/>
      <c r="C61" s="973"/>
      <c r="D61" s="973"/>
    </row>
    <row r="62" spans="1:11" ht="13.5" customHeight="1" x14ac:dyDescent="0.2">
      <c r="A62" s="724" t="s">
        <v>224</v>
      </c>
      <c r="B62" s="793" t="s">
        <v>128</v>
      </c>
      <c r="C62" s="24">
        <v>42.93</v>
      </c>
      <c r="D62" s="24"/>
    </row>
    <row r="63" spans="1:11" ht="13.5" customHeight="1" x14ac:dyDescent="0.2">
      <c r="A63" s="724" t="s">
        <v>224</v>
      </c>
      <c r="B63" s="569" t="s">
        <v>62</v>
      </c>
      <c r="C63" s="24">
        <v>496.61</v>
      </c>
      <c r="D63" s="24"/>
    </row>
    <row r="64" spans="1:11" ht="13.5" customHeight="1" x14ac:dyDescent="0.2">
      <c r="A64" s="724" t="s">
        <v>224</v>
      </c>
      <c r="B64" s="793" t="s">
        <v>6322</v>
      </c>
      <c r="C64" s="1046">
        <v>3.75</v>
      </c>
      <c r="D64" s="1046"/>
      <c r="E64" s="823"/>
      <c r="F64" s="823"/>
      <c r="G64" s="823"/>
      <c r="H64" s="823"/>
      <c r="I64" s="823"/>
      <c r="J64" s="823"/>
      <c r="K64" s="823"/>
    </row>
    <row r="65" spans="1:11" ht="13.5" customHeight="1" x14ac:dyDescent="0.2">
      <c r="A65" s="724" t="s">
        <v>224</v>
      </c>
      <c r="B65" s="793" t="s">
        <v>6322</v>
      </c>
      <c r="C65" s="1046">
        <v>8.86</v>
      </c>
      <c r="D65" s="1046"/>
      <c r="E65" s="823"/>
      <c r="F65" s="823"/>
      <c r="G65" s="823"/>
      <c r="H65" s="823"/>
      <c r="I65" s="823"/>
      <c r="J65" s="823"/>
      <c r="K65" s="823"/>
    </row>
    <row r="66" spans="1:11" ht="13.5" customHeight="1" x14ac:dyDescent="0.2">
      <c r="A66" s="724" t="s">
        <v>224</v>
      </c>
      <c r="B66" s="793" t="s">
        <v>6322</v>
      </c>
      <c r="C66" s="1046">
        <v>21.8</v>
      </c>
      <c r="D66" s="1046"/>
      <c r="E66" s="823"/>
      <c r="F66" s="823"/>
      <c r="G66" s="823"/>
      <c r="H66" s="823"/>
      <c r="I66" s="823"/>
      <c r="J66" s="823"/>
      <c r="K66" s="823"/>
    </row>
    <row r="67" spans="1:11" ht="13.5" customHeight="1" x14ac:dyDescent="0.2">
      <c r="A67" s="724" t="s">
        <v>224</v>
      </c>
      <c r="B67" s="793" t="s">
        <v>6322</v>
      </c>
      <c r="C67" s="1046">
        <v>87</v>
      </c>
      <c r="D67" s="1046"/>
      <c r="E67" s="823"/>
      <c r="F67" s="823"/>
      <c r="G67" s="823"/>
      <c r="H67" s="823"/>
      <c r="I67" s="823"/>
      <c r="J67" s="823"/>
      <c r="K67" s="823"/>
    </row>
    <row r="68" spans="1:11" ht="13.5" customHeight="1" x14ac:dyDescent="0.2">
      <c r="A68" s="724" t="s">
        <v>224</v>
      </c>
      <c r="B68" s="722" t="s">
        <v>6149</v>
      </c>
      <c r="C68" s="24">
        <v>27.88</v>
      </c>
      <c r="D68" s="24"/>
    </row>
    <row r="69" spans="1:11" ht="13.5" customHeight="1" x14ac:dyDescent="0.2">
      <c r="A69" s="724" t="s">
        <v>224</v>
      </c>
      <c r="B69" s="793" t="s">
        <v>6199</v>
      </c>
      <c r="C69" s="24">
        <v>94.33</v>
      </c>
      <c r="D69" s="24"/>
    </row>
    <row r="70" spans="1:11" ht="13.5" customHeight="1" x14ac:dyDescent="0.2">
      <c r="A70" s="724" t="s">
        <v>224</v>
      </c>
      <c r="B70" s="793" t="s">
        <v>6203</v>
      </c>
      <c r="C70" s="24">
        <v>7.64</v>
      </c>
      <c r="D70" s="24"/>
    </row>
    <row r="71" spans="1:11" ht="13.5" customHeight="1" x14ac:dyDescent="0.2">
      <c r="A71" s="724" t="s">
        <v>224</v>
      </c>
      <c r="B71" s="795" t="s">
        <v>5589</v>
      </c>
      <c r="C71" s="24">
        <v>466.67</v>
      </c>
      <c r="D71" s="24"/>
    </row>
    <row r="72" spans="1:11" ht="13.5" customHeight="1" x14ac:dyDescent="0.2">
      <c r="B72" s="793"/>
      <c r="C72" s="136">
        <f>SUM(C62:C71)</f>
        <v>1257.47</v>
      </c>
      <c r="D72" s="24"/>
    </row>
    <row r="73" spans="1:11" ht="13.5" customHeight="1" x14ac:dyDescent="0.2">
      <c r="B73" s="793"/>
      <c r="C73" s="24"/>
      <c r="D73" s="24"/>
    </row>
    <row r="74" spans="1:11" ht="13.5" customHeight="1" x14ac:dyDescent="0.2">
      <c r="A74" s="724" t="s">
        <v>224</v>
      </c>
      <c r="B74" s="722" t="s">
        <v>5977</v>
      </c>
      <c r="C74" s="24">
        <v>70</v>
      </c>
      <c r="D74" s="24"/>
    </row>
    <row r="75" spans="1:11" ht="13.5" customHeight="1" x14ac:dyDescent="0.2">
      <c r="A75" s="724" t="s">
        <v>224</v>
      </c>
      <c r="B75" s="793" t="s">
        <v>5977</v>
      </c>
      <c r="C75" s="24">
        <v>70</v>
      </c>
      <c r="D75" s="24"/>
    </row>
    <row r="76" spans="1:11" ht="13.5" customHeight="1" x14ac:dyDescent="0.2">
      <c r="A76" s="724" t="s">
        <v>224</v>
      </c>
      <c r="B76" s="793" t="s">
        <v>6244</v>
      </c>
      <c r="C76" s="24">
        <v>140</v>
      </c>
      <c r="D76" s="24"/>
    </row>
    <row r="77" spans="1:11" ht="13.5" customHeight="1" x14ac:dyDescent="0.2">
      <c r="A77" s="724" t="s">
        <v>224</v>
      </c>
      <c r="B77" s="722" t="s">
        <v>5976</v>
      </c>
      <c r="C77" s="24">
        <v>140</v>
      </c>
      <c r="D77" s="24"/>
    </row>
    <row r="78" spans="1:11" ht="13.5" customHeight="1" x14ac:dyDescent="0.2">
      <c r="A78" s="724" t="s">
        <v>224</v>
      </c>
      <c r="B78" s="795" t="s">
        <v>5976</v>
      </c>
      <c r="C78" s="24">
        <v>140</v>
      </c>
      <c r="D78" s="24"/>
    </row>
    <row r="79" spans="1:11" ht="13.5" customHeight="1" x14ac:dyDescent="0.2">
      <c r="A79" s="724" t="s">
        <v>224</v>
      </c>
      <c r="B79" s="793" t="s">
        <v>6243</v>
      </c>
      <c r="C79" s="24">
        <v>140</v>
      </c>
      <c r="D79" s="24">
        <f>C80-D80</f>
        <v>466.66666666666663</v>
      </c>
    </row>
    <row r="80" spans="1:11" ht="13.5" customHeight="1" x14ac:dyDescent="0.2">
      <c r="B80" s="793"/>
      <c r="C80" s="24">
        <f>SUM(C74:C79)</f>
        <v>700</v>
      </c>
      <c r="D80" s="24">
        <f>C80/3</f>
        <v>233.33333333333334</v>
      </c>
    </row>
    <row r="81" spans="1:4" ht="13.5" customHeight="1" x14ac:dyDescent="0.2">
      <c r="B81" s="793"/>
      <c r="C81" s="24"/>
      <c r="D81" s="24"/>
    </row>
    <row r="82" spans="1:4" ht="13.5" customHeight="1" x14ac:dyDescent="0.2">
      <c r="A82" s="724" t="s">
        <v>225</v>
      </c>
      <c r="B82" s="722" t="s">
        <v>6284</v>
      </c>
      <c r="C82" s="136">
        <v>708</v>
      </c>
      <c r="D82" s="24"/>
    </row>
    <row r="83" spans="1:4" ht="13.5" customHeight="1" x14ac:dyDescent="0.2">
      <c r="B83" s="722"/>
      <c r="C83" s="24"/>
      <c r="D83" s="24"/>
    </row>
    <row r="84" spans="1:4" ht="13.5" customHeight="1" x14ac:dyDescent="0.2">
      <c r="B84" s="722"/>
      <c r="C84" s="24"/>
      <c r="D84" s="24"/>
    </row>
    <row r="85" spans="1:4" ht="13.5" customHeight="1" x14ac:dyDescent="0.2">
      <c r="A85" s="724" t="s">
        <v>428</v>
      </c>
      <c r="B85" s="722" t="s">
        <v>196</v>
      </c>
      <c r="C85" s="24">
        <v>1356.71</v>
      </c>
      <c r="D85" s="24"/>
    </row>
    <row r="86" spans="1:4" ht="13.5" customHeight="1" x14ac:dyDescent="0.2">
      <c r="A86" s="724" t="s">
        <v>428</v>
      </c>
      <c r="B86" s="722" t="s">
        <v>197</v>
      </c>
      <c r="C86" s="24">
        <v>2261.19</v>
      </c>
      <c r="D86" s="24"/>
    </row>
    <row r="87" spans="1:4" ht="13.5" customHeight="1" x14ac:dyDescent="0.2">
      <c r="B87" s="722"/>
      <c r="C87" s="136">
        <f>SUM(C85:C86)</f>
        <v>3617.9</v>
      </c>
      <c r="D87" s="24"/>
    </row>
    <row r="88" spans="1:4" ht="13.5" customHeight="1" x14ac:dyDescent="0.2">
      <c r="B88" s="722"/>
      <c r="C88" s="24"/>
      <c r="D88" s="24"/>
    </row>
    <row r="89" spans="1:4" ht="13.5" customHeight="1" x14ac:dyDescent="0.2">
      <c r="A89" s="724" t="s">
        <v>226</v>
      </c>
      <c r="B89" s="793" t="s">
        <v>127</v>
      </c>
      <c r="C89" s="24">
        <f>24.36-24</f>
        <v>0.35999999999999943</v>
      </c>
      <c r="D89" s="24"/>
    </row>
    <row r="90" spans="1:4" ht="13.5" customHeight="1" x14ac:dyDescent="0.2">
      <c r="A90" s="724" t="s">
        <v>226</v>
      </c>
      <c r="B90" s="722" t="s">
        <v>6103</v>
      </c>
      <c r="C90" s="24">
        <v>58.23</v>
      </c>
      <c r="D90" s="24"/>
    </row>
    <row r="91" spans="1:4" ht="13.5" customHeight="1" x14ac:dyDescent="0.2">
      <c r="A91" s="724" t="s">
        <v>226</v>
      </c>
      <c r="B91" s="793" t="s">
        <v>5726</v>
      </c>
      <c r="C91" s="24">
        <v>16.54</v>
      </c>
      <c r="D91" s="24"/>
    </row>
    <row r="92" spans="1:4" ht="13.5" customHeight="1" x14ac:dyDescent="0.2">
      <c r="A92" s="724" t="s">
        <v>226</v>
      </c>
      <c r="B92" s="722" t="s">
        <v>109</v>
      </c>
      <c r="C92" s="24">
        <v>58.23</v>
      </c>
      <c r="D92" s="24"/>
    </row>
    <row r="93" spans="1:4" ht="13.5" customHeight="1" x14ac:dyDescent="0.2">
      <c r="A93" s="724" t="s">
        <v>226</v>
      </c>
      <c r="B93" s="722" t="s">
        <v>5935</v>
      </c>
      <c r="C93" s="24">
        <v>44.14</v>
      </c>
      <c r="D93" s="24"/>
    </row>
    <row r="94" spans="1:4" ht="13.5" customHeight="1" x14ac:dyDescent="0.2">
      <c r="A94" s="724" t="s">
        <v>226</v>
      </c>
      <c r="B94" s="793" t="s">
        <v>6142</v>
      </c>
      <c r="C94" s="24">
        <v>83.72</v>
      </c>
      <c r="D94" s="24"/>
    </row>
    <row r="95" spans="1:4" ht="13.5" customHeight="1" x14ac:dyDescent="0.2">
      <c r="A95" s="724" t="s">
        <v>226</v>
      </c>
      <c r="B95" s="722" t="s">
        <v>6331</v>
      </c>
      <c r="C95" s="24">
        <v>76.69</v>
      </c>
      <c r="D95" s="24"/>
    </row>
    <row r="96" spans="1:4" ht="13.5" customHeight="1" x14ac:dyDescent="0.2">
      <c r="A96" s="724" t="s">
        <v>226</v>
      </c>
      <c r="B96" s="722" t="s">
        <v>6317</v>
      </c>
      <c r="C96" s="973">
        <v>19</v>
      </c>
      <c r="D96" s="973"/>
    </row>
    <row r="97" spans="1:7" ht="13.5" customHeight="1" x14ac:dyDescent="0.2">
      <c r="A97" s="724" t="s">
        <v>226</v>
      </c>
      <c r="B97" s="793" t="s">
        <v>6215</v>
      </c>
      <c r="C97" s="24">
        <v>56.52</v>
      </c>
      <c r="D97" s="24"/>
    </row>
    <row r="98" spans="1:7" ht="13.5" customHeight="1" x14ac:dyDescent="0.2">
      <c r="A98" s="724" t="s">
        <v>226</v>
      </c>
      <c r="B98" s="722" t="s">
        <v>5973</v>
      </c>
      <c r="C98" s="973">
        <v>100</v>
      </c>
      <c r="D98" s="973"/>
    </row>
    <row r="99" spans="1:7" ht="13.5" customHeight="1" x14ac:dyDescent="0.2">
      <c r="A99" s="724" t="s">
        <v>226</v>
      </c>
      <c r="B99" s="722" t="s">
        <v>5973</v>
      </c>
      <c r="C99" s="973">
        <v>100</v>
      </c>
      <c r="D99" s="973"/>
    </row>
    <row r="100" spans="1:7" ht="13.5" customHeight="1" x14ac:dyDescent="0.2">
      <c r="A100" s="724" t="s">
        <v>226</v>
      </c>
      <c r="B100" s="793" t="s">
        <v>6321</v>
      </c>
      <c r="C100" s="1046">
        <v>2</v>
      </c>
      <c r="D100" s="1046"/>
    </row>
    <row r="101" spans="1:7" ht="13.5" customHeight="1" x14ac:dyDescent="0.2">
      <c r="A101" s="724" t="s">
        <v>226</v>
      </c>
      <c r="B101" s="793" t="s">
        <v>6321</v>
      </c>
      <c r="C101" s="1046">
        <v>111</v>
      </c>
      <c r="D101" s="1046"/>
    </row>
    <row r="102" spans="1:7" ht="13.5" customHeight="1" x14ac:dyDescent="0.2">
      <c r="A102" s="724" t="s">
        <v>226</v>
      </c>
      <c r="B102" s="722" t="s">
        <v>6320</v>
      </c>
      <c r="C102" s="973">
        <v>56.52</v>
      </c>
      <c r="D102" s="973"/>
    </row>
    <row r="103" spans="1:7" ht="13.5" customHeight="1" x14ac:dyDescent="0.2">
      <c r="A103" s="724" t="s">
        <v>226</v>
      </c>
      <c r="B103" s="793" t="s">
        <v>6153</v>
      </c>
      <c r="C103" s="24">
        <v>39.6</v>
      </c>
      <c r="D103" s="24"/>
    </row>
    <row r="104" spans="1:7" ht="13.5" customHeight="1" x14ac:dyDescent="0.2">
      <c r="A104" s="724" t="s">
        <v>226</v>
      </c>
      <c r="B104" s="722" t="s">
        <v>6127</v>
      </c>
      <c r="C104" s="24">
        <v>-38.4</v>
      </c>
      <c r="D104" s="24"/>
    </row>
    <row r="105" spans="1:7" ht="13.5" customHeight="1" x14ac:dyDescent="0.2">
      <c r="A105" s="724" t="s">
        <v>226</v>
      </c>
      <c r="B105" s="722" t="s">
        <v>6124</v>
      </c>
      <c r="C105" s="24">
        <v>-39.6</v>
      </c>
      <c r="D105" s="24"/>
    </row>
    <row r="106" spans="1:7" ht="13.5" customHeight="1" x14ac:dyDescent="0.2">
      <c r="A106" s="724" t="s">
        <v>226</v>
      </c>
      <c r="B106" s="722" t="s">
        <v>6310</v>
      </c>
      <c r="C106" s="24">
        <v>-1000</v>
      </c>
      <c r="D106" s="24"/>
      <c r="F106" s="795" t="s">
        <v>6156</v>
      </c>
      <c r="G106" s="103">
        <v>70</v>
      </c>
    </row>
    <row r="107" spans="1:7" ht="13.5" customHeight="1" x14ac:dyDescent="0.2">
      <c r="A107" s="724" t="s">
        <v>226</v>
      </c>
      <c r="B107" s="793" t="s">
        <v>6332</v>
      </c>
      <c r="C107" s="24">
        <f>77/2</f>
        <v>38.5</v>
      </c>
      <c r="D107" s="24"/>
      <c r="F107" s="795" t="s">
        <v>6258</v>
      </c>
      <c r="G107" s="103">
        <v>7</v>
      </c>
    </row>
    <row r="108" spans="1:7" ht="13.5" customHeight="1" x14ac:dyDescent="0.2">
      <c r="B108" s="793"/>
      <c r="C108" s="136">
        <f>SUM(C89:C107)</f>
        <v>-216.94999999999993</v>
      </c>
      <c r="D108" s="24"/>
    </row>
    <row r="109" spans="1:7" ht="13.5" customHeight="1" x14ac:dyDescent="0.2">
      <c r="B109" s="793"/>
      <c r="C109" s="24"/>
      <c r="D109" s="24"/>
    </row>
    <row r="110" spans="1:7" ht="13.5" customHeight="1" x14ac:dyDescent="0.2">
      <c r="A110" s="724" t="s">
        <v>226</v>
      </c>
      <c r="B110" s="793" t="s">
        <v>6175</v>
      </c>
      <c r="C110" s="24">
        <v>21</v>
      </c>
      <c r="D110" s="24"/>
    </row>
    <row r="111" spans="1:7" ht="13.5" customHeight="1" x14ac:dyDescent="0.2">
      <c r="A111" s="724" t="s">
        <v>226</v>
      </c>
      <c r="B111" s="793" t="s">
        <v>199</v>
      </c>
      <c r="C111" s="24">
        <v>75.319999999999993</v>
      </c>
      <c r="D111" s="24"/>
    </row>
    <row r="112" spans="1:7" ht="13.5" customHeight="1" x14ac:dyDescent="0.2">
      <c r="A112" s="724" t="s">
        <v>226</v>
      </c>
      <c r="B112" s="722" t="s">
        <v>407</v>
      </c>
      <c r="C112" s="24">
        <v>140</v>
      </c>
      <c r="D112" s="24"/>
    </row>
    <row r="113" spans="1:4" ht="13.5" customHeight="1" x14ac:dyDescent="0.2">
      <c r="A113" s="724" t="s">
        <v>226</v>
      </c>
      <c r="B113" s="793" t="s">
        <v>6221</v>
      </c>
      <c r="C113" s="24">
        <v>11.8</v>
      </c>
      <c r="D113" s="24"/>
    </row>
    <row r="114" spans="1:4" ht="13.5" customHeight="1" x14ac:dyDescent="0.2">
      <c r="A114" s="724" t="s">
        <v>226</v>
      </c>
      <c r="B114" s="722" t="s">
        <v>180</v>
      </c>
      <c r="C114" s="24">
        <v>117.42</v>
      </c>
      <c r="D114" s="24"/>
    </row>
    <row r="115" spans="1:4" ht="13.5" customHeight="1" x14ac:dyDescent="0.2">
      <c r="A115" s="724" t="s">
        <v>226</v>
      </c>
      <c r="B115" s="793" t="s">
        <v>6255</v>
      </c>
      <c r="C115" s="24">
        <v>155.31</v>
      </c>
      <c r="D115" s="24"/>
    </row>
    <row r="116" spans="1:4" ht="13.5" customHeight="1" x14ac:dyDescent="0.2">
      <c r="A116" s="724" t="s">
        <v>226</v>
      </c>
      <c r="B116" s="793" t="s">
        <v>6332</v>
      </c>
      <c r="C116" s="24">
        <f>77/2</f>
        <v>38.5</v>
      </c>
      <c r="D116" s="24"/>
    </row>
    <row r="117" spans="1:4" ht="13.5" customHeight="1" x14ac:dyDescent="0.2">
      <c r="B117" s="793"/>
      <c r="C117" s="136">
        <f>SUM(C110:C116)</f>
        <v>559.35</v>
      </c>
      <c r="D117" s="24"/>
    </row>
    <row r="118" spans="1:4" ht="13.5" customHeight="1" x14ac:dyDescent="0.2">
      <c r="B118" s="793"/>
      <c r="C118" s="24"/>
      <c r="D118" s="24"/>
    </row>
    <row r="119" spans="1:4" ht="13.5" customHeight="1" x14ac:dyDescent="0.2">
      <c r="A119" s="724" t="s">
        <v>229</v>
      </c>
      <c r="B119" s="722" t="s">
        <v>5732</v>
      </c>
      <c r="C119" s="24">
        <v>141.11000000000001</v>
      </c>
      <c r="D119" s="24"/>
    </row>
    <row r="120" spans="1:4" ht="13.5" customHeight="1" x14ac:dyDescent="0.2">
      <c r="A120" s="724" t="s">
        <v>229</v>
      </c>
      <c r="B120" s="722" t="s">
        <v>6318</v>
      </c>
      <c r="C120" s="973">
        <v>20</v>
      </c>
      <c r="D120" s="973"/>
    </row>
    <row r="121" spans="1:4" ht="13.5" customHeight="1" x14ac:dyDescent="0.2">
      <c r="A121" s="724" t="s">
        <v>229</v>
      </c>
      <c r="B121" s="722" t="s">
        <v>6138</v>
      </c>
      <c r="C121" s="24">
        <v>7.25</v>
      </c>
      <c r="D121" s="24"/>
    </row>
    <row r="122" spans="1:4" ht="13.5" customHeight="1" x14ac:dyDescent="0.2">
      <c r="A122" s="724" t="s">
        <v>229</v>
      </c>
      <c r="B122" s="722" t="s">
        <v>6112</v>
      </c>
      <c r="C122" s="24">
        <v>6</v>
      </c>
      <c r="D122" s="24"/>
    </row>
    <row r="123" spans="1:4" ht="13.5" customHeight="1" x14ac:dyDescent="0.2">
      <c r="A123" s="724" t="s">
        <v>229</v>
      </c>
      <c r="B123" s="793" t="s">
        <v>6185</v>
      </c>
      <c r="C123" s="24">
        <v>4</v>
      </c>
      <c r="D123" s="24"/>
    </row>
    <row r="124" spans="1:4" ht="13.5" customHeight="1" x14ac:dyDescent="0.2">
      <c r="A124" s="724" t="s">
        <v>229</v>
      </c>
      <c r="B124" s="793" t="s">
        <v>6224</v>
      </c>
      <c r="C124" s="24">
        <v>1.05</v>
      </c>
      <c r="D124" s="24"/>
    </row>
    <row r="125" spans="1:4" ht="13.5" customHeight="1" x14ac:dyDescent="0.2">
      <c r="A125" s="724" t="s">
        <v>229</v>
      </c>
      <c r="B125" s="793" t="s">
        <v>6227</v>
      </c>
      <c r="C125" s="24">
        <v>4.9000000000000004</v>
      </c>
      <c r="D125" s="24"/>
    </row>
    <row r="126" spans="1:4" ht="13.5" customHeight="1" x14ac:dyDescent="0.2">
      <c r="A126" s="724" t="s">
        <v>229</v>
      </c>
      <c r="B126" s="793" t="s">
        <v>6265</v>
      </c>
      <c r="C126" s="24">
        <v>6.95</v>
      </c>
      <c r="D126" s="24"/>
    </row>
    <row r="127" spans="1:4" ht="13.5" customHeight="1" x14ac:dyDescent="0.2">
      <c r="A127" s="724" t="s">
        <v>229</v>
      </c>
      <c r="B127" s="793" t="s">
        <v>6236</v>
      </c>
      <c r="C127" s="24">
        <v>1.25</v>
      </c>
      <c r="D127" s="24" t="s">
        <v>549</v>
      </c>
    </row>
    <row r="128" spans="1:4" ht="13.5" customHeight="1" x14ac:dyDescent="0.2">
      <c r="A128" s="724" t="s">
        <v>229</v>
      </c>
      <c r="B128" s="722" t="s">
        <v>6236</v>
      </c>
      <c r="C128" s="24">
        <v>2.7</v>
      </c>
      <c r="D128" s="24"/>
    </row>
    <row r="129" spans="1:4" ht="13.5" customHeight="1" x14ac:dyDescent="0.2">
      <c r="A129" s="724" t="s">
        <v>229</v>
      </c>
      <c r="B129" s="793" t="s">
        <v>6236</v>
      </c>
      <c r="C129" s="24">
        <v>6.9</v>
      </c>
      <c r="D129" s="24"/>
    </row>
    <row r="130" spans="1:4" ht="13.5" customHeight="1" x14ac:dyDescent="0.2">
      <c r="A130" s="724" t="s">
        <v>229</v>
      </c>
      <c r="B130" s="793" t="s">
        <v>6263</v>
      </c>
      <c r="C130" s="24">
        <v>75</v>
      </c>
      <c r="D130" s="24"/>
    </row>
    <row r="131" spans="1:4" ht="13.5" customHeight="1" x14ac:dyDescent="0.2">
      <c r="A131" s="724" t="s">
        <v>229</v>
      </c>
      <c r="B131" s="793" t="s">
        <v>5660</v>
      </c>
      <c r="C131" s="24">
        <v>12.75</v>
      </c>
      <c r="D131" s="24"/>
    </row>
    <row r="132" spans="1:4" ht="13.5" customHeight="1" x14ac:dyDescent="0.2">
      <c r="A132" s="724" t="s">
        <v>229</v>
      </c>
      <c r="B132" s="722" t="s">
        <v>6110</v>
      </c>
      <c r="C132" s="24">
        <v>3.99</v>
      </c>
      <c r="D132" s="24"/>
    </row>
    <row r="133" spans="1:4" ht="13.5" customHeight="1" x14ac:dyDescent="0.2">
      <c r="A133" s="724" t="s">
        <v>229</v>
      </c>
      <c r="B133" s="722" t="s">
        <v>6109</v>
      </c>
      <c r="C133" s="24">
        <v>10.75</v>
      </c>
      <c r="D133" s="24"/>
    </row>
    <row r="134" spans="1:4" ht="13.5" customHeight="1" x14ac:dyDescent="0.2">
      <c r="A134" s="724" t="s">
        <v>229</v>
      </c>
      <c r="B134" s="793" t="s">
        <v>5600</v>
      </c>
      <c r="C134" s="24">
        <v>14</v>
      </c>
      <c r="D134" s="24"/>
    </row>
    <row r="135" spans="1:4" ht="13.5" customHeight="1" x14ac:dyDescent="0.2">
      <c r="A135" s="724" t="s">
        <v>229</v>
      </c>
      <c r="B135" s="722" t="s">
        <v>5600</v>
      </c>
      <c r="C135" s="24">
        <v>16</v>
      </c>
      <c r="D135" s="24"/>
    </row>
    <row r="136" spans="1:4" ht="13.5" customHeight="1" x14ac:dyDescent="0.2">
      <c r="A136" s="724" t="s">
        <v>229</v>
      </c>
      <c r="B136" s="722" t="s">
        <v>5600</v>
      </c>
      <c r="C136" s="24">
        <v>16</v>
      </c>
      <c r="D136" s="24"/>
    </row>
    <row r="137" spans="1:4" ht="13.5" customHeight="1" x14ac:dyDescent="0.2">
      <c r="A137" s="724" t="s">
        <v>229</v>
      </c>
      <c r="B137" s="722" t="s">
        <v>1013</v>
      </c>
      <c r="C137" s="24">
        <v>825</v>
      </c>
      <c r="D137" s="24"/>
    </row>
    <row r="138" spans="1:4" ht="13.5" customHeight="1" x14ac:dyDescent="0.2">
      <c r="A138" s="724" t="s">
        <v>229</v>
      </c>
      <c r="B138" s="793" t="s">
        <v>6200</v>
      </c>
      <c r="C138" s="24">
        <v>233.84</v>
      </c>
      <c r="D138" s="24"/>
    </row>
    <row r="139" spans="1:4" ht="13.5" customHeight="1" x14ac:dyDescent="0.2">
      <c r="A139" s="724" t="s">
        <v>229</v>
      </c>
      <c r="B139" s="722" t="s">
        <v>6119</v>
      </c>
      <c r="C139" s="24">
        <v>500</v>
      </c>
      <c r="D139" s="24"/>
    </row>
    <row r="140" spans="1:4" ht="13.5" customHeight="1" x14ac:dyDescent="0.2">
      <c r="A140" s="724" t="s">
        <v>229</v>
      </c>
      <c r="B140" s="793" t="s">
        <v>4091</v>
      </c>
      <c r="C140" s="24">
        <v>900</v>
      </c>
      <c r="D140" s="24"/>
    </row>
    <row r="141" spans="1:4" ht="13.5" customHeight="1" x14ac:dyDescent="0.2">
      <c r="A141" s="724" t="s">
        <v>229</v>
      </c>
      <c r="B141" s="793" t="s">
        <v>5933</v>
      </c>
      <c r="C141" s="24">
        <v>1000</v>
      </c>
      <c r="D141" s="24"/>
    </row>
    <row r="142" spans="1:4" ht="13.5" customHeight="1" x14ac:dyDescent="0.2">
      <c r="A142" s="724" t="s">
        <v>229</v>
      </c>
      <c r="B142" s="795" t="s">
        <v>5589</v>
      </c>
      <c r="C142" s="24">
        <v>233.33</v>
      </c>
      <c r="D142" s="24"/>
    </row>
    <row r="143" spans="1:4" ht="13.5" customHeight="1" x14ac:dyDescent="0.2">
      <c r="B143" s="793"/>
      <c r="C143" s="267">
        <f>SUM(C119:C142)</f>
        <v>4042.7699999999995</v>
      </c>
      <c r="D143" s="136">
        <f>C143/2</f>
        <v>2021.3849999999998</v>
      </c>
    </row>
    <row r="144" spans="1:4" ht="13.5" customHeight="1" x14ac:dyDescent="0.2">
      <c r="B144" s="793"/>
      <c r="C144" s="24"/>
      <c r="D144" s="24"/>
    </row>
    <row r="145" spans="1:11" ht="13.5" customHeight="1" x14ac:dyDescent="0.2">
      <c r="A145" s="724" t="s">
        <v>418</v>
      </c>
      <c r="B145" s="722" t="s">
        <v>177</v>
      </c>
      <c r="C145" s="136">
        <v>228.59</v>
      </c>
      <c r="D145" s="24"/>
    </row>
    <row r="146" spans="1:11" ht="13.5" customHeight="1" x14ac:dyDescent="0.2">
      <c r="B146" s="722"/>
      <c r="C146" s="260"/>
      <c r="D146" s="24"/>
    </row>
    <row r="147" spans="1:11" ht="13.5" customHeight="1" x14ac:dyDescent="0.2">
      <c r="A147" s="724" t="s">
        <v>231</v>
      </c>
      <c r="B147" s="722" t="s">
        <v>198</v>
      </c>
      <c r="C147" s="136">
        <v>1241.43</v>
      </c>
      <c r="D147" s="24"/>
    </row>
    <row r="148" spans="1:11" ht="13.5" customHeight="1" x14ac:dyDescent="0.2">
      <c r="B148" s="722"/>
      <c r="C148" s="24"/>
      <c r="D148" s="24"/>
    </row>
    <row r="149" spans="1:11" ht="13.5" customHeight="1" x14ac:dyDescent="0.2">
      <c r="A149" s="724" t="s">
        <v>232</v>
      </c>
      <c r="B149" s="722" t="s">
        <v>6289</v>
      </c>
      <c r="C149" s="24">
        <v>749.6</v>
      </c>
      <c r="D149" s="24"/>
    </row>
    <row r="150" spans="1:11" ht="13.5" customHeight="1" x14ac:dyDescent="0.2">
      <c r="A150" s="724" t="s">
        <v>232</v>
      </c>
      <c r="B150" s="722" t="s">
        <v>6287</v>
      </c>
      <c r="C150" s="24">
        <v>393.36</v>
      </c>
      <c r="D150" s="24"/>
    </row>
    <row r="151" spans="1:11" ht="13.5" customHeight="1" x14ac:dyDescent="0.2">
      <c r="A151" s="724" t="s">
        <v>232</v>
      </c>
      <c r="B151" s="722" t="s">
        <v>6139</v>
      </c>
      <c r="C151" s="24">
        <v>10.5</v>
      </c>
      <c r="D151" s="24"/>
    </row>
    <row r="152" spans="1:11" ht="13.5" customHeight="1" x14ac:dyDescent="0.2">
      <c r="A152" s="724" t="s">
        <v>232</v>
      </c>
      <c r="B152" s="722" t="s">
        <v>6111</v>
      </c>
      <c r="C152" s="24">
        <v>10.5</v>
      </c>
      <c r="D152" s="24"/>
    </row>
    <row r="153" spans="1:11" ht="13.5" customHeight="1" x14ac:dyDescent="0.2">
      <c r="A153" s="724" t="s">
        <v>232</v>
      </c>
      <c r="B153" s="793" t="s">
        <v>6172</v>
      </c>
      <c r="C153" s="24">
        <v>2</v>
      </c>
      <c r="D153" s="24"/>
    </row>
    <row r="154" spans="1:11" ht="13.5" customHeight="1" x14ac:dyDescent="0.2">
      <c r="A154" s="724" t="s">
        <v>232</v>
      </c>
      <c r="B154" s="793" t="s">
        <v>6173</v>
      </c>
      <c r="C154" s="24">
        <v>2</v>
      </c>
      <c r="D154" s="24"/>
    </row>
    <row r="155" spans="1:11" ht="13.5" customHeight="1" x14ac:dyDescent="0.2">
      <c r="A155" s="724" t="s">
        <v>232</v>
      </c>
      <c r="B155" s="793" t="s">
        <v>6174</v>
      </c>
      <c r="C155" s="24">
        <v>2</v>
      </c>
      <c r="D155" s="24"/>
    </row>
    <row r="156" spans="1:11" ht="13.5" customHeight="1" x14ac:dyDescent="0.2">
      <c r="A156" s="724" t="s">
        <v>232</v>
      </c>
      <c r="B156" s="793" t="s">
        <v>6223</v>
      </c>
      <c r="C156" s="24">
        <v>2.1</v>
      </c>
      <c r="D156" s="24"/>
    </row>
    <row r="157" spans="1:11" ht="13.5" customHeight="1" x14ac:dyDescent="0.2">
      <c r="A157" s="724" t="s">
        <v>232</v>
      </c>
      <c r="B157" s="793" t="s">
        <v>6237</v>
      </c>
      <c r="C157" s="24">
        <v>4.2</v>
      </c>
      <c r="D157" s="24"/>
    </row>
    <row r="158" spans="1:11" ht="13.5" customHeight="1" x14ac:dyDescent="0.2">
      <c r="A158" s="724" t="s">
        <v>232</v>
      </c>
      <c r="B158" s="793" t="s">
        <v>6222</v>
      </c>
      <c r="C158" s="24">
        <v>8.98</v>
      </c>
      <c r="D158" s="24"/>
    </row>
    <row r="159" spans="1:11" ht="13.5" customHeight="1" x14ac:dyDescent="0.2">
      <c r="A159" s="724" t="s">
        <v>232</v>
      </c>
      <c r="B159" s="793" t="s">
        <v>6248</v>
      </c>
      <c r="C159" s="24">
        <v>18.96</v>
      </c>
      <c r="D159" s="24"/>
    </row>
    <row r="160" spans="1:11" ht="13.5" customHeight="1" x14ac:dyDescent="0.2">
      <c r="A160" s="724" t="s">
        <v>232</v>
      </c>
      <c r="B160" s="722" t="s">
        <v>6078</v>
      </c>
      <c r="C160" s="1046">
        <v>500</v>
      </c>
      <c r="D160" s="1046"/>
      <c r="E160" s="823"/>
      <c r="F160" s="823"/>
      <c r="G160" s="823"/>
      <c r="H160" s="823"/>
      <c r="I160" s="823"/>
      <c r="J160" s="823"/>
      <c r="K160" s="823"/>
    </row>
    <row r="161" spans="1:11" ht="13.5" customHeight="1" x14ac:dyDescent="0.2">
      <c r="A161" s="724" t="s">
        <v>232</v>
      </c>
      <c r="B161" s="722" t="s">
        <v>6125</v>
      </c>
      <c r="C161" s="24">
        <v>200</v>
      </c>
      <c r="D161" s="24"/>
    </row>
    <row r="162" spans="1:11" ht="13.5" customHeight="1" x14ac:dyDescent="0.2">
      <c r="A162" s="724" t="s">
        <v>232</v>
      </c>
      <c r="B162" s="793" t="s">
        <v>6323</v>
      </c>
      <c r="C162" s="1046">
        <v>49.68</v>
      </c>
      <c r="D162" s="1046"/>
      <c r="E162" s="823"/>
      <c r="F162" s="823"/>
      <c r="G162" s="823"/>
      <c r="H162" s="823"/>
      <c r="I162" s="823"/>
      <c r="J162" s="823"/>
      <c r="K162" s="823"/>
    </row>
    <row r="163" spans="1:11" ht="13.5" customHeight="1" x14ac:dyDescent="0.2">
      <c r="A163" s="724" t="s">
        <v>232</v>
      </c>
      <c r="B163" s="722" t="s">
        <v>5635</v>
      </c>
      <c r="C163" s="973">
        <v>0.6</v>
      </c>
      <c r="D163" s="973"/>
    </row>
    <row r="164" spans="1:11" ht="13.5" customHeight="1" x14ac:dyDescent="0.2">
      <c r="A164" s="724" t="s">
        <v>232</v>
      </c>
      <c r="B164" s="722" t="s">
        <v>5635</v>
      </c>
      <c r="C164" s="1046">
        <v>0.7</v>
      </c>
      <c r="D164" s="1046"/>
      <c r="E164" s="823"/>
      <c r="F164" s="823"/>
      <c r="G164" s="823"/>
      <c r="H164" s="823"/>
      <c r="I164" s="823"/>
      <c r="J164" s="823"/>
      <c r="K164" s="823"/>
    </row>
    <row r="165" spans="1:11" ht="13.5" customHeight="1" x14ac:dyDescent="0.2">
      <c r="A165" s="724" t="s">
        <v>232</v>
      </c>
      <c r="B165" s="722" t="s">
        <v>5635</v>
      </c>
      <c r="C165" s="973">
        <v>2</v>
      </c>
      <c r="D165" s="973"/>
    </row>
    <row r="166" spans="1:11" ht="13.5" customHeight="1" x14ac:dyDescent="0.2">
      <c r="A166" s="724" t="s">
        <v>232</v>
      </c>
      <c r="B166" s="722" t="s">
        <v>5635</v>
      </c>
      <c r="C166" s="973">
        <v>6</v>
      </c>
      <c r="D166" s="973"/>
    </row>
    <row r="167" spans="1:11" ht="13.5" customHeight="1" x14ac:dyDescent="0.2">
      <c r="A167" s="724" t="s">
        <v>232</v>
      </c>
      <c r="B167" s="722" t="s">
        <v>5635</v>
      </c>
      <c r="C167" s="973">
        <v>8</v>
      </c>
      <c r="D167" s="973"/>
    </row>
    <row r="168" spans="1:11" ht="13.5" customHeight="1" x14ac:dyDescent="0.2">
      <c r="A168" s="724" t="s">
        <v>232</v>
      </c>
      <c r="B168" s="793" t="s">
        <v>5593</v>
      </c>
      <c r="C168" s="24">
        <v>300</v>
      </c>
      <c r="D168" s="24"/>
    </row>
    <row r="169" spans="1:11" ht="13.5" customHeight="1" x14ac:dyDescent="0.2">
      <c r="A169" s="724" t="s">
        <v>232</v>
      </c>
      <c r="B169" s="722" t="s">
        <v>5593</v>
      </c>
      <c r="C169" s="24">
        <v>300</v>
      </c>
      <c r="D169" s="24"/>
    </row>
    <row r="170" spans="1:11" ht="13.5" customHeight="1" x14ac:dyDescent="0.2">
      <c r="A170" s="724" t="s">
        <v>232</v>
      </c>
      <c r="B170" s="793" t="s">
        <v>5593</v>
      </c>
      <c r="C170" s="24">
        <v>300</v>
      </c>
      <c r="D170" s="24"/>
    </row>
    <row r="171" spans="1:11" ht="13.5" customHeight="1" x14ac:dyDescent="0.2">
      <c r="A171" s="724" t="s">
        <v>232</v>
      </c>
      <c r="B171" s="793" t="s">
        <v>5593</v>
      </c>
      <c r="C171" s="24">
        <v>300</v>
      </c>
      <c r="D171" s="24"/>
    </row>
    <row r="172" spans="1:11" ht="13.5" customHeight="1" x14ac:dyDescent="0.2">
      <c r="A172" s="724" t="s">
        <v>232</v>
      </c>
      <c r="B172" s="722" t="s">
        <v>5591</v>
      </c>
      <c r="C172" s="24">
        <v>360</v>
      </c>
      <c r="D172" s="24"/>
    </row>
    <row r="173" spans="1:11" ht="13.5" customHeight="1" x14ac:dyDescent="0.2">
      <c r="A173" s="724" t="s">
        <v>232</v>
      </c>
      <c r="B173" s="722" t="s">
        <v>6133</v>
      </c>
      <c r="C173" s="24">
        <v>100</v>
      </c>
      <c r="D173" s="24"/>
    </row>
    <row r="174" spans="1:11" ht="13.5" customHeight="1" x14ac:dyDescent="0.2">
      <c r="A174" s="724" t="s">
        <v>232</v>
      </c>
      <c r="B174" s="793" t="s">
        <v>6133</v>
      </c>
      <c r="C174" s="24">
        <v>250</v>
      </c>
      <c r="D174" s="24"/>
    </row>
    <row r="175" spans="1:11" ht="13.5" customHeight="1" x14ac:dyDescent="0.2">
      <c r="A175" s="724" t="s">
        <v>232</v>
      </c>
      <c r="B175" s="793" t="s">
        <v>6133</v>
      </c>
      <c r="C175" s="24">
        <v>250</v>
      </c>
      <c r="D175" s="24"/>
    </row>
    <row r="176" spans="1:11" ht="13.5" customHeight="1" x14ac:dyDescent="0.2">
      <c r="A176" s="724" t="s">
        <v>232</v>
      </c>
      <c r="B176" s="793" t="s">
        <v>6133</v>
      </c>
      <c r="C176" s="24">
        <v>250</v>
      </c>
      <c r="D176" s="24"/>
    </row>
    <row r="177" spans="1:7" ht="13.5" customHeight="1" x14ac:dyDescent="0.2">
      <c r="A177" s="724" t="s">
        <v>232</v>
      </c>
      <c r="B177" s="722" t="s">
        <v>749</v>
      </c>
      <c r="C177" s="24">
        <v>950.84</v>
      </c>
      <c r="D177" s="24"/>
    </row>
    <row r="178" spans="1:7" ht="13.5" customHeight="1" x14ac:dyDescent="0.2">
      <c r="A178" s="724" t="s">
        <v>232</v>
      </c>
      <c r="B178" s="722" t="s">
        <v>751</v>
      </c>
      <c r="C178" s="24">
        <v>568.61</v>
      </c>
      <c r="D178" s="24"/>
    </row>
    <row r="179" spans="1:7" ht="13.5" customHeight="1" x14ac:dyDescent="0.2">
      <c r="A179" s="724" t="s">
        <v>232</v>
      </c>
      <c r="B179" s="793" t="s">
        <v>6154</v>
      </c>
      <c r="C179" s="24">
        <v>32</v>
      </c>
      <c r="D179" s="24"/>
      <c r="F179" s="1047"/>
      <c r="G179" s="397"/>
    </row>
    <row r="180" spans="1:7" ht="13.5" customHeight="1" x14ac:dyDescent="0.2">
      <c r="A180" s="724" t="s">
        <v>232</v>
      </c>
      <c r="B180" s="793" t="s">
        <v>6333</v>
      </c>
      <c r="C180" s="24">
        <v>9.8000000000000007</v>
      </c>
      <c r="D180" s="24"/>
    </row>
    <row r="181" spans="1:7" ht="13.5" customHeight="1" x14ac:dyDescent="0.2">
      <c r="A181" s="724" t="s">
        <v>232</v>
      </c>
      <c r="B181" s="793" t="s">
        <v>6248</v>
      </c>
      <c r="C181" s="24">
        <v>13.96</v>
      </c>
      <c r="D181" s="24"/>
    </row>
    <row r="182" spans="1:7" ht="13.5" customHeight="1" x14ac:dyDescent="0.2">
      <c r="A182" s="724" t="s">
        <v>232</v>
      </c>
      <c r="B182" s="793" t="s">
        <v>6155</v>
      </c>
      <c r="C182" s="24">
        <v>38.44</v>
      </c>
      <c r="D182" s="24"/>
      <c r="F182" s="1047"/>
      <c r="G182" s="397"/>
    </row>
    <row r="183" spans="1:7" ht="13.5" customHeight="1" x14ac:dyDescent="0.2">
      <c r="A183" s="724" t="s">
        <v>232</v>
      </c>
      <c r="B183" s="793" t="s">
        <v>6157</v>
      </c>
      <c r="C183" s="24">
        <v>27</v>
      </c>
      <c r="D183" s="24"/>
      <c r="F183" s="1047"/>
      <c r="G183" s="397"/>
    </row>
    <row r="184" spans="1:7" ht="13.5" customHeight="1" x14ac:dyDescent="0.2">
      <c r="B184" s="793"/>
      <c r="C184" s="136">
        <f>SUM(C149:C183)</f>
        <v>6021.83</v>
      </c>
      <c r="D184" s="24"/>
    </row>
    <row r="185" spans="1:7" ht="13.5" customHeight="1" x14ac:dyDescent="0.2">
      <c r="B185" s="793"/>
      <c r="C185" s="24"/>
      <c r="D185" s="24"/>
    </row>
    <row r="186" spans="1:7" ht="13.5" customHeight="1" x14ac:dyDescent="0.2">
      <c r="A186" s="724" t="s">
        <v>234</v>
      </c>
      <c r="B186" s="722" t="s">
        <v>6334</v>
      </c>
      <c r="C186" s="24">
        <v>80</v>
      </c>
      <c r="D186" s="24"/>
    </row>
    <row r="187" spans="1:7" ht="13.5" customHeight="1" x14ac:dyDescent="0.2">
      <c r="A187" s="724" t="s">
        <v>234</v>
      </c>
      <c r="B187" s="722" t="s">
        <v>6302</v>
      </c>
      <c r="C187" s="24">
        <v>980</v>
      </c>
      <c r="D187" s="24"/>
    </row>
    <row r="188" spans="1:7" ht="13.5" customHeight="1" x14ac:dyDescent="0.2">
      <c r="A188" s="724" t="s">
        <v>234</v>
      </c>
      <c r="B188" s="722" t="s">
        <v>5944</v>
      </c>
      <c r="C188" s="24">
        <v>26</v>
      </c>
      <c r="D188" s="24"/>
    </row>
    <row r="189" spans="1:7" ht="13.5" customHeight="1" x14ac:dyDescent="0.2">
      <c r="A189" s="724" t="s">
        <v>234</v>
      </c>
      <c r="B189" s="722" t="s">
        <v>6116</v>
      </c>
      <c r="C189" s="24">
        <v>5.5</v>
      </c>
      <c r="D189" s="24"/>
    </row>
    <row r="190" spans="1:7" ht="13.5" customHeight="1" x14ac:dyDescent="0.2">
      <c r="A190" s="724" t="s">
        <v>234</v>
      </c>
      <c r="B190" s="722" t="s">
        <v>6129</v>
      </c>
      <c r="C190" s="24">
        <v>15.2</v>
      </c>
      <c r="D190" s="24"/>
    </row>
    <row r="191" spans="1:7" ht="13.5" customHeight="1" x14ac:dyDescent="0.2">
      <c r="A191" s="724" t="s">
        <v>234</v>
      </c>
      <c r="B191" s="793" t="s">
        <v>6147</v>
      </c>
      <c r="C191" s="24">
        <v>5.4</v>
      </c>
      <c r="D191" s="24"/>
    </row>
    <row r="192" spans="1:7" ht="13.5" customHeight="1" x14ac:dyDescent="0.2">
      <c r="A192" s="724" t="s">
        <v>234</v>
      </c>
      <c r="B192" s="795" t="s">
        <v>6188</v>
      </c>
      <c r="C192" s="119">
        <v>57</v>
      </c>
      <c r="D192" s="119"/>
    </row>
    <row r="193" spans="1:4" ht="13.5" customHeight="1" x14ac:dyDescent="0.2">
      <c r="A193" s="724" t="s">
        <v>234</v>
      </c>
      <c r="B193" s="795" t="s">
        <v>6192</v>
      </c>
      <c r="C193" s="119">
        <v>43.85</v>
      </c>
      <c r="D193" s="119"/>
    </row>
    <row r="194" spans="1:4" ht="13.5" customHeight="1" x14ac:dyDescent="0.2">
      <c r="A194" s="724" t="s">
        <v>234</v>
      </c>
      <c r="B194" s="793" t="s">
        <v>6251</v>
      </c>
      <c r="C194" s="119">
        <v>10</v>
      </c>
      <c r="D194" s="119"/>
    </row>
    <row r="195" spans="1:4" ht="13.5" customHeight="1" x14ac:dyDescent="0.2">
      <c r="A195" s="724" t="s">
        <v>234</v>
      </c>
      <c r="B195" s="793" t="s">
        <v>6260</v>
      </c>
      <c r="C195" s="119">
        <v>12.25</v>
      </c>
      <c r="D195" s="119"/>
    </row>
    <row r="196" spans="1:4" ht="13.5" customHeight="1" x14ac:dyDescent="0.2">
      <c r="A196" s="724" t="s">
        <v>234</v>
      </c>
      <c r="B196" s="795" t="s">
        <v>6148</v>
      </c>
      <c r="C196" s="119">
        <v>1.65</v>
      </c>
      <c r="D196" s="119"/>
    </row>
    <row r="197" spans="1:4" ht="13.5" customHeight="1" x14ac:dyDescent="0.2">
      <c r="A197" s="724" t="s">
        <v>234</v>
      </c>
      <c r="B197" s="569" t="s">
        <v>6315</v>
      </c>
      <c r="C197" s="575">
        <v>1.4</v>
      </c>
      <c r="D197" s="575"/>
    </row>
    <row r="198" spans="1:4" ht="13.5" customHeight="1" x14ac:dyDescent="0.2">
      <c r="A198" s="724" t="s">
        <v>234</v>
      </c>
      <c r="B198" s="569" t="s">
        <v>6315</v>
      </c>
      <c r="C198" s="575">
        <v>8.1</v>
      </c>
      <c r="D198" s="575"/>
    </row>
    <row r="199" spans="1:4" ht="13.5" customHeight="1" x14ac:dyDescent="0.2">
      <c r="A199" s="724" t="s">
        <v>234</v>
      </c>
      <c r="B199" s="569" t="s">
        <v>6315</v>
      </c>
      <c r="C199" s="575">
        <v>33.6</v>
      </c>
      <c r="D199" s="575"/>
    </row>
    <row r="200" spans="1:4" ht="13.5" customHeight="1" x14ac:dyDescent="0.2">
      <c r="A200" s="724" t="s">
        <v>234</v>
      </c>
      <c r="B200" s="569" t="s">
        <v>6268</v>
      </c>
      <c r="C200" s="119">
        <v>860</v>
      </c>
      <c r="D200" s="119"/>
    </row>
    <row r="201" spans="1:4" ht="13.5" customHeight="1" x14ac:dyDescent="0.2">
      <c r="A201" s="724" t="s">
        <v>234</v>
      </c>
      <c r="B201" s="569" t="s">
        <v>6268</v>
      </c>
      <c r="C201" s="119">
        <v>136.99</v>
      </c>
      <c r="D201" s="119"/>
    </row>
    <row r="202" spans="1:4" ht="13.5" customHeight="1" x14ac:dyDescent="0.2">
      <c r="A202" s="724" t="s">
        <v>234</v>
      </c>
      <c r="B202" s="569" t="s">
        <v>6313</v>
      </c>
      <c r="C202" s="575">
        <v>4</v>
      </c>
      <c r="D202" s="575"/>
    </row>
    <row r="203" spans="1:4" ht="13.5" customHeight="1" x14ac:dyDescent="0.2">
      <c r="A203" s="724" t="s">
        <v>234</v>
      </c>
      <c r="B203" s="795" t="s">
        <v>6146</v>
      </c>
      <c r="C203" s="119">
        <v>1</v>
      </c>
      <c r="D203" s="119"/>
    </row>
    <row r="204" spans="1:4" ht="13.5" customHeight="1" x14ac:dyDescent="0.2">
      <c r="A204" s="724" t="s">
        <v>234</v>
      </c>
      <c r="B204" s="569" t="s">
        <v>6131</v>
      </c>
      <c r="C204" s="119">
        <v>1.75</v>
      </c>
      <c r="D204" s="119"/>
    </row>
    <row r="205" spans="1:4" ht="13.5" customHeight="1" x14ac:dyDescent="0.2">
      <c r="A205" s="724" t="s">
        <v>234</v>
      </c>
      <c r="B205" s="795" t="s">
        <v>6335</v>
      </c>
      <c r="C205" s="119">
        <v>18.45</v>
      </c>
      <c r="D205" s="119"/>
    </row>
    <row r="206" spans="1:4" ht="13.5" customHeight="1" x14ac:dyDescent="0.2">
      <c r="A206" s="724" t="s">
        <v>234</v>
      </c>
      <c r="B206" s="795" t="s">
        <v>6336</v>
      </c>
      <c r="C206" s="119">
        <v>10.5</v>
      </c>
      <c r="D206" s="119"/>
    </row>
    <row r="207" spans="1:4" ht="13.5" customHeight="1" x14ac:dyDescent="0.2">
      <c r="A207" s="724" t="s">
        <v>234</v>
      </c>
      <c r="B207" s="795" t="s">
        <v>6337</v>
      </c>
      <c r="C207" s="119">
        <v>37.5</v>
      </c>
      <c r="D207" s="119"/>
    </row>
    <row r="208" spans="1:4" ht="13.5" customHeight="1" x14ac:dyDescent="0.2">
      <c r="A208" s="724" t="s">
        <v>234</v>
      </c>
      <c r="B208" s="795" t="s">
        <v>6338</v>
      </c>
      <c r="C208" s="119">
        <v>31.7</v>
      </c>
      <c r="D208" s="119"/>
    </row>
    <row r="209" spans="1:11" ht="13.5" customHeight="1" x14ac:dyDescent="0.2">
      <c r="A209" s="724" t="s">
        <v>234</v>
      </c>
      <c r="B209" s="569" t="s">
        <v>6314</v>
      </c>
      <c r="C209" s="575">
        <v>9.6999999999999993</v>
      </c>
      <c r="D209" s="575"/>
    </row>
    <row r="210" spans="1:11" ht="13.5" customHeight="1" x14ac:dyDescent="0.2">
      <c r="A210" s="724" t="s">
        <v>234</v>
      </c>
      <c r="B210" s="569" t="s">
        <v>6113</v>
      </c>
      <c r="C210" s="119">
        <v>3.25</v>
      </c>
      <c r="D210" s="119"/>
    </row>
    <row r="211" spans="1:11" ht="13.5" customHeight="1" x14ac:dyDescent="0.2">
      <c r="A211" s="724" t="s">
        <v>234</v>
      </c>
      <c r="B211" s="569" t="s">
        <v>6130</v>
      </c>
      <c r="C211" s="119">
        <v>9.1999999999999993</v>
      </c>
      <c r="D211" s="119"/>
    </row>
    <row r="212" spans="1:11" ht="13.5" customHeight="1" x14ac:dyDescent="0.2">
      <c r="A212" s="724" t="s">
        <v>234</v>
      </c>
      <c r="B212" s="569" t="s">
        <v>6278</v>
      </c>
      <c r="C212" s="119">
        <v>108</v>
      </c>
      <c r="D212" s="119"/>
    </row>
    <row r="213" spans="1:11" ht="13.5" customHeight="1" x14ac:dyDescent="0.2">
      <c r="A213" s="724" t="s">
        <v>234</v>
      </c>
      <c r="B213" s="569" t="s">
        <v>6281</v>
      </c>
      <c r="C213" s="119">
        <v>140</v>
      </c>
      <c r="D213" s="119"/>
    </row>
    <row r="214" spans="1:11" ht="13.5" customHeight="1" x14ac:dyDescent="0.2">
      <c r="A214" s="724" t="s">
        <v>234</v>
      </c>
      <c r="B214" s="569" t="s">
        <v>6316</v>
      </c>
      <c r="C214" s="575">
        <v>40</v>
      </c>
      <c r="D214" s="575"/>
    </row>
    <row r="215" spans="1:11" ht="13.5" customHeight="1" x14ac:dyDescent="0.2">
      <c r="A215" s="724" t="s">
        <v>234</v>
      </c>
      <c r="B215" s="795" t="s">
        <v>6339</v>
      </c>
      <c r="C215" s="119">
        <v>17.02</v>
      </c>
      <c r="D215" s="119"/>
    </row>
    <row r="216" spans="1:11" ht="13.5" customHeight="1" x14ac:dyDescent="0.2">
      <c r="A216" s="724" t="s">
        <v>234</v>
      </c>
      <c r="B216" s="795" t="s">
        <v>6238</v>
      </c>
      <c r="C216" s="119">
        <v>35.6</v>
      </c>
      <c r="D216" s="119"/>
    </row>
    <row r="217" spans="1:11" ht="13.5" customHeight="1" x14ac:dyDescent="0.2">
      <c r="A217" s="724" t="s">
        <v>234</v>
      </c>
      <c r="B217" s="569" t="s">
        <v>6298</v>
      </c>
      <c r="C217" s="119">
        <v>104.9</v>
      </c>
      <c r="D217" s="119"/>
    </row>
    <row r="218" spans="1:11" ht="13.5" customHeight="1" x14ac:dyDescent="0.2">
      <c r="A218" s="724" t="s">
        <v>234</v>
      </c>
      <c r="B218" s="569" t="s">
        <v>6118</v>
      </c>
      <c r="C218" s="119">
        <v>1</v>
      </c>
      <c r="D218" s="119"/>
    </row>
    <row r="219" spans="1:11" ht="13.5" customHeight="1" x14ac:dyDescent="0.2">
      <c r="A219" s="724" t="s">
        <v>234</v>
      </c>
      <c r="B219" s="569" t="s">
        <v>6075</v>
      </c>
      <c r="C219" s="575">
        <v>10</v>
      </c>
      <c r="D219" s="575"/>
    </row>
    <row r="220" spans="1:11" ht="13.5" customHeight="1" x14ac:dyDescent="0.2">
      <c r="A220" s="724" t="s">
        <v>234</v>
      </c>
      <c r="B220" s="795" t="s">
        <v>6325</v>
      </c>
      <c r="C220" s="810">
        <v>4.08</v>
      </c>
      <c r="D220" s="810"/>
      <c r="E220" s="823"/>
      <c r="F220" s="823"/>
      <c r="G220" s="823"/>
      <c r="H220" s="823"/>
      <c r="I220" s="823"/>
      <c r="J220" s="823"/>
      <c r="K220" s="823"/>
    </row>
    <row r="221" spans="1:11" ht="13.5" customHeight="1" x14ac:dyDescent="0.2">
      <c r="A221" s="724" t="s">
        <v>234</v>
      </c>
      <c r="B221" s="795" t="s">
        <v>6253</v>
      </c>
      <c r="C221" s="119">
        <v>11</v>
      </c>
      <c r="D221" s="119"/>
    </row>
    <row r="222" spans="1:11" ht="13.5" customHeight="1" x14ac:dyDescent="0.2">
      <c r="A222" s="724" t="s">
        <v>234</v>
      </c>
      <c r="B222" s="795" t="s">
        <v>6250</v>
      </c>
      <c r="C222" s="119">
        <v>3</v>
      </c>
      <c r="D222" s="119"/>
    </row>
    <row r="223" spans="1:11" ht="13.5" customHeight="1" x14ac:dyDescent="0.2">
      <c r="A223" s="724" t="s">
        <v>234</v>
      </c>
      <c r="B223" s="795" t="s">
        <v>6225</v>
      </c>
      <c r="C223" s="119">
        <v>3.45</v>
      </c>
      <c r="D223" s="119"/>
      <c r="F223" s="795" t="s">
        <v>6226</v>
      </c>
      <c r="G223" s="119">
        <v>31</v>
      </c>
    </row>
    <row r="224" spans="1:11" ht="13.5" customHeight="1" x14ac:dyDescent="0.2">
      <c r="A224" s="724" t="s">
        <v>234</v>
      </c>
      <c r="B224" s="569" t="s">
        <v>6115</v>
      </c>
      <c r="C224" s="119">
        <v>4.5999999999999996</v>
      </c>
      <c r="D224" s="119"/>
      <c r="F224" s="795" t="s">
        <v>6252</v>
      </c>
      <c r="G224" s="119">
        <v>1.95</v>
      </c>
    </row>
    <row r="225" spans="1:11" ht="13.5" customHeight="1" x14ac:dyDescent="0.2">
      <c r="A225" s="724" t="s">
        <v>234</v>
      </c>
      <c r="B225" s="795" t="s">
        <v>6327</v>
      </c>
      <c r="C225" s="810">
        <v>16.75</v>
      </c>
      <c r="D225" s="810"/>
      <c r="E225" s="823"/>
      <c r="F225" s="795" t="s">
        <v>6190</v>
      </c>
      <c r="G225" s="119">
        <v>79.599999999999994</v>
      </c>
      <c r="H225" s="823"/>
      <c r="I225" s="823"/>
      <c r="J225" s="823"/>
      <c r="K225" s="823"/>
    </row>
    <row r="226" spans="1:11" ht="13.5" customHeight="1" x14ac:dyDescent="0.2">
      <c r="A226" s="724" t="s">
        <v>234</v>
      </c>
      <c r="B226" s="569" t="s">
        <v>6114</v>
      </c>
      <c r="C226" s="119">
        <v>6.1</v>
      </c>
      <c r="D226" s="119"/>
      <c r="F226" s="795" t="s">
        <v>6205</v>
      </c>
      <c r="G226" s="119">
        <v>140</v>
      </c>
    </row>
    <row r="227" spans="1:11" ht="13.5" customHeight="1" x14ac:dyDescent="0.2">
      <c r="A227" s="724" t="s">
        <v>234</v>
      </c>
      <c r="B227" s="569" t="s">
        <v>6114</v>
      </c>
      <c r="C227" s="119">
        <v>17.899999999999999</v>
      </c>
      <c r="D227" s="119"/>
      <c r="F227" s="795" t="s">
        <v>6219</v>
      </c>
      <c r="G227" s="119">
        <v>11.98</v>
      </c>
    </row>
    <row r="228" spans="1:11" ht="13.5" customHeight="1" x14ac:dyDescent="0.2">
      <c r="A228" s="724" t="s">
        <v>234</v>
      </c>
      <c r="B228" s="569" t="s">
        <v>6292</v>
      </c>
      <c r="C228" s="119">
        <v>131.4</v>
      </c>
      <c r="D228" s="119"/>
      <c r="F228" s="795" t="s">
        <v>6196</v>
      </c>
      <c r="G228" s="119">
        <v>41.94</v>
      </c>
    </row>
    <row r="229" spans="1:11" ht="13.5" customHeight="1" x14ac:dyDescent="0.2">
      <c r="A229" s="724" t="s">
        <v>234</v>
      </c>
      <c r="B229" s="569" t="s">
        <v>6319</v>
      </c>
      <c r="C229" s="575">
        <v>3.2</v>
      </c>
      <c r="D229" s="575"/>
      <c r="F229" s="795" t="s">
        <v>6194</v>
      </c>
      <c r="G229" s="119">
        <v>135.5</v>
      </c>
    </row>
    <row r="230" spans="1:11" ht="13.5" customHeight="1" x14ac:dyDescent="0.2">
      <c r="A230" s="724" t="s">
        <v>234</v>
      </c>
      <c r="B230" s="795" t="s">
        <v>6145</v>
      </c>
      <c r="C230" s="119">
        <v>3.2</v>
      </c>
      <c r="D230" s="119"/>
      <c r="G230" s="791">
        <f>SUM(G223:G229)</f>
        <v>441.97</v>
      </c>
    </row>
    <row r="231" spans="1:11" ht="13.5" customHeight="1" x14ac:dyDescent="0.2">
      <c r="A231" s="724" t="s">
        <v>234</v>
      </c>
      <c r="B231" s="793" t="s">
        <v>6340</v>
      </c>
      <c r="C231" s="24">
        <f>441.97/2</f>
        <v>220.98500000000001</v>
      </c>
      <c r="D231" s="119"/>
    </row>
    <row r="232" spans="1:11" ht="13.5" customHeight="1" x14ac:dyDescent="0.2">
      <c r="B232" s="795"/>
      <c r="C232" s="1048">
        <f>SUM(C186:C231)</f>
        <v>3286.1749999999984</v>
      </c>
      <c r="D232" s="119"/>
    </row>
    <row r="233" spans="1:11" ht="13.5" customHeight="1" x14ac:dyDescent="0.2">
      <c r="B233" s="795"/>
      <c r="C233" s="119"/>
      <c r="D233" s="119"/>
    </row>
    <row r="234" spans="1:11" ht="13.5" customHeight="1" x14ac:dyDescent="0.2">
      <c r="A234" s="724" t="s">
        <v>234</v>
      </c>
      <c r="B234" s="795" t="s">
        <v>6170</v>
      </c>
      <c r="C234" s="119">
        <v>5.4</v>
      </c>
      <c r="D234" s="119"/>
    </row>
    <row r="235" spans="1:11" ht="13.5" customHeight="1" x14ac:dyDescent="0.2">
      <c r="A235" s="724" t="s">
        <v>234</v>
      </c>
      <c r="B235" s="793" t="s">
        <v>6171</v>
      </c>
      <c r="C235" s="119">
        <v>2.2999999999999998</v>
      </c>
      <c r="D235" s="119"/>
    </row>
    <row r="236" spans="1:11" ht="13.5" customHeight="1" x14ac:dyDescent="0.2">
      <c r="A236" s="724" t="s">
        <v>234</v>
      </c>
      <c r="B236" s="722" t="s">
        <v>6305</v>
      </c>
      <c r="C236" s="119">
        <v>249</v>
      </c>
      <c r="D236" s="119"/>
    </row>
    <row r="237" spans="1:11" ht="13.5" customHeight="1" x14ac:dyDescent="0.2">
      <c r="A237" s="724" t="s">
        <v>234</v>
      </c>
      <c r="B237" s="793" t="s">
        <v>6340</v>
      </c>
      <c r="C237" s="24">
        <f>441.97/2</f>
        <v>220.98500000000001</v>
      </c>
      <c r="D237" s="119"/>
    </row>
    <row r="238" spans="1:11" ht="13.5" customHeight="1" x14ac:dyDescent="0.2">
      <c r="B238" s="722"/>
      <c r="C238" s="1048">
        <f>SUM(C234:C237)</f>
        <v>477.685</v>
      </c>
      <c r="D238" s="119"/>
    </row>
    <row r="239" spans="1:11" ht="13.5" customHeight="1" x14ac:dyDescent="0.2">
      <c r="B239" s="722"/>
      <c r="C239" s="119"/>
      <c r="D239" s="119"/>
    </row>
    <row r="240" spans="1:11" ht="13.5" customHeight="1" x14ac:dyDescent="0.2">
      <c r="A240" s="724" t="s">
        <v>235</v>
      </c>
      <c r="B240" s="569" t="s">
        <v>195</v>
      </c>
      <c r="C240" s="119">
        <v>317.19</v>
      </c>
      <c r="D240" s="119"/>
    </row>
    <row r="241" spans="1:11" ht="13.5" customHeight="1" x14ac:dyDescent="0.2">
      <c r="A241" s="724" t="s">
        <v>235</v>
      </c>
      <c r="B241" s="569" t="s">
        <v>194</v>
      </c>
      <c r="C241" s="119">
        <v>68.72</v>
      </c>
      <c r="D241" s="119"/>
    </row>
    <row r="242" spans="1:11" ht="13.5" customHeight="1" x14ac:dyDescent="0.2">
      <c r="B242" s="569"/>
      <c r="C242" s="1048">
        <f>SUM(C240:C241)</f>
        <v>385.90999999999997</v>
      </c>
      <c r="D242" s="119"/>
    </row>
    <row r="243" spans="1:11" ht="13.5" customHeight="1" x14ac:dyDescent="0.2">
      <c r="B243" s="569"/>
      <c r="C243" s="119"/>
      <c r="D243" s="119"/>
    </row>
    <row r="244" spans="1:11" ht="13.5" customHeight="1" x14ac:dyDescent="0.2">
      <c r="A244" s="724" t="s">
        <v>236</v>
      </c>
      <c r="B244" s="795" t="s">
        <v>5730</v>
      </c>
      <c r="C244" s="119">
        <v>128.93</v>
      </c>
      <c r="D244" s="119"/>
    </row>
    <row r="245" spans="1:11" ht="13.5" customHeight="1" x14ac:dyDescent="0.2">
      <c r="A245" s="724" t="s">
        <v>236</v>
      </c>
      <c r="B245" s="722" t="s">
        <v>1002</v>
      </c>
      <c r="C245" s="119">
        <v>2000</v>
      </c>
      <c r="D245" s="119"/>
    </row>
    <row r="246" spans="1:11" ht="13.5" customHeight="1" x14ac:dyDescent="0.2">
      <c r="A246" s="724" t="s">
        <v>236</v>
      </c>
      <c r="B246" s="722" t="s">
        <v>1002</v>
      </c>
      <c r="C246" s="119">
        <v>41.97</v>
      </c>
      <c r="D246" s="119"/>
    </row>
    <row r="247" spans="1:11" ht="13.5" customHeight="1" x14ac:dyDescent="0.2">
      <c r="A247" s="724" t="s">
        <v>236</v>
      </c>
      <c r="B247" s="722" t="s">
        <v>6234</v>
      </c>
      <c r="C247" s="119">
        <v>560</v>
      </c>
      <c r="D247" s="119"/>
    </row>
    <row r="248" spans="1:11" ht="13.5" customHeight="1" x14ac:dyDescent="0.2">
      <c r="A248" s="724" t="s">
        <v>236</v>
      </c>
      <c r="B248" s="793" t="s">
        <v>6245</v>
      </c>
      <c r="C248" s="119">
        <v>2000</v>
      </c>
      <c r="D248" s="119"/>
    </row>
    <row r="249" spans="1:11" ht="13.5" customHeight="1" x14ac:dyDescent="0.2">
      <c r="A249" s="724" t="s">
        <v>236</v>
      </c>
      <c r="B249" s="793" t="s">
        <v>6239</v>
      </c>
      <c r="C249" s="119">
        <v>1250</v>
      </c>
      <c r="D249" s="119"/>
    </row>
    <row r="250" spans="1:11" ht="13.5" customHeight="1" x14ac:dyDescent="0.2">
      <c r="A250" s="724" t="s">
        <v>236</v>
      </c>
      <c r="B250" s="722" t="s">
        <v>6120</v>
      </c>
      <c r="C250" s="119">
        <v>2000</v>
      </c>
      <c r="D250" s="119"/>
    </row>
    <row r="251" spans="1:11" ht="13.5" customHeight="1" x14ac:dyDescent="0.2">
      <c r="A251" s="724" t="s">
        <v>236</v>
      </c>
      <c r="B251" s="722" t="s">
        <v>5596</v>
      </c>
      <c r="C251" s="119">
        <v>1000</v>
      </c>
      <c r="D251" s="119"/>
    </row>
    <row r="252" spans="1:11" ht="14.25" customHeight="1" x14ac:dyDescent="0.2">
      <c r="B252" s="722"/>
      <c r="C252" s="119">
        <f>SUM(C244:C251)</f>
        <v>8980.9</v>
      </c>
      <c r="D252" s="1048">
        <f>C252-342.04-781.81-4780.68-2050</f>
        <v>1026.369999999999</v>
      </c>
    </row>
    <row r="253" spans="1:11" ht="13.5" customHeight="1" x14ac:dyDescent="0.2">
      <c r="B253" s="722"/>
      <c r="C253" s="119"/>
      <c r="D253" s="119"/>
    </row>
    <row r="254" spans="1:11" ht="13.5" customHeight="1" x14ac:dyDescent="0.2">
      <c r="A254" s="724" t="s">
        <v>236</v>
      </c>
      <c r="B254" s="722" t="s">
        <v>6135</v>
      </c>
      <c r="C254" s="119">
        <v>5000</v>
      </c>
      <c r="D254" s="1048">
        <f>C254-1124.76-1118.11</f>
        <v>2757.13</v>
      </c>
    </row>
    <row r="255" spans="1:11" ht="13.5" customHeight="1" x14ac:dyDescent="0.2">
      <c r="B255" s="722"/>
      <c r="C255" s="119"/>
      <c r="D255" s="119"/>
    </row>
    <row r="256" spans="1:11" ht="13.5" customHeight="1" x14ac:dyDescent="0.2">
      <c r="A256" s="724" t="s">
        <v>237</v>
      </c>
      <c r="B256" s="793" t="s">
        <v>6324</v>
      </c>
      <c r="C256" s="810">
        <v>100</v>
      </c>
      <c r="D256" s="810"/>
      <c r="E256" s="823"/>
      <c r="F256" s="795" t="s">
        <v>6184</v>
      </c>
      <c r="G256" s="103">
        <v>95</v>
      </c>
      <c r="H256" s="823"/>
      <c r="I256" s="823"/>
      <c r="J256" s="823"/>
      <c r="K256" s="823"/>
    </row>
    <row r="257" spans="1:14" ht="13.5" customHeight="1" x14ac:dyDescent="0.2">
      <c r="A257" s="724" t="s">
        <v>237</v>
      </c>
      <c r="B257" s="722" t="s">
        <v>6294</v>
      </c>
      <c r="C257" s="119">
        <v>2400</v>
      </c>
      <c r="D257" s="119"/>
    </row>
    <row r="258" spans="1:14" ht="13.5" customHeight="1" x14ac:dyDescent="0.2">
      <c r="A258" s="724" t="s">
        <v>237</v>
      </c>
      <c r="B258" s="793" t="s">
        <v>6341</v>
      </c>
      <c r="C258" s="119">
        <f>95/2</f>
        <v>47.5</v>
      </c>
      <c r="D258" s="119"/>
    </row>
    <row r="259" spans="1:14" ht="13.5" customHeight="1" x14ac:dyDescent="0.2">
      <c r="B259" s="793"/>
      <c r="C259" s="1048">
        <f>SUM(C256:C258)</f>
        <v>2547.5</v>
      </c>
      <c r="D259" s="119"/>
    </row>
    <row r="260" spans="1:14" ht="13.5" customHeight="1" x14ac:dyDescent="0.2">
      <c r="B260" s="793"/>
      <c r="C260" s="119"/>
      <c r="D260" s="119"/>
    </row>
    <row r="261" spans="1:14" ht="13.5" customHeight="1" x14ac:dyDescent="0.2">
      <c r="A261" s="724" t="s">
        <v>237</v>
      </c>
      <c r="B261" s="793" t="s">
        <v>6241</v>
      </c>
      <c r="C261" s="119">
        <v>44.99</v>
      </c>
      <c r="D261" s="119"/>
    </row>
    <row r="262" spans="1:14" ht="13.5" customHeight="1" x14ac:dyDescent="0.2">
      <c r="A262" s="724" t="s">
        <v>237</v>
      </c>
      <c r="B262" s="793" t="s">
        <v>6341</v>
      </c>
      <c r="C262" s="119">
        <f>95/2</f>
        <v>47.5</v>
      </c>
      <c r="D262" s="119"/>
    </row>
    <row r="263" spans="1:14" ht="13.5" customHeight="1" x14ac:dyDescent="0.2">
      <c r="B263" s="793"/>
      <c r="C263" s="1048">
        <f>SUM(C261:C262)</f>
        <v>92.490000000000009</v>
      </c>
      <c r="D263" s="119"/>
    </row>
    <row r="264" spans="1:14" ht="13.5" customHeight="1" x14ac:dyDescent="0.2">
      <c r="B264" s="793"/>
      <c r="C264" s="119"/>
      <c r="D264" s="119"/>
    </row>
    <row r="265" spans="1:14" ht="13.5" customHeight="1" x14ac:dyDescent="0.2">
      <c r="A265" s="724" t="s">
        <v>238</v>
      </c>
      <c r="B265" s="722" t="s">
        <v>5557</v>
      </c>
      <c r="C265" s="119">
        <v>0.62</v>
      </c>
      <c r="D265" s="119"/>
    </row>
    <row r="266" spans="1:14" ht="13.5" customHeight="1" x14ac:dyDescent="0.2">
      <c r="A266" s="724" t="s">
        <v>238</v>
      </c>
      <c r="B266" s="722" t="s">
        <v>5557</v>
      </c>
      <c r="C266" s="119">
        <v>0.56999999999999995</v>
      </c>
      <c r="D266" s="119"/>
    </row>
    <row r="267" spans="1:14" ht="13.5" customHeight="1" x14ac:dyDescent="0.2">
      <c r="A267" s="724" t="s">
        <v>238</v>
      </c>
      <c r="B267" s="722" t="s">
        <v>1598</v>
      </c>
      <c r="C267" s="119">
        <v>7.78</v>
      </c>
      <c r="D267" s="119"/>
    </row>
    <row r="268" spans="1:14" s="823" customFormat="1" ht="13.5" customHeight="1" x14ac:dyDescent="0.2">
      <c r="A268" s="724" t="s">
        <v>238</v>
      </c>
      <c r="B268" s="722" t="s">
        <v>5558</v>
      </c>
      <c r="C268" s="119">
        <v>19.21</v>
      </c>
      <c r="D268" s="119"/>
      <c r="E268" s="97"/>
      <c r="F268" s="97"/>
      <c r="G268" s="97"/>
      <c r="H268" s="97"/>
      <c r="I268" s="97"/>
      <c r="J268" s="97"/>
      <c r="K268" s="97"/>
      <c r="L268" s="97"/>
      <c r="M268" s="97"/>
      <c r="N268" s="97"/>
    </row>
    <row r="269" spans="1:14" s="823" customFormat="1" ht="13.5" customHeight="1" x14ac:dyDescent="0.2">
      <c r="A269" s="724" t="s">
        <v>238</v>
      </c>
      <c r="B269" s="722" t="s">
        <v>20</v>
      </c>
      <c r="C269" s="119">
        <v>83.97</v>
      </c>
      <c r="D269" s="119"/>
      <c r="E269" s="97"/>
      <c r="F269" s="97"/>
      <c r="G269" s="97"/>
      <c r="H269" s="97"/>
      <c r="I269" s="97"/>
      <c r="J269" s="97"/>
      <c r="K269" s="97"/>
      <c r="L269" s="97"/>
      <c r="M269" s="97"/>
      <c r="N269" s="97"/>
    </row>
    <row r="270" spans="1:14" s="823" customFormat="1" ht="13.5" customHeight="1" x14ac:dyDescent="0.2">
      <c r="A270" s="724" t="s">
        <v>238</v>
      </c>
      <c r="B270" s="722" t="s">
        <v>20</v>
      </c>
      <c r="C270" s="119">
        <v>-0.01</v>
      </c>
      <c r="D270" s="119"/>
      <c r="E270" s="97"/>
      <c r="F270" s="97"/>
      <c r="G270" s="97"/>
      <c r="H270" s="97"/>
      <c r="I270" s="97"/>
      <c r="J270" s="97"/>
      <c r="K270" s="97"/>
      <c r="L270" s="97"/>
      <c r="M270" s="97"/>
      <c r="N270" s="97"/>
    </row>
    <row r="271" spans="1:14" s="823" customFormat="1" ht="13.5" customHeight="1" x14ac:dyDescent="0.2">
      <c r="A271" s="724" t="s">
        <v>238</v>
      </c>
      <c r="B271" s="722" t="s">
        <v>20</v>
      </c>
      <c r="C271" s="119">
        <v>-0.01</v>
      </c>
      <c r="D271" s="119"/>
      <c r="E271" s="97"/>
      <c r="F271" s="97"/>
      <c r="G271" s="97"/>
      <c r="H271" s="97"/>
      <c r="I271" s="97"/>
      <c r="J271" s="97"/>
      <c r="K271" s="97"/>
      <c r="L271" s="97"/>
      <c r="M271" s="97"/>
      <c r="N271" s="97"/>
    </row>
    <row r="272" spans="1:14" s="823" customFormat="1" ht="13.5" customHeight="1" x14ac:dyDescent="0.2">
      <c r="A272" s="724" t="s">
        <v>238</v>
      </c>
      <c r="B272" s="722" t="s">
        <v>20</v>
      </c>
      <c r="C272" s="119">
        <v>-0.01</v>
      </c>
      <c r="D272" s="119"/>
      <c r="E272" s="97"/>
      <c r="F272" s="97"/>
      <c r="G272" s="97"/>
      <c r="H272" s="97"/>
      <c r="I272" s="97"/>
      <c r="J272" s="97"/>
      <c r="K272" s="97"/>
      <c r="L272" s="97"/>
      <c r="M272" s="97"/>
      <c r="N272" s="97"/>
    </row>
    <row r="273" spans="1:14" s="823" customFormat="1" ht="13.5" customHeight="1" x14ac:dyDescent="0.2">
      <c r="A273" s="724" t="s">
        <v>238</v>
      </c>
      <c r="B273" s="722" t="s">
        <v>20</v>
      </c>
      <c r="C273" s="119">
        <v>-0.06</v>
      </c>
      <c r="D273" s="119"/>
      <c r="E273" s="97"/>
      <c r="F273" s="97"/>
      <c r="G273" s="97"/>
      <c r="H273" s="97"/>
      <c r="I273" s="97"/>
      <c r="J273" s="97"/>
      <c r="K273" s="97"/>
      <c r="L273" s="97"/>
      <c r="M273" s="97"/>
      <c r="N273" s="97"/>
    </row>
    <row r="274" spans="1:14" s="823" customFormat="1" ht="13.5" customHeight="1" x14ac:dyDescent="0.2">
      <c r="A274" s="724" t="s">
        <v>238</v>
      </c>
      <c r="B274" s="722" t="s">
        <v>20</v>
      </c>
      <c r="C274" s="119">
        <v>-0.08</v>
      </c>
      <c r="D274" s="119"/>
      <c r="E274" s="97"/>
      <c r="F274" s="97"/>
      <c r="G274" s="97"/>
      <c r="H274" s="97"/>
      <c r="I274" s="97"/>
      <c r="J274" s="97"/>
      <c r="K274" s="97"/>
      <c r="L274" s="97"/>
      <c r="M274" s="97"/>
      <c r="N274" s="97"/>
    </row>
    <row r="275" spans="1:14" s="823" customFormat="1" ht="13.5" customHeight="1" x14ac:dyDescent="0.2">
      <c r="A275" s="724" t="s">
        <v>238</v>
      </c>
      <c r="B275" s="722" t="s">
        <v>86</v>
      </c>
      <c r="C275" s="119">
        <v>72</v>
      </c>
      <c r="D275" s="119"/>
      <c r="E275" s="97"/>
      <c r="F275" s="97"/>
      <c r="G275" s="97"/>
      <c r="H275" s="97"/>
      <c r="I275" s="97"/>
      <c r="J275" s="97"/>
      <c r="K275" s="97"/>
      <c r="L275" s="97"/>
      <c r="M275" s="97"/>
      <c r="N275" s="97"/>
    </row>
    <row r="276" spans="1:14" s="823" customFormat="1" ht="13.5" customHeight="1" x14ac:dyDescent="0.2">
      <c r="A276" s="724" t="s">
        <v>238</v>
      </c>
      <c r="B276" s="793" t="s">
        <v>86</v>
      </c>
      <c r="C276" s="119">
        <v>69</v>
      </c>
      <c r="D276" s="119"/>
      <c r="E276" s="97"/>
      <c r="F276" s="97"/>
      <c r="G276" s="97"/>
      <c r="H276" s="97"/>
      <c r="I276" s="97"/>
      <c r="J276" s="97"/>
      <c r="K276" s="97"/>
      <c r="L276" s="97"/>
      <c r="M276" s="97"/>
      <c r="N276" s="97"/>
    </row>
    <row r="277" spans="1:14" s="823" customFormat="1" ht="13.5" customHeight="1" x14ac:dyDescent="0.2">
      <c r="A277" s="724" t="s">
        <v>238</v>
      </c>
      <c r="B277" s="722" t="s">
        <v>86</v>
      </c>
      <c r="C277" s="119">
        <v>9.9</v>
      </c>
      <c r="D277" s="119"/>
      <c r="E277" s="97"/>
      <c r="F277" s="97"/>
      <c r="G277" s="97"/>
      <c r="H277" s="97"/>
      <c r="I277" s="97"/>
      <c r="J277" s="97"/>
      <c r="K277" s="97"/>
      <c r="L277" s="97"/>
      <c r="M277" s="97"/>
      <c r="N277" s="97"/>
    </row>
    <row r="278" spans="1:14" s="823" customFormat="1" ht="13.5" customHeight="1" x14ac:dyDescent="0.2">
      <c r="A278" s="724"/>
      <c r="B278" s="722"/>
      <c r="C278" s="549">
        <f>SUM(C265:C277)</f>
        <v>262.88</v>
      </c>
      <c r="D278" s="1048">
        <f>C278/2</f>
        <v>131.44</v>
      </c>
      <c r="E278" s="97"/>
      <c r="F278" s="97"/>
      <c r="G278" s="97"/>
      <c r="H278" s="97"/>
      <c r="I278" s="97"/>
      <c r="J278" s="97"/>
      <c r="K278" s="97"/>
      <c r="L278" s="97"/>
      <c r="M278" s="97"/>
      <c r="N278" s="97"/>
    </row>
    <row r="279" spans="1:14" s="823" customFormat="1" ht="13.5" customHeight="1" x14ac:dyDescent="0.2">
      <c r="A279" s="724"/>
      <c r="B279" s="722"/>
      <c r="C279" s="119"/>
      <c r="D279" s="97"/>
      <c r="E279" s="97"/>
      <c r="F279" s="97"/>
      <c r="G279" s="97"/>
      <c r="H279" s="97"/>
      <c r="I279" s="97"/>
      <c r="J279" s="97"/>
      <c r="K279" s="97"/>
      <c r="L279" s="97"/>
      <c r="M279" s="97"/>
      <c r="N279" s="97"/>
    </row>
    <row r="280" spans="1:14" s="823" customFormat="1" ht="13.5" customHeight="1" x14ac:dyDescent="0.2">
      <c r="A280" s="724" t="s">
        <v>239</v>
      </c>
      <c r="B280" s="722" t="s">
        <v>6326</v>
      </c>
      <c r="C280" s="1049">
        <v>268.02999999999997</v>
      </c>
      <c r="D280" s="1048">
        <f>C280/2</f>
        <v>134.01499999999999</v>
      </c>
      <c r="L280" s="97"/>
      <c r="M280" s="97"/>
      <c r="N280" s="97"/>
    </row>
    <row r="281" spans="1:14" s="823" customFormat="1" ht="13.5" customHeight="1" x14ac:dyDescent="0.2">
      <c r="A281" s="724"/>
      <c r="B281" s="722"/>
      <c r="C281" s="810"/>
      <c r="D281" s="810"/>
      <c r="L281" s="97"/>
      <c r="M281" s="97"/>
      <c r="N281" s="97"/>
    </row>
    <row r="282" spans="1:14" s="823" customFormat="1" ht="13.5" customHeight="1" x14ac:dyDescent="0.2">
      <c r="A282" s="724"/>
      <c r="B282" s="722"/>
      <c r="C282" s="810"/>
      <c r="D282" s="810"/>
      <c r="L282" s="97"/>
      <c r="M282" s="97"/>
      <c r="N282" s="97"/>
    </row>
    <row r="283" spans="1:14" s="823" customFormat="1" ht="13.5" customHeight="1" x14ac:dyDescent="0.2">
      <c r="A283" s="724" t="s">
        <v>421</v>
      </c>
      <c r="B283" s="722" t="s">
        <v>6312</v>
      </c>
      <c r="C283" s="575">
        <v>500</v>
      </c>
      <c r="D283" s="575"/>
      <c r="E283" s="97"/>
      <c r="F283" s="97"/>
      <c r="G283" s="97"/>
      <c r="H283" s="97"/>
      <c r="I283" s="97"/>
      <c r="J283" s="97"/>
      <c r="K283" s="97"/>
      <c r="L283" s="97"/>
      <c r="M283" s="97"/>
      <c r="N283" s="97"/>
    </row>
    <row r="284" spans="1:14" s="823" customFormat="1" ht="13.5" customHeight="1" x14ac:dyDescent="0.2">
      <c r="A284" s="724" t="s">
        <v>421</v>
      </c>
      <c r="B284" s="722" t="s">
        <v>6311</v>
      </c>
      <c r="C284" s="575">
        <v>1000</v>
      </c>
      <c r="D284" s="575"/>
      <c r="E284" s="97"/>
      <c r="F284" s="97"/>
      <c r="G284" s="97"/>
      <c r="H284" s="97"/>
      <c r="I284" s="97"/>
      <c r="J284" s="97"/>
      <c r="K284" s="97"/>
      <c r="L284" s="97"/>
      <c r="M284" s="97"/>
      <c r="N284" s="97"/>
    </row>
    <row r="285" spans="1:14" ht="13.5" customHeight="1" x14ac:dyDescent="0.2">
      <c r="B285" s="208"/>
      <c r="C285" s="1050">
        <f>SUM(C283:C284)</f>
        <v>1500</v>
      </c>
      <c r="D285" s="423"/>
    </row>
    <row r="286" spans="1:14" ht="13.5" customHeight="1" x14ac:dyDescent="0.2">
      <c r="B286" s="795"/>
      <c r="C286" s="855"/>
      <c r="D286" s="855"/>
    </row>
    <row r="287" spans="1:14" ht="13.5" customHeight="1" x14ac:dyDescent="0.2">
      <c r="B287" s="795"/>
      <c r="C287" s="855"/>
      <c r="D287" s="855"/>
    </row>
    <row r="288" spans="1:14" ht="13.5" customHeight="1" x14ac:dyDescent="0.2">
      <c r="B288" s="795"/>
      <c r="C288" s="855"/>
      <c r="D288" s="855"/>
    </row>
    <row r="289" spans="2:4" ht="13.5" customHeight="1" x14ac:dyDescent="0.2">
      <c r="B289" s="795"/>
      <c r="C289" s="855"/>
      <c r="D289" s="855"/>
    </row>
    <row r="290" spans="2:4" ht="13.5" customHeight="1" x14ac:dyDescent="0.2">
      <c r="B290" s="795"/>
      <c r="C290" s="855"/>
      <c r="D290" s="855"/>
    </row>
    <row r="291" spans="2:4" ht="13.5" customHeight="1" x14ac:dyDescent="0.2">
      <c r="B291" s="795"/>
      <c r="C291" s="855"/>
      <c r="D291" s="855"/>
    </row>
    <row r="292" spans="2:4" ht="13.5" customHeight="1" x14ac:dyDescent="0.2">
      <c r="B292" s="795"/>
      <c r="C292" s="856"/>
      <c r="D292" s="856"/>
    </row>
    <row r="293" spans="2:4" ht="13.5" customHeight="1" x14ac:dyDescent="0.2">
      <c r="B293" s="795"/>
      <c r="C293" s="856"/>
      <c r="D293" s="856"/>
    </row>
    <row r="294" spans="2:4" ht="13.5" customHeight="1" x14ac:dyDescent="0.2">
      <c r="B294" s="823"/>
      <c r="C294" s="425"/>
      <c r="D294" s="425"/>
    </row>
    <row r="295" spans="2:4" ht="13.5" customHeight="1" x14ac:dyDescent="0.2">
      <c r="B295" s="795"/>
      <c r="C295" s="856"/>
      <c r="D295" s="856"/>
    </row>
    <row r="296" spans="2:4" ht="13.5" customHeight="1" x14ac:dyDescent="0.2">
      <c r="B296" s="795"/>
      <c r="C296" s="856"/>
      <c r="D296" s="856"/>
    </row>
    <row r="297" spans="2:4" ht="13.5" customHeight="1" x14ac:dyDescent="0.2">
      <c r="B297" s="857"/>
      <c r="C297" s="856"/>
      <c r="D297" s="856"/>
    </row>
    <row r="298" spans="2:4" ht="13.5" customHeight="1" x14ac:dyDescent="0.2">
      <c r="B298" s="795"/>
      <c r="C298" s="856"/>
      <c r="D298" s="856"/>
    </row>
    <row r="299" spans="2:4" ht="13.5" customHeight="1" x14ac:dyDescent="0.2">
      <c r="B299" s="795"/>
      <c r="C299" s="425"/>
      <c r="D299" s="425"/>
    </row>
    <row r="300" spans="2:4" ht="13.5" customHeight="1" x14ac:dyDescent="0.2">
      <c r="B300" s="823"/>
      <c r="C300" s="856"/>
      <c r="D300" s="856"/>
    </row>
    <row r="301" spans="2:4" ht="13.5" customHeight="1" x14ac:dyDescent="0.2">
      <c r="B301" s="795"/>
      <c r="C301" s="856"/>
      <c r="D301" s="856"/>
    </row>
    <row r="302" spans="2:4" ht="13.5" customHeight="1" x14ac:dyDescent="0.2">
      <c r="B302" s="795"/>
      <c r="C302" s="425"/>
      <c r="D302" s="425"/>
    </row>
    <row r="303" spans="2:4" ht="13.5" customHeight="1" x14ac:dyDescent="0.2">
      <c r="B303" s="823"/>
      <c r="C303" s="425"/>
      <c r="D303" s="425"/>
    </row>
    <row r="304" spans="2:4" ht="13.5" customHeight="1" x14ac:dyDescent="0.2">
      <c r="B304" s="795"/>
      <c r="C304" s="856"/>
      <c r="D304" s="856"/>
    </row>
    <row r="305" spans="2:4" ht="13.5" customHeight="1" x14ac:dyDescent="0.2">
      <c r="B305" s="795"/>
      <c r="C305" s="425"/>
      <c r="D305" s="425"/>
    </row>
    <row r="306" spans="2:4" ht="13.5" customHeight="1" x14ac:dyDescent="0.2">
      <c r="B306" s="823"/>
      <c r="C306" s="425"/>
      <c r="D306" s="425"/>
    </row>
    <row r="307" spans="2:4" ht="13.5" customHeight="1" x14ac:dyDescent="0.2">
      <c r="B307" s="795"/>
      <c r="C307" s="856"/>
      <c r="D307" s="856"/>
    </row>
    <row r="308" spans="2:4" ht="13.5" customHeight="1" x14ac:dyDescent="0.2">
      <c r="B308" s="795"/>
      <c r="C308" s="856"/>
      <c r="D308" s="856"/>
    </row>
    <row r="309" spans="2:4" ht="13.5" customHeight="1" x14ac:dyDescent="0.2">
      <c r="B309" s="795"/>
      <c r="C309" s="855"/>
      <c r="D309" s="855"/>
    </row>
    <row r="310" spans="2:4" ht="13.5" customHeight="1" x14ac:dyDescent="0.2">
      <c r="B310" s="858"/>
      <c r="C310" s="855"/>
      <c r="D310" s="855"/>
    </row>
    <row r="311" spans="2:4" ht="13.5" customHeight="1" x14ac:dyDescent="0.2">
      <c r="B311" s="857"/>
      <c r="C311" s="855"/>
      <c r="D311" s="855"/>
    </row>
    <row r="312" spans="2:4" ht="13.5" customHeight="1" x14ac:dyDescent="0.2">
      <c r="B312" s="859"/>
      <c r="C312" s="855"/>
      <c r="D312" s="855"/>
    </row>
    <row r="313" spans="2:4" ht="13.5" customHeight="1" x14ac:dyDescent="0.2">
      <c r="B313" s="860"/>
      <c r="C313" s="855"/>
      <c r="D313" s="855"/>
    </row>
    <row r="314" spans="2:4" ht="13.5" customHeight="1" x14ac:dyDescent="0.2">
      <c r="B314" s="569"/>
      <c r="C314" s="861"/>
      <c r="D314" s="861"/>
    </row>
    <row r="315" spans="2:4" ht="13.5" customHeight="1" x14ac:dyDescent="0.2">
      <c r="B315" s="569"/>
      <c r="C315" s="862"/>
      <c r="D315" s="862"/>
    </row>
    <row r="316" spans="2:4" ht="13.5" customHeight="1" x14ac:dyDescent="0.2">
      <c r="B316" s="569"/>
      <c r="C316" s="861"/>
      <c r="D316" s="861"/>
    </row>
    <row r="317" spans="2:4" ht="13.5" customHeight="1" x14ac:dyDescent="0.2">
      <c r="C317" s="861"/>
      <c r="D317" s="861"/>
    </row>
    <row r="318" spans="2:4" ht="13.5" customHeight="1" x14ac:dyDescent="0.2">
      <c r="B318" s="569"/>
      <c r="C318" s="862"/>
      <c r="D318" s="862"/>
    </row>
    <row r="319" spans="2:4" ht="13.5" customHeight="1" x14ac:dyDescent="0.2">
      <c r="B319" s="569"/>
      <c r="C319" s="862"/>
      <c r="D319" s="862"/>
    </row>
    <row r="320" spans="2:4" ht="13.5" customHeight="1" x14ac:dyDescent="0.2">
      <c r="B320" s="569"/>
      <c r="C320" s="862"/>
      <c r="D320" s="862"/>
    </row>
    <row r="321" spans="2:4" ht="13.5" customHeight="1" x14ac:dyDescent="0.2">
      <c r="B321" s="634"/>
      <c r="C321" s="426"/>
      <c r="D321" s="426"/>
    </row>
    <row r="322" spans="2:4" ht="13.5" customHeight="1" x14ac:dyDescent="0.2">
      <c r="B322" s="634"/>
      <c r="C322" s="862"/>
      <c r="D322" s="862"/>
    </row>
    <row r="323" spans="2:4" ht="13.5" customHeight="1" x14ac:dyDescent="0.2">
      <c r="C323" s="426"/>
      <c r="D323" s="426"/>
    </row>
    <row r="324" spans="2:4" ht="13.5" customHeight="1" x14ac:dyDescent="0.2">
      <c r="B324" s="569"/>
      <c r="C324" s="861"/>
      <c r="D324" s="861"/>
    </row>
    <row r="325" spans="2:4" ht="13.5" customHeight="1" x14ac:dyDescent="0.2">
      <c r="B325" s="569"/>
      <c r="C325" s="861"/>
      <c r="D325" s="861"/>
    </row>
    <row r="326" spans="2:4" ht="13.5" customHeight="1" x14ac:dyDescent="0.2">
      <c r="B326" s="569"/>
      <c r="C326" s="861"/>
      <c r="D326" s="861"/>
    </row>
    <row r="327" spans="2:4" ht="13.5" customHeight="1" x14ac:dyDescent="0.2">
      <c r="B327" s="569"/>
      <c r="C327" s="861"/>
      <c r="D327" s="861"/>
    </row>
    <row r="328" spans="2:4" x14ac:dyDescent="0.2">
      <c r="B328" s="865"/>
      <c r="C328" s="427"/>
      <c r="D328" s="427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412"/>
  <sheetViews>
    <sheetView zoomScale="85" zoomScaleNormal="85" workbookViewId="0">
      <selection activeCell="C11" sqref="C11"/>
    </sheetView>
  </sheetViews>
  <sheetFormatPr defaultColWidth="9" defaultRowHeight="12.75" x14ac:dyDescent="0.2"/>
  <cols>
    <col min="1" max="1" width="14" style="1" customWidth="1"/>
    <col min="2" max="2" width="1.875" style="1" customWidth="1"/>
    <col min="3" max="3" width="95.875" style="1" customWidth="1"/>
    <col min="4" max="4" width="12" style="1" customWidth="1"/>
    <col min="5" max="5" width="12.375" style="1" customWidth="1"/>
    <col min="6" max="6" width="10.75" style="1" customWidth="1"/>
    <col min="7" max="7" width="11.875" style="1" customWidth="1"/>
    <col min="8" max="9" width="10.75" style="18" customWidth="1"/>
    <col min="10" max="10" width="10.875" style="66" customWidth="1"/>
    <col min="11" max="11" width="10.125" style="1" customWidth="1"/>
    <col min="12" max="12" width="10.375" style="1" customWidth="1"/>
    <col min="13" max="14" width="9" style="1"/>
    <col min="15" max="15" width="10.875" style="40" bestFit="1" customWidth="1"/>
    <col min="16" max="16384" width="9" style="1"/>
  </cols>
  <sheetData>
    <row r="1" spans="1:12" ht="13.5" customHeight="1" thickBot="1" x14ac:dyDescent="0.25">
      <c r="A1" s="1407" t="s">
        <v>6342</v>
      </c>
      <c r="B1" s="1407"/>
      <c r="C1" s="1408"/>
      <c r="D1" s="1409" t="s">
        <v>0</v>
      </c>
      <c r="E1" s="1410"/>
      <c r="F1" s="1410"/>
      <c r="G1" s="1411"/>
      <c r="H1" s="1412" t="s">
        <v>1</v>
      </c>
      <c r="I1" s="1413"/>
      <c r="J1" s="1414"/>
    </row>
    <row r="2" spans="1:12" ht="13.5" customHeight="1" thickBot="1" x14ac:dyDescent="0.25">
      <c r="A2" s="2" t="s">
        <v>2</v>
      </c>
      <c r="B2" s="3"/>
      <c r="C2" s="3" t="s">
        <v>3</v>
      </c>
      <c r="D2" s="3" t="s">
        <v>4</v>
      </c>
      <c r="E2" s="3" t="s">
        <v>5</v>
      </c>
      <c r="F2" s="3" t="s">
        <v>6</v>
      </c>
      <c r="G2" s="5" t="s">
        <v>7</v>
      </c>
      <c r="H2" s="6" t="s">
        <v>5</v>
      </c>
      <c r="I2" s="4" t="s">
        <v>6</v>
      </c>
      <c r="J2" s="7" t="s">
        <v>7</v>
      </c>
    </row>
    <row r="3" spans="1:12" ht="13.5" customHeight="1" x14ac:dyDescent="0.2">
      <c r="A3" s="8" t="s">
        <v>6343</v>
      </c>
      <c r="B3" s="9"/>
      <c r="C3" s="10" t="s">
        <v>8</v>
      </c>
      <c r="D3" s="11"/>
      <c r="E3" s="12"/>
      <c r="F3" s="13"/>
      <c r="G3" s="14">
        <v>3352.14</v>
      </c>
      <c r="H3" s="15"/>
      <c r="I3" s="16"/>
      <c r="J3" s="17">
        <v>2110.4500000000062</v>
      </c>
      <c r="K3" s="18">
        <v>3352.14</v>
      </c>
      <c r="L3" s="12">
        <v>2110.4500000000062</v>
      </c>
    </row>
    <row r="4" spans="1:12" ht="13.5" customHeight="1" x14ac:dyDescent="0.2">
      <c r="A4" s="19"/>
      <c r="B4" s="20"/>
      <c r="C4" s="21" t="s">
        <v>6344</v>
      </c>
      <c r="D4" s="11"/>
      <c r="E4" s="12"/>
      <c r="F4" s="22"/>
      <c r="G4" s="23"/>
      <c r="H4" s="24">
        <v>7</v>
      </c>
      <c r="I4" s="25"/>
      <c r="J4" s="26"/>
      <c r="K4" s="18">
        <v>3352.14</v>
      </c>
      <c r="L4" s="12">
        <v>2103.4500000000062</v>
      </c>
    </row>
    <row r="5" spans="1:12" ht="13.5" customHeight="1" x14ac:dyDescent="0.2">
      <c r="A5" s="19"/>
      <c r="B5" s="20"/>
      <c r="C5" s="21" t="s">
        <v>6345</v>
      </c>
      <c r="D5" s="11"/>
      <c r="E5" s="12"/>
      <c r="F5" s="22"/>
      <c r="G5" s="23"/>
      <c r="H5" s="24"/>
      <c r="I5" s="25">
        <v>1020</v>
      </c>
      <c r="J5" s="26"/>
      <c r="K5" s="18">
        <v>3352.14</v>
      </c>
      <c r="L5" s="12">
        <v>3123.4500000000062</v>
      </c>
    </row>
    <row r="6" spans="1:12" ht="13.5" customHeight="1" x14ac:dyDescent="0.2">
      <c r="A6" s="19"/>
      <c r="B6" s="20"/>
      <c r="C6" s="21" t="s">
        <v>6346</v>
      </c>
      <c r="D6" s="11"/>
      <c r="E6" s="12"/>
      <c r="F6" s="22"/>
      <c r="G6" s="23"/>
      <c r="H6" s="24"/>
      <c r="I6" s="25">
        <v>220</v>
      </c>
      <c r="J6" s="26"/>
      <c r="K6" s="18">
        <v>3352.14</v>
      </c>
      <c r="L6" s="12">
        <v>3343.4500000000062</v>
      </c>
    </row>
    <row r="7" spans="1:12" ht="13.5" customHeight="1" x14ac:dyDescent="0.2">
      <c r="A7" s="19"/>
      <c r="B7" s="20"/>
      <c r="C7" s="21" t="s">
        <v>6158</v>
      </c>
      <c r="D7" s="11"/>
      <c r="E7" s="12"/>
      <c r="F7" s="22"/>
      <c r="G7" s="23"/>
      <c r="H7" s="24">
        <v>150</v>
      </c>
      <c r="I7" s="25"/>
      <c r="J7" s="26"/>
      <c r="K7" s="18">
        <v>3352.14</v>
      </c>
      <c r="L7" s="12">
        <v>3193.4500000000062</v>
      </c>
    </row>
    <row r="8" spans="1:12" ht="13.5" customHeight="1" x14ac:dyDescent="0.2">
      <c r="A8" s="19"/>
      <c r="B8" s="20"/>
      <c r="C8" s="34" t="s">
        <v>5593</v>
      </c>
      <c r="D8" s="11"/>
      <c r="E8" s="12"/>
      <c r="F8" s="22"/>
      <c r="G8" s="23"/>
      <c r="H8" s="24">
        <v>120</v>
      </c>
      <c r="I8" s="25"/>
      <c r="J8" s="26">
        <v>3073.4500000000062</v>
      </c>
      <c r="K8" s="18">
        <v>3352.14</v>
      </c>
      <c r="L8" s="12">
        <v>3073.4500000000062</v>
      </c>
    </row>
    <row r="9" spans="1:12" ht="13.5" customHeight="1" x14ac:dyDescent="0.2">
      <c r="A9" s="19"/>
      <c r="B9" s="20"/>
      <c r="C9" s="34" t="s">
        <v>6347</v>
      </c>
      <c r="D9" s="11" t="s">
        <v>6348</v>
      </c>
      <c r="E9" s="1051">
        <v>-76.400000000000006</v>
      </c>
      <c r="F9" s="22" t="s">
        <v>549</v>
      </c>
      <c r="G9" s="23"/>
      <c r="H9" s="24"/>
      <c r="I9" s="25"/>
      <c r="J9" s="26"/>
      <c r="K9" s="18">
        <v>3275.74</v>
      </c>
      <c r="L9" s="12">
        <v>3073.4500000000062</v>
      </c>
    </row>
    <row r="10" spans="1:12" ht="13.5" customHeight="1" x14ac:dyDescent="0.2">
      <c r="A10" s="19"/>
      <c r="B10" s="20"/>
      <c r="C10" s="34" t="s">
        <v>1597</v>
      </c>
      <c r="D10" s="11" t="s">
        <v>19</v>
      </c>
      <c r="E10" s="1051">
        <v>-0.03</v>
      </c>
      <c r="F10" s="22" t="s">
        <v>549</v>
      </c>
      <c r="G10" s="23"/>
      <c r="H10" s="24"/>
      <c r="I10" s="25"/>
      <c r="J10" s="26"/>
      <c r="K10" s="18">
        <v>3275.7099999999996</v>
      </c>
      <c r="L10" s="12">
        <v>3073.4500000000062</v>
      </c>
    </row>
    <row r="11" spans="1:12" ht="13.5" customHeight="1" x14ac:dyDescent="0.2">
      <c r="A11" s="19"/>
      <c r="B11" s="20"/>
      <c r="C11" s="34" t="s">
        <v>5558</v>
      </c>
      <c r="D11" s="11" t="s">
        <v>19</v>
      </c>
      <c r="E11" s="1051">
        <v>-0.8</v>
      </c>
      <c r="F11" s="22" t="s">
        <v>549</v>
      </c>
      <c r="G11" s="23"/>
      <c r="H11" s="24"/>
      <c r="I11" s="25"/>
      <c r="J11" s="26"/>
      <c r="K11" s="18">
        <v>3274.9099999999994</v>
      </c>
      <c r="L11" s="12">
        <v>3073.4500000000062</v>
      </c>
    </row>
    <row r="12" spans="1:12" ht="13.5" customHeight="1" x14ac:dyDescent="0.2">
      <c r="A12" s="19"/>
      <c r="B12" s="20"/>
      <c r="C12" s="34" t="s">
        <v>20</v>
      </c>
      <c r="D12" s="11" t="s">
        <v>19</v>
      </c>
      <c r="E12" s="12" t="s">
        <v>549</v>
      </c>
      <c r="F12" s="932">
        <v>0.01</v>
      </c>
      <c r="G12" s="23">
        <v>3274.92</v>
      </c>
      <c r="H12" s="24"/>
      <c r="I12" s="25"/>
      <c r="J12" s="26"/>
      <c r="K12" s="18">
        <v>3274.9199999999996</v>
      </c>
      <c r="L12" s="12">
        <v>3073.4500000000062</v>
      </c>
    </row>
    <row r="13" spans="1:12" ht="13.5" customHeight="1" x14ac:dyDescent="0.2">
      <c r="A13" s="19">
        <v>43042</v>
      </c>
      <c r="B13" s="20"/>
      <c r="C13" s="21" t="s">
        <v>6349</v>
      </c>
      <c r="D13" s="11"/>
      <c r="E13" s="12"/>
      <c r="F13" s="22"/>
      <c r="G13" s="23"/>
      <c r="H13" s="24"/>
      <c r="I13" s="25">
        <v>5000</v>
      </c>
      <c r="J13" s="26"/>
      <c r="K13" s="18">
        <v>3274.9199999999996</v>
      </c>
      <c r="L13" s="12">
        <v>8073.4500000000062</v>
      </c>
    </row>
    <row r="14" spans="1:12" ht="13.5" customHeight="1" x14ac:dyDescent="0.2">
      <c r="A14" s="19"/>
      <c r="B14" s="20"/>
      <c r="C14" s="34" t="s">
        <v>6350</v>
      </c>
      <c r="D14" s="11"/>
      <c r="E14" s="12"/>
      <c r="F14" s="22"/>
      <c r="G14" s="23"/>
      <c r="H14" s="24">
        <v>400</v>
      </c>
      <c r="I14" s="25"/>
      <c r="J14" s="26"/>
      <c r="K14" s="18">
        <v>3274.9199999999996</v>
      </c>
      <c r="L14" s="12">
        <v>7673.4500000000062</v>
      </c>
    </row>
    <row r="15" spans="1:12" ht="13.5" customHeight="1" x14ac:dyDescent="0.2">
      <c r="A15" s="19"/>
      <c r="B15" s="20"/>
      <c r="C15" s="34" t="s">
        <v>6351</v>
      </c>
      <c r="D15" s="11"/>
      <c r="E15" s="12"/>
      <c r="F15" s="22"/>
      <c r="G15" s="23"/>
      <c r="H15" s="44">
        <v>1000</v>
      </c>
      <c r="I15" s="25"/>
      <c r="J15" s="26"/>
      <c r="K15" s="18">
        <v>3274.9199999999996</v>
      </c>
      <c r="L15" s="12">
        <v>6673.4500000000062</v>
      </c>
    </row>
    <row r="16" spans="1:12" ht="13.5" customHeight="1" x14ac:dyDescent="0.2">
      <c r="A16" s="19"/>
      <c r="B16" s="20"/>
      <c r="C16" s="21" t="s">
        <v>6352</v>
      </c>
      <c r="D16" s="11"/>
      <c r="E16" s="12"/>
      <c r="F16" s="22"/>
      <c r="G16" s="23"/>
      <c r="H16" s="24">
        <v>180</v>
      </c>
      <c r="I16" s="25"/>
      <c r="J16" s="26"/>
      <c r="K16" s="18">
        <v>3274.9199999999996</v>
      </c>
      <c r="L16" s="12">
        <v>6493.4500000000062</v>
      </c>
    </row>
    <row r="17" spans="1:12" ht="13.5" customHeight="1" x14ac:dyDescent="0.2">
      <c r="A17" s="19"/>
      <c r="B17" s="20"/>
      <c r="C17" s="34" t="s">
        <v>5593</v>
      </c>
      <c r="D17" s="11"/>
      <c r="E17" s="12"/>
      <c r="F17" s="22"/>
      <c r="G17" s="23"/>
      <c r="H17" s="24">
        <v>60</v>
      </c>
      <c r="I17" s="25"/>
      <c r="J17" s="26">
        <v>6433.4500000000062</v>
      </c>
      <c r="K17" s="18">
        <v>3274.9199999999996</v>
      </c>
      <c r="L17" s="12">
        <v>6433.4500000000062</v>
      </c>
    </row>
    <row r="18" spans="1:12" ht="13.5" customHeight="1" x14ac:dyDescent="0.2">
      <c r="A18" s="19"/>
      <c r="B18" s="20"/>
      <c r="C18" s="34" t="s">
        <v>6353</v>
      </c>
      <c r="D18" s="11" t="s">
        <v>6354</v>
      </c>
      <c r="E18" s="1051">
        <v>-25.25</v>
      </c>
      <c r="F18" s="22" t="s">
        <v>549</v>
      </c>
      <c r="G18" s="23"/>
      <c r="H18" s="24"/>
      <c r="I18" s="25"/>
      <c r="J18" s="26"/>
      <c r="K18" s="18">
        <v>3249.6699999999996</v>
      </c>
      <c r="L18" s="12">
        <v>6433.4500000000062</v>
      </c>
    </row>
    <row r="19" spans="1:12" ht="13.5" customHeight="1" x14ac:dyDescent="0.2">
      <c r="A19" s="19"/>
      <c r="B19" s="20"/>
      <c r="C19" s="34" t="s">
        <v>6355</v>
      </c>
      <c r="D19" s="11" t="s">
        <v>6356</v>
      </c>
      <c r="E19" s="1051">
        <v>-14</v>
      </c>
      <c r="F19" s="22" t="s">
        <v>549</v>
      </c>
      <c r="G19" s="23">
        <v>3235.67</v>
      </c>
      <c r="H19" s="24"/>
      <c r="I19" s="25"/>
      <c r="J19" s="26"/>
      <c r="K19" s="18">
        <v>3235.6699999999996</v>
      </c>
      <c r="L19" s="12">
        <v>6433.4500000000062</v>
      </c>
    </row>
    <row r="20" spans="1:12" ht="13.5" customHeight="1" x14ac:dyDescent="0.2">
      <c r="A20" s="19">
        <v>43045</v>
      </c>
      <c r="B20" s="20"/>
      <c r="C20" s="21" t="s">
        <v>6357</v>
      </c>
      <c r="D20" s="11"/>
      <c r="E20" s="12"/>
      <c r="F20" s="22"/>
      <c r="G20" s="23"/>
      <c r="H20" s="24"/>
      <c r="I20" s="25">
        <v>1200</v>
      </c>
      <c r="J20" s="26"/>
      <c r="K20" s="18">
        <v>3235.6699999999996</v>
      </c>
      <c r="L20" s="12">
        <v>7633.4500000000062</v>
      </c>
    </row>
    <row r="21" spans="1:12" ht="13.5" customHeight="1" x14ac:dyDescent="0.2">
      <c r="A21" s="19"/>
      <c r="B21" s="20"/>
      <c r="C21" s="21" t="s">
        <v>6358</v>
      </c>
      <c r="D21" s="11"/>
      <c r="E21" s="12"/>
      <c r="F21" s="22"/>
      <c r="G21" s="23"/>
      <c r="H21" s="24"/>
      <c r="I21" s="25">
        <v>150</v>
      </c>
      <c r="J21" s="26"/>
      <c r="K21" s="18">
        <v>3235.6699999999996</v>
      </c>
      <c r="L21" s="12">
        <v>7783.4500000000062</v>
      </c>
    </row>
    <row r="22" spans="1:12" ht="13.5" customHeight="1" x14ac:dyDescent="0.2">
      <c r="A22" s="19"/>
      <c r="B22" s="20"/>
      <c r="C22" s="21" t="s">
        <v>6359</v>
      </c>
      <c r="D22" s="11"/>
      <c r="E22" s="12"/>
      <c r="F22" s="22"/>
      <c r="G22" s="23"/>
      <c r="H22" s="24"/>
      <c r="I22" s="25">
        <v>41.69</v>
      </c>
      <c r="J22" s="26"/>
      <c r="K22" s="18">
        <v>3235.6699999999996</v>
      </c>
      <c r="L22" s="12">
        <v>7825.1400000000058</v>
      </c>
    </row>
    <row r="23" spans="1:12" ht="13.5" customHeight="1" x14ac:dyDescent="0.2">
      <c r="A23" s="19"/>
      <c r="B23" s="20"/>
      <c r="C23" s="34" t="s">
        <v>6360</v>
      </c>
      <c r="D23" s="11"/>
      <c r="E23" s="12"/>
      <c r="F23" s="22"/>
      <c r="G23" s="23"/>
      <c r="H23" s="24"/>
      <c r="I23" s="25">
        <v>2296.13</v>
      </c>
      <c r="J23" s="26"/>
      <c r="K23" s="18">
        <v>3235.6699999999996</v>
      </c>
      <c r="L23" s="12">
        <v>10121.270000000006</v>
      </c>
    </row>
    <row r="24" spans="1:12" ht="13.5" customHeight="1" x14ac:dyDescent="0.2">
      <c r="A24" s="19"/>
      <c r="B24" s="20"/>
      <c r="C24" s="21" t="s">
        <v>6361</v>
      </c>
      <c r="D24" s="11"/>
      <c r="E24" s="12"/>
      <c r="F24" s="22"/>
      <c r="G24" s="23"/>
      <c r="H24" s="24"/>
      <c r="I24" s="25">
        <v>190</v>
      </c>
      <c r="J24" s="26"/>
      <c r="K24" s="18">
        <v>3235.6699999999996</v>
      </c>
      <c r="L24" s="12">
        <v>10311.270000000006</v>
      </c>
    </row>
    <row r="25" spans="1:12" ht="13.5" customHeight="1" x14ac:dyDescent="0.2">
      <c r="A25" s="19"/>
      <c r="B25" s="20"/>
      <c r="C25" s="21" t="s">
        <v>6362</v>
      </c>
      <c r="D25" s="11"/>
      <c r="E25" s="12"/>
      <c r="F25" s="22"/>
      <c r="G25" s="23"/>
      <c r="H25" s="44">
        <v>4000</v>
      </c>
      <c r="I25" s="25"/>
      <c r="J25" s="26">
        <v>6311.2700000000059</v>
      </c>
      <c r="K25" s="18">
        <v>3235.6699999999996</v>
      </c>
      <c r="L25" s="12">
        <v>6311.2700000000059</v>
      </c>
    </row>
    <row r="26" spans="1:12" ht="13.5" customHeight="1" x14ac:dyDescent="0.2">
      <c r="A26" s="19"/>
      <c r="B26" s="20"/>
      <c r="C26" s="34" t="s">
        <v>6363</v>
      </c>
      <c r="D26" s="11" t="s">
        <v>6364</v>
      </c>
      <c r="E26" s="1051">
        <v>-66.7</v>
      </c>
      <c r="F26" s="22" t="s">
        <v>549</v>
      </c>
      <c r="G26" s="23"/>
      <c r="H26" s="24"/>
      <c r="I26" s="25"/>
      <c r="J26" s="26"/>
      <c r="K26" s="18">
        <v>3168.97</v>
      </c>
      <c r="L26" s="12">
        <v>6311.2700000000059</v>
      </c>
    </row>
    <row r="27" spans="1:12" ht="13.5" customHeight="1" x14ac:dyDescent="0.2">
      <c r="A27" s="19"/>
      <c r="B27" s="20"/>
      <c r="C27" s="34" t="s">
        <v>20</v>
      </c>
      <c r="D27" s="11" t="s">
        <v>19</v>
      </c>
      <c r="E27" s="12" t="s">
        <v>549</v>
      </c>
      <c r="F27" s="932">
        <v>0.01</v>
      </c>
      <c r="G27" s="23">
        <v>3168.98</v>
      </c>
      <c r="H27" s="24"/>
      <c r="I27" s="25"/>
      <c r="J27" s="26"/>
      <c r="K27" s="18">
        <v>3168.98</v>
      </c>
      <c r="L27" s="12">
        <v>6311.2700000000059</v>
      </c>
    </row>
    <row r="28" spans="1:12" ht="13.5" customHeight="1" x14ac:dyDescent="0.2">
      <c r="A28" s="19">
        <v>43046</v>
      </c>
      <c r="B28" s="20"/>
      <c r="C28" s="21" t="s">
        <v>6365</v>
      </c>
      <c r="D28" s="11"/>
      <c r="E28" s="12"/>
      <c r="F28" s="22"/>
      <c r="G28" s="23"/>
      <c r="H28" s="24"/>
      <c r="I28" s="25">
        <v>358</v>
      </c>
      <c r="J28" s="26"/>
      <c r="K28" s="18">
        <v>3168.98</v>
      </c>
      <c r="L28" s="12">
        <v>6669.2700000000059</v>
      </c>
    </row>
    <row r="29" spans="1:12" ht="13.5" customHeight="1" x14ac:dyDescent="0.2">
      <c r="A29" s="19"/>
      <c r="B29" s="20"/>
      <c r="C29" s="21" t="s">
        <v>6366</v>
      </c>
      <c r="D29" s="11"/>
      <c r="E29" s="12"/>
      <c r="F29" s="22"/>
      <c r="G29" s="23"/>
      <c r="H29" s="24">
        <v>14.1</v>
      </c>
      <c r="I29" s="25"/>
      <c r="J29" s="26"/>
      <c r="K29" s="18">
        <v>3168.98</v>
      </c>
      <c r="L29" s="12">
        <v>6655.1700000000055</v>
      </c>
    </row>
    <row r="30" spans="1:12" ht="13.5" customHeight="1" x14ac:dyDescent="0.2">
      <c r="A30" s="19"/>
      <c r="B30" s="20"/>
      <c r="C30" s="21" t="s">
        <v>6367</v>
      </c>
      <c r="D30" s="11"/>
      <c r="E30" s="12"/>
      <c r="F30" s="22"/>
      <c r="G30" s="23"/>
      <c r="H30" s="24"/>
      <c r="I30" s="25">
        <v>1430</v>
      </c>
      <c r="J30" s="26"/>
      <c r="K30" s="18">
        <v>3168.98</v>
      </c>
      <c r="L30" s="12">
        <v>8085.1700000000055</v>
      </c>
    </row>
    <row r="31" spans="1:12" ht="13.5" customHeight="1" x14ac:dyDescent="0.2">
      <c r="A31" s="19"/>
      <c r="B31" s="20"/>
      <c r="C31" s="21" t="s">
        <v>6368</v>
      </c>
      <c r="D31" s="11"/>
      <c r="E31" s="12"/>
      <c r="F31" s="22"/>
      <c r="G31" s="23"/>
      <c r="H31" s="24">
        <v>11.5</v>
      </c>
      <c r="I31" s="25"/>
      <c r="J31" s="26"/>
      <c r="K31" s="18">
        <v>3168.98</v>
      </c>
      <c r="L31" s="12">
        <v>8073.6700000000055</v>
      </c>
    </row>
    <row r="32" spans="1:12" ht="13.5" customHeight="1" x14ac:dyDescent="0.2">
      <c r="A32" s="19"/>
      <c r="B32" s="20"/>
      <c r="C32" s="34" t="s">
        <v>6369</v>
      </c>
      <c r="D32" s="11"/>
      <c r="E32" s="12"/>
      <c r="F32" s="22"/>
      <c r="G32" s="23"/>
      <c r="H32" s="24">
        <v>6.3</v>
      </c>
      <c r="I32" s="25"/>
      <c r="J32" s="26"/>
      <c r="K32" s="18">
        <v>3168.98</v>
      </c>
      <c r="L32" s="12">
        <v>8067.3700000000053</v>
      </c>
    </row>
    <row r="33" spans="1:12" ht="13.5" customHeight="1" x14ac:dyDescent="0.2">
      <c r="A33" s="19"/>
      <c r="B33" s="20"/>
      <c r="C33" s="21" t="s">
        <v>5568</v>
      </c>
      <c r="D33" s="11"/>
      <c r="E33" s="12"/>
      <c r="F33" s="22"/>
      <c r="G33" s="23"/>
      <c r="H33" s="174">
        <v>1430</v>
      </c>
      <c r="I33" s="25"/>
      <c r="J33" s="26"/>
      <c r="K33" s="18">
        <v>3168.98</v>
      </c>
      <c r="L33" s="12">
        <v>6637.3700000000053</v>
      </c>
    </row>
    <row r="34" spans="1:12" ht="13.5" customHeight="1" x14ac:dyDescent="0.2">
      <c r="A34" s="19"/>
      <c r="B34" s="20"/>
      <c r="C34" s="21" t="s">
        <v>5995</v>
      </c>
      <c r="D34" s="11"/>
      <c r="E34" s="12"/>
      <c r="F34" s="22"/>
      <c r="G34" s="23"/>
      <c r="H34" s="174">
        <v>2296.13</v>
      </c>
      <c r="I34" s="25"/>
      <c r="J34" s="26"/>
      <c r="K34" s="18">
        <v>3168.98</v>
      </c>
      <c r="L34" s="12">
        <v>4341.2400000000052</v>
      </c>
    </row>
    <row r="35" spans="1:12" ht="13.5" customHeight="1" x14ac:dyDescent="0.2">
      <c r="A35" s="19"/>
      <c r="B35" s="20"/>
      <c r="C35" s="21" t="s">
        <v>6370</v>
      </c>
      <c r="D35" s="11"/>
      <c r="E35" s="12"/>
      <c r="F35" s="22"/>
      <c r="G35" s="23"/>
      <c r="H35" s="24">
        <v>500</v>
      </c>
      <c r="I35" s="25"/>
      <c r="J35" s="26"/>
      <c r="K35" s="18">
        <v>3168.98</v>
      </c>
      <c r="L35" s="12">
        <v>3841.2400000000052</v>
      </c>
    </row>
    <row r="36" spans="1:12" ht="13.5" customHeight="1" x14ac:dyDescent="0.2">
      <c r="A36" s="19"/>
      <c r="B36" s="20"/>
      <c r="C36" s="63" t="s">
        <v>6371</v>
      </c>
      <c r="D36" s="11"/>
      <c r="E36" s="12"/>
      <c r="F36" s="22"/>
      <c r="G36" s="23"/>
      <c r="H36" s="24">
        <v>5.98</v>
      </c>
      <c r="I36" s="25"/>
      <c r="J36" s="26"/>
      <c r="K36" s="18">
        <v>3168.98</v>
      </c>
      <c r="L36" s="12">
        <v>3835.2600000000052</v>
      </c>
    </row>
    <row r="37" spans="1:12" ht="13.5" customHeight="1" x14ac:dyDescent="0.2">
      <c r="A37" s="19"/>
      <c r="B37" s="20"/>
      <c r="C37" s="21" t="s">
        <v>6372</v>
      </c>
      <c r="D37" s="11"/>
      <c r="E37" s="12"/>
      <c r="F37" s="22"/>
      <c r="G37" s="23"/>
      <c r="H37" s="24"/>
      <c r="I37" s="25">
        <v>1971.41</v>
      </c>
      <c r="J37" s="26"/>
      <c r="K37" s="18">
        <v>3168.98</v>
      </c>
      <c r="L37" s="12">
        <v>5806.6700000000055</v>
      </c>
    </row>
    <row r="38" spans="1:12" ht="13.5" customHeight="1" x14ac:dyDescent="0.2">
      <c r="A38" s="19"/>
      <c r="B38" s="20"/>
      <c r="C38" s="34" t="s">
        <v>5619</v>
      </c>
      <c r="D38" s="11"/>
      <c r="E38" s="12"/>
      <c r="F38" s="22"/>
      <c r="G38" s="23"/>
      <c r="H38" s="24">
        <v>1000</v>
      </c>
      <c r="I38" s="25"/>
      <c r="J38" s="26">
        <v>4806.6700000000055</v>
      </c>
      <c r="K38" s="18">
        <v>3168.98</v>
      </c>
      <c r="L38" s="12">
        <v>4806.6700000000055</v>
      </c>
    </row>
    <row r="39" spans="1:12" ht="13.5" customHeight="1" x14ac:dyDescent="0.2">
      <c r="A39" s="19"/>
      <c r="B39" s="20"/>
      <c r="C39" s="34" t="s">
        <v>558</v>
      </c>
      <c r="D39" s="11" t="s">
        <v>19</v>
      </c>
      <c r="E39" s="1051">
        <v>-83.39</v>
      </c>
      <c r="F39" s="22" t="s">
        <v>549</v>
      </c>
      <c r="G39" s="23"/>
      <c r="H39" s="24"/>
      <c r="I39" s="25"/>
      <c r="J39" s="26"/>
      <c r="K39" s="18">
        <v>3085.59</v>
      </c>
      <c r="L39" s="12">
        <v>4806.6700000000055</v>
      </c>
    </row>
    <row r="40" spans="1:12" ht="13.5" customHeight="1" x14ac:dyDescent="0.2">
      <c r="A40" s="19"/>
      <c r="B40" s="20"/>
      <c r="C40" s="34" t="s">
        <v>62</v>
      </c>
      <c r="D40" s="11" t="s">
        <v>19</v>
      </c>
      <c r="E40" s="1051">
        <v>-478.99</v>
      </c>
      <c r="F40" s="22" t="s">
        <v>549</v>
      </c>
      <c r="G40" s="23"/>
      <c r="H40" s="24"/>
      <c r="I40" s="25"/>
      <c r="J40" s="26"/>
      <c r="K40" s="18">
        <v>2606.6000000000004</v>
      </c>
      <c r="L40" s="12">
        <v>4806.6700000000055</v>
      </c>
    </row>
    <row r="41" spans="1:12" ht="13.5" customHeight="1" x14ac:dyDescent="0.2">
      <c r="A41" s="19"/>
      <c r="B41" s="20"/>
      <c r="C41" s="34" t="s">
        <v>5935</v>
      </c>
      <c r="D41" s="11" t="s">
        <v>5735</v>
      </c>
      <c r="E41" s="1051">
        <v>-53.58</v>
      </c>
      <c r="F41" s="22" t="s">
        <v>549</v>
      </c>
      <c r="G41" s="23"/>
      <c r="H41" s="24"/>
      <c r="I41" s="25"/>
      <c r="J41" s="26"/>
      <c r="K41" s="18">
        <v>2553.0200000000004</v>
      </c>
      <c r="L41" s="12">
        <v>4806.6700000000055</v>
      </c>
    </row>
    <row r="42" spans="1:12" ht="13.5" customHeight="1" x14ac:dyDescent="0.2">
      <c r="A42" s="19"/>
      <c r="B42" s="20"/>
      <c r="C42" s="34" t="s">
        <v>6373</v>
      </c>
      <c r="D42" s="11" t="s">
        <v>6374</v>
      </c>
      <c r="E42" s="1051">
        <v>-32.299999999999997</v>
      </c>
      <c r="F42" s="22" t="s">
        <v>549</v>
      </c>
      <c r="G42" s="23"/>
      <c r="H42" s="24"/>
      <c r="I42" s="25"/>
      <c r="J42" s="26"/>
      <c r="K42" s="18">
        <v>2520.7200000000003</v>
      </c>
      <c r="L42" s="12">
        <v>4806.6700000000055</v>
      </c>
    </row>
    <row r="43" spans="1:12" ht="13.5" customHeight="1" x14ac:dyDescent="0.2">
      <c r="A43" s="19"/>
      <c r="B43" s="20"/>
      <c r="C43" s="21" t="s">
        <v>5568</v>
      </c>
      <c r="D43" s="11" t="s">
        <v>6375</v>
      </c>
      <c r="E43" s="12" t="s">
        <v>549</v>
      </c>
      <c r="F43" s="162">
        <v>1430</v>
      </c>
      <c r="G43" s="23">
        <v>3950.72</v>
      </c>
      <c r="H43" s="24"/>
      <c r="I43" s="25"/>
      <c r="J43" s="26"/>
      <c r="K43" s="18">
        <v>3950.7200000000003</v>
      </c>
      <c r="L43" s="12">
        <v>4806.6700000000055</v>
      </c>
    </row>
    <row r="44" spans="1:12" ht="13.5" customHeight="1" x14ac:dyDescent="0.2">
      <c r="A44" s="19">
        <v>43047</v>
      </c>
      <c r="B44" s="20"/>
      <c r="C44" s="21" t="s">
        <v>6376</v>
      </c>
      <c r="D44" s="11"/>
      <c r="E44" s="12"/>
      <c r="F44" s="22"/>
      <c r="G44" s="23"/>
      <c r="H44" s="24"/>
      <c r="I44" s="25">
        <v>1280</v>
      </c>
      <c r="J44" s="26"/>
      <c r="K44" s="18">
        <v>3950.7200000000003</v>
      </c>
      <c r="L44" s="12">
        <v>6086.6700000000055</v>
      </c>
    </row>
    <row r="45" spans="1:12" ht="13.5" customHeight="1" x14ac:dyDescent="0.2">
      <c r="A45" s="19"/>
      <c r="B45" s="20"/>
      <c r="C45" s="34" t="s">
        <v>6377</v>
      </c>
      <c r="D45" s="11"/>
      <c r="E45" s="12"/>
      <c r="F45" s="22"/>
      <c r="G45" s="23"/>
      <c r="H45" s="24">
        <v>35</v>
      </c>
      <c r="I45" s="25"/>
      <c r="J45" s="26"/>
      <c r="K45" s="18">
        <v>3950.7200000000003</v>
      </c>
      <c r="L45" s="12">
        <v>6051.6700000000055</v>
      </c>
    </row>
    <row r="46" spans="1:12" ht="13.5" customHeight="1" x14ac:dyDescent="0.2">
      <c r="A46" s="19"/>
      <c r="B46" s="20"/>
      <c r="C46" s="34" t="s">
        <v>6378</v>
      </c>
      <c r="D46" s="11"/>
      <c r="E46" s="12"/>
      <c r="F46" s="22"/>
      <c r="G46" s="23"/>
      <c r="H46" s="24">
        <v>13.2</v>
      </c>
      <c r="I46" s="25"/>
      <c r="J46" s="26">
        <v>6038.4700000000057</v>
      </c>
      <c r="K46" s="18">
        <v>3950.7200000000003</v>
      </c>
      <c r="L46" s="12">
        <v>6038.4700000000057</v>
      </c>
    </row>
    <row r="47" spans="1:12" ht="13.5" customHeight="1" x14ac:dyDescent="0.2">
      <c r="A47" s="19"/>
      <c r="B47" s="20"/>
      <c r="C47" s="34" t="s">
        <v>1002</v>
      </c>
      <c r="D47" s="11" t="s">
        <v>19</v>
      </c>
      <c r="E47" s="12">
        <v>-2000</v>
      </c>
      <c r="F47" s="22" t="s">
        <v>549</v>
      </c>
      <c r="G47" s="23"/>
      <c r="H47" s="24"/>
      <c r="I47" s="25"/>
      <c r="J47" s="26"/>
      <c r="K47" s="18">
        <v>1950.7200000000003</v>
      </c>
      <c r="L47" s="12">
        <v>6038.4700000000057</v>
      </c>
    </row>
    <row r="48" spans="1:12" ht="13.5" customHeight="1" x14ac:dyDescent="0.2">
      <c r="A48" s="19"/>
      <c r="B48" s="20"/>
      <c r="C48" s="34" t="s">
        <v>20</v>
      </c>
      <c r="D48" s="11" t="s">
        <v>19</v>
      </c>
      <c r="E48" s="12" t="s">
        <v>549</v>
      </c>
      <c r="F48" s="932">
        <v>0.26</v>
      </c>
      <c r="G48" s="23">
        <v>1950.98</v>
      </c>
      <c r="H48" s="24"/>
      <c r="I48" s="25"/>
      <c r="J48" s="26"/>
      <c r="K48" s="18">
        <v>1950.9800000000002</v>
      </c>
      <c r="L48" s="12">
        <v>6038.4700000000057</v>
      </c>
    </row>
    <row r="49" spans="1:12" ht="13.5" customHeight="1" x14ac:dyDescent="0.2">
      <c r="A49" s="19">
        <v>43048</v>
      </c>
      <c r="B49" s="20"/>
      <c r="C49" s="21" t="s">
        <v>6379</v>
      </c>
      <c r="D49" s="11"/>
      <c r="E49" s="12"/>
      <c r="F49" s="22"/>
      <c r="G49" s="23"/>
      <c r="H49" s="24"/>
      <c r="I49" s="25">
        <v>942</v>
      </c>
      <c r="J49" s="26"/>
      <c r="K49" s="18">
        <v>1950.9800000000002</v>
      </c>
      <c r="L49" s="12">
        <v>6980.4700000000057</v>
      </c>
    </row>
    <row r="50" spans="1:12" ht="13.5" customHeight="1" x14ac:dyDescent="0.2">
      <c r="A50" s="19"/>
      <c r="B50" s="20"/>
      <c r="C50" s="21" t="s">
        <v>6380</v>
      </c>
      <c r="D50" s="11"/>
      <c r="E50" s="12"/>
      <c r="F50" s="22"/>
      <c r="G50" s="23"/>
      <c r="H50" s="24">
        <v>200</v>
      </c>
      <c r="I50" s="25"/>
      <c r="J50" s="26"/>
      <c r="K50" s="18">
        <v>1950.9800000000002</v>
      </c>
      <c r="L50" s="12">
        <v>6780.4700000000057</v>
      </c>
    </row>
    <row r="51" spans="1:12" ht="13.5" customHeight="1" x14ac:dyDescent="0.2">
      <c r="A51" s="19"/>
      <c r="B51" s="20"/>
      <c r="C51" s="21" t="s">
        <v>6381</v>
      </c>
      <c r="D51" s="11"/>
      <c r="E51" s="12"/>
      <c r="F51" s="22"/>
      <c r="G51" s="23"/>
      <c r="H51" s="24">
        <v>9.6999999999999993</v>
      </c>
      <c r="I51" s="25"/>
      <c r="J51" s="26"/>
      <c r="K51" s="18">
        <v>1950.9800000000002</v>
      </c>
      <c r="L51" s="12">
        <v>6770.7700000000059</v>
      </c>
    </row>
    <row r="52" spans="1:12" ht="13.5" customHeight="1" x14ac:dyDescent="0.2">
      <c r="A52" s="19"/>
      <c r="B52" s="20"/>
      <c r="C52" s="21" t="s">
        <v>6113</v>
      </c>
      <c r="D52" s="11"/>
      <c r="E52" s="12"/>
      <c r="F52" s="22"/>
      <c r="G52" s="23"/>
      <c r="H52" s="24">
        <v>8.5</v>
      </c>
      <c r="I52" s="25"/>
      <c r="J52" s="26"/>
      <c r="K52" s="18">
        <v>1950.9800000000002</v>
      </c>
      <c r="L52" s="12">
        <v>6762.2700000000059</v>
      </c>
    </row>
    <row r="53" spans="1:12" ht="13.5" customHeight="1" x14ac:dyDescent="0.2">
      <c r="A53" s="19"/>
      <c r="B53" s="20"/>
      <c r="C53" s="21" t="s">
        <v>6382</v>
      </c>
      <c r="D53" s="11"/>
      <c r="E53" s="12"/>
      <c r="F53" s="22"/>
      <c r="G53" s="23"/>
      <c r="H53" s="24">
        <v>30.9</v>
      </c>
      <c r="I53" s="25"/>
      <c r="J53" s="26"/>
      <c r="K53" s="18">
        <v>1950.9800000000002</v>
      </c>
      <c r="L53" s="12">
        <v>6731.3700000000063</v>
      </c>
    </row>
    <row r="54" spans="1:12" ht="13.5" customHeight="1" x14ac:dyDescent="0.2">
      <c r="A54" s="19"/>
      <c r="B54" s="20"/>
      <c r="C54" s="21" t="s">
        <v>5976</v>
      </c>
      <c r="D54" s="11"/>
      <c r="E54" s="12"/>
      <c r="F54" s="22"/>
      <c r="G54" s="23"/>
      <c r="H54" s="24">
        <v>140</v>
      </c>
      <c r="I54" s="25"/>
      <c r="J54" s="26"/>
      <c r="K54" s="18">
        <v>1950.9800000000002</v>
      </c>
      <c r="L54" s="12">
        <v>6591.3700000000063</v>
      </c>
    </row>
    <row r="55" spans="1:12" ht="13.5" customHeight="1" x14ac:dyDescent="0.2">
      <c r="A55" s="19"/>
      <c r="B55" s="20"/>
      <c r="C55" s="34" t="s">
        <v>6383</v>
      </c>
      <c r="D55" s="11"/>
      <c r="E55" s="12"/>
      <c r="F55" s="22"/>
      <c r="G55" s="23"/>
      <c r="H55" s="24">
        <v>105</v>
      </c>
      <c r="I55" s="25"/>
      <c r="J55" s="26"/>
      <c r="K55" s="18">
        <v>1950.9800000000002</v>
      </c>
      <c r="L55" s="12">
        <v>6486.3700000000063</v>
      </c>
    </row>
    <row r="56" spans="1:12" ht="13.5" customHeight="1" x14ac:dyDescent="0.2">
      <c r="A56" s="19"/>
      <c r="B56" s="20"/>
      <c r="C56" s="21" t="s">
        <v>6384</v>
      </c>
      <c r="D56" s="11"/>
      <c r="E56" s="12"/>
      <c r="F56" s="22"/>
      <c r="G56" s="23"/>
      <c r="H56" s="24">
        <v>10</v>
      </c>
      <c r="I56" s="25"/>
      <c r="J56" s="26">
        <v>6476.3700000000063</v>
      </c>
      <c r="K56" s="18">
        <v>1950.9800000000002</v>
      </c>
      <c r="L56" s="12">
        <v>6476.3700000000063</v>
      </c>
    </row>
    <row r="57" spans="1:12" ht="13.5" customHeight="1" x14ac:dyDescent="0.2">
      <c r="A57" s="19">
        <v>43049</v>
      </c>
      <c r="B57" s="20"/>
      <c r="C57" s="21" t="s">
        <v>6385</v>
      </c>
      <c r="D57" s="11"/>
      <c r="E57" s="12"/>
      <c r="F57" s="22"/>
      <c r="G57" s="23"/>
      <c r="H57" s="24"/>
      <c r="I57" s="25">
        <v>185</v>
      </c>
      <c r="J57" s="26"/>
      <c r="K57" s="18">
        <v>1950.9800000000002</v>
      </c>
      <c r="L57" s="12">
        <v>6661.3700000000063</v>
      </c>
    </row>
    <row r="58" spans="1:12" ht="13.5" customHeight="1" x14ac:dyDescent="0.2">
      <c r="A58" s="19"/>
      <c r="B58" s="20"/>
      <c r="C58" s="34" t="s">
        <v>6133</v>
      </c>
      <c r="D58" s="11"/>
      <c r="E58" s="12"/>
      <c r="F58" s="22"/>
      <c r="G58" s="23"/>
      <c r="H58" s="24">
        <v>310</v>
      </c>
      <c r="I58" s="25"/>
      <c r="J58" s="26"/>
      <c r="K58" s="18">
        <v>1950.9800000000002</v>
      </c>
      <c r="L58" s="12">
        <v>6351.3700000000063</v>
      </c>
    </row>
    <row r="59" spans="1:12" ht="13.5" customHeight="1" x14ac:dyDescent="0.2">
      <c r="A59" s="19"/>
      <c r="B59" s="20"/>
      <c r="C59" s="34" t="s">
        <v>5593</v>
      </c>
      <c r="D59" s="11"/>
      <c r="E59" s="12"/>
      <c r="F59" s="22"/>
      <c r="G59" s="23"/>
      <c r="H59" s="24">
        <v>300</v>
      </c>
      <c r="I59" s="25"/>
      <c r="J59" s="26"/>
      <c r="K59" s="18">
        <v>1950.9800000000002</v>
      </c>
      <c r="L59" s="12">
        <v>6051.3700000000063</v>
      </c>
    </row>
    <row r="60" spans="1:12" ht="13.5" customHeight="1" x14ac:dyDescent="0.2">
      <c r="A60" s="19"/>
      <c r="B60" s="20"/>
      <c r="C60" s="21" t="s">
        <v>6386</v>
      </c>
      <c r="D60" s="11"/>
      <c r="E60" s="12"/>
      <c r="F60" s="22"/>
      <c r="G60" s="23"/>
      <c r="H60" s="24">
        <v>18.7</v>
      </c>
      <c r="I60" s="25"/>
      <c r="J60" s="26">
        <v>6032.6700000000064</v>
      </c>
      <c r="K60" s="18">
        <v>1950.9800000000002</v>
      </c>
      <c r="L60" s="12">
        <v>6032.6700000000064</v>
      </c>
    </row>
    <row r="61" spans="1:12" ht="13.5" customHeight="1" x14ac:dyDescent="0.2">
      <c r="A61" s="19"/>
      <c r="B61" s="20"/>
      <c r="C61" s="34" t="s">
        <v>6387</v>
      </c>
      <c r="D61" s="11" t="s">
        <v>6388</v>
      </c>
      <c r="E61" s="1051">
        <v>-19.75</v>
      </c>
      <c r="F61" s="22" t="s">
        <v>549</v>
      </c>
      <c r="G61" s="23">
        <v>1931.23</v>
      </c>
      <c r="H61" s="24"/>
      <c r="I61" s="25"/>
      <c r="J61" s="26"/>
      <c r="K61" s="18">
        <v>1931.2300000000002</v>
      </c>
      <c r="L61" s="12">
        <v>6032.6700000000064</v>
      </c>
    </row>
    <row r="62" spans="1:12" ht="13.5" customHeight="1" x14ac:dyDescent="0.2">
      <c r="A62" s="19">
        <v>43052</v>
      </c>
      <c r="B62" s="20"/>
      <c r="C62" s="21" t="s">
        <v>5568</v>
      </c>
      <c r="D62" s="11"/>
      <c r="E62" s="12"/>
      <c r="F62" s="22"/>
      <c r="G62" s="23"/>
      <c r="H62" s="174">
        <v>1235</v>
      </c>
      <c r="I62" s="25"/>
      <c r="J62" s="26"/>
      <c r="K62" s="18">
        <v>1931.2300000000002</v>
      </c>
      <c r="L62" s="12">
        <v>4797.6700000000064</v>
      </c>
    </row>
    <row r="63" spans="1:12" ht="13.5" customHeight="1" x14ac:dyDescent="0.2">
      <c r="A63" s="19"/>
      <c r="B63" s="20"/>
      <c r="C63" s="21" t="s">
        <v>6389</v>
      </c>
      <c r="D63" s="11"/>
      <c r="E63" s="12"/>
      <c r="F63" s="22"/>
      <c r="G63" s="23"/>
      <c r="H63" s="24">
        <v>5.0999999999999996</v>
      </c>
      <c r="I63" s="25"/>
      <c r="J63" s="26"/>
      <c r="K63" s="18">
        <v>1931.2300000000002</v>
      </c>
      <c r="L63" s="12">
        <v>4792.5700000000061</v>
      </c>
    </row>
    <row r="64" spans="1:12" ht="13.5" customHeight="1" x14ac:dyDescent="0.2">
      <c r="A64" s="19"/>
      <c r="B64" s="20"/>
      <c r="C64" s="34" t="s">
        <v>6390</v>
      </c>
      <c r="D64" s="11"/>
      <c r="E64" s="12"/>
      <c r="F64" s="22"/>
      <c r="G64" s="23"/>
      <c r="H64" s="24">
        <v>10.4</v>
      </c>
      <c r="I64" s="25"/>
      <c r="J64" s="26"/>
      <c r="K64" s="18">
        <v>1931.2300000000002</v>
      </c>
      <c r="L64" s="12">
        <v>4782.1700000000064</v>
      </c>
    </row>
    <row r="65" spans="1:12" ht="13.5" customHeight="1" x14ac:dyDescent="0.2">
      <c r="A65" s="19"/>
      <c r="B65" s="20"/>
      <c r="C65" s="21" t="s">
        <v>6391</v>
      </c>
      <c r="D65" s="11"/>
      <c r="E65" s="12"/>
      <c r="F65" s="22"/>
      <c r="G65" s="23"/>
      <c r="H65" s="24"/>
      <c r="I65" s="25">
        <v>3500</v>
      </c>
      <c r="J65" s="26"/>
      <c r="K65" s="18">
        <v>1931.2300000000002</v>
      </c>
      <c r="L65" s="12">
        <v>8282.1700000000055</v>
      </c>
    </row>
    <row r="66" spans="1:12" ht="13.5" customHeight="1" x14ac:dyDescent="0.2">
      <c r="A66" s="19"/>
      <c r="B66" s="20"/>
      <c r="C66" s="21" t="s">
        <v>6392</v>
      </c>
      <c r="D66" s="11"/>
      <c r="E66" s="12"/>
      <c r="F66" s="22"/>
      <c r="G66" s="23"/>
      <c r="H66" s="24"/>
      <c r="I66" s="25">
        <v>185</v>
      </c>
      <c r="J66" s="26"/>
      <c r="K66" s="18">
        <v>1931.2300000000002</v>
      </c>
      <c r="L66" s="12">
        <v>8467.1700000000055</v>
      </c>
    </row>
    <row r="67" spans="1:12" ht="13.5" customHeight="1" x14ac:dyDescent="0.2">
      <c r="A67" s="19"/>
      <c r="B67" s="20"/>
      <c r="C67" s="21" t="s">
        <v>6393</v>
      </c>
      <c r="D67" s="11"/>
      <c r="E67" s="12"/>
      <c r="F67" s="22"/>
      <c r="G67" s="23"/>
      <c r="H67" s="24"/>
      <c r="I67" s="25">
        <v>190</v>
      </c>
      <c r="J67" s="26"/>
      <c r="K67" s="18">
        <v>1931.2300000000002</v>
      </c>
      <c r="L67" s="12">
        <v>8657.1700000000055</v>
      </c>
    </row>
    <row r="68" spans="1:12" ht="13.5" customHeight="1" x14ac:dyDescent="0.2">
      <c r="A68" s="19"/>
      <c r="B68" s="20"/>
      <c r="C68" s="21" t="s">
        <v>6362</v>
      </c>
      <c r="D68" s="11"/>
      <c r="E68" s="12"/>
      <c r="F68" s="22"/>
      <c r="G68" s="23"/>
      <c r="H68" s="44">
        <v>6000</v>
      </c>
      <c r="I68" s="25"/>
      <c r="J68" s="26"/>
      <c r="K68" s="18">
        <v>1931.2300000000002</v>
      </c>
      <c r="L68" s="12">
        <v>2657.1700000000055</v>
      </c>
    </row>
    <row r="69" spans="1:12" ht="13.5" customHeight="1" x14ac:dyDescent="0.2">
      <c r="A69" s="19"/>
      <c r="B69" s="20"/>
      <c r="C69" s="21" t="s">
        <v>6394</v>
      </c>
      <c r="D69" s="11"/>
      <c r="E69" s="12"/>
      <c r="F69" s="22"/>
      <c r="G69" s="23"/>
      <c r="H69" s="24"/>
      <c r="I69" s="25">
        <v>1580</v>
      </c>
      <c r="J69" s="26">
        <v>4237.1700000000055</v>
      </c>
      <c r="K69" s="18">
        <v>1931.2300000000002</v>
      </c>
      <c r="L69" s="12">
        <v>4237.1700000000055</v>
      </c>
    </row>
    <row r="70" spans="1:12" ht="13.5" customHeight="1" x14ac:dyDescent="0.2">
      <c r="A70" s="19">
        <v>43053</v>
      </c>
      <c r="B70" s="20"/>
      <c r="C70" s="21" t="s">
        <v>5568</v>
      </c>
      <c r="D70" s="11"/>
      <c r="E70" s="12"/>
      <c r="F70" s="22"/>
      <c r="G70" s="23"/>
      <c r="H70" s="174">
        <v>1580</v>
      </c>
      <c r="I70" s="25"/>
      <c r="J70" s="26"/>
      <c r="K70" s="18">
        <v>1931.2300000000002</v>
      </c>
      <c r="L70" s="12">
        <v>2657.1700000000055</v>
      </c>
    </row>
    <row r="71" spans="1:12" ht="13.5" customHeight="1" x14ac:dyDescent="0.2">
      <c r="A71" s="19"/>
      <c r="B71" s="20"/>
      <c r="C71" s="21" t="s">
        <v>6395</v>
      </c>
      <c r="D71" s="11"/>
      <c r="E71" s="12"/>
      <c r="F71" s="22"/>
      <c r="G71" s="23"/>
      <c r="H71" s="24"/>
      <c r="I71" s="25">
        <v>60</v>
      </c>
      <c r="J71" s="26"/>
      <c r="K71" s="18">
        <v>1931.2300000000002</v>
      </c>
      <c r="L71" s="12">
        <v>2717.1700000000055</v>
      </c>
    </row>
    <row r="72" spans="1:12" ht="13.5" customHeight="1" x14ac:dyDescent="0.2">
      <c r="A72" s="19"/>
      <c r="B72" s="20"/>
      <c r="C72" s="21" t="s">
        <v>6396</v>
      </c>
      <c r="D72" s="11"/>
      <c r="E72" s="12"/>
      <c r="F72" s="22"/>
      <c r="G72" s="23"/>
      <c r="H72" s="24"/>
      <c r="I72" s="25">
        <v>190</v>
      </c>
      <c r="J72" s="26"/>
      <c r="K72" s="18">
        <v>1931.2300000000002</v>
      </c>
      <c r="L72" s="12">
        <v>2907.1700000000055</v>
      </c>
    </row>
    <row r="73" spans="1:12" ht="13.5" customHeight="1" x14ac:dyDescent="0.2">
      <c r="A73" s="19"/>
      <c r="B73" s="20"/>
      <c r="C73" s="56" t="s">
        <v>6397</v>
      </c>
      <c r="D73" s="11"/>
      <c r="E73" s="12"/>
      <c r="F73" s="22"/>
      <c r="G73" s="23"/>
      <c r="H73" s="24"/>
      <c r="I73" s="25">
        <v>50</v>
      </c>
      <c r="J73" s="26"/>
      <c r="K73" s="18">
        <v>1931.2300000000002</v>
      </c>
      <c r="L73" s="12">
        <v>2957.1700000000055</v>
      </c>
    </row>
    <row r="74" spans="1:12" ht="13.5" customHeight="1" x14ac:dyDescent="0.2">
      <c r="A74" s="19"/>
      <c r="B74" s="20"/>
      <c r="C74" s="357" t="s">
        <v>6398</v>
      </c>
      <c r="D74" s="11"/>
      <c r="E74" s="12"/>
      <c r="F74" s="22"/>
      <c r="G74" s="23"/>
      <c r="H74" s="24">
        <v>18</v>
      </c>
      <c r="I74" s="25"/>
      <c r="J74" s="26"/>
      <c r="K74" s="18">
        <v>1931.2300000000002</v>
      </c>
      <c r="L74" s="12">
        <v>2939.1700000000055</v>
      </c>
    </row>
    <row r="75" spans="1:12" ht="13.5" customHeight="1" x14ac:dyDescent="0.2">
      <c r="A75" s="19"/>
      <c r="B75" s="20"/>
      <c r="C75" s="357" t="s">
        <v>6399</v>
      </c>
      <c r="D75" s="11"/>
      <c r="E75" s="12"/>
      <c r="F75" s="22"/>
      <c r="G75" s="23"/>
      <c r="H75" s="24">
        <v>26.7</v>
      </c>
      <c r="I75" s="25"/>
      <c r="J75" s="26"/>
      <c r="K75" s="18">
        <v>1931.2300000000002</v>
      </c>
      <c r="L75" s="12">
        <v>2912.4700000000057</v>
      </c>
    </row>
    <row r="76" spans="1:12" ht="13.5" customHeight="1" x14ac:dyDescent="0.2">
      <c r="A76" s="19"/>
      <c r="B76" s="20"/>
      <c r="C76" s="21" t="s">
        <v>6400</v>
      </c>
      <c r="D76" s="11"/>
      <c r="E76" s="12"/>
      <c r="F76" s="22"/>
      <c r="G76" s="23"/>
      <c r="H76" s="24"/>
      <c r="I76" s="25">
        <v>80</v>
      </c>
      <c r="J76" s="26"/>
      <c r="K76" s="18">
        <v>1931.2300000000002</v>
      </c>
      <c r="L76" s="12">
        <v>2992.4700000000057</v>
      </c>
    </row>
    <row r="77" spans="1:12" ht="13.5" customHeight="1" x14ac:dyDescent="0.2">
      <c r="A77" s="19"/>
      <c r="B77" s="20"/>
      <c r="C77" s="21" t="s">
        <v>6401</v>
      </c>
      <c r="D77" s="11"/>
      <c r="E77" s="12"/>
      <c r="F77" s="22"/>
      <c r="G77" s="23"/>
      <c r="H77" s="24">
        <v>28</v>
      </c>
      <c r="I77" s="25"/>
      <c r="J77" s="26"/>
      <c r="K77" s="18">
        <v>1931.2300000000002</v>
      </c>
      <c r="L77" s="12">
        <v>2964.4700000000057</v>
      </c>
    </row>
    <row r="78" spans="1:12" ht="13.5" customHeight="1" x14ac:dyDescent="0.2">
      <c r="A78" s="19"/>
      <c r="B78" s="20"/>
      <c r="C78" s="21" t="s">
        <v>6402</v>
      </c>
      <c r="D78" s="11"/>
      <c r="E78" s="12"/>
      <c r="F78" s="22"/>
      <c r="G78" s="23"/>
      <c r="H78" s="24">
        <v>10</v>
      </c>
      <c r="I78" s="25"/>
      <c r="J78" s="26"/>
      <c r="K78" s="18">
        <v>1931.2300000000002</v>
      </c>
      <c r="L78" s="12">
        <v>2954.4700000000057</v>
      </c>
    </row>
    <row r="79" spans="1:12" ht="13.5" customHeight="1" x14ac:dyDescent="0.2">
      <c r="A79" s="19"/>
      <c r="B79" s="20"/>
      <c r="C79" s="21" t="s">
        <v>6403</v>
      </c>
      <c r="D79" s="11"/>
      <c r="E79" s="12"/>
      <c r="F79" s="22"/>
      <c r="G79" s="23"/>
      <c r="H79" s="24">
        <v>9.6999999999999993</v>
      </c>
      <c r="I79" s="25"/>
      <c r="J79" s="26"/>
      <c r="K79" s="18">
        <v>1931.2300000000002</v>
      </c>
      <c r="L79" s="12">
        <v>2944.7700000000059</v>
      </c>
    </row>
    <row r="80" spans="1:12" ht="13.5" customHeight="1" x14ac:dyDescent="0.2">
      <c r="A80" s="19"/>
      <c r="B80" s="20"/>
      <c r="C80" s="32" t="s">
        <v>5593</v>
      </c>
      <c r="D80" s="11"/>
      <c r="E80" s="12"/>
      <c r="F80" s="22"/>
      <c r="G80" s="23"/>
      <c r="H80" s="24">
        <v>120</v>
      </c>
      <c r="I80" s="25"/>
      <c r="J80" s="26">
        <v>2824.7700000000059</v>
      </c>
      <c r="K80" s="18">
        <v>1931.2300000000002</v>
      </c>
      <c r="L80" s="12">
        <v>2824.7700000000059</v>
      </c>
    </row>
    <row r="81" spans="1:12" ht="13.5" customHeight="1" x14ac:dyDescent="0.2">
      <c r="A81" s="19"/>
      <c r="B81" s="20"/>
      <c r="C81" s="21" t="s">
        <v>5568</v>
      </c>
      <c r="D81" s="11" t="s">
        <v>6404</v>
      </c>
      <c r="E81" s="12" t="s">
        <v>549</v>
      </c>
      <c r="F81" s="162">
        <v>1580</v>
      </c>
      <c r="G81" s="23">
        <v>3511.23</v>
      </c>
      <c r="H81" s="24"/>
      <c r="I81" s="25"/>
      <c r="J81" s="26"/>
      <c r="K81" s="18">
        <v>3511.2300000000005</v>
      </c>
      <c r="L81" s="12">
        <v>2824.7700000000059</v>
      </c>
    </row>
    <row r="82" spans="1:12" ht="13.5" customHeight="1" x14ac:dyDescent="0.2">
      <c r="A82" s="19"/>
      <c r="B82" s="20"/>
      <c r="C82" s="21" t="s">
        <v>5568</v>
      </c>
      <c r="D82" s="11" t="s">
        <v>6405</v>
      </c>
      <c r="E82" s="12" t="s">
        <v>549</v>
      </c>
      <c r="F82" s="162">
        <v>1235</v>
      </c>
      <c r="G82" s="23">
        <v>4746.2299999999996</v>
      </c>
      <c r="H82" s="24"/>
      <c r="I82" s="25"/>
      <c r="J82" s="26"/>
      <c r="K82" s="18">
        <v>4746.2300000000005</v>
      </c>
      <c r="L82" s="12">
        <v>2824.7700000000059</v>
      </c>
    </row>
    <row r="83" spans="1:12" ht="13.5" customHeight="1" x14ac:dyDescent="0.2">
      <c r="A83" s="19">
        <v>43055</v>
      </c>
      <c r="B83" s="20"/>
      <c r="C83" s="34" t="s">
        <v>6406</v>
      </c>
      <c r="D83" s="11"/>
      <c r="E83" s="12"/>
      <c r="F83" s="22"/>
      <c r="G83" s="23"/>
      <c r="H83" s="24">
        <v>6.98</v>
      </c>
      <c r="I83" s="25"/>
      <c r="J83" s="26"/>
      <c r="K83" s="18">
        <v>4746.2300000000005</v>
      </c>
      <c r="L83" s="12">
        <v>2817.7900000000059</v>
      </c>
    </row>
    <row r="84" spans="1:12" ht="13.5" customHeight="1" x14ac:dyDescent="0.2">
      <c r="A84" s="19"/>
      <c r="B84" s="20"/>
      <c r="C84" s="357" t="s">
        <v>6407</v>
      </c>
      <c r="D84" s="11"/>
      <c r="E84" s="12"/>
      <c r="F84" s="22"/>
      <c r="G84" s="23"/>
      <c r="H84" s="24">
        <v>10.5</v>
      </c>
      <c r="I84" s="25"/>
      <c r="J84" s="26"/>
      <c r="K84" s="18">
        <v>4746.2300000000005</v>
      </c>
      <c r="L84" s="12">
        <v>2807.2900000000059</v>
      </c>
    </row>
    <row r="85" spans="1:12" ht="13.5" customHeight="1" x14ac:dyDescent="0.2">
      <c r="A85" s="19"/>
      <c r="B85" s="20"/>
      <c r="C85" s="21" t="s">
        <v>6408</v>
      </c>
      <c r="D85" s="11"/>
      <c r="E85" s="12"/>
      <c r="F85" s="22"/>
      <c r="G85" s="23"/>
      <c r="H85" s="24">
        <v>30</v>
      </c>
      <c r="I85" s="25"/>
      <c r="J85" s="26"/>
      <c r="K85" s="18">
        <v>4746.2300000000005</v>
      </c>
      <c r="L85" s="12">
        <v>2777.2900000000059</v>
      </c>
    </row>
    <row r="86" spans="1:12" ht="13.5" customHeight="1" x14ac:dyDescent="0.2">
      <c r="A86" s="19"/>
      <c r="B86" s="20"/>
      <c r="C86" s="21" t="s">
        <v>6409</v>
      </c>
      <c r="D86" s="11"/>
      <c r="E86" s="12"/>
      <c r="F86" s="22"/>
      <c r="G86" s="23"/>
      <c r="H86" s="24">
        <v>70</v>
      </c>
      <c r="I86" s="25"/>
      <c r="J86" s="26"/>
      <c r="K86" s="18">
        <v>4746.2300000000005</v>
      </c>
      <c r="L86" s="12">
        <v>2707.2900000000059</v>
      </c>
    </row>
    <row r="87" spans="1:12" ht="13.5" customHeight="1" x14ac:dyDescent="0.2">
      <c r="A87" s="19"/>
      <c r="B87" s="20"/>
      <c r="C87" s="21" t="s">
        <v>5977</v>
      </c>
      <c r="D87" s="11"/>
      <c r="E87" s="12"/>
      <c r="F87" s="22"/>
      <c r="G87" s="23"/>
      <c r="H87" s="24">
        <v>70</v>
      </c>
      <c r="I87" s="25"/>
      <c r="J87" s="26">
        <v>2637.2900000000059</v>
      </c>
      <c r="K87" s="18">
        <v>4746.2300000000005</v>
      </c>
      <c r="L87" s="12">
        <v>2637.2900000000059</v>
      </c>
    </row>
    <row r="88" spans="1:12" ht="13.5" customHeight="1" x14ac:dyDescent="0.2">
      <c r="A88" s="19"/>
      <c r="B88" s="20"/>
      <c r="C88" s="34" t="s">
        <v>86</v>
      </c>
      <c r="D88" s="11" t="s">
        <v>19</v>
      </c>
      <c r="E88" s="1051">
        <v>-69</v>
      </c>
      <c r="F88" s="22" t="s">
        <v>549</v>
      </c>
      <c r="G88" s="23"/>
      <c r="H88" s="24"/>
      <c r="I88" s="25"/>
      <c r="J88" s="26"/>
      <c r="K88" s="18">
        <v>4677.2300000000005</v>
      </c>
      <c r="L88" s="12">
        <v>2637.2900000000059</v>
      </c>
    </row>
    <row r="89" spans="1:12" ht="13.5" customHeight="1" x14ac:dyDescent="0.2">
      <c r="A89" s="19"/>
      <c r="B89" s="20"/>
      <c r="C89" s="34" t="s">
        <v>1002</v>
      </c>
      <c r="D89" s="11" t="s">
        <v>1622</v>
      </c>
      <c r="E89" s="12">
        <v>-2000</v>
      </c>
      <c r="F89" s="22" t="s">
        <v>549</v>
      </c>
      <c r="G89" s="23"/>
      <c r="H89" s="24"/>
      <c r="I89" s="25"/>
      <c r="J89" s="26"/>
      <c r="K89" s="18">
        <v>2677.2300000000005</v>
      </c>
      <c r="L89" s="12">
        <v>2637.2900000000059</v>
      </c>
    </row>
    <row r="90" spans="1:12" ht="13.5" customHeight="1" x14ac:dyDescent="0.2">
      <c r="A90" s="19"/>
      <c r="B90" s="20"/>
      <c r="C90" s="34" t="s">
        <v>6410</v>
      </c>
      <c r="D90" s="11" t="s">
        <v>19</v>
      </c>
      <c r="E90" s="12">
        <v>-1250</v>
      </c>
      <c r="F90" s="22" t="s">
        <v>549</v>
      </c>
      <c r="G90" s="23"/>
      <c r="H90" s="24"/>
      <c r="I90" s="25"/>
      <c r="J90" s="26"/>
      <c r="K90" s="18">
        <v>1427.2300000000005</v>
      </c>
      <c r="L90" s="12">
        <v>2637.2900000000059</v>
      </c>
    </row>
    <row r="91" spans="1:12" ht="13.5" customHeight="1" x14ac:dyDescent="0.2">
      <c r="A91" s="19"/>
      <c r="B91" s="20"/>
      <c r="C91" s="21" t="s">
        <v>6234</v>
      </c>
      <c r="D91" s="11" t="s">
        <v>6411</v>
      </c>
      <c r="E91" s="1051">
        <v>-560</v>
      </c>
      <c r="F91" s="22" t="s">
        <v>549</v>
      </c>
      <c r="G91" s="23"/>
      <c r="H91" s="24"/>
      <c r="I91" s="25"/>
      <c r="J91" s="26"/>
      <c r="K91" s="18">
        <v>867.23000000000047</v>
      </c>
      <c r="L91" s="12">
        <v>2637.2900000000059</v>
      </c>
    </row>
    <row r="92" spans="1:12" ht="13.5" customHeight="1" x14ac:dyDescent="0.2">
      <c r="A92" s="19"/>
      <c r="B92" s="20"/>
      <c r="C92" s="34" t="s">
        <v>20</v>
      </c>
      <c r="D92" s="11" t="s">
        <v>19</v>
      </c>
      <c r="E92" s="12" t="s">
        <v>549</v>
      </c>
      <c r="F92" s="932">
        <v>0.16</v>
      </c>
      <c r="G92" s="1052">
        <v>867.39</v>
      </c>
      <c r="H92" s="24"/>
      <c r="I92" s="25"/>
      <c r="J92" s="26"/>
      <c r="K92" s="18">
        <v>867.39000000000044</v>
      </c>
      <c r="L92" s="12">
        <v>2637.2900000000059</v>
      </c>
    </row>
    <row r="93" spans="1:12" ht="13.5" customHeight="1" x14ac:dyDescent="0.2">
      <c r="A93" s="19">
        <v>43056</v>
      </c>
      <c r="B93" s="20"/>
      <c r="C93" s="34" t="s">
        <v>6133</v>
      </c>
      <c r="D93" s="11"/>
      <c r="E93" s="12"/>
      <c r="F93" s="22"/>
      <c r="G93" s="23"/>
      <c r="H93" s="24">
        <v>200</v>
      </c>
      <c r="I93" s="25"/>
      <c r="J93" s="26"/>
      <c r="K93" s="18">
        <v>867.39000000000044</v>
      </c>
      <c r="L93" s="12">
        <v>2437.2900000000059</v>
      </c>
    </row>
    <row r="94" spans="1:12" ht="13.5" customHeight="1" x14ac:dyDescent="0.2">
      <c r="A94" s="19"/>
      <c r="B94" s="20"/>
      <c r="C94" s="34" t="s">
        <v>5593</v>
      </c>
      <c r="D94" s="11"/>
      <c r="E94" s="12"/>
      <c r="F94" s="22"/>
      <c r="G94" s="23"/>
      <c r="H94" s="24">
        <v>120</v>
      </c>
      <c r="I94" s="25"/>
      <c r="J94" s="26"/>
      <c r="K94" s="18">
        <v>867.39000000000044</v>
      </c>
      <c r="L94" s="12">
        <v>2317.2900000000059</v>
      </c>
    </row>
    <row r="95" spans="1:12" ht="13.5" customHeight="1" x14ac:dyDescent="0.2">
      <c r="A95" s="19"/>
      <c r="B95" s="20"/>
      <c r="C95" s="21" t="s">
        <v>6412</v>
      </c>
      <c r="D95" s="11"/>
      <c r="E95" s="12"/>
      <c r="F95" s="22"/>
      <c r="G95" s="23"/>
      <c r="H95" s="24"/>
      <c r="I95" s="25">
        <v>2050</v>
      </c>
      <c r="J95" s="26">
        <v>4367.2900000000063</v>
      </c>
      <c r="K95" s="18">
        <v>867.39000000000044</v>
      </c>
      <c r="L95" s="12">
        <v>4367.2900000000063</v>
      </c>
    </row>
    <row r="96" spans="1:12" ht="13.5" customHeight="1" x14ac:dyDescent="0.2">
      <c r="A96" s="19">
        <v>43059</v>
      </c>
      <c r="B96" s="20"/>
      <c r="C96" s="63" t="s">
        <v>6413</v>
      </c>
      <c r="D96" s="11"/>
      <c r="E96" s="12"/>
      <c r="F96" s="22"/>
      <c r="G96" s="23"/>
      <c r="H96" s="24"/>
      <c r="I96" s="25">
        <v>7500</v>
      </c>
      <c r="J96" s="26"/>
      <c r="K96" s="18">
        <v>867.39000000000044</v>
      </c>
      <c r="L96" s="12">
        <v>11867.290000000006</v>
      </c>
    </row>
    <row r="97" spans="1:12" ht="13.5" customHeight="1" x14ac:dyDescent="0.2">
      <c r="A97" s="19"/>
      <c r="B97" s="20"/>
      <c r="C97" s="21" t="s">
        <v>6178</v>
      </c>
      <c r="D97" s="11"/>
      <c r="E97" s="12"/>
      <c r="F97" s="22"/>
      <c r="G97" s="23"/>
      <c r="H97" s="24"/>
      <c r="I97" s="25">
        <v>500</v>
      </c>
      <c r="J97" s="26"/>
      <c r="K97" s="18">
        <v>867.39000000000044</v>
      </c>
      <c r="L97" s="12">
        <v>12367.290000000006</v>
      </c>
    </row>
    <row r="98" spans="1:12" ht="13.5" customHeight="1" x14ac:dyDescent="0.2">
      <c r="A98" s="19"/>
      <c r="B98" s="20"/>
      <c r="C98" s="21" t="s">
        <v>5995</v>
      </c>
      <c r="D98" s="11"/>
      <c r="E98" s="12"/>
      <c r="F98" s="22"/>
      <c r="G98" s="23"/>
      <c r="H98" s="174">
        <v>8000</v>
      </c>
      <c r="I98" s="25"/>
      <c r="J98" s="26"/>
      <c r="K98" s="18">
        <v>867.39000000000044</v>
      </c>
      <c r="L98" s="12">
        <v>4367.2900000000063</v>
      </c>
    </row>
    <row r="99" spans="1:12" ht="13.5" customHeight="1" x14ac:dyDescent="0.2">
      <c r="A99" s="19"/>
      <c r="B99" s="20"/>
      <c r="C99" s="21" t="s">
        <v>6414</v>
      </c>
      <c r="D99" s="11"/>
      <c r="E99" s="12"/>
      <c r="F99" s="22"/>
      <c r="G99" s="23"/>
      <c r="H99" s="24">
        <v>10.9</v>
      </c>
      <c r="I99" s="25"/>
      <c r="J99" s="26"/>
      <c r="K99" s="18">
        <v>867.39000000000044</v>
      </c>
      <c r="L99" s="12">
        <v>4356.3900000000067</v>
      </c>
    </row>
    <row r="100" spans="1:12" ht="13.5" customHeight="1" x14ac:dyDescent="0.2">
      <c r="A100" s="19"/>
      <c r="B100" s="20"/>
      <c r="C100" s="21" t="s">
        <v>5600</v>
      </c>
      <c r="D100" s="11"/>
      <c r="E100" s="12"/>
      <c r="F100" s="22"/>
      <c r="G100" s="23"/>
      <c r="H100" s="24">
        <v>15</v>
      </c>
      <c r="I100" s="25"/>
      <c r="J100" s="26">
        <v>4341.3900000000067</v>
      </c>
      <c r="K100" s="18">
        <v>867.39000000000044</v>
      </c>
      <c r="L100" s="12">
        <v>4341.3900000000067</v>
      </c>
    </row>
    <row r="101" spans="1:12" ht="13.5" customHeight="1" x14ac:dyDescent="0.2">
      <c r="A101" s="19"/>
      <c r="B101" s="20"/>
      <c r="C101" s="34" t="s">
        <v>6415</v>
      </c>
      <c r="D101" s="11" t="s">
        <v>2064</v>
      </c>
      <c r="E101" s="1051">
        <v>-147.44</v>
      </c>
      <c r="F101" s="22" t="s">
        <v>549</v>
      </c>
      <c r="G101" s="23"/>
      <c r="H101" s="24"/>
      <c r="I101" s="25"/>
      <c r="J101" s="26"/>
      <c r="K101" s="18">
        <v>719.9500000000005</v>
      </c>
      <c r="L101" s="12">
        <v>4341.3900000000067</v>
      </c>
    </row>
    <row r="102" spans="1:12" ht="13.5" customHeight="1" x14ac:dyDescent="0.2">
      <c r="A102" s="19"/>
      <c r="B102" s="20"/>
      <c r="C102" s="34" t="s">
        <v>6416</v>
      </c>
      <c r="D102" s="11" t="s">
        <v>3568</v>
      </c>
      <c r="E102" s="1051">
        <v>-125.4</v>
      </c>
      <c r="F102" s="22" t="s">
        <v>549</v>
      </c>
      <c r="G102" s="23"/>
      <c r="H102" s="24"/>
      <c r="I102" s="25"/>
      <c r="J102" s="26"/>
      <c r="K102" s="18">
        <v>594.55000000000052</v>
      </c>
      <c r="L102" s="12">
        <v>4341.3900000000067</v>
      </c>
    </row>
    <row r="103" spans="1:12" ht="13.5" customHeight="1" x14ac:dyDescent="0.2">
      <c r="A103" s="19" t="s">
        <v>6417</v>
      </c>
      <c r="B103" s="20"/>
      <c r="C103" s="138" t="s">
        <v>6418</v>
      </c>
      <c r="D103" s="11" t="s">
        <v>6419</v>
      </c>
      <c r="E103" s="12" t="s">
        <v>549</v>
      </c>
      <c r="F103" s="932">
        <v>940</v>
      </c>
      <c r="G103" s="23"/>
      <c r="H103" s="24"/>
      <c r="I103" s="25"/>
      <c r="J103" s="26"/>
      <c r="K103" s="18">
        <v>1534.5500000000006</v>
      </c>
      <c r="L103" s="12">
        <v>4341.3900000000067</v>
      </c>
    </row>
    <row r="104" spans="1:12" ht="13.5" customHeight="1" x14ac:dyDescent="0.2">
      <c r="A104" s="19"/>
      <c r="B104" s="20"/>
      <c r="C104" s="34" t="s">
        <v>6420</v>
      </c>
      <c r="D104" s="11" t="s">
        <v>19</v>
      </c>
      <c r="E104" s="1051">
        <v>-70.56</v>
      </c>
      <c r="F104" s="22" t="s">
        <v>549</v>
      </c>
      <c r="G104" s="23">
        <v>1463.99</v>
      </c>
      <c r="H104" s="24"/>
      <c r="I104" s="25"/>
      <c r="J104" s="26"/>
      <c r="K104" s="18">
        <v>1463.9900000000007</v>
      </c>
      <c r="L104" s="12">
        <v>4341.3900000000067</v>
      </c>
    </row>
    <row r="105" spans="1:12" ht="13.5" customHeight="1" x14ac:dyDescent="0.2">
      <c r="A105" s="19">
        <v>43061</v>
      </c>
      <c r="B105" s="20"/>
      <c r="C105" s="34" t="s">
        <v>6421</v>
      </c>
      <c r="D105" s="11"/>
      <c r="E105" s="12"/>
      <c r="F105" s="22"/>
      <c r="G105" s="23"/>
      <c r="H105" s="24"/>
      <c r="I105" s="25">
        <v>1030</v>
      </c>
      <c r="J105" s="26"/>
      <c r="K105" s="18">
        <v>1463.9900000000007</v>
      </c>
      <c r="L105" s="12">
        <v>5371.3900000000067</v>
      </c>
    </row>
    <row r="106" spans="1:12" ht="13.5" customHeight="1" x14ac:dyDescent="0.2">
      <c r="A106" s="19"/>
      <c r="B106" s="20"/>
      <c r="C106" s="34" t="s">
        <v>6389</v>
      </c>
      <c r="D106" s="11"/>
      <c r="E106" s="12"/>
      <c r="F106" s="22"/>
      <c r="G106" s="23"/>
      <c r="H106" s="24">
        <v>6.8</v>
      </c>
      <c r="I106" s="25"/>
      <c r="J106" s="26"/>
      <c r="K106" s="18">
        <v>1463.9900000000007</v>
      </c>
      <c r="L106" s="12">
        <v>5364.5900000000065</v>
      </c>
    </row>
    <row r="107" spans="1:12" ht="13.5" customHeight="1" x14ac:dyDescent="0.2">
      <c r="A107" s="19"/>
      <c r="B107" s="20"/>
      <c r="C107" s="34" t="s">
        <v>6422</v>
      </c>
      <c r="D107" s="11"/>
      <c r="E107" s="12"/>
      <c r="F107" s="22"/>
      <c r="G107" s="23"/>
      <c r="H107" s="24">
        <v>8.3000000000000007</v>
      </c>
      <c r="I107" s="25"/>
      <c r="J107" s="26"/>
      <c r="K107" s="18">
        <v>1463.9900000000007</v>
      </c>
      <c r="L107" s="12">
        <v>5356.2900000000063</v>
      </c>
    </row>
    <row r="108" spans="1:12" ht="13.5" customHeight="1" x14ac:dyDescent="0.2">
      <c r="A108" s="19"/>
      <c r="B108" s="20"/>
      <c r="C108" s="34" t="s">
        <v>6423</v>
      </c>
      <c r="D108" s="11"/>
      <c r="E108" s="12"/>
      <c r="F108" s="22"/>
      <c r="G108" s="23"/>
      <c r="H108" s="24">
        <v>6</v>
      </c>
      <c r="I108" s="25"/>
      <c r="J108" s="26"/>
      <c r="K108" s="18">
        <v>1463.9900000000007</v>
      </c>
      <c r="L108" s="12">
        <v>5350.2900000000063</v>
      </c>
    </row>
    <row r="109" spans="1:12" ht="13.5" customHeight="1" x14ac:dyDescent="0.2">
      <c r="A109" s="19"/>
      <c r="B109" s="20"/>
      <c r="C109" s="34" t="s">
        <v>6424</v>
      </c>
      <c r="D109" s="11"/>
      <c r="E109" s="12"/>
      <c r="F109" s="22"/>
      <c r="G109" s="23"/>
      <c r="H109" s="24">
        <v>4.8499999999999996</v>
      </c>
      <c r="I109" s="25"/>
      <c r="J109" s="26"/>
      <c r="K109" s="18">
        <v>1463.9900000000007</v>
      </c>
      <c r="L109" s="12">
        <v>5345.440000000006</v>
      </c>
    </row>
    <row r="110" spans="1:12" ht="13.5" customHeight="1" x14ac:dyDescent="0.2">
      <c r="A110" s="19"/>
      <c r="B110" s="20"/>
      <c r="C110" s="34" t="s">
        <v>6425</v>
      </c>
      <c r="D110" s="11"/>
      <c r="E110" s="12"/>
      <c r="F110" s="22"/>
      <c r="G110" s="23"/>
      <c r="H110" s="24">
        <v>24.25</v>
      </c>
      <c r="I110" s="25"/>
      <c r="J110" s="26">
        <v>5321.190000000006</v>
      </c>
      <c r="K110" s="18">
        <v>1463.9900000000007</v>
      </c>
      <c r="L110" s="12">
        <v>5321.190000000006</v>
      </c>
    </row>
    <row r="111" spans="1:12" ht="13.5" customHeight="1" x14ac:dyDescent="0.2">
      <c r="A111" s="19"/>
      <c r="B111" s="20"/>
      <c r="C111" s="138" t="s">
        <v>5726</v>
      </c>
      <c r="D111" s="11" t="s">
        <v>19</v>
      </c>
      <c r="E111" s="1051">
        <v>-17.2</v>
      </c>
      <c r="F111" s="22" t="s">
        <v>549</v>
      </c>
      <c r="G111" s="23"/>
      <c r="H111" s="24"/>
      <c r="I111" s="25"/>
      <c r="J111" s="26"/>
      <c r="K111" s="18">
        <v>1446.7900000000006</v>
      </c>
      <c r="L111" s="12">
        <v>5321.190000000006</v>
      </c>
    </row>
    <row r="112" spans="1:12" ht="13.5" customHeight="1" x14ac:dyDescent="0.2">
      <c r="A112" s="19"/>
      <c r="B112" s="20"/>
      <c r="C112" s="138" t="s">
        <v>127</v>
      </c>
      <c r="D112" s="11" t="s">
        <v>19</v>
      </c>
      <c r="E112" s="1051">
        <v>-25.47</v>
      </c>
      <c r="F112" s="22" t="s">
        <v>549</v>
      </c>
      <c r="G112" s="23"/>
      <c r="H112" s="24"/>
      <c r="I112" s="25"/>
      <c r="J112" s="26"/>
      <c r="K112" s="18">
        <v>1421.3200000000006</v>
      </c>
      <c r="L112" s="12">
        <v>5321.190000000006</v>
      </c>
    </row>
    <row r="113" spans="1:12" ht="13.5" customHeight="1" x14ac:dyDescent="0.2">
      <c r="A113" s="19"/>
      <c r="B113" s="20"/>
      <c r="C113" s="138" t="s">
        <v>128</v>
      </c>
      <c r="D113" s="11" t="s">
        <v>19</v>
      </c>
      <c r="E113" s="1051">
        <v>-38.549999999999997</v>
      </c>
      <c r="F113" s="22" t="s">
        <v>549</v>
      </c>
      <c r="G113" s="23"/>
      <c r="H113" s="24"/>
      <c r="I113" s="25"/>
      <c r="J113" s="26"/>
      <c r="K113" s="18">
        <v>1382.7700000000007</v>
      </c>
      <c r="L113" s="12">
        <v>5321.190000000006</v>
      </c>
    </row>
    <row r="114" spans="1:12" ht="13.5" customHeight="1" x14ac:dyDescent="0.2">
      <c r="A114" s="19"/>
      <c r="B114" s="20"/>
      <c r="C114" s="34" t="s">
        <v>5732</v>
      </c>
      <c r="D114" s="11" t="s">
        <v>19</v>
      </c>
      <c r="E114" s="1051">
        <v>-67.150000000000006</v>
      </c>
      <c r="F114" s="22" t="s">
        <v>549</v>
      </c>
      <c r="G114" s="23"/>
      <c r="H114" s="24"/>
      <c r="I114" s="25"/>
      <c r="J114" s="26"/>
      <c r="K114" s="18">
        <v>1315.6200000000006</v>
      </c>
      <c r="L114" s="12">
        <v>5321.190000000006</v>
      </c>
    </row>
    <row r="115" spans="1:12" ht="13.5" customHeight="1" x14ac:dyDescent="0.2">
      <c r="A115" s="19"/>
      <c r="B115" s="20"/>
      <c r="C115" s="138" t="s">
        <v>5730</v>
      </c>
      <c r="D115" s="11" t="s">
        <v>19</v>
      </c>
      <c r="E115" s="1051">
        <v>-161.27000000000001</v>
      </c>
      <c r="F115" s="22" t="s">
        <v>549</v>
      </c>
      <c r="G115" s="23"/>
      <c r="H115" s="24"/>
      <c r="I115" s="25"/>
      <c r="J115" s="26"/>
      <c r="K115" s="18">
        <v>1154.3500000000006</v>
      </c>
      <c r="L115" s="12">
        <v>5321.190000000006</v>
      </c>
    </row>
    <row r="116" spans="1:12" ht="13.5" customHeight="1" x14ac:dyDescent="0.2">
      <c r="A116" s="19"/>
      <c r="B116" s="20"/>
      <c r="C116" s="34" t="s">
        <v>6426</v>
      </c>
      <c r="D116" s="11" t="s">
        <v>1333</v>
      </c>
      <c r="E116" s="277">
        <v>-1500</v>
      </c>
      <c r="F116" s="22" t="s">
        <v>549</v>
      </c>
      <c r="G116" s="23"/>
      <c r="H116" s="24"/>
      <c r="I116" s="25"/>
      <c r="J116" s="26"/>
      <c r="K116" s="18">
        <v>-345.64999999999941</v>
      </c>
      <c r="L116" s="12">
        <v>5321.190000000006</v>
      </c>
    </row>
    <row r="117" spans="1:12" ht="13.5" customHeight="1" x14ac:dyDescent="0.2">
      <c r="A117" s="19"/>
      <c r="B117" s="20"/>
      <c r="C117" s="34" t="s">
        <v>6426</v>
      </c>
      <c r="D117" s="11" t="s">
        <v>1333</v>
      </c>
      <c r="E117" s="1053">
        <v>-500</v>
      </c>
      <c r="F117" s="22" t="s">
        <v>549</v>
      </c>
      <c r="G117" s="23"/>
      <c r="H117" s="24"/>
      <c r="I117" s="25"/>
      <c r="J117" s="26"/>
      <c r="K117" s="18">
        <v>-845.64999999999941</v>
      </c>
      <c r="L117" s="12">
        <v>5321.190000000006</v>
      </c>
    </row>
    <row r="118" spans="1:12" ht="13.5" customHeight="1" x14ac:dyDescent="0.2">
      <c r="A118" s="19"/>
      <c r="B118" s="20"/>
      <c r="C118" s="34" t="s">
        <v>20</v>
      </c>
      <c r="D118" s="11" t="s">
        <v>19</v>
      </c>
      <c r="E118" s="12" t="s">
        <v>549</v>
      </c>
      <c r="F118" s="932">
        <v>0.03</v>
      </c>
      <c r="G118" s="1052">
        <v>-845.62</v>
      </c>
      <c r="H118" s="24"/>
      <c r="I118" s="25"/>
      <c r="J118" s="26"/>
      <c r="K118" s="18">
        <v>-845.61999999999944</v>
      </c>
      <c r="L118" s="12">
        <v>5321.190000000006</v>
      </c>
    </row>
    <row r="119" spans="1:12" ht="13.5" customHeight="1" x14ac:dyDescent="0.2">
      <c r="A119" s="19">
        <v>43062</v>
      </c>
      <c r="B119" s="20"/>
      <c r="C119" s="34" t="s">
        <v>6427</v>
      </c>
      <c r="D119" s="11"/>
      <c r="E119" s="12"/>
      <c r="F119" s="22"/>
      <c r="G119" s="23"/>
      <c r="H119" s="24">
        <v>100</v>
      </c>
      <c r="I119" s="25"/>
      <c r="J119" s="26"/>
      <c r="K119" s="18">
        <v>-845.61999999999944</v>
      </c>
      <c r="L119" s="12">
        <v>5221.190000000006</v>
      </c>
    </row>
    <row r="120" spans="1:12" ht="13.5" customHeight="1" x14ac:dyDescent="0.2">
      <c r="A120" s="19"/>
      <c r="B120" s="20"/>
      <c r="C120" s="34" t="s">
        <v>6428</v>
      </c>
      <c r="D120" s="11"/>
      <c r="E120" s="12"/>
      <c r="F120" s="22"/>
      <c r="G120" s="23"/>
      <c r="H120" s="24">
        <v>100</v>
      </c>
      <c r="I120" s="25"/>
      <c r="J120" s="26">
        <v>5121.190000000006</v>
      </c>
      <c r="K120" s="18">
        <v>-845.61999999999944</v>
      </c>
      <c r="L120" s="12">
        <v>5121.190000000006</v>
      </c>
    </row>
    <row r="121" spans="1:12" ht="13.5" customHeight="1" x14ac:dyDescent="0.2">
      <c r="A121" s="19"/>
      <c r="B121" s="20"/>
      <c r="C121" s="34" t="s">
        <v>6429</v>
      </c>
      <c r="D121" s="11" t="s">
        <v>6430</v>
      </c>
      <c r="E121" s="1051">
        <v>-256</v>
      </c>
      <c r="F121" s="22" t="s">
        <v>549</v>
      </c>
      <c r="G121" s="23">
        <v>-1101.6199999999999</v>
      </c>
      <c r="H121" s="24"/>
      <c r="I121" s="25"/>
      <c r="J121" s="26"/>
      <c r="K121" s="18">
        <v>-1101.6199999999994</v>
      </c>
      <c r="L121" s="12">
        <v>5121.190000000006</v>
      </c>
    </row>
    <row r="122" spans="1:12" ht="13.5" customHeight="1" x14ac:dyDescent="0.2">
      <c r="A122" s="19">
        <v>43063</v>
      </c>
      <c r="B122" s="20"/>
      <c r="C122" s="34" t="s">
        <v>6431</v>
      </c>
      <c r="D122" s="11"/>
      <c r="E122" s="12"/>
      <c r="F122" s="22"/>
      <c r="G122" s="23"/>
      <c r="H122" s="24"/>
      <c r="I122" s="25">
        <v>1136</v>
      </c>
      <c r="J122" s="26"/>
      <c r="K122" s="18">
        <v>-1101.6199999999994</v>
      </c>
      <c r="L122" s="12">
        <v>6257.190000000006</v>
      </c>
    </row>
    <row r="123" spans="1:12" ht="13.5" customHeight="1" x14ac:dyDescent="0.2">
      <c r="A123" s="19"/>
      <c r="B123" s="20"/>
      <c r="C123" s="34" t="s">
        <v>5568</v>
      </c>
      <c r="D123" s="11"/>
      <c r="E123" s="12"/>
      <c r="F123" s="22"/>
      <c r="G123" s="23"/>
      <c r="H123" s="174">
        <v>1900</v>
      </c>
      <c r="I123" s="25"/>
      <c r="J123" s="26"/>
      <c r="K123" s="18">
        <v>-1101.6199999999994</v>
      </c>
      <c r="L123" s="12">
        <v>4357.190000000006</v>
      </c>
    </row>
    <row r="124" spans="1:12" ht="13.5" customHeight="1" x14ac:dyDescent="0.2">
      <c r="A124" s="19"/>
      <c r="B124" s="20"/>
      <c r="C124" s="34" t="s">
        <v>6409</v>
      </c>
      <c r="D124" s="11"/>
      <c r="E124" s="12"/>
      <c r="F124" s="22"/>
      <c r="G124" s="23"/>
      <c r="H124" s="24">
        <v>70</v>
      </c>
      <c r="I124" s="25"/>
      <c r="J124" s="26"/>
      <c r="K124" s="18">
        <v>-1101.6199999999994</v>
      </c>
      <c r="L124" s="12">
        <v>4287.190000000006</v>
      </c>
    </row>
    <row r="125" spans="1:12" ht="13.5" customHeight="1" x14ac:dyDescent="0.2">
      <c r="A125" s="19"/>
      <c r="B125" s="20"/>
      <c r="C125" s="34" t="s">
        <v>5977</v>
      </c>
      <c r="D125" s="11"/>
      <c r="E125" s="12"/>
      <c r="F125" s="22"/>
      <c r="G125" s="23"/>
      <c r="H125" s="24">
        <v>70</v>
      </c>
      <c r="I125" s="25"/>
      <c r="J125" s="26"/>
      <c r="K125" s="18">
        <v>-1101.6199999999994</v>
      </c>
      <c r="L125" s="12">
        <v>4217.190000000006</v>
      </c>
    </row>
    <row r="126" spans="1:12" ht="13.5" customHeight="1" x14ac:dyDescent="0.2">
      <c r="A126" s="19"/>
      <c r="B126" s="20"/>
      <c r="C126" s="21" t="s">
        <v>6158</v>
      </c>
      <c r="D126" s="11"/>
      <c r="E126" s="12"/>
      <c r="F126" s="22"/>
      <c r="G126" s="23"/>
      <c r="H126" s="24">
        <v>250</v>
      </c>
      <c r="I126" s="25"/>
      <c r="J126" s="26"/>
      <c r="K126" s="18">
        <v>-1101.6199999999994</v>
      </c>
      <c r="L126" s="12">
        <v>3967.190000000006</v>
      </c>
    </row>
    <row r="127" spans="1:12" ht="13.5" customHeight="1" x14ac:dyDescent="0.2">
      <c r="A127" s="19"/>
      <c r="B127" s="20"/>
      <c r="C127" s="21" t="s">
        <v>6159</v>
      </c>
      <c r="D127" s="11"/>
      <c r="E127" s="12"/>
      <c r="F127" s="22"/>
      <c r="G127" s="23"/>
      <c r="H127" s="24">
        <v>300</v>
      </c>
      <c r="I127" s="25"/>
      <c r="J127" s="26">
        <v>3667.190000000006</v>
      </c>
      <c r="K127" s="18">
        <v>-1101.6199999999994</v>
      </c>
      <c r="L127" s="12">
        <v>3667.190000000006</v>
      </c>
    </row>
    <row r="128" spans="1:12" ht="13.5" customHeight="1" x14ac:dyDescent="0.2">
      <c r="A128" s="19"/>
      <c r="B128" s="20"/>
      <c r="C128" s="34" t="s">
        <v>5568</v>
      </c>
      <c r="D128" s="11" t="s">
        <v>6432</v>
      </c>
      <c r="E128" s="12" t="s">
        <v>549</v>
      </c>
      <c r="F128" s="162">
        <v>1900</v>
      </c>
      <c r="G128" s="1052">
        <v>798.38</v>
      </c>
      <c r="H128" s="24"/>
      <c r="I128" s="25"/>
      <c r="J128" s="26"/>
      <c r="K128" s="18">
        <v>798.38000000000056</v>
      </c>
      <c r="L128" s="12">
        <v>3667.190000000006</v>
      </c>
    </row>
    <row r="129" spans="1:12" ht="13.5" customHeight="1" x14ac:dyDescent="0.2">
      <c r="A129" s="19">
        <v>43066</v>
      </c>
      <c r="B129" s="20"/>
      <c r="C129" s="357" t="s">
        <v>5600</v>
      </c>
      <c r="D129" s="11"/>
      <c r="E129" s="12"/>
      <c r="F129" s="22"/>
      <c r="G129" s="23"/>
      <c r="H129" s="24">
        <v>14</v>
      </c>
      <c r="I129" s="25"/>
      <c r="J129" s="26"/>
      <c r="K129" s="18">
        <v>798.38000000000056</v>
      </c>
      <c r="L129" s="12">
        <v>3653.190000000006</v>
      </c>
    </row>
    <row r="130" spans="1:12" ht="13.5" customHeight="1" x14ac:dyDescent="0.2">
      <c r="A130" s="19"/>
      <c r="B130" s="20"/>
      <c r="C130" s="357" t="s">
        <v>6433</v>
      </c>
      <c r="D130" s="11"/>
      <c r="E130" s="12"/>
      <c r="F130" s="22"/>
      <c r="G130" s="23"/>
      <c r="H130" s="24">
        <v>6</v>
      </c>
      <c r="I130" s="25"/>
      <c r="J130" s="26"/>
      <c r="K130" s="18">
        <v>798.38000000000056</v>
      </c>
      <c r="L130" s="12">
        <v>3647.190000000006</v>
      </c>
    </row>
    <row r="131" spans="1:12" ht="13.5" customHeight="1" x14ac:dyDescent="0.2">
      <c r="A131" s="19"/>
      <c r="B131" s="20"/>
      <c r="C131" s="357" t="s">
        <v>6434</v>
      </c>
      <c r="D131" s="11"/>
      <c r="E131" s="12"/>
      <c r="F131" s="22"/>
      <c r="G131" s="23"/>
      <c r="H131" s="24">
        <v>15</v>
      </c>
      <c r="I131" s="25"/>
      <c r="J131" s="26">
        <v>3632.190000000006</v>
      </c>
      <c r="K131" s="18">
        <v>798.38000000000056</v>
      </c>
      <c r="L131" s="12">
        <v>3632.190000000006</v>
      </c>
    </row>
    <row r="132" spans="1:12" ht="13.5" customHeight="1" x14ac:dyDescent="0.2">
      <c r="A132" s="19"/>
      <c r="B132" s="20"/>
      <c r="C132" s="34" t="s">
        <v>769</v>
      </c>
      <c r="D132" s="11" t="s">
        <v>19</v>
      </c>
      <c r="E132" s="12" t="s">
        <v>549</v>
      </c>
      <c r="F132" s="22">
        <v>2103.6999999999998</v>
      </c>
      <c r="G132" s="23"/>
      <c r="H132" s="24"/>
      <c r="I132" s="25"/>
      <c r="J132" s="26"/>
      <c r="K132" s="18">
        <v>2902.0800000000004</v>
      </c>
      <c r="L132" s="12">
        <v>3632.190000000006</v>
      </c>
    </row>
    <row r="133" spans="1:12" ht="13.5" customHeight="1" x14ac:dyDescent="0.2">
      <c r="A133" s="19"/>
      <c r="B133" s="20"/>
      <c r="C133" s="34" t="s">
        <v>6435</v>
      </c>
      <c r="D133" s="11" t="s">
        <v>6436</v>
      </c>
      <c r="E133" s="1051">
        <v>-950</v>
      </c>
      <c r="F133" s="22" t="s">
        <v>549</v>
      </c>
      <c r="G133" s="23">
        <v>1952.08</v>
      </c>
      <c r="H133" s="24"/>
      <c r="I133" s="25"/>
      <c r="J133" s="26"/>
      <c r="K133" s="18">
        <v>1952.0800000000004</v>
      </c>
      <c r="L133" s="12">
        <v>3632.190000000006</v>
      </c>
    </row>
    <row r="134" spans="1:12" ht="13.5" customHeight="1" x14ac:dyDescent="0.2">
      <c r="A134" s="19">
        <v>43067</v>
      </c>
      <c r="B134" s="20"/>
      <c r="C134" s="357" t="s">
        <v>5568</v>
      </c>
      <c r="D134" s="11"/>
      <c r="E134" s="12"/>
      <c r="F134" s="22"/>
      <c r="G134" s="23"/>
      <c r="H134" s="174">
        <v>2000</v>
      </c>
      <c r="I134" s="25"/>
      <c r="J134" s="26"/>
      <c r="K134" s="18">
        <v>1952.0800000000004</v>
      </c>
      <c r="L134" s="12">
        <v>1632.190000000006</v>
      </c>
    </row>
    <row r="135" spans="1:12" ht="13.5" customHeight="1" x14ac:dyDescent="0.2">
      <c r="A135" s="19"/>
      <c r="B135" s="20"/>
      <c r="C135" s="34" t="s">
        <v>6437</v>
      </c>
      <c r="D135" s="11"/>
      <c r="E135" s="12"/>
      <c r="F135" s="22"/>
      <c r="G135" s="23"/>
      <c r="H135" s="24"/>
      <c r="I135" s="25">
        <v>1360</v>
      </c>
      <c r="J135" s="26">
        <v>2992.190000000006</v>
      </c>
      <c r="K135" s="18">
        <v>1952.0800000000004</v>
      </c>
      <c r="L135" s="12">
        <v>2992.190000000006</v>
      </c>
    </row>
    <row r="136" spans="1:12" ht="13.5" customHeight="1" x14ac:dyDescent="0.2">
      <c r="A136" s="19"/>
      <c r="B136" s="20"/>
      <c r="C136" s="34" t="s">
        <v>6020</v>
      </c>
      <c r="D136" s="11" t="s">
        <v>6438</v>
      </c>
      <c r="E136" s="1051">
        <v>-75</v>
      </c>
      <c r="F136" s="22" t="s">
        <v>549</v>
      </c>
      <c r="G136" s="23"/>
      <c r="H136" s="24"/>
      <c r="I136" s="25"/>
      <c r="J136" s="26"/>
      <c r="K136" s="18">
        <v>1877.0800000000004</v>
      </c>
      <c r="L136" s="12">
        <v>2992.190000000006</v>
      </c>
    </row>
    <row r="137" spans="1:12" ht="13.5" customHeight="1" x14ac:dyDescent="0.2">
      <c r="A137" s="19"/>
      <c r="B137" s="20"/>
      <c r="C137" s="34" t="s">
        <v>6439</v>
      </c>
      <c r="D137" s="11" t="s">
        <v>19</v>
      </c>
      <c r="E137" s="1051">
        <v>-582.91999999999996</v>
      </c>
      <c r="F137" s="22" t="s">
        <v>549</v>
      </c>
      <c r="G137" s="23"/>
      <c r="H137" s="24"/>
      <c r="I137" s="25"/>
      <c r="J137" s="26"/>
      <c r="K137" s="18">
        <v>1294.1600000000003</v>
      </c>
      <c r="L137" s="12">
        <v>2992.190000000006</v>
      </c>
    </row>
    <row r="138" spans="1:12" ht="13.5" customHeight="1" x14ac:dyDescent="0.2">
      <c r="A138" s="19"/>
      <c r="B138" s="20"/>
      <c r="C138" s="357" t="s">
        <v>5568</v>
      </c>
      <c r="D138" s="11" t="s">
        <v>6440</v>
      </c>
      <c r="E138" s="12" t="s">
        <v>549</v>
      </c>
      <c r="F138" s="162">
        <v>2000</v>
      </c>
      <c r="G138" s="23">
        <v>3294.16</v>
      </c>
      <c r="H138" s="24"/>
      <c r="I138" s="25"/>
      <c r="J138" s="26"/>
      <c r="K138" s="18">
        <v>3294.1600000000003</v>
      </c>
      <c r="L138" s="12">
        <v>2992.190000000006</v>
      </c>
    </row>
    <row r="139" spans="1:12" ht="13.5" customHeight="1" x14ac:dyDescent="0.2">
      <c r="A139" s="19">
        <v>43068</v>
      </c>
      <c r="B139" s="20"/>
      <c r="C139" s="34" t="s">
        <v>6441</v>
      </c>
      <c r="D139" s="11"/>
      <c r="E139" s="12"/>
      <c r="F139" s="22"/>
      <c r="G139" s="23"/>
      <c r="H139" s="24">
        <v>35</v>
      </c>
      <c r="I139" s="25"/>
      <c r="J139" s="26"/>
      <c r="K139" s="18">
        <v>3294.1600000000003</v>
      </c>
      <c r="L139" s="12">
        <v>2957.190000000006</v>
      </c>
    </row>
    <row r="140" spans="1:12" ht="13.5" customHeight="1" x14ac:dyDescent="0.2">
      <c r="A140" s="19"/>
      <c r="B140" s="20"/>
      <c r="C140" s="34" t="s">
        <v>6442</v>
      </c>
      <c r="D140" s="11"/>
      <c r="E140" s="12"/>
      <c r="F140" s="22"/>
      <c r="G140" s="23"/>
      <c r="H140" s="24">
        <v>12.58</v>
      </c>
      <c r="I140" s="25"/>
      <c r="J140" s="26">
        <v>2944.610000000006</v>
      </c>
      <c r="K140" s="18">
        <v>3294.1600000000003</v>
      </c>
      <c r="L140" s="12">
        <v>2944.610000000006</v>
      </c>
    </row>
    <row r="141" spans="1:12" ht="13.5" customHeight="1" x14ac:dyDescent="0.2">
      <c r="A141" s="19"/>
      <c r="B141" s="20"/>
      <c r="C141" s="34" t="s">
        <v>6443</v>
      </c>
      <c r="D141" s="11" t="s">
        <v>19</v>
      </c>
      <c r="E141" s="12">
        <v>-1974.16</v>
      </c>
      <c r="F141" s="22" t="s">
        <v>549</v>
      </c>
      <c r="G141" s="23">
        <v>1320</v>
      </c>
      <c r="H141" s="24"/>
      <c r="I141" s="25"/>
      <c r="J141" s="26"/>
      <c r="K141" s="18">
        <v>1320.0000000000002</v>
      </c>
      <c r="L141" s="12">
        <v>2944.610000000006</v>
      </c>
    </row>
    <row r="142" spans="1:12" ht="13.5" customHeight="1" x14ac:dyDescent="0.2">
      <c r="A142" s="19"/>
      <c r="B142" s="20"/>
      <c r="C142" s="34" t="s">
        <v>20</v>
      </c>
      <c r="D142" s="11" t="s">
        <v>19</v>
      </c>
      <c r="E142" s="12"/>
      <c r="F142" s="932">
        <v>0.02</v>
      </c>
      <c r="G142" s="1054">
        <v>1320.02</v>
      </c>
      <c r="H142" s="24"/>
      <c r="I142" s="25"/>
      <c r="J142" s="26"/>
      <c r="K142" s="18">
        <v>1320.0200000000002</v>
      </c>
      <c r="L142" s="12">
        <v>2944.610000000006</v>
      </c>
    </row>
    <row r="143" spans="1:12" ht="13.5" customHeight="1" x14ac:dyDescent="0.2">
      <c r="A143" s="19">
        <v>43069</v>
      </c>
      <c r="B143" s="20"/>
      <c r="C143" s="34" t="s">
        <v>6444</v>
      </c>
      <c r="D143" s="11"/>
      <c r="E143" s="12"/>
      <c r="F143" s="22"/>
      <c r="G143" s="23"/>
      <c r="H143" s="24">
        <v>13.5</v>
      </c>
      <c r="I143" s="25"/>
      <c r="J143" s="26"/>
      <c r="K143" s="18">
        <v>1320.0200000000002</v>
      </c>
      <c r="L143" s="12">
        <v>2931.110000000006</v>
      </c>
    </row>
    <row r="144" spans="1:12" ht="13.5" customHeight="1" x14ac:dyDescent="0.2">
      <c r="A144" s="19"/>
      <c r="B144" s="20"/>
      <c r="C144" s="34" t="s">
        <v>6445</v>
      </c>
      <c r="D144" s="11"/>
      <c r="E144" s="12"/>
      <c r="F144" s="22"/>
      <c r="G144" s="23"/>
      <c r="H144" s="24">
        <v>6</v>
      </c>
      <c r="I144" s="25"/>
      <c r="J144" s="26"/>
      <c r="K144" s="18">
        <v>1320.0200000000002</v>
      </c>
      <c r="L144" s="12">
        <v>2925.110000000006</v>
      </c>
    </row>
    <row r="145" spans="1:13" ht="13.5" customHeight="1" x14ac:dyDescent="0.2">
      <c r="A145" s="19"/>
      <c r="B145" s="20"/>
      <c r="C145" s="34" t="s">
        <v>6446</v>
      </c>
      <c r="D145" s="11"/>
      <c r="E145" s="12"/>
      <c r="F145" s="22"/>
      <c r="G145" s="23"/>
      <c r="H145" s="24">
        <v>2</v>
      </c>
      <c r="I145" s="25"/>
      <c r="J145" s="26"/>
      <c r="K145" s="18">
        <v>1320.0200000000002</v>
      </c>
      <c r="L145" s="12">
        <v>2923.110000000006</v>
      </c>
    </row>
    <row r="146" spans="1:13" ht="13.5" customHeight="1" x14ac:dyDescent="0.2">
      <c r="A146" s="19"/>
      <c r="B146" s="20"/>
      <c r="C146" s="34" t="s">
        <v>6447</v>
      </c>
      <c r="D146" s="11"/>
      <c r="E146" s="12"/>
      <c r="F146" s="22"/>
      <c r="G146" s="23"/>
      <c r="H146" s="24">
        <v>14.9</v>
      </c>
      <c r="I146" s="25"/>
      <c r="J146" s="26"/>
      <c r="K146" s="18">
        <v>1320.0200000000002</v>
      </c>
      <c r="L146" s="12">
        <v>2908.2100000000059</v>
      </c>
    </row>
    <row r="147" spans="1:13" ht="13.5" customHeight="1" x14ac:dyDescent="0.2">
      <c r="A147" s="19"/>
      <c r="B147" s="20"/>
      <c r="C147" s="34" t="s">
        <v>6448</v>
      </c>
      <c r="D147" s="11"/>
      <c r="E147" s="12"/>
      <c r="F147" s="22"/>
      <c r="G147" s="23"/>
      <c r="H147" s="24">
        <v>3.6</v>
      </c>
      <c r="I147" s="25"/>
      <c r="J147" s="26"/>
      <c r="K147" s="18">
        <v>1320.0200000000002</v>
      </c>
      <c r="L147" s="12">
        <v>2904.610000000006</v>
      </c>
    </row>
    <row r="148" spans="1:13" ht="13.5" customHeight="1" x14ac:dyDescent="0.2">
      <c r="A148" s="19"/>
      <c r="B148" s="20"/>
      <c r="C148" s="34" t="s">
        <v>6449</v>
      </c>
      <c r="D148" s="11"/>
      <c r="E148" s="12"/>
      <c r="F148" s="22"/>
      <c r="G148" s="23"/>
      <c r="H148" s="24">
        <v>31.5</v>
      </c>
      <c r="I148" s="25"/>
      <c r="J148" s="26"/>
      <c r="K148" s="18">
        <v>1320.0200000000002</v>
      </c>
      <c r="L148" s="12">
        <v>2873.110000000006</v>
      </c>
    </row>
    <row r="149" spans="1:13" ht="13.5" customHeight="1" x14ac:dyDescent="0.2">
      <c r="A149" s="19"/>
      <c r="B149" s="20"/>
      <c r="C149" s="34" t="s">
        <v>6450</v>
      </c>
      <c r="D149" s="11"/>
      <c r="E149" s="12"/>
      <c r="F149" s="22"/>
      <c r="G149" s="23"/>
      <c r="H149" s="24">
        <v>1.6</v>
      </c>
      <c r="I149" s="25"/>
      <c r="J149" s="177">
        <v>2871.5100000000061</v>
      </c>
      <c r="K149" s="18">
        <v>1320.0200000000002</v>
      </c>
      <c r="L149" s="12">
        <v>2871.5100000000061</v>
      </c>
      <c r="M149" s="18"/>
    </row>
    <row r="150" spans="1:13" ht="13.5" customHeight="1" thickBot="1" x14ac:dyDescent="0.25">
      <c r="A150" s="47"/>
      <c r="B150" s="48"/>
      <c r="C150" s="49"/>
      <c r="D150" s="50"/>
      <c r="E150" s="51"/>
      <c r="F150" s="52"/>
      <c r="G150" s="53"/>
      <c r="H150" s="54"/>
      <c r="I150" s="55"/>
      <c r="J150" s="52"/>
      <c r="L150" s="12"/>
    </row>
    <row r="151" spans="1:13" ht="13.5" customHeight="1" thickBot="1" x14ac:dyDescent="0.25">
      <c r="A151" s="2" t="s">
        <v>2</v>
      </c>
      <c r="B151" s="3"/>
      <c r="C151" s="3" t="s">
        <v>481</v>
      </c>
      <c r="D151" s="3" t="s">
        <v>4</v>
      </c>
      <c r="E151" s="3" t="s">
        <v>5</v>
      </c>
      <c r="F151" s="3" t="s">
        <v>6</v>
      </c>
      <c r="G151" s="5" t="s">
        <v>7</v>
      </c>
      <c r="H151" s="1415" t="s">
        <v>482</v>
      </c>
      <c r="I151" s="1416"/>
      <c r="J151" s="1417"/>
    </row>
    <row r="152" spans="1:13" ht="13.5" customHeight="1" x14ac:dyDescent="0.2">
      <c r="A152" s="8" t="s">
        <v>6343</v>
      </c>
      <c r="B152" s="56"/>
      <c r="C152" s="10" t="s">
        <v>8</v>
      </c>
      <c r="D152" s="11">
        <v>0</v>
      </c>
      <c r="E152" s="51"/>
      <c r="F152" s="12"/>
      <c r="G152" s="178">
        <v>0</v>
      </c>
      <c r="H152" s="179"/>
      <c r="I152" s="57"/>
      <c r="J152" s="58">
        <v>3.9699999999982718</v>
      </c>
      <c r="K152" s="18">
        <v>0</v>
      </c>
      <c r="L152" s="51">
        <v>3.9699999999982718</v>
      </c>
    </row>
    <row r="153" spans="1:13" ht="13.5" customHeight="1" x14ac:dyDescent="0.2">
      <c r="A153" s="180" t="s">
        <v>6451</v>
      </c>
      <c r="B153" s="56" t="s">
        <v>483</v>
      </c>
      <c r="C153" s="36" t="s">
        <v>769</v>
      </c>
      <c r="D153" s="11" t="s">
        <v>488</v>
      </c>
      <c r="E153" s="30"/>
      <c r="F153" s="183">
        <v>4000</v>
      </c>
      <c r="G153" s="182" t="s">
        <v>483</v>
      </c>
      <c r="H153" s="59"/>
      <c r="I153" s="60"/>
      <c r="J153" s="61">
        <v>3.9699999999982718</v>
      </c>
      <c r="K153" s="18">
        <v>4000</v>
      </c>
      <c r="L153" s="30">
        <v>3.9699999999982718</v>
      </c>
    </row>
    <row r="154" spans="1:13" ht="13.5" customHeight="1" x14ac:dyDescent="0.2">
      <c r="A154" s="180"/>
      <c r="B154" s="56" t="s">
        <v>483</v>
      </c>
      <c r="C154" s="36" t="s">
        <v>189</v>
      </c>
      <c r="D154" s="11" t="s">
        <v>488</v>
      </c>
      <c r="E154" s="181">
        <v>-4000</v>
      </c>
      <c r="F154" s="12"/>
      <c r="G154" s="182">
        <v>0</v>
      </c>
      <c r="H154" s="59"/>
      <c r="I154" s="60">
        <v>4000</v>
      </c>
      <c r="J154" s="61">
        <v>4003.9699999999984</v>
      </c>
      <c r="K154" s="18">
        <v>0</v>
      </c>
      <c r="L154" s="30">
        <v>4003.9699999999984</v>
      </c>
    </row>
    <row r="155" spans="1:13" ht="13.5" customHeight="1" x14ac:dyDescent="0.2">
      <c r="A155" s="180" t="s">
        <v>6452</v>
      </c>
      <c r="B155" s="56" t="s">
        <v>483</v>
      </c>
      <c r="C155" s="36" t="s">
        <v>749</v>
      </c>
      <c r="D155" s="11" t="s">
        <v>6453</v>
      </c>
      <c r="E155" s="181">
        <v>-950.84</v>
      </c>
      <c r="F155" s="12"/>
      <c r="G155" s="182" t="s">
        <v>483</v>
      </c>
      <c r="H155" s="59"/>
      <c r="I155" s="60"/>
      <c r="J155" s="61">
        <v>4003.9699999999984</v>
      </c>
      <c r="K155" s="18">
        <v>-950.84</v>
      </c>
      <c r="L155" s="30">
        <v>4003.9699999999984</v>
      </c>
    </row>
    <row r="156" spans="1:13" ht="13.5" customHeight="1" x14ac:dyDescent="0.2">
      <c r="A156" s="180"/>
      <c r="B156" s="56" t="s">
        <v>483</v>
      </c>
      <c r="C156" s="36" t="s">
        <v>751</v>
      </c>
      <c r="D156" s="11" t="s">
        <v>6454</v>
      </c>
      <c r="E156" s="181">
        <v>-568.61</v>
      </c>
      <c r="F156" s="12"/>
      <c r="G156" s="182" t="s">
        <v>483</v>
      </c>
      <c r="H156" s="59"/>
      <c r="I156" s="60"/>
      <c r="J156" s="61">
        <v>4003.9699999999984</v>
      </c>
      <c r="K156" s="18">
        <v>-1519.45</v>
      </c>
      <c r="L156" s="30">
        <v>4003.9699999999984</v>
      </c>
    </row>
    <row r="157" spans="1:13" ht="13.5" customHeight="1" x14ac:dyDescent="0.2">
      <c r="A157" s="180"/>
      <c r="B157" s="56" t="s">
        <v>483</v>
      </c>
      <c r="C157" s="36" t="s">
        <v>174</v>
      </c>
      <c r="D157" s="11" t="s">
        <v>488</v>
      </c>
      <c r="E157" s="30"/>
      <c r="F157" s="183">
        <v>1519.45</v>
      </c>
      <c r="G157" s="182">
        <v>0</v>
      </c>
      <c r="H157" s="59">
        <v>1519.45</v>
      </c>
      <c r="I157" s="12"/>
      <c r="J157" s="61">
        <v>2484.5199999999986</v>
      </c>
      <c r="K157" s="18">
        <v>0</v>
      </c>
      <c r="L157" s="30">
        <v>2484.5199999999986</v>
      </c>
    </row>
    <row r="158" spans="1:13" ht="13.5" customHeight="1" x14ac:dyDescent="0.2">
      <c r="A158" s="180" t="s">
        <v>6455</v>
      </c>
      <c r="B158" s="56" t="s">
        <v>483</v>
      </c>
      <c r="C158" s="36" t="s">
        <v>180</v>
      </c>
      <c r="D158" s="11" t="s">
        <v>488</v>
      </c>
      <c r="E158" s="181">
        <v>-183.09</v>
      </c>
      <c r="F158" s="12"/>
      <c r="G158" s="182" t="s">
        <v>483</v>
      </c>
      <c r="H158" s="59"/>
      <c r="I158" s="60"/>
      <c r="J158" s="61">
        <v>2484.5199999999986</v>
      </c>
      <c r="K158" s="18">
        <v>-183.09</v>
      </c>
      <c r="L158" s="30">
        <v>2484.5199999999986</v>
      </c>
    </row>
    <row r="159" spans="1:13" ht="13.5" customHeight="1" x14ac:dyDescent="0.2">
      <c r="A159" s="180"/>
      <c r="B159" s="56" t="s">
        <v>483</v>
      </c>
      <c r="C159" s="36" t="s">
        <v>1930</v>
      </c>
      <c r="D159" s="11" t="s">
        <v>6030</v>
      </c>
      <c r="E159" s="181">
        <v>-100</v>
      </c>
      <c r="F159" s="12"/>
      <c r="G159" s="182" t="s">
        <v>483</v>
      </c>
      <c r="H159" s="59"/>
      <c r="I159" s="60"/>
      <c r="J159" s="61">
        <v>2484.5199999999986</v>
      </c>
      <c r="K159" s="18">
        <v>-283.09000000000003</v>
      </c>
      <c r="L159" s="30">
        <v>2484.5199999999986</v>
      </c>
    </row>
    <row r="160" spans="1:13" ht="13.5" customHeight="1" x14ac:dyDescent="0.2">
      <c r="A160" s="180"/>
      <c r="B160" s="56" t="s">
        <v>483</v>
      </c>
      <c r="C160" s="36" t="s">
        <v>6456</v>
      </c>
      <c r="D160" s="11" t="s">
        <v>6457</v>
      </c>
      <c r="E160" s="181">
        <v>-72.400000000000006</v>
      </c>
      <c r="F160" s="12"/>
      <c r="G160" s="182" t="s">
        <v>483</v>
      </c>
      <c r="H160" s="59"/>
      <c r="I160" s="60"/>
      <c r="J160" s="61">
        <v>2484.5199999999986</v>
      </c>
      <c r="K160" s="18">
        <v>-355.49</v>
      </c>
      <c r="L160" s="30">
        <v>2484.5199999999986</v>
      </c>
    </row>
    <row r="161" spans="1:12" ht="13.5" customHeight="1" x14ac:dyDescent="0.2">
      <c r="A161" s="180"/>
      <c r="B161" s="56" t="s">
        <v>483</v>
      </c>
      <c r="C161" s="36" t="s">
        <v>6458</v>
      </c>
      <c r="D161" s="11" t="s">
        <v>6459</v>
      </c>
      <c r="E161" s="181">
        <v>-360.9</v>
      </c>
      <c r="F161" s="12"/>
      <c r="G161" s="182" t="s">
        <v>483</v>
      </c>
      <c r="H161" s="59"/>
      <c r="I161" s="60"/>
      <c r="J161" s="61">
        <v>2484.5199999999986</v>
      </c>
      <c r="K161" s="18">
        <v>-716.39</v>
      </c>
      <c r="L161" s="30">
        <v>2484.5199999999986</v>
      </c>
    </row>
    <row r="162" spans="1:12" ht="13.5" customHeight="1" x14ac:dyDescent="0.2">
      <c r="A162" s="180"/>
      <c r="B162" s="56" t="s">
        <v>483</v>
      </c>
      <c r="C162" s="36" t="s">
        <v>174</v>
      </c>
      <c r="D162" s="11" t="s">
        <v>488</v>
      </c>
      <c r="E162" s="30"/>
      <c r="F162" s="183">
        <v>716.39</v>
      </c>
      <c r="G162" s="182">
        <v>0</v>
      </c>
      <c r="H162" s="59">
        <v>716.39</v>
      </c>
      <c r="I162" s="60"/>
      <c r="J162" s="61">
        <v>1768.1299999999987</v>
      </c>
      <c r="K162" s="18">
        <v>0</v>
      </c>
      <c r="L162" s="30">
        <v>1768.1299999999987</v>
      </c>
    </row>
    <row r="163" spans="1:12" ht="13.5" customHeight="1" x14ac:dyDescent="0.2">
      <c r="A163" s="180" t="s">
        <v>6460</v>
      </c>
      <c r="B163" s="56" t="s">
        <v>483</v>
      </c>
      <c r="C163" s="36" t="s">
        <v>382</v>
      </c>
      <c r="D163" s="11" t="s">
        <v>793</v>
      </c>
      <c r="E163" s="181">
        <v>-228.59</v>
      </c>
      <c r="F163" s="12"/>
      <c r="G163" s="182" t="s">
        <v>483</v>
      </c>
      <c r="H163" s="59"/>
      <c r="I163" s="60"/>
      <c r="J163" s="61">
        <v>1768.1299999999987</v>
      </c>
      <c r="K163" s="18">
        <v>-228.59</v>
      </c>
      <c r="L163" s="30">
        <v>1768.1299999999987</v>
      </c>
    </row>
    <row r="164" spans="1:12" ht="13.5" customHeight="1" x14ac:dyDescent="0.2">
      <c r="A164" s="180"/>
      <c r="B164" s="56" t="s">
        <v>591</v>
      </c>
      <c r="C164" s="21" t="s">
        <v>5995</v>
      </c>
      <c r="D164" s="11" t="s">
        <v>6461</v>
      </c>
      <c r="E164" s="181"/>
      <c r="F164" s="168">
        <v>2296.13</v>
      </c>
      <c r="G164" s="182" t="s">
        <v>483</v>
      </c>
      <c r="H164" s="59"/>
      <c r="I164" s="60"/>
      <c r="J164" s="61">
        <v>1768.1299999999987</v>
      </c>
      <c r="K164" s="18">
        <v>2067.54</v>
      </c>
      <c r="L164" s="30">
        <v>1768.1299999999987</v>
      </c>
    </row>
    <row r="165" spans="1:12" ht="13.5" customHeight="1" x14ac:dyDescent="0.2">
      <c r="A165" s="180"/>
      <c r="B165" s="56" t="s">
        <v>483</v>
      </c>
      <c r="C165" s="36" t="s">
        <v>174</v>
      </c>
      <c r="D165" s="11" t="s">
        <v>488</v>
      </c>
      <c r="E165" s="30"/>
      <c r="F165" s="183">
        <v>228.59</v>
      </c>
      <c r="G165" s="182">
        <v>2296.13</v>
      </c>
      <c r="H165" s="59">
        <v>228.59</v>
      </c>
      <c r="I165" s="60"/>
      <c r="J165" s="61">
        <v>1539.5399999999988</v>
      </c>
      <c r="K165" s="18">
        <v>2296.13</v>
      </c>
      <c r="L165" s="30">
        <v>1539.5399999999988</v>
      </c>
    </row>
    <row r="166" spans="1:12" ht="13.5" customHeight="1" x14ac:dyDescent="0.2">
      <c r="A166" s="180" t="s">
        <v>6462</v>
      </c>
      <c r="B166" s="56" t="s">
        <v>483</v>
      </c>
      <c r="C166" s="36" t="s">
        <v>6463</v>
      </c>
      <c r="D166" s="11" t="s">
        <v>6464</v>
      </c>
      <c r="E166" s="181">
        <v>-55.33</v>
      </c>
      <c r="F166" s="12"/>
      <c r="G166" s="182" t="s">
        <v>483</v>
      </c>
      <c r="H166" s="59"/>
      <c r="I166" s="60"/>
      <c r="J166" s="61">
        <v>1539.5399999999988</v>
      </c>
      <c r="K166" s="18">
        <v>2240.8000000000002</v>
      </c>
      <c r="L166" s="30">
        <v>1539.5399999999988</v>
      </c>
    </row>
    <row r="167" spans="1:12" ht="13.5" customHeight="1" x14ac:dyDescent="0.2">
      <c r="A167" s="180"/>
      <c r="B167" s="56" t="s">
        <v>483</v>
      </c>
      <c r="C167" s="36" t="s">
        <v>6465</v>
      </c>
      <c r="D167" s="11" t="s">
        <v>6466</v>
      </c>
      <c r="E167" s="181">
        <v>-150.69999999999999</v>
      </c>
      <c r="F167" s="12"/>
      <c r="G167" s="182" t="s">
        <v>483</v>
      </c>
      <c r="H167" s="59"/>
      <c r="I167" s="60"/>
      <c r="J167" s="61">
        <v>1539.5399999999988</v>
      </c>
      <c r="K167" s="18">
        <v>2090.1000000000004</v>
      </c>
      <c r="L167" s="30">
        <v>1539.5399999999988</v>
      </c>
    </row>
    <row r="168" spans="1:12" ht="13.5" customHeight="1" x14ac:dyDescent="0.2">
      <c r="A168" s="180"/>
      <c r="B168" s="56" t="s">
        <v>483</v>
      </c>
      <c r="C168" s="36" t="s">
        <v>6467</v>
      </c>
      <c r="D168" s="11" t="s">
        <v>488</v>
      </c>
      <c r="E168" s="181">
        <v>-2090.1</v>
      </c>
      <c r="F168" s="12"/>
      <c r="G168" s="182">
        <v>0</v>
      </c>
      <c r="H168" s="59"/>
      <c r="I168" s="60">
        <v>2090.1</v>
      </c>
      <c r="J168" s="61">
        <v>3629.6399999999985</v>
      </c>
      <c r="K168" s="18">
        <v>0</v>
      </c>
      <c r="L168" s="30">
        <v>3629.6399999999985</v>
      </c>
    </row>
    <row r="169" spans="1:12" ht="13.5" customHeight="1" x14ac:dyDescent="0.2">
      <c r="A169" s="180" t="s">
        <v>6468</v>
      </c>
      <c r="B169" s="56" t="s">
        <v>483</v>
      </c>
      <c r="C169" s="36" t="s">
        <v>6469</v>
      </c>
      <c r="D169" s="11" t="s">
        <v>488</v>
      </c>
      <c r="E169" s="181">
        <v>-129.99</v>
      </c>
      <c r="F169" s="12"/>
      <c r="G169" s="182" t="s">
        <v>483</v>
      </c>
      <c r="H169" s="59"/>
      <c r="I169" s="60"/>
      <c r="J169" s="61">
        <v>3629.6399999999985</v>
      </c>
      <c r="K169" s="18">
        <v>-129.99</v>
      </c>
      <c r="L169" s="30">
        <v>3629.6399999999985</v>
      </c>
    </row>
    <row r="170" spans="1:12" ht="13.5" customHeight="1" x14ac:dyDescent="0.2">
      <c r="A170" s="180"/>
      <c r="B170" s="56" t="s">
        <v>483</v>
      </c>
      <c r="C170" s="36" t="s">
        <v>6470</v>
      </c>
      <c r="D170" s="11" t="s">
        <v>488</v>
      </c>
      <c r="E170" s="181">
        <v>-349.99</v>
      </c>
      <c r="F170" s="12"/>
      <c r="G170" s="182" t="s">
        <v>483</v>
      </c>
      <c r="H170" s="59"/>
      <c r="I170" s="60"/>
      <c r="J170" s="61">
        <v>3629.6399999999985</v>
      </c>
      <c r="K170" s="18">
        <v>-479.98</v>
      </c>
      <c r="L170" s="30">
        <v>3629.6399999999985</v>
      </c>
    </row>
    <row r="171" spans="1:12" ht="13.5" customHeight="1" x14ac:dyDescent="0.2">
      <c r="A171" s="180"/>
      <c r="B171" s="56" t="s">
        <v>483</v>
      </c>
      <c r="C171" s="36" t="s">
        <v>6284</v>
      </c>
      <c r="D171" s="11" t="s">
        <v>1356</v>
      </c>
      <c r="E171" s="181">
        <v>-708</v>
      </c>
      <c r="F171" s="12"/>
      <c r="G171" s="182" t="s">
        <v>483</v>
      </c>
      <c r="H171" s="59"/>
      <c r="I171" s="60"/>
      <c r="J171" s="61">
        <v>3629.6399999999985</v>
      </c>
      <c r="K171" s="18">
        <v>-1187.98</v>
      </c>
      <c r="L171" s="30">
        <v>3629.6399999999985</v>
      </c>
    </row>
    <row r="172" spans="1:12" ht="13.5" customHeight="1" x14ac:dyDescent="0.2">
      <c r="A172" s="180"/>
      <c r="B172" s="56" t="s">
        <v>483</v>
      </c>
      <c r="C172" s="36" t="s">
        <v>174</v>
      </c>
      <c r="D172" s="11" t="s">
        <v>488</v>
      </c>
      <c r="E172" s="30"/>
      <c r="F172" s="183">
        <v>1187.98</v>
      </c>
      <c r="G172" s="182">
        <v>0</v>
      </c>
      <c r="H172" s="59">
        <v>1187.98</v>
      </c>
      <c r="I172" s="60"/>
      <c r="J172" s="61">
        <v>2441.6599999999985</v>
      </c>
      <c r="K172" s="18">
        <v>0</v>
      </c>
      <c r="L172" s="30">
        <v>2441.6599999999985</v>
      </c>
    </row>
    <row r="173" spans="1:12" ht="13.5" customHeight="1" x14ac:dyDescent="0.2">
      <c r="A173" s="180" t="s">
        <v>6471</v>
      </c>
      <c r="B173" s="56" t="s">
        <v>483</v>
      </c>
      <c r="C173" s="36" t="s">
        <v>394</v>
      </c>
      <c r="D173" s="11" t="s">
        <v>3362</v>
      </c>
      <c r="E173" s="181">
        <v>-1241.43</v>
      </c>
      <c r="F173" s="12"/>
      <c r="G173" s="182" t="s">
        <v>483</v>
      </c>
      <c r="H173" s="59"/>
      <c r="I173" s="60"/>
      <c r="J173" s="61">
        <v>2441.6599999999985</v>
      </c>
      <c r="K173" s="18">
        <v>-1241.43</v>
      </c>
      <c r="L173" s="30">
        <v>2441.6599999999985</v>
      </c>
    </row>
    <row r="174" spans="1:12" ht="13.5" customHeight="1" x14ac:dyDescent="0.2">
      <c r="A174" s="180"/>
      <c r="B174" s="56" t="s">
        <v>591</v>
      </c>
      <c r="C174" s="21" t="s">
        <v>5995</v>
      </c>
      <c r="D174" s="11" t="s">
        <v>6472</v>
      </c>
      <c r="E174" s="181"/>
      <c r="F174" s="168">
        <v>8000</v>
      </c>
      <c r="G174" s="182" t="s">
        <v>483</v>
      </c>
      <c r="H174" s="59"/>
      <c r="I174" s="60"/>
      <c r="J174" s="61">
        <v>2441.6599999999985</v>
      </c>
      <c r="K174" s="18">
        <v>6758.57</v>
      </c>
      <c r="L174" s="30">
        <v>2441.6599999999985</v>
      </c>
    </row>
    <row r="175" spans="1:12" ht="13.5" customHeight="1" x14ac:dyDescent="0.2">
      <c r="A175" s="180"/>
      <c r="B175" s="56" t="s">
        <v>483</v>
      </c>
      <c r="C175" s="36" t="s">
        <v>6473</v>
      </c>
      <c r="D175" s="11" t="s">
        <v>6474</v>
      </c>
      <c r="E175" s="181">
        <v>-937</v>
      </c>
      <c r="F175" s="12"/>
      <c r="G175" s="182" t="s">
        <v>483</v>
      </c>
      <c r="H175" s="59"/>
      <c r="I175" s="60"/>
      <c r="J175" s="61">
        <v>2441.6599999999985</v>
      </c>
      <c r="K175" s="18">
        <v>5821.57</v>
      </c>
      <c r="L175" s="30">
        <v>2441.6599999999985</v>
      </c>
    </row>
    <row r="176" spans="1:12" ht="13.5" customHeight="1" x14ac:dyDescent="0.2">
      <c r="A176" s="180"/>
      <c r="B176" s="56" t="s">
        <v>483</v>
      </c>
      <c r="C176" s="36" t="s">
        <v>6289</v>
      </c>
      <c r="D176" s="11" t="s">
        <v>6475</v>
      </c>
      <c r="E176" s="181">
        <v>-749.6</v>
      </c>
      <c r="F176" s="12"/>
      <c r="G176" s="182" t="s">
        <v>483</v>
      </c>
      <c r="H176" s="59"/>
      <c r="I176" s="60"/>
      <c r="J176" s="61">
        <v>2441.6599999999985</v>
      </c>
      <c r="K176" s="18">
        <v>5071.9699999999993</v>
      </c>
      <c r="L176" s="30">
        <v>2441.6599999999985</v>
      </c>
    </row>
    <row r="177" spans="1:15" ht="13.5" customHeight="1" x14ac:dyDescent="0.2">
      <c r="A177" s="180"/>
      <c r="B177" s="56" t="s">
        <v>483</v>
      </c>
      <c r="C177" s="36" t="s">
        <v>6476</v>
      </c>
      <c r="D177" s="11" t="s">
        <v>6477</v>
      </c>
      <c r="E177" s="181">
        <v>-491.7</v>
      </c>
      <c r="F177" s="12"/>
      <c r="G177" s="182" t="s">
        <v>483</v>
      </c>
      <c r="H177" s="59"/>
      <c r="I177" s="60"/>
      <c r="J177" s="61">
        <v>2441.6599999999985</v>
      </c>
      <c r="K177" s="18">
        <v>4580.2699999999995</v>
      </c>
      <c r="L177" s="30">
        <v>2441.6599999999985</v>
      </c>
    </row>
    <row r="178" spans="1:15" ht="13.5" customHeight="1" x14ac:dyDescent="0.2">
      <c r="A178" s="180"/>
      <c r="B178" s="56" t="s">
        <v>483</v>
      </c>
      <c r="C178" s="36" t="s">
        <v>6287</v>
      </c>
      <c r="D178" s="11" t="s">
        <v>6478</v>
      </c>
      <c r="E178" s="181">
        <v>-393.36</v>
      </c>
      <c r="F178" s="12"/>
      <c r="G178" s="182" t="s">
        <v>483</v>
      </c>
      <c r="H178" s="59"/>
      <c r="I178" s="60"/>
      <c r="J178" s="61">
        <v>2441.6599999999985</v>
      </c>
      <c r="K178" s="18">
        <v>4186.91</v>
      </c>
      <c r="L178" s="30">
        <v>2441.6599999999985</v>
      </c>
    </row>
    <row r="179" spans="1:15" ht="13.5" customHeight="1" x14ac:dyDescent="0.2">
      <c r="A179" s="180"/>
      <c r="B179" s="56" t="s">
        <v>483</v>
      </c>
      <c r="C179" s="36" t="s">
        <v>174</v>
      </c>
      <c r="D179" s="11" t="s">
        <v>488</v>
      </c>
      <c r="E179" s="30"/>
      <c r="F179" s="183">
        <v>2441.84</v>
      </c>
      <c r="G179" s="182">
        <v>6628.75</v>
      </c>
      <c r="H179" s="59">
        <v>2441.84</v>
      </c>
      <c r="I179" s="60"/>
      <c r="J179" s="61">
        <v>-0.18000000000165528</v>
      </c>
      <c r="K179" s="18">
        <v>6628.75</v>
      </c>
      <c r="L179" s="30">
        <v>-0.18000000000165528</v>
      </c>
    </row>
    <row r="180" spans="1:15" ht="13.5" customHeight="1" x14ac:dyDescent="0.2">
      <c r="A180" s="180" t="s">
        <v>6479</v>
      </c>
      <c r="B180" s="56" t="s">
        <v>483</v>
      </c>
      <c r="C180" s="36" t="s">
        <v>86</v>
      </c>
      <c r="D180" s="11" t="s">
        <v>488</v>
      </c>
      <c r="E180" s="181">
        <v>-72</v>
      </c>
      <c r="F180" s="12"/>
      <c r="G180" s="182" t="s">
        <v>483</v>
      </c>
      <c r="H180" s="59"/>
      <c r="I180" s="60"/>
      <c r="J180" s="61">
        <v>-0.18000000000165528</v>
      </c>
      <c r="K180" s="18">
        <v>6556.75</v>
      </c>
      <c r="L180" s="30">
        <v>-0.18000000000165528</v>
      </c>
    </row>
    <row r="181" spans="1:15" ht="13.5" customHeight="1" x14ac:dyDescent="0.2">
      <c r="A181" s="180"/>
      <c r="B181" s="56" t="s">
        <v>483</v>
      </c>
      <c r="C181" s="34" t="s">
        <v>194</v>
      </c>
      <c r="D181" s="11" t="s">
        <v>488</v>
      </c>
      <c r="E181" s="181">
        <v>-66.63</v>
      </c>
      <c r="F181" s="12"/>
      <c r="G181" s="182" t="s">
        <v>483</v>
      </c>
      <c r="H181" s="59"/>
      <c r="I181" s="60"/>
      <c r="J181" s="61">
        <v>-0.18000000000165528</v>
      </c>
      <c r="K181" s="18">
        <v>6490.12</v>
      </c>
      <c r="L181" s="30">
        <v>-0.18000000000165528</v>
      </c>
    </row>
    <row r="182" spans="1:15" ht="13.5" customHeight="1" x14ac:dyDescent="0.2">
      <c r="A182" s="180"/>
      <c r="B182" s="56" t="s">
        <v>483</v>
      </c>
      <c r="C182" s="36" t="s">
        <v>195</v>
      </c>
      <c r="D182" s="11" t="s">
        <v>488</v>
      </c>
      <c r="E182" s="181">
        <v>-307.5</v>
      </c>
      <c r="F182" s="12"/>
      <c r="G182" s="182" t="s">
        <v>483</v>
      </c>
      <c r="H182" s="59"/>
      <c r="I182" s="60"/>
      <c r="J182" s="61">
        <v>-0.18000000000165528</v>
      </c>
      <c r="K182" s="18">
        <v>6182.62</v>
      </c>
      <c r="L182" s="30">
        <v>-0.18000000000165528</v>
      </c>
    </row>
    <row r="183" spans="1:15" ht="13.5" customHeight="1" x14ac:dyDescent="0.2">
      <c r="A183" s="180"/>
      <c r="B183" s="56" t="s">
        <v>483</v>
      </c>
      <c r="C183" s="36" t="s">
        <v>6480</v>
      </c>
      <c r="D183" s="11" t="s">
        <v>488</v>
      </c>
      <c r="E183" s="181">
        <v>-70</v>
      </c>
      <c r="F183" s="12"/>
      <c r="G183" s="182"/>
      <c r="H183" s="59"/>
      <c r="I183" s="60"/>
      <c r="J183" s="61">
        <v>-0.18000000000165528</v>
      </c>
      <c r="K183" s="18">
        <v>6112.62</v>
      </c>
      <c r="L183" s="30">
        <v>-0.18000000000165528</v>
      </c>
    </row>
    <row r="184" spans="1:15" ht="13.5" customHeight="1" x14ac:dyDescent="0.2">
      <c r="A184" s="180"/>
      <c r="B184" s="56" t="s">
        <v>483</v>
      </c>
      <c r="C184" s="36" t="s">
        <v>6481</v>
      </c>
      <c r="D184" s="11" t="s">
        <v>6482</v>
      </c>
      <c r="E184" s="165">
        <v>-8000</v>
      </c>
      <c r="F184" s="183"/>
      <c r="G184" s="182">
        <v>-1887.38</v>
      </c>
      <c r="H184" s="59"/>
      <c r="I184" s="60"/>
      <c r="J184" s="61">
        <v>-0.18000000000165528</v>
      </c>
      <c r="K184" s="18">
        <v>-1887.38</v>
      </c>
      <c r="L184" s="30">
        <v>-0.18000000000165528</v>
      </c>
    </row>
    <row r="185" spans="1:15" ht="13.5" customHeight="1" x14ac:dyDescent="0.2">
      <c r="A185" s="180" t="s">
        <v>6483</v>
      </c>
      <c r="B185" s="56" t="s">
        <v>483</v>
      </c>
      <c r="C185" s="32" t="s">
        <v>199</v>
      </c>
      <c r="D185" s="11" t="s">
        <v>488</v>
      </c>
      <c r="E185" s="181">
        <v>-88.34</v>
      </c>
      <c r="F185" s="12"/>
      <c r="G185" s="182" t="s">
        <v>483</v>
      </c>
      <c r="H185" s="59"/>
      <c r="I185" s="60"/>
      <c r="J185" s="61">
        <v>-0.18000000000165528</v>
      </c>
      <c r="K185" s="18">
        <v>-1975.72</v>
      </c>
      <c r="L185" s="30">
        <v>-0.18000000000165528</v>
      </c>
    </row>
    <row r="186" spans="1:15" ht="13.5" customHeight="1" x14ac:dyDescent="0.2">
      <c r="A186" s="180"/>
      <c r="B186" s="56" t="s">
        <v>591</v>
      </c>
      <c r="C186" s="36" t="s">
        <v>6481</v>
      </c>
      <c r="D186" s="11" t="s">
        <v>6484</v>
      </c>
      <c r="E186" s="181"/>
      <c r="F186" s="168">
        <v>8000</v>
      </c>
      <c r="G186" s="182">
        <v>6024.28</v>
      </c>
      <c r="H186" s="59"/>
      <c r="I186" s="60"/>
      <c r="J186" s="61">
        <v>-0.18000000000165528</v>
      </c>
      <c r="K186" s="18">
        <v>6024.28</v>
      </c>
      <c r="L186" s="30">
        <v>-0.18000000000165528</v>
      </c>
    </row>
    <row r="187" spans="1:15" ht="13.5" customHeight="1" x14ac:dyDescent="0.2">
      <c r="A187" s="180" t="s">
        <v>6485</v>
      </c>
      <c r="B187" s="56" t="s">
        <v>483</v>
      </c>
      <c r="C187" s="36" t="s">
        <v>6467</v>
      </c>
      <c r="D187" s="11" t="s">
        <v>488</v>
      </c>
      <c r="E187" s="181">
        <v>-6024.28</v>
      </c>
      <c r="F187" s="12"/>
      <c r="G187" s="182">
        <v>0</v>
      </c>
      <c r="H187" s="59"/>
      <c r="I187" s="60">
        <v>6024.28</v>
      </c>
      <c r="J187" s="61">
        <v>6024.0999999999985</v>
      </c>
      <c r="K187" s="18">
        <v>0</v>
      </c>
      <c r="L187" s="30">
        <v>6024.0999999999985</v>
      </c>
    </row>
    <row r="188" spans="1:15" ht="13.5" customHeight="1" x14ac:dyDescent="0.2">
      <c r="A188" s="180" t="s">
        <v>6486</v>
      </c>
      <c r="B188" s="56" t="s">
        <v>483</v>
      </c>
      <c r="C188" s="36" t="s">
        <v>86</v>
      </c>
      <c r="D188" s="11" t="s">
        <v>488</v>
      </c>
      <c r="E188" s="181">
        <v>-9.9</v>
      </c>
      <c r="F188" s="12"/>
      <c r="G188" s="182" t="s">
        <v>483</v>
      </c>
      <c r="H188" s="59"/>
      <c r="I188" s="60"/>
      <c r="J188" s="61">
        <v>6024.0999999999985</v>
      </c>
      <c r="K188" s="18">
        <v>-9.9</v>
      </c>
      <c r="L188" s="30">
        <v>6024.0999999999985</v>
      </c>
    </row>
    <row r="189" spans="1:15" ht="13.5" customHeight="1" x14ac:dyDescent="0.2">
      <c r="A189" s="180"/>
      <c r="B189" s="56" t="s">
        <v>483</v>
      </c>
      <c r="C189" s="36" t="s">
        <v>6487</v>
      </c>
      <c r="D189" s="11" t="s">
        <v>488</v>
      </c>
      <c r="E189" s="181">
        <v>-919.83</v>
      </c>
      <c r="F189" s="12"/>
      <c r="G189" s="182" t="s">
        <v>483</v>
      </c>
      <c r="H189" s="59"/>
      <c r="I189" s="60"/>
      <c r="J189" s="61">
        <v>6024.0999999999985</v>
      </c>
      <c r="K189" s="18">
        <v>-929.73</v>
      </c>
      <c r="L189" s="30">
        <v>6024.0999999999985</v>
      </c>
      <c r="O189" s="40">
        <v>15239.12</v>
      </c>
    </row>
    <row r="190" spans="1:15" ht="13.5" customHeight="1" x14ac:dyDescent="0.2">
      <c r="A190" s="180"/>
      <c r="B190" s="56" t="s">
        <v>483</v>
      </c>
      <c r="C190" s="36" t="s">
        <v>174</v>
      </c>
      <c r="D190" s="11" t="s">
        <v>488</v>
      </c>
      <c r="E190" s="30"/>
      <c r="F190" s="183">
        <v>929.73</v>
      </c>
      <c r="G190" s="182">
        <v>0</v>
      </c>
      <c r="H190" s="59">
        <v>929.73</v>
      </c>
      <c r="I190" s="60"/>
      <c r="J190" s="61">
        <v>5094.369999999999</v>
      </c>
      <c r="K190" s="18">
        <v>0</v>
      </c>
      <c r="L190" s="30">
        <v>5094.369999999999</v>
      </c>
      <c r="O190" s="40">
        <v>5094.6000000000004</v>
      </c>
    </row>
    <row r="191" spans="1:15" ht="13.5" customHeight="1" x14ac:dyDescent="0.2">
      <c r="A191" s="180" t="s">
        <v>6488</v>
      </c>
      <c r="B191" s="56" t="s">
        <v>483</v>
      </c>
      <c r="C191" s="36" t="s">
        <v>3727</v>
      </c>
      <c r="D191" s="11" t="s">
        <v>3910</v>
      </c>
      <c r="E191" s="181">
        <v>-2465.38</v>
      </c>
      <c r="F191" s="12"/>
      <c r="G191" s="182"/>
      <c r="H191" s="59"/>
      <c r="I191" s="60"/>
      <c r="J191" s="61">
        <v>5094.369999999999</v>
      </c>
      <c r="K191" s="18">
        <v>-2465.38</v>
      </c>
      <c r="L191" s="30">
        <v>5094.369999999999</v>
      </c>
      <c r="O191" s="40">
        <v>-2465.38</v>
      </c>
    </row>
    <row r="192" spans="1:15" ht="13.5" customHeight="1" x14ac:dyDescent="0.2">
      <c r="A192" s="180"/>
      <c r="B192" s="56" t="s">
        <v>483</v>
      </c>
      <c r="C192" s="36" t="s">
        <v>174</v>
      </c>
      <c r="D192" s="11" t="s">
        <v>488</v>
      </c>
      <c r="E192" s="30"/>
      <c r="F192" s="183">
        <v>2465.38</v>
      </c>
      <c r="G192" s="182">
        <v>0</v>
      </c>
      <c r="H192" s="59">
        <v>2465.38</v>
      </c>
      <c r="I192" s="60"/>
      <c r="J192" s="61">
        <v>2628.9899999999989</v>
      </c>
      <c r="K192" s="18">
        <v>0</v>
      </c>
      <c r="L192" s="30">
        <v>2628.9899999999989</v>
      </c>
    </row>
    <row r="193" spans="1:15" ht="13.5" customHeight="1" x14ac:dyDescent="0.2">
      <c r="A193" s="180" t="s">
        <v>6489</v>
      </c>
      <c r="B193" s="56" t="s">
        <v>483</v>
      </c>
      <c r="C193" s="36" t="s">
        <v>6490</v>
      </c>
      <c r="D193" s="11" t="s">
        <v>2127</v>
      </c>
      <c r="E193" s="181">
        <v>-470</v>
      </c>
      <c r="F193" s="12"/>
      <c r="G193" s="182" t="s">
        <v>483</v>
      </c>
      <c r="H193" s="59"/>
      <c r="I193" s="60"/>
      <c r="J193" s="61">
        <v>2628.9899999999989</v>
      </c>
      <c r="K193" s="18">
        <v>-470</v>
      </c>
      <c r="L193" s="30">
        <v>2628.9899999999989</v>
      </c>
    </row>
    <row r="194" spans="1:15" ht="13.5" customHeight="1" x14ac:dyDescent="0.2">
      <c r="A194" s="180"/>
      <c r="B194" s="56" t="s">
        <v>483</v>
      </c>
      <c r="C194" s="36" t="s">
        <v>1013</v>
      </c>
      <c r="D194" s="11" t="s">
        <v>488</v>
      </c>
      <c r="E194" s="181">
        <v>-1650</v>
      </c>
      <c r="F194" s="12"/>
      <c r="G194" s="182" t="s">
        <v>483</v>
      </c>
      <c r="H194" s="59"/>
      <c r="I194" s="60"/>
      <c r="J194" s="61">
        <v>2628.9899999999989</v>
      </c>
      <c r="K194" s="18">
        <v>-2120</v>
      </c>
      <c r="L194" s="30">
        <v>2628.9899999999989</v>
      </c>
    </row>
    <row r="195" spans="1:15" ht="13.5" customHeight="1" x14ac:dyDescent="0.2">
      <c r="A195" s="180"/>
      <c r="B195" s="56" t="s">
        <v>483</v>
      </c>
      <c r="C195" s="36" t="s">
        <v>174</v>
      </c>
      <c r="D195" s="11" t="s">
        <v>488</v>
      </c>
      <c r="E195" s="30"/>
      <c r="F195" s="183">
        <v>2120</v>
      </c>
      <c r="G195" s="1055">
        <v>0</v>
      </c>
      <c r="H195" s="59">
        <v>2120</v>
      </c>
      <c r="I195" s="60"/>
      <c r="J195" s="61">
        <v>508.98999999999887</v>
      </c>
      <c r="K195" s="18">
        <v>0</v>
      </c>
      <c r="L195" s="30">
        <v>508.98999999999887</v>
      </c>
    </row>
    <row r="196" spans="1:15" ht="13.5" customHeight="1" x14ac:dyDescent="0.2">
      <c r="A196" s="180"/>
      <c r="B196" s="56"/>
      <c r="C196" s="32" t="s">
        <v>20</v>
      </c>
      <c r="D196" s="11"/>
      <c r="E196" s="30"/>
      <c r="F196" s="12"/>
      <c r="G196" s="205"/>
      <c r="H196" s="59"/>
      <c r="I196" s="60">
        <v>0.24</v>
      </c>
      <c r="J196" s="186">
        <v>509.22999999999888</v>
      </c>
      <c r="K196" s="18">
        <v>0</v>
      </c>
      <c r="L196" s="30">
        <v>509.22999999999888</v>
      </c>
    </row>
    <row r="197" spans="1:15" ht="13.5" customHeight="1" x14ac:dyDescent="0.2">
      <c r="A197" s="180"/>
      <c r="B197" s="56"/>
      <c r="C197" s="32" t="s">
        <v>5809</v>
      </c>
      <c r="D197" s="11"/>
      <c r="E197" s="30"/>
      <c r="F197" s="12"/>
      <c r="G197" s="205"/>
      <c r="H197" s="59"/>
      <c r="I197" s="60"/>
      <c r="J197" s="186">
        <v>15241.73</v>
      </c>
      <c r="K197" s="18">
        <v>0</v>
      </c>
      <c r="L197" s="30">
        <v>509.22999999999888</v>
      </c>
    </row>
    <row r="198" spans="1:15" ht="13.5" customHeight="1" x14ac:dyDescent="0.2">
      <c r="A198" s="180"/>
      <c r="B198" s="56"/>
      <c r="C198" s="222" t="s">
        <v>5810</v>
      </c>
      <c r="D198" s="11"/>
      <c r="E198" s="30"/>
      <c r="F198" s="12"/>
      <c r="G198" s="205"/>
      <c r="H198" s="59"/>
      <c r="I198" s="60"/>
      <c r="J198" s="186">
        <v>15750.96</v>
      </c>
      <c r="K198" s="18">
        <v>0</v>
      </c>
      <c r="L198" s="30">
        <v>509.22999999999888</v>
      </c>
    </row>
    <row r="199" spans="1:15" s="64" customFormat="1" ht="13.5" customHeight="1" thickBot="1" x14ac:dyDescent="0.25">
      <c r="A199" s="184"/>
      <c r="B199" s="63"/>
      <c r="C199" s="63"/>
      <c r="D199" s="50"/>
      <c r="E199" s="51"/>
      <c r="F199" s="13"/>
      <c r="G199" s="53"/>
      <c r="H199" s="179"/>
      <c r="I199" s="57"/>
      <c r="J199" s="67"/>
      <c r="L199" s="51"/>
      <c r="O199" s="65"/>
    </row>
    <row r="200" spans="1:15" ht="13.5" customHeight="1" thickBot="1" x14ac:dyDescent="0.25">
      <c r="A200" s="2" t="s">
        <v>2</v>
      </c>
      <c r="B200" s="3"/>
      <c r="C200" s="3" t="s">
        <v>525</v>
      </c>
      <c r="D200" s="3" t="s">
        <v>4</v>
      </c>
      <c r="E200" s="3" t="s">
        <v>5</v>
      </c>
      <c r="F200" s="3" t="s">
        <v>6</v>
      </c>
      <c r="G200" s="5" t="s">
        <v>7</v>
      </c>
      <c r="H200" s="187"/>
      <c r="I200" s="188"/>
      <c r="J200" s="189"/>
    </row>
    <row r="201" spans="1:15" ht="13.5" customHeight="1" x14ac:dyDescent="0.2">
      <c r="A201" s="8" t="s">
        <v>6343</v>
      </c>
      <c r="B201" s="56"/>
      <c r="C201" s="10" t="s">
        <v>8</v>
      </c>
      <c r="D201" s="11"/>
      <c r="E201" s="51"/>
      <c r="F201" s="12"/>
      <c r="G201" s="178">
        <v>3927.2899999999986</v>
      </c>
      <c r="H201" s="179"/>
      <c r="I201" s="57"/>
      <c r="J201" s="67"/>
      <c r="K201" s="18">
        <v>3927.2899999999986</v>
      </c>
      <c r="L201" s="51"/>
    </row>
    <row r="202" spans="1:15" s="64" customFormat="1" ht="13.5" customHeight="1" x14ac:dyDescent="0.2">
      <c r="A202" s="184">
        <v>43407</v>
      </c>
      <c r="B202" s="63"/>
      <c r="C202" s="36" t="s">
        <v>530</v>
      </c>
      <c r="D202" s="50"/>
      <c r="E202" s="181">
        <v>833.93</v>
      </c>
      <c r="F202" s="13"/>
      <c r="G202" s="53">
        <v>3093.3599999999988</v>
      </c>
      <c r="H202" s="179"/>
      <c r="I202" s="57"/>
      <c r="J202" s="67"/>
      <c r="K202" s="66">
        <v>3093.3599999999988</v>
      </c>
      <c r="L202" s="51"/>
      <c r="O202" s="65"/>
    </row>
    <row r="203" spans="1:15" s="64" customFormat="1" ht="13.5" customHeight="1" x14ac:dyDescent="0.2">
      <c r="A203" s="184"/>
      <c r="B203" s="63"/>
      <c r="C203" s="36" t="s">
        <v>6491</v>
      </c>
      <c r="D203" s="50"/>
      <c r="E203" s="181">
        <v>180</v>
      </c>
      <c r="F203" s="13"/>
      <c r="G203" s="53">
        <v>2913.3599999999988</v>
      </c>
      <c r="H203" s="179"/>
      <c r="I203" s="57"/>
      <c r="J203" s="67"/>
      <c r="K203" s="66">
        <v>2913.3599999999988</v>
      </c>
      <c r="L203" s="51"/>
      <c r="O203" s="65"/>
    </row>
    <row r="204" spans="1:15" s="64" customFormat="1" ht="13.5" customHeight="1" x14ac:dyDescent="0.2">
      <c r="A204" s="184">
        <v>43408</v>
      </c>
      <c r="B204" s="63"/>
      <c r="C204" s="36" t="s">
        <v>6492</v>
      </c>
      <c r="D204" s="50"/>
      <c r="E204" s="181">
        <v>500</v>
      </c>
      <c r="F204" s="13"/>
      <c r="G204" s="53">
        <v>2413.3599999999988</v>
      </c>
      <c r="H204" s="179"/>
      <c r="I204" s="57"/>
      <c r="J204" s="67"/>
      <c r="K204" s="66">
        <v>2413.3599999999988</v>
      </c>
      <c r="L204" s="51"/>
      <c r="O204" s="65"/>
    </row>
    <row r="205" spans="1:15" s="64" customFormat="1" ht="13.5" customHeight="1" x14ac:dyDescent="0.2">
      <c r="A205" s="184"/>
      <c r="B205" s="63"/>
      <c r="C205" s="34" t="s">
        <v>6493</v>
      </c>
      <c r="D205" s="50"/>
      <c r="E205" s="181">
        <v>66.7</v>
      </c>
      <c r="F205" s="13"/>
      <c r="G205" s="53">
        <v>2346.6599999999989</v>
      </c>
      <c r="H205" s="179"/>
      <c r="I205" s="57"/>
      <c r="J205" s="67"/>
      <c r="K205" s="66">
        <v>2346.6599999999989</v>
      </c>
      <c r="L205" s="51"/>
      <c r="O205" s="65"/>
    </row>
    <row r="206" spans="1:15" s="64" customFormat="1" ht="13.5" customHeight="1" x14ac:dyDescent="0.2">
      <c r="A206" s="184">
        <v>43411</v>
      </c>
      <c r="B206" s="63"/>
      <c r="C206" s="34" t="s">
        <v>6494</v>
      </c>
      <c r="D206" s="50"/>
      <c r="E206" s="51"/>
      <c r="F206" s="183">
        <v>358</v>
      </c>
      <c r="G206" s="53">
        <v>2704.6599999999989</v>
      </c>
      <c r="H206" s="179"/>
      <c r="I206" s="57"/>
      <c r="J206" s="67"/>
      <c r="K206" s="66">
        <v>2704.6599999999989</v>
      </c>
      <c r="L206" s="51"/>
      <c r="O206" s="65"/>
    </row>
    <row r="207" spans="1:15" s="64" customFormat="1" ht="13.5" customHeight="1" x14ac:dyDescent="0.2">
      <c r="A207" s="184">
        <v>43412</v>
      </c>
      <c r="B207" s="63"/>
      <c r="C207" s="36" t="s">
        <v>4779</v>
      </c>
      <c r="D207" s="50"/>
      <c r="E207" s="181">
        <v>13.2</v>
      </c>
      <c r="F207" s="13"/>
      <c r="G207" s="53">
        <v>2691.4599999999991</v>
      </c>
      <c r="H207" s="179"/>
      <c r="I207" s="57"/>
      <c r="J207" s="67"/>
      <c r="K207" s="66">
        <v>2691.4599999999991</v>
      </c>
      <c r="L207" s="51"/>
      <c r="O207" s="65"/>
    </row>
    <row r="208" spans="1:15" s="64" customFormat="1" ht="13.5" customHeight="1" x14ac:dyDescent="0.2">
      <c r="A208" s="184"/>
      <c r="B208" s="63"/>
      <c r="C208" s="36" t="s">
        <v>6495</v>
      </c>
      <c r="D208" s="50"/>
      <c r="E208" s="181">
        <v>35</v>
      </c>
      <c r="F208" s="13"/>
      <c r="G208" s="53">
        <v>2656.4599999999991</v>
      </c>
      <c r="H208" s="179"/>
      <c r="I208" s="57"/>
      <c r="J208" s="67"/>
      <c r="K208" s="66">
        <v>2656.4599999999991</v>
      </c>
      <c r="L208" s="51"/>
      <c r="O208" s="65"/>
    </row>
    <row r="209" spans="1:15" ht="13.5" customHeight="1" x14ac:dyDescent="0.2">
      <c r="A209" s="180">
        <v>43420</v>
      </c>
      <c r="B209" s="56"/>
      <c r="C209" s="36" t="s">
        <v>6496</v>
      </c>
      <c r="D209" s="11"/>
      <c r="E209" s="30"/>
      <c r="F209" s="181">
        <v>129.99</v>
      </c>
      <c r="G209" s="53">
        <v>2786.4499999999989</v>
      </c>
      <c r="H209" s="59"/>
      <c r="I209" s="60"/>
      <c r="J209" s="61"/>
      <c r="K209" s="66">
        <v>2786.4499999999989</v>
      </c>
      <c r="L209" s="30"/>
    </row>
    <row r="210" spans="1:15" ht="13.5" customHeight="1" x14ac:dyDescent="0.2">
      <c r="A210" s="180"/>
      <c r="B210" s="56"/>
      <c r="C210" s="36" t="s">
        <v>6496</v>
      </c>
      <c r="D210" s="11"/>
      <c r="E210" s="30"/>
      <c r="F210" s="181">
        <v>349.99</v>
      </c>
      <c r="G210" s="53">
        <v>3136.4399999999987</v>
      </c>
      <c r="H210" s="59"/>
      <c r="I210" s="60"/>
      <c r="J210" s="61"/>
      <c r="K210" s="66">
        <v>3136.4399999999987</v>
      </c>
      <c r="L210" s="30"/>
    </row>
    <row r="211" spans="1:15" s="64" customFormat="1" ht="13.5" customHeight="1" x14ac:dyDescent="0.2">
      <c r="A211" s="184">
        <v>43426</v>
      </c>
      <c r="B211" s="63"/>
      <c r="C211" s="36" t="s">
        <v>6497</v>
      </c>
      <c r="D211" s="50"/>
      <c r="E211" s="181">
        <v>1.9</v>
      </c>
      <c r="F211" s="13"/>
      <c r="G211" s="53">
        <v>3134.5399999999986</v>
      </c>
      <c r="H211" s="179"/>
      <c r="I211" s="57"/>
      <c r="J211" s="67"/>
      <c r="K211" s="66">
        <v>3134.5399999999986</v>
      </c>
      <c r="L211" s="51"/>
      <c r="O211" s="65"/>
    </row>
    <row r="212" spans="1:15" s="64" customFormat="1" ht="13.5" customHeight="1" x14ac:dyDescent="0.2">
      <c r="A212" s="184">
        <v>43434</v>
      </c>
      <c r="B212" s="63"/>
      <c r="C212" s="36" t="s">
        <v>1754</v>
      </c>
      <c r="D212" s="50"/>
      <c r="E212" s="181">
        <v>31</v>
      </c>
      <c r="F212" s="13"/>
      <c r="G212" s="53">
        <v>3103.5399999999986</v>
      </c>
      <c r="H212" s="179"/>
      <c r="I212" s="57"/>
      <c r="J212" s="67"/>
      <c r="K212" s="66">
        <v>3103.5399999999986</v>
      </c>
      <c r="L212" s="51"/>
      <c r="O212" s="65"/>
    </row>
    <row r="213" spans="1:15" s="64" customFormat="1" ht="13.5" customHeight="1" x14ac:dyDescent="0.2">
      <c r="A213" s="184"/>
      <c r="B213" s="63"/>
      <c r="C213" s="36" t="s">
        <v>1754</v>
      </c>
      <c r="D213" s="50"/>
      <c r="E213" s="181">
        <v>62.06</v>
      </c>
      <c r="F213" s="13"/>
      <c r="G213" s="178">
        <v>3041.4799999999987</v>
      </c>
      <c r="H213" s="179"/>
      <c r="I213" s="57"/>
      <c r="J213" s="67"/>
      <c r="K213" s="66">
        <v>3041.4799999999987</v>
      </c>
      <c r="L213" s="51"/>
      <c r="O213" s="65"/>
    </row>
    <row r="214" spans="1:15" ht="13.5" customHeight="1" thickBot="1" x14ac:dyDescent="0.25">
      <c r="A214" s="180"/>
      <c r="B214" s="56"/>
      <c r="C214" s="56"/>
      <c r="D214" s="11"/>
      <c r="E214" s="30"/>
      <c r="F214" s="12"/>
      <c r="G214" s="182"/>
      <c r="H214" s="59"/>
      <c r="I214" s="60"/>
      <c r="J214" s="61"/>
      <c r="L214" s="30"/>
    </row>
    <row r="215" spans="1:15" customFormat="1" ht="13.5" customHeight="1" thickBot="1" x14ac:dyDescent="0.25">
      <c r="A215" s="2" t="s">
        <v>2</v>
      </c>
      <c r="B215" s="3"/>
      <c r="C215" s="3" t="s">
        <v>534</v>
      </c>
      <c r="D215" s="191" t="s">
        <v>4</v>
      </c>
      <c r="E215" s="3" t="s">
        <v>5</v>
      </c>
      <c r="F215" s="3" t="s">
        <v>6</v>
      </c>
      <c r="G215" s="5" t="s">
        <v>7</v>
      </c>
      <c r="H215" s="192"/>
      <c r="I215" s="193"/>
      <c r="J215" s="194"/>
    </row>
    <row r="216" spans="1:15" customFormat="1" ht="13.5" customHeight="1" x14ac:dyDescent="0.2">
      <c r="A216" s="8">
        <v>42370</v>
      </c>
      <c r="B216" s="36"/>
      <c r="C216" s="10" t="s">
        <v>8</v>
      </c>
      <c r="D216" s="195"/>
      <c r="E216" s="196"/>
      <c r="F216" s="43"/>
      <c r="G216" s="178">
        <v>27143.14</v>
      </c>
      <c r="H216" s="197"/>
      <c r="I216" s="57"/>
      <c r="J216" s="198"/>
      <c r="K216" s="72">
        <v>27143.14</v>
      </c>
      <c r="L216" s="196"/>
    </row>
    <row r="217" spans="1:15" customFormat="1" ht="13.5" customHeight="1" x14ac:dyDescent="0.2">
      <c r="A217" s="180">
        <v>42723</v>
      </c>
      <c r="B217" s="36"/>
      <c r="C217" s="32" t="s">
        <v>1206</v>
      </c>
      <c r="D217" s="195"/>
      <c r="E217" s="196"/>
      <c r="F217" s="199">
        <v>256.86</v>
      </c>
      <c r="G217" s="190">
        <v>27400</v>
      </c>
      <c r="H217" s="197"/>
      <c r="I217" s="57"/>
      <c r="J217" s="198"/>
      <c r="K217" s="72">
        <v>27400</v>
      </c>
      <c r="L217" s="196"/>
    </row>
    <row r="218" spans="1:15" customFormat="1" ht="13.5" customHeight="1" x14ac:dyDescent="0.2">
      <c r="A218" s="184">
        <v>42740</v>
      </c>
      <c r="B218" s="36"/>
      <c r="C218" s="36" t="s">
        <v>1206</v>
      </c>
      <c r="D218" s="195"/>
      <c r="E218" s="196"/>
      <c r="F218" s="199">
        <v>2000</v>
      </c>
      <c r="G218" s="190">
        <v>29400</v>
      </c>
      <c r="H218" s="197"/>
      <c r="I218" s="57"/>
      <c r="J218" s="198"/>
      <c r="K218" s="72">
        <v>29400</v>
      </c>
      <c r="L218" s="196"/>
    </row>
    <row r="219" spans="1:15" s="244" customFormat="1" ht="13.5" customHeight="1" x14ac:dyDescent="0.2">
      <c r="A219" s="184">
        <v>42754</v>
      </c>
      <c r="B219" s="32"/>
      <c r="C219" s="32" t="s">
        <v>5813</v>
      </c>
      <c r="D219" s="1056"/>
      <c r="E219" s="343">
        <v>2400</v>
      </c>
      <c r="F219" s="240"/>
      <c r="G219" s="190">
        <v>27000</v>
      </c>
      <c r="H219" s="197"/>
      <c r="I219" s="57"/>
      <c r="J219" s="198"/>
      <c r="K219" s="72">
        <v>27000</v>
      </c>
      <c r="L219" s="196"/>
    </row>
    <row r="220" spans="1:15" s="244" customFormat="1" ht="13.5" customHeight="1" x14ac:dyDescent="0.2">
      <c r="A220" s="184">
        <v>42782</v>
      </c>
      <c r="B220" s="32"/>
      <c r="C220" s="32" t="s">
        <v>5814</v>
      </c>
      <c r="D220" s="1056"/>
      <c r="E220" s="343">
        <v>2500</v>
      </c>
      <c r="F220" s="240"/>
      <c r="G220" s="190">
        <v>24500</v>
      </c>
      <c r="H220" s="197"/>
      <c r="I220" s="57"/>
      <c r="J220" s="198"/>
      <c r="K220" s="72">
        <v>24500</v>
      </c>
      <c r="L220" s="196"/>
    </row>
    <row r="221" spans="1:15" s="244" customFormat="1" ht="13.5" customHeight="1" x14ac:dyDescent="0.2">
      <c r="A221" s="184">
        <v>42789</v>
      </c>
      <c r="B221" s="32"/>
      <c r="C221" s="32" t="s">
        <v>5814</v>
      </c>
      <c r="D221" s="1056"/>
      <c r="E221" s="343">
        <v>2000</v>
      </c>
      <c r="F221" s="240"/>
      <c r="G221" s="190">
        <v>22500</v>
      </c>
      <c r="H221" s="197"/>
      <c r="I221" s="57"/>
      <c r="J221" s="198"/>
      <c r="K221" s="72">
        <v>22500</v>
      </c>
      <c r="L221" s="196"/>
    </row>
    <row r="222" spans="1:15" s="244" customFormat="1" ht="13.5" customHeight="1" x14ac:dyDescent="0.2">
      <c r="A222" s="184">
        <v>42849</v>
      </c>
      <c r="B222" s="32"/>
      <c r="C222" s="32" t="s">
        <v>5814</v>
      </c>
      <c r="D222" s="1056"/>
      <c r="E222" s="343">
        <v>1500</v>
      </c>
      <c r="F222" s="240"/>
      <c r="G222" s="190">
        <v>21000</v>
      </c>
      <c r="H222" s="197"/>
      <c r="I222" s="57"/>
      <c r="J222" s="198"/>
      <c r="K222" s="72">
        <v>21000</v>
      </c>
      <c r="L222" s="196"/>
    </row>
    <row r="223" spans="1:15" s="244" customFormat="1" ht="13.5" customHeight="1" x14ac:dyDescent="0.2">
      <c r="A223" s="180">
        <v>42933</v>
      </c>
      <c r="B223" s="36"/>
      <c r="C223" s="36" t="s">
        <v>5814</v>
      </c>
      <c r="D223" s="195"/>
      <c r="E223" s="343">
        <v>9000</v>
      </c>
      <c r="F223" s="240"/>
      <c r="G223" s="190">
        <v>12000</v>
      </c>
      <c r="H223" s="197"/>
      <c r="I223" s="57"/>
      <c r="J223" s="198"/>
      <c r="K223" s="72">
        <v>12000</v>
      </c>
      <c r="L223" s="196"/>
    </row>
    <row r="224" spans="1:15" s="64" customFormat="1" ht="13.5" customHeight="1" x14ac:dyDescent="0.2">
      <c r="A224" s="184">
        <v>43328</v>
      </c>
      <c r="B224" s="63"/>
      <c r="C224" s="36" t="s">
        <v>5814</v>
      </c>
      <c r="D224" s="50"/>
      <c r="E224" s="183">
        <v>5000</v>
      </c>
      <c r="F224" s="12"/>
      <c r="G224" s="178">
        <v>7000</v>
      </c>
      <c r="H224" s="179"/>
      <c r="I224" s="57"/>
      <c r="J224" s="67"/>
      <c r="K224" s="72">
        <v>7000</v>
      </c>
      <c r="L224" s="51"/>
      <c r="M224" s="66"/>
    </row>
    <row r="225" spans="1:13" s="1" customFormat="1" ht="13.5" customHeight="1" thickBot="1" x14ac:dyDescent="0.25">
      <c r="A225" s="180"/>
      <c r="B225" s="56"/>
      <c r="C225" s="56"/>
      <c r="D225" s="11"/>
      <c r="E225" s="30"/>
      <c r="F225" s="12"/>
      <c r="G225" s="182"/>
      <c r="H225" s="59"/>
      <c r="I225" s="60"/>
      <c r="J225" s="61"/>
      <c r="L225" s="30"/>
    </row>
    <row r="226" spans="1:13" ht="13.5" customHeight="1" thickBot="1" x14ac:dyDescent="0.25">
      <c r="A226" s="2" t="s">
        <v>2</v>
      </c>
      <c r="B226" s="3"/>
      <c r="C226" s="3" t="s">
        <v>536</v>
      </c>
      <c r="D226" s="3"/>
      <c r="E226" s="3"/>
      <c r="F226" s="3"/>
      <c r="G226" s="5" t="s">
        <v>7</v>
      </c>
      <c r="H226" s="6" t="s">
        <v>5</v>
      </c>
      <c r="I226" s="4" t="s">
        <v>6</v>
      </c>
      <c r="J226" s="7" t="s">
        <v>7</v>
      </c>
    </row>
    <row r="227" spans="1:13" ht="13.5" customHeight="1" x14ac:dyDescent="0.2">
      <c r="A227" s="8" t="s">
        <v>6343</v>
      </c>
      <c r="B227" s="70"/>
      <c r="C227" s="10" t="s">
        <v>537</v>
      </c>
      <c r="D227" s="125"/>
      <c r="E227" s="67"/>
      <c r="F227" s="67"/>
      <c r="G227" s="178"/>
      <c r="H227" s="179"/>
      <c r="I227" s="57"/>
      <c r="J227" s="58">
        <v>1171.1900000000012</v>
      </c>
      <c r="L227" s="18">
        <v>1171.1900000000012</v>
      </c>
    </row>
    <row r="228" spans="1:13" ht="13.5" customHeight="1" x14ac:dyDescent="0.2">
      <c r="A228" s="91">
        <v>43042</v>
      </c>
      <c r="B228" s="9"/>
      <c r="C228" s="34" t="s">
        <v>6351</v>
      </c>
      <c r="D228" s="229"/>
      <c r="E228" s="61"/>
      <c r="F228" s="61"/>
      <c r="G228" s="182"/>
      <c r="H228" s="59"/>
      <c r="I228" s="531">
        <v>1000</v>
      </c>
      <c r="J228" s="61">
        <v>2171.1900000000014</v>
      </c>
      <c r="K228" s="18"/>
      <c r="L228" s="18">
        <v>2171.1900000000014</v>
      </c>
      <c r="M228" s="18"/>
    </row>
    <row r="229" spans="1:13" ht="13.5" customHeight="1" x14ac:dyDescent="0.2">
      <c r="A229" s="91">
        <v>43045</v>
      </c>
      <c r="B229" s="9"/>
      <c r="C229" s="21" t="s">
        <v>6362</v>
      </c>
      <c r="D229" s="229"/>
      <c r="E229" s="61"/>
      <c r="F229" s="61"/>
      <c r="G229" s="182"/>
      <c r="H229" s="59"/>
      <c r="I229" s="531">
        <v>4000</v>
      </c>
      <c r="J229" s="61">
        <v>6171.1900000000014</v>
      </c>
      <c r="K229" s="18"/>
      <c r="L229" s="18">
        <v>6171.1900000000014</v>
      </c>
      <c r="M229" s="18"/>
    </row>
    <row r="230" spans="1:13" ht="13.5" customHeight="1" x14ac:dyDescent="0.2">
      <c r="A230" s="91">
        <v>43052</v>
      </c>
      <c r="B230" s="9"/>
      <c r="C230" s="21" t="s">
        <v>6362</v>
      </c>
      <c r="D230" s="229"/>
      <c r="E230" s="61"/>
      <c r="F230" s="61"/>
      <c r="G230" s="182"/>
      <c r="H230" s="59"/>
      <c r="I230" s="531">
        <v>6000</v>
      </c>
      <c r="J230" s="61">
        <v>12171.190000000002</v>
      </c>
      <c r="K230" s="18"/>
      <c r="L230" s="18">
        <v>12171.190000000002</v>
      </c>
      <c r="M230" s="18"/>
    </row>
    <row r="231" spans="1:13" ht="13.5" customHeight="1" x14ac:dyDescent="0.2">
      <c r="A231" s="91">
        <v>43061</v>
      </c>
      <c r="B231" s="9"/>
      <c r="C231" s="34" t="s">
        <v>6426</v>
      </c>
      <c r="D231" s="229"/>
      <c r="E231" s="61"/>
      <c r="F231" s="61"/>
      <c r="G231" s="182"/>
      <c r="H231" s="59"/>
      <c r="I231" s="531">
        <v>1500</v>
      </c>
      <c r="J231" s="61">
        <v>13671.190000000002</v>
      </c>
      <c r="K231" s="18"/>
      <c r="L231" s="18">
        <v>13671.190000000002</v>
      </c>
      <c r="M231" s="18"/>
    </row>
    <row r="232" spans="1:13" ht="13.5" customHeight="1" x14ac:dyDescent="0.2">
      <c r="A232" s="91">
        <v>43061</v>
      </c>
      <c r="B232" s="9"/>
      <c r="C232" s="34" t="s">
        <v>6426</v>
      </c>
      <c r="D232" s="229"/>
      <c r="E232" s="61"/>
      <c r="F232" s="61"/>
      <c r="G232" s="182"/>
      <c r="H232" s="59"/>
      <c r="I232" s="531">
        <v>500</v>
      </c>
      <c r="J232" s="61">
        <v>14171.190000000002</v>
      </c>
      <c r="K232" s="18"/>
      <c r="L232" s="18">
        <v>14171.190000000002</v>
      </c>
      <c r="M232" s="18"/>
    </row>
    <row r="233" spans="1:13" ht="13.5" customHeight="1" x14ac:dyDescent="0.2">
      <c r="A233" s="91">
        <v>43405</v>
      </c>
      <c r="B233" s="9"/>
      <c r="C233" s="34" t="s">
        <v>6498</v>
      </c>
      <c r="D233" s="229"/>
      <c r="E233" s="61"/>
      <c r="F233" s="61"/>
      <c r="G233" s="182"/>
      <c r="H233" s="59">
        <v>8.85</v>
      </c>
      <c r="I233" s="59"/>
      <c r="J233" s="61">
        <v>14162.340000000002</v>
      </c>
      <c r="K233" s="18"/>
      <c r="L233" s="18">
        <v>14162.340000000002</v>
      </c>
      <c r="M233" s="18"/>
    </row>
    <row r="234" spans="1:13" ht="13.5" customHeight="1" x14ac:dyDescent="0.2">
      <c r="A234" s="91">
        <v>43410</v>
      </c>
      <c r="B234" s="9"/>
      <c r="C234" s="34" t="s">
        <v>6499</v>
      </c>
      <c r="D234" s="229"/>
      <c r="E234" s="61"/>
      <c r="F234" s="61"/>
      <c r="G234" s="182"/>
      <c r="H234" s="59">
        <v>3</v>
      </c>
      <c r="I234" s="59"/>
      <c r="J234" s="61">
        <v>14159.340000000002</v>
      </c>
      <c r="K234" s="18"/>
      <c r="L234" s="18">
        <v>14159.340000000002</v>
      </c>
      <c r="M234" s="18"/>
    </row>
    <row r="235" spans="1:13" ht="13.5" customHeight="1" x14ac:dyDescent="0.2">
      <c r="A235" s="91"/>
      <c r="B235" s="9"/>
      <c r="C235" s="34" t="s">
        <v>6500</v>
      </c>
      <c r="D235" s="229"/>
      <c r="E235" s="61"/>
      <c r="F235" s="61"/>
      <c r="G235" s="182"/>
      <c r="H235" s="59">
        <v>57</v>
      </c>
      <c r="I235" s="59"/>
      <c r="J235" s="61">
        <v>14102.340000000002</v>
      </c>
      <c r="K235" s="18"/>
      <c r="L235" s="18">
        <v>14102.340000000002</v>
      </c>
      <c r="M235" s="18"/>
    </row>
    <row r="236" spans="1:13" ht="13.5" customHeight="1" x14ac:dyDescent="0.2">
      <c r="A236" s="91"/>
      <c r="B236" s="9"/>
      <c r="C236" s="34" t="s">
        <v>6501</v>
      </c>
      <c r="D236" s="229"/>
      <c r="E236" s="61"/>
      <c r="F236" s="61"/>
      <c r="G236" s="182"/>
      <c r="H236" s="59">
        <v>10</v>
      </c>
      <c r="I236" s="59"/>
      <c r="J236" s="61">
        <v>14092.340000000002</v>
      </c>
      <c r="K236" s="18"/>
      <c r="L236" s="18">
        <v>14092.340000000002</v>
      </c>
      <c r="M236" s="18"/>
    </row>
    <row r="237" spans="1:13" ht="13.5" customHeight="1" x14ac:dyDescent="0.2">
      <c r="A237" s="91"/>
      <c r="B237" s="9"/>
      <c r="C237" s="34" t="s">
        <v>6502</v>
      </c>
      <c r="D237" s="229"/>
      <c r="E237" s="61"/>
      <c r="F237" s="61"/>
      <c r="G237" s="182"/>
      <c r="H237" s="59">
        <v>24.8</v>
      </c>
      <c r="I237" s="59"/>
      <c r="J237" s="61">
        <v>14067.540000000003</v>
      </c>
      <c r="K237" s="18"/>
      <c r="L237" s="18">
        <v>14067.540000000003</v>
      </c>
      <c r="M237" s="18"/>
    </row>
    <row r="238" spans="1:13" ht="13.5" customHeight="1" x14ac:dyDescent="0.2">
      <c r="A238" s="91">
        <v>43412</v>
      </c>
      <c r="B238" s="9"/>
      <c r="C238" s="34" t="s">
        <v>6503</v>
      </c>
      <c r="D238" s="229"/>
      <c r="E238" s="61"/>
      <c r="F238" s="61"/>
      <c r="G238" s="182"/>
      <c r="H238" s="59">
        <v>11.2</v>
      </c>
      <c r="I238" s="59"/>
      <c r="J238" s="61">
        <v>14056.340000000002</v>
      </c>
      <c r="K238" s="18"/>
      <c r="L238" s="18">
        <v>14056.340000000002</v>
      </c>
      <c r="M238" s="18"/>
    </row>
    <row r="239" spans="1:13" ht="13.5" customHeight="1" x14ac:dyDescent="0.2">
      <c r="A239" s="91"/>
      <c r="B239" s="9"/>
      <c r="C239" s="34" t="s">
        <v>6504</v>
      </c>
      <c r="D239" s="229"/>
      <c r="E239" s="61"/>
      <c r="F239" s="61"/>
      <c r="G239" s="182"/>
      <c r="H239" s="59">
        <v>19</v>
      </c>
      <c r="I239" s="59"/>
      <c r="J239" s="61">
        <v>14037.340000000002</v>
      </c>
      <c r="K239" s="18"/>
      <c r="L239" s="18">
        <v>14037.340000000002</v>
      </c>
      <c r="M239" s="18"/>
    </row>
    <row r="240" spans="1:13" ht="13.5" customHeight="1" x14ac:dyDescent="0.2">
      <c r="A240" s="91"/>
      <c r="B240" s="9"/>
      <c r="C240" s="34" t="s">
        <v>6505</v>
      </c>
      <c r="D240" s="229"/>
      <c r="E240" s="61"/>
      <c r="F240" s="61"/>
      <c r="G240" s="182"/>
      <c r="H240" s="59">
        <v>9.4</v>
      </c>
      <c r="I240" s="59"/>
      <c r="J240" s="61">
        <v>14027.940000000002</v>
      </c>
      <c r="K240" s="18"/>
      <c r="L240" s="18">
        <v>14027.940000000002</v>
      </c>
      <c r="M240" s="18"/>
    </row>
    <row r="241" spans="1:15" ht="13.5" customHeight="1" x14ac:dyDescent="0.2">
      <c r="A241" s="91"/>
      <c r="B241" s="9"/>
      <c r="C241" s="34" t="s">
        <v>6506</v>
      </c>
      <c r="D241" s="229"/>
      <c r="E241" s="61"/>
      <c r="F241" s="61"/>
      <c r="G241" s="182"/>
      <c r="H241" s="59">
        <v>6.98</v>
      </c>
      <c r="I241" s="59"/>
      <c r="J241" s="61">
        <v>14020.960000000003</v>
      </c>
      <c r="K241" s="18"/>
      <c r="L241" s="18">
        <v>14020.960000000003</v>
      </c>
      <c r="M241" s="18"/>
    </row>
    <row r="242" spans="1:15" ht="13.5" customHeight="1" x14ac:dyDescent="0.2">
      <c r="A242" s="91">
        <v>43414</v>
      </c>
      <c r="B242" s="9"/>
      <c r="C242" s="34" t="s">
        <v>6507</v>
      </c>
      <c r="D242" s="229"/>
      <c r="E242" s="61"/>
      <c r="F242" s="61"/>
      <c r="G242" s="182"/>
      <c r="H242" s="59">
        <v>330.1</v>
      </c>
      <c r="I242" s="59"/>
      <c r="J242" s="61">
        <v>13690.860000000002</v>
      </c>
      <c r="K242" s="18"/>
      <c r="L242" s="18">
        <v>13690.860000000002</v>
      </c>
      <c r="M242" s="18"/>
    </row>
    <row r="243" spans="1:15" ht="13.5" customHeight="1" x14ac:dyDescent="0.2">
      <c r="A243" s="91"/>
      <c r="B243" s="9"/>
      <c r="C243" s="34" t="s">
        <v>6508</v>
      </c>
      <c r="D243" s="229"/>
      <c r="E243" s="61"/>
      <c r="F243" s="61"/>
      <c r="G243" s="182"/>
      <c r="H243" s="59">
        <v>20</v>
      </c>
      <c r="I243" s="59"/>
      <c r="J243" s="61">
        <v>13670.860000000002</v>
      </c>
      <c r="K243" s="18"/>
      <c r="L243" s="18">
        <v>13670.860000000002</v>
      </c>
      <c r="M243" s="18"/>
    </row>
    <row r="244" spans="1:15" ht="13.5" customHeight="1" x14ac:dyDescent="0.2">
      <c r="A244" s="91">
        <v>43417</v>
      </c>
      <c r="B244" s="9"/>
      <c r="C244" s="36" t="s">
        <v>1553</v>
      </c>
      <c r="D244" s="229"/>
      <c r="E244" s="61"/>
      <c r="F244" s="61"/>
      <c r="G244" s="182"/>
      <c r="H244" s="59">
        <v>7000</v>
      </c>
      <c r="I244" s="59"/>
      <c r="J244" s="61">
        <v>6670.8600000000024</v>
      </c>
      <c r="K244" s="18"/>
      <c r="L244" s="18">
        <v>6670.8600000000024</v>
      </c>
      <c r="M244" s="18"/>
    </row>
    <row r="245" spans="1:15" ht="13.5" customHeight="1" x14ac:dyDescent="0.2">
      <c r="A245" s="91">
        <v>43425</v>
      </c>
      <c r="B245" s="9"/>
      <c r="C245" s="34" t="s">
        <v>6509</v>
      </c>
      <c r="D245" s="229"/>
      <c r="E245" s="61"/>
      <c r="F245" s="61"/>
      <c r="G245" s="182"/>
      <c r="H245" s="59">
        <v>9</v>
      </c>
      <c r="I245" s="59"/>
      <c r="J245" s="61">
        <v>6661.8600000000024</v>
      </c>
      <c r="K245" s="18"/>
      <c r="L245" s="18">
        <v>6661.8600000000024</v>
      </c>
      <c r="M245" s="18"/>
    </row>
    <row r="246" spans="1:15" s="64" customFormat="1" ht="13.5" customHeight="1" x14ac:dyDescent="0.2">
      <c r="A246" s="131"/>
      <c r="B246" s="70"/>
      <c r="C246" s="138" t="s">
        <v>6510</v>
      </c>
      <c r="D246" s="522"/>
      <c r="E246" s="67"/>
      <c r="F246" s="67"/>
      <c r="G246" s="53"/>
      <c r="H246" s="179">
        <v>1.9</v>
      </c>
      <c r="I246" s="179"/>
      <c r="J246" s="61">
        <v>6659.9600000000028</v>
      </c>
      <c r="K246" s="66"/>
      <c r="L246" s="18">
        <v>6659.9600000000028</v>
      </c>
      <c r="M246" s="66"/>
      <c r="O246" s="65"/>
    </row>
    <row r="247" spans="1:15" s="64" customFormat="1" ht="13.5" customHeight="1" x14ac:dyDescent="0.2">
      <c r="A247" s="131">
        <v>43426</v>
      </c>
      <c r="B247" s="70"/>
      <c r="C247" s="138" t="s">
        <v>6511</v>
      </c>
      <c r="D247" s="522"/>
      <c r="E247" s="67"/>
      <c r="F247" s="67"/>
      <c r="G247" s="53"/>
      <c r="H247" s="179">
        <v>20</v>
      </c>
      <c r="I247" s="179"/>
      <c r="J247" s="61">
        <v>6639.9600000000028</v>
      </c>
      <c r="K247" s="66"/>
      <c r="L247" s="18">
        <v>6639.9600000000028</v>
      </c>
      <c r="M247" s="66"/>
      <c r="O247" s="65"/>
    </row>
    <row r="248" spans="1:15" s="64" customFormat="1" ht="13.5" customHeight="1" x14ac:dyDescent="0.2">
      <c r="A248" s="131"/>
      <c r="B248" s="70"/>
      <c r="C248" s="138" t="s">
        <v>6512</v>
      </c>
      <c r="D248" s="522"/>
      <c r="E248" s="67"/>
      <c r="F248" s="67"/>
      <c r="G248" s="53"/>
      <c r="H248" s="179">
        <v>18.649999999999999</v>
      </c>
      <c r="I248" s="179"/>
      <c r="J248" s="61">
        <v>6621.3100000000031</v>
      </c>
      <c r="K248" s="66"/>
      <c r="L248" s="18">
        <v>6621.3100000000031</v>
      </c>
      <c r="M248" s="66"/>
      <c r="O248" s="65"/>
    </row>
    <row r="249" spans="1:15" s="64" customFormat="1" ht="13.5" customHeight="1" x14ac:dyDescent="0.2">
      <c r="A249" s="131"/>
      <c r="B249" s="70"/>
      <c r="C249" s="138" t="s">
        <v>6513</v>
      </c>
      <c r="D249" s="522"/>
      <c r="E249" s="67"/>
      <c r="F249" s="67"/>
      <c r="G249" s="53"/>
      <c r="H249" s="179">
        <v>20</v>
      </c>
      <c r="I249" s="179"/>
      <c r="J249" s="61">
        <v>6601.3100000000031</v>
      </c>
      <c r="K249" s="66"/>
      <c r="L249" s="18">
        <v>6601.3100000000031</v>
      </c>
      <c r="M249" s="66"/>
      <c r="O249" s="65"/>
    </row>
    <row r="250" spans="1:15" s="64" customFormat="1" ht="13.5" customHeight="1" x14ac:dyDescent="0.2">
      <c r="A250" s="131"/>
      <c r="B250" s="70"/>
      <c r="C250" s="138" t="s">
        <v>6513</v>
      </c>
      <c r="D250" s="522"/>
      <c r="E250" s="67"/>
      <c r="F250" s="67"/>
      <c r="G250" s="53"/>
      <c r="H250" s="179">
        <v>13.5</v>
      </c>
      <c r="I250" s="179"/>
      <c r="J250" s="61">
        <v>6587.8100000000031</v>
      </c>
      <c r="K250" s="66"/>
      <c r="L250" s="18">
        <v>6587.8100000000031</v>
      </c>
      <c r="M250" s="66"/>
      <c r="O250" s="65"/>
    </row>
    <row r="251" spans="1:15" s="64" customFormat="1" ht="13.5" customHeight="1" x14ac:dyDescent="0.2">
      <c r="A251" s="131"/>
      <c r="B251" s="70"/>
      <c r="C251" s="138" t="s">
        <v>6513</v>
      </c>
      <c r="D251" s="522"/>
      <c r="E251" s="67"/>
      <c r="F251" s="67"/>
      <c r="G251" s="53"/>
      <c r="H251" s="179">
        <v>9</v>
      </c>
      <c r="I251" s="179"/>
      <c r="J251" s="61">
        <v>6578.8100000000031</v>
      </c>
      <c r="K251" s="66"/>
      <c r="L251" s="18">
        <v>6578.8100000000031</v>
      </c>
      <c r="M251" s="66"/>
      <c r="O251" s="65"/>
    </row>
    <row r="252" spans="1:15" s="64" customFormat="1" ht="13.5" customHeight="1" x14ac:dyDescent="0.2">
      <c r="A252" s="131">
        <v>43430</v>
      </c>
      <c r="B252" s="70"/>
      <c r="C252" s="138" t="s">
        <v>6513</v>
      </c>
      <c r="D252" s="522"/>
      <c r="E252" s="67"/>
      <c r="F252" s="67"/>
      <c r="G252" s="53"/>
      <c r="H252" s="179">
        <v>10.5</v>
      </c>
      <c r="I252" s="179"/>
      <c r="J252" s="61">
        <v>6568.3100000000031</v>
      </c>
      <c r="K252" s="66"/>
      <c r="L252" s="18">
        <v>6568.3100000000031</v>
      </c>
      <c r="M252" s="66"/>
      <c r="O252" s="65"/>
    </row>
    <row r="253" spans="1:15" s="64" customFormat="1" ht="13.5" customHeight="1" x14ac:dyDescent="0.2">
      <c r="A253" s="131"/>
      <c r="B253" s="70"/>
      <c r="C253" s="138" t="s">
        <v>6513</v>
      </c>
      <c r="D253" s="522"/>
      <c r="E253" s="67"/>
      <c r="F253" s="67"/>
      <c r="G253" s="53"/>
      <c r="H253" s="179">
        <v>2.5</v>
      </c>
      <c r="I253" s="179"/>
      <c r="J253" s="61">
        <v>6565.8100000000031</v>
      </c>
      <c r="K253" s="66"/>
      <c r="L253" s="18">
        <v>6565.8100000000031</v>
      </c>
      <c r="M253" s="66"/>
      <c r="O253" s="65"/>
    </row>
    <row r="254" spans="1:15" s="64" customFormat="1" ht="13.5" customHeight="1" x14ac:dyDescent="0.2">
      <c r="A254" s="131"/>
      <c r="B254" s="70"/>
      <c r="C254" s="138" t="s">
        <v>6513</v>
      </c>
      <c r="D254" s="522"/>
      <c r="E254" s="67"/>
      <c r="F254" s="67"/>
      <c r="G254" s="53"/>
      <c r="H254" s="179">
        <v>7.7</v>
      </c>
      <c r="I254" s="179"/>
      <c r="J254" s="61">
        <v>6558.1100000000033</v>
      </c>
      <c r="K254" s="66"/>
      <c r="L254" s="18">
        <v>6558.1100000000033</v>
      </c>
      <c r="M254" s="66"/>
      <c r="O254" s="65"/>
    </row>
    <row r="255" spans="1:15" s="64" customFormat="1" ht="13.5" customHeight="1" x14ac:dyDescent="0.2">
      <c r="A255" s="131"/>
      <c r="B255" s="70"/>
      <c r="C255" s="138" t="s">
        <v>6514</v>
      </c>
      <c r="D255" s="522"/>
      <c r="E255" s="67"/>
      <c r="F255" s="67"/>
      <c r="G255" s="53"/>
      <c r="H255" s="179">
        <v>155.04</v>
      </c>
      <c r="I255" s="179"/>
      <c r="J255" s="61">
        <v>6403.0700000000033</v>
      </c>
      <c r="K255" s="66"/>
      <c r="L255" s="18">
        <v>6403.0700000000033</v>
      </c>
      <c r="M255" s="66"/>
      <c r="O255" s="65"/>
    </row>
    <row r="256" spans="1:15" s="64" customFormat="1" ht="13.5" customHeight="1" x14ac:dyDescent="0.2">
      <c r="A256" s="131"/>
      <c r="B256" s="70"/>
      <c r="C256" s="138" t="s">
        <v>6515</v>
      </c>
      <c r="D256" s="522"/>
      <c r="E256" s="67"/>
      <c r="F256" s="67"/>
      <c r="G256" s="53"/>
      <c r="H256" s="179">
        <v>8.4</v>
      </c>
      <c r="I256" s="179"/>
      <c r="J256" s="61">
        <v>6394.6700000000037</v>
      </c>
      <c r="K256" s="66"/>
      <c r="L256" s="18">
        <v>6394.6700000000037</v>
      </c>
      <c r="M256" s="66"/>
      <c r="O256" s="65"/>
    </row>
    <row r="257" spans="1:15" s="64" customFormat="1" ht="13.5" customHeight="1" x14ac:dyDescent="0.2">
      <c r="A257" s="131">
        <v>43431</v>
      </c>
      <c r="B257" s="70"/>
      <c r="C257" s="138" t="s">
        <v>6513</v>
      </c>
      <c r="D257" s="522"/>
      <c r="E257" s="67"/>
      <c r="F257" s="67"/>
      <c r="G257" s="53"/>
      <c r="H257" s="179">
        <v>10</v>
      </c>
      <c r="I257" s="179"/>
      <c r="J257" s="61">
        <v>6384.6700000000037</v>
      </c>
      <c r="K257" s="66"/>
      <c r="L257" s="18">
        <v>6384.6700000000037</v>
      </c>
      <c r="M257" s="66"/>
      <c r="O257" s="65"/>
    </row>
    <row r="258" spans="1:15" s="64" customFormat="1" ht="13.5" customHeight="1" x14ac:dyDescent="0.2">
      <c r="A258" s="131"/>
      <c r="B258" s="70"/>
      <c r="C258" s="138" t="s">
        <v>6513</v>
      </c>
      <c r="D258" s="522"/>
      <c r="E258" s="67"/>
      <c r="F258" s="67"/>
      <c r="G258" s="53"/>
      <c r="H258" s="179">
        <v>13</v>
      </c>
      <c r="I258" s="179"/>
      <c r="J258" s="61">
        <v>6371.6700000000037</v>
      </c>
      <c r="K258" s="66"/>
      <c r="L258" s="18">
        <v>6371.6700000000037</v>
      </c>
      <c r="M258" s="66"/>
      <c r="O258" s="65"/>
    </row>
    <row r="259" spans="1:15" s="64" customFormat="1" ht="13.5" customHeight="1" x14ac:dyDescent="0.2">
      <c r="A259" s="131"/>
      <c r="B259" s="70"/>
      <c r="C259" s="138" t="s">
        <v>6513</v>
      </c>
      <c r="D259" s="522"/>
      <c r="E259" s="67"/>
      <c r="F259" s="67"/>
      <c r="G259" s="53"/>
      <c r="H259" s="179">
        <v>2.5</v>
      </c>
      <c r="I259" s="179"/>
      <c r="J259" s="61">
        <v>6369.1700000000037</v>
      </c>
      <c r="K259" s="66"/>
      <c r="L259" s="18">
        <v>6369.1700000000037</v>
      </c>
      <c r="M259" s="66"/>
      <c r="O259" s="65"/>
    </row>
    <row r="260" spans="1:15" s="64" customFormat="1" ht="13.5" customHeight="1" x14ac:dyDescent="0.2">
      <c r="A260" s="131"/>
      <c r="B260" s="70"/>
      <c r="C260" s="138" t="s">
        <v>6514</v>
      </c>
      <c r="D260" s="522"/>
      <c r="E260" s="67"/>
      <c r="F260" s="67"/>
      <c r="G260" s="53"/>
      <c r="H260" s="179">
        <v>207.27</v>
      </c>
      <c r="I260" s="179"/>
      <c r="J260" s="61">
        <v>6161.9000000000033</v>
      </c>
      <c r="K260" s="66"/>
      <c r="L260" s="18">
        <v>6161.9000000000033</v>
      </c>
      <c r="M260" s="66"/>
      <c r="O260" s="65"/>
    </row>
    <row r="261" spans="1:15" s="64" customFormat="1" ht="13.5" customHeight="1" x14ac:dyDescent="0.2">
      <c r="A261" s="131">
        <v>43433</v>
      </c>
      <c r="B261" s="70"/>
      <c r="C261" s="138" t="s">
        <v>6516</v>
      </c>
      <c r="D261" s="522"/>
      <c r="E261" s="67"/>
      <c r="F261" s="67"/>
      <c r="G261" s="53"/>
      <c r="H261" s="179">
        <v>95</v>
      </c>
      <c r="I261" s="179"/>
      <c r="J261" s="61">
        <v>6066.9000000000033</v>
      </c>
      <c r="K261" s="66"/>
      <c r="L261" s="18">
        <v>6066.9000000000033</v>
      </c>
      <c r="M261" s="66"/>
      <c r="O261" s="65"/>
    </row>
    <row r="262" spans="1:15" s="64" customFormat="1" ht="13.5" customHeight="1" x14ac:dyDescent="0.2">
      <c r="A262" s="131">
        <v>43434</v>
      </c>
      <c r="B262" s="70"/>
      <c r="C262" s="138" t="s">
        <v>1002</v>
      </c>
      <c r="D262" s="522"/>
      <c r="E262" s="67"/>
      <c r="F262" s="67"/>
      <c r="G262" s="53"/>
      <c r="H262" s="179">
        <v>6066.9</v>
      </c>
      <c r="I262" s="179"/>
      <c r="J262" s="1057">
        <v>3.637978807091713E-12</v>
      </c>
      <c r="K262" s="66"/>
      <c r="L262" s="18">
        <v>0</v>
      </c>
      <c r="M262" s="66"/>
      <c r="O262" s="65"/>
    </row>
    <row r="263" spans="1:15" ht="13.5" customHeight="1" thickBot="1" x14ac:dyDescent="0.25">
      <c r="A263" s="207"/>
      <c r="B263" s="207"/>
      <c r="C263" s="208"/>
      <c r="D263" s="208"/>
      <c r="E263" s="208"/>
      <c r="F263" s="208"/>
      <c r="G263" s="1058"/>
      <c r="H263" s="211"/>
      <c r="I263" s="211"/>
      <c r="J263" s="1059"/>
      <c r="L263" s="18">
        <v>0</v>
      </c>
    </row>
    <row r="264" spans="1:15" ht="13.5" customHeight="1" thickBot="1" x14ac:dyDescent="0.25">
      <c r="A264" s="213"/>
      <c r="B264" s="214"/>
      <c r="C264" s="215" t="s">
        <v>539</v>
      </c>
      <c r="D264" s="216"/>
      <c r="E264" s="187"/>
      <c r="F264" s="187"/>
      <c r="G264" s="217" t="s">
        <v>7</v>
      </c>
      <c r="H264" s="187"/>
      <c r="I264" s="187"/>
      <c r="J264" s="189"/>
    </row>
    <row r="265" spans="1:15" ht="13.5" customHeight="1" x14ac:dyDescent="0.2">
      <c r="A265" s="74" t="s">
        <v>540</v>
      </c>
      <c r="B265" s="74"/>
      <c r="C265" s="218" t="s">
        <v>541</v>
      </c>
      <c r="D265" s="219"/>
      <c r="E265" s="220"/>
      <c r="F265" s="220"/>
      <c r="G265" s="75">
        <v>15750.96</v>
      </c>
      <c r="H265" s="220"/>
      <c r="I265" s="220"/>
      <c r="J265" s="220"/>
    </row>
    <row r="266" spans="1:15" ht="13.5" customHeight="1" x14ac:dyDescent="0.2">
      <c r="A266" s="70" t="s">
        <v>1785</v>
      </c>
      <c r="B266" s="70"/>
      <c r="C266" s="63" t="s">
        <v>542</v>
      </c>
      <c r="D266" s="50"/>
      <c r="E266" s="13"/>
      <c r="F266" s="13"/>
      <c r="G266" s="75">
        <v>0</v>
      </c>
      <c r="H266" s="13"/>
      <c r="I266" s="13"/>
      <c r="J266" s="13"/>
    </row>
    <row r="267" spans="1:15" ht="13.5" customHeight="1" x14ac:dyDescent="0.2">
      <c r="A267" s="70"/>
      <c r="B267" s="70"/>
      <c r="C267" s="222" t="s">
        <v>543</v>
      </c>
      <c r="D267" s="50"/>
      <c r="E267" s="13"/>
      <c r="F267" s="13"/>
      <c r="G267" s="14">
        <v>15750.96</v>
      </c>
      <c r="H267" s="13"/>
      <c r="I267" s="13"/>
      <c r="J267" s="13"/>
    </row>
    <row r="268" spans="1:15" ht="13.5" customHeight="1" x14ac:dyDescent="0.2">
      <c r="A268" s="70"/>
      <c r="B268" s="70"/>
      <c r="C268" s="63"/>
      <c r="D268" s="50"/>
      <c r="E268" s="13"/>
      <c r="F268" s="13"/>
      <c r="G268" s="14"/>
      <c r="H268" s="13"/>
      <c r="I268" s="13"/>
      <c r="J268" s="13"/>
      <c r="L268" s="18"/>
    </row>
    <row r="269" spans="1:15" ht="13.5" customHeight="1" x14ac:dyDescent="0.2">
      <c r="A269" s="70"/>
      <c r="B269" s="70"/>
      <c r="C269" s="222" t="s">
        <v>544</v>
      </c>
      <c r="D269" s="50"/>
      <c r="E269" s="13"/>
      <c r="F269" s="13"/>
      <c r="G269" s="14">
        <v>0</v>
      </c>
      <c r="H269" s="13"/>
      <c r="I269" s="13"/>
      <c r="J269" s="13"/>
    </row>
    <row r="270" spans="1:15" ht="13.5" customHeight="1" x14ac:dyDescent="0.2">
      <c r="A270" s="70"/>
      <c r="B270" s="70"/>
      <c r="C270" s="63"/>
      <c r="D270" s="50"/>
      <c r="E270" s="13"/>
      <c r="F270" s="13"/>
      <c r="G270" s="75"/>
      <c r="H270" s="13"/>
      <c r="I270" s="13"/>
      <c r="J270" s="13"/>
    </row>
    <row r="271" spans="1:15" ht="13.5" customHeight="1" x14ac:dyDescent="0.2">
      <c r="A271" s="76"/>
      <c r="B271" s="76"/>
      <c r="C271" s="222" t="s">
        <v>545</v>
      </c>
      <c r="D271" s="78"/>
      <c r="E271" s="78"/>
      <c r="F271" s="78"/>
      <c r="G271" s="14">
        <v>0</v>
      </c>
      <c r="H271" s="77"/>
      <c r="I271" s="77"/>
      <c r="J271" s="13"/>
    </row>
    <row r="272" spans="1:15" ht="13.5" customHeight="1" thickBot="1" x14ac:dyDescent="0.25">
      <c r="A272" s="76"/>
      <c r="B272" s="76"/>
      <c r="C272" s="78"/>
      <c r="D272" s="78"/>
      <c r="E272" s="78"/>
      <c r="F272" s="78"/>
      <c r="G272" s="75"/>
      <c r="H272" s="77"/>
      <c r="I272" s="77"/>
      <c r="J272" s="13"/>
    </row>
    <row r="273" spans="1:10" ht="13.5" customHeight="1" thickBot="1" x14ac:dyDescent="0.25">
      <c r="A273" s="1060" t="s">
        <v>5829</v>
      </c>
      <c r="B273" s="214"/>
      <c r="C273" s="215" t="s">
        <v>5830</v>
      </c>
      <c r="D273" s="216"/>
      <c r="E273" s="187"/>
      <c r="F273" s="187"/>
      <c r="G273" s="217" t="s">
        <v>7</v>
      </c>
      <c r="H273" s="187"/>
      <c r="I273" s="187"/>
      <c r="J273" s="189"/>
    </row>
    <row r="274" spans="1:10" ht="13.5" customHeight="1" x14ac:dyDescent="0.2">
      <c r="A274" s="70"/>
      <c r="B274" s="70"/>
      <c r="C274" s="63" t="s">
        <v>5831</v>
      </c>
      <c r="D274" s="50"/>
      <c r="E274" s="13"/>
      <c r="F274" s="13"/>
      <c r="G274" s="75">
        <v>37000</v>
      </c>
      <c r="H274" s="13"/>
      <c r="I274" s="13"/>
      <c r="J274" s="13"/>
    </row>
    <row r="275" spans="1:10" ht="13.5" customHeight="1" x14ac:dyDescent="0.2">
      <c r="A275" s="79">
        <v>42145</v>
      </c>
      <c r="B275" s="70"/>
      <c r="C275" s="63" t="s">
        <v>5832</v>
      </c>
      <c r="D275" s="50"/>
      <c r="E275" s="13">
        <v>5000</v>
      </c>
      <c r="F275" s="13"/>
      <c r="G275" s="75">
        <v>32000</v>
      </c>
      <c r="H275" s="13"/>
      <c r="I275" s="13"/>
      <c r="J275" s="13"/>
    </row>
    <row r="276" spans="1:10" ht="13.5" customHeight="1" x14ac:dyDescent="0.2">
      <c r="A276" s="79">
        <v>42216</v>
      </c>
      <c r="B276" s="79"/>
      <c r="C276" s="63" t="s">
        <v>5832</v>
      </c>
      <c r="D276" s="78"/>
      <c r="E276" s="13">
        <v>5000</v>
      </c>
      <c r="F276" s="13"/>
      <c r="G276" s="75">
        <v>27000</v>
      </c>
      <c r="H276" s="77"/>
      <c r="I276" s="77"/>
      <c r="J276" s="13"/>
    </row>
    <row r="277" spans="1:10" ht="13.5" customHeight="1" x14ac:dyDescent="0.2">
      <c r="A277" s="79">
        <v>42311</v>
      </c>
      <c r="B277" s="79"/>
      <c r="C277" s="63" t="s">
        <v>5833</v>
      </c>
      <c r="D277" s="78"/>
      <c r="E277" s="13">
        <v>3000</v>
      </c>
      <c r="F277" s="13"/>
      <c r="G277" s="75">
        <v>24000</v>
      </c>
      <c r="H277" s="77"/>
      <c r="I277" s="77"/>
      <c r="J277" s="13"/>
    </row>
    <row r="278" spans="1:10" ht="13.5" customHeight="1" x14ac:dyDescent="0.2">
      <c r="A278" s="79">
        <v>42349</v>
      </c>
      <c r="B278" s="79"/>
      <c r="C278" s="63" t="s">
        <v>5833</v>
      </c>
      <c r="D278" s="78"/>
      <c r="E278" s="13">
        <v>3000</v>
      </c>
      <c r="F278" s="78"/>
      <c r="G278" s="75">
        <v>21000</v>
      </c>
      <c r="H278" s="77"/>
      <c r="I278" s="77"/>
      <c r="J278" s="13"/>
    </row>
    <row r="279" spans="1:10" ht="13.5" customHeight="1" x14ac:dyDescent="0.2">
      <c r="A279" s="131">
        <v>42390</v>
      </c>
      <c r="B279" s="70"/>
      <c r="C279" s="63" t="s">
        <v>5833</v>
      </c>
      <c r="D279" s="78"/>
      <c r="E279" s="13">
        <v>3000</v>
      </c>
      <c r="F279" s="78"/>
      <c r="G279" s="75">
        <v>18000</v>
      </c>
      <c r="H279" s="77"/>
      <c r="I279" s="77"/>
      <c r="J279" s="13"/>
    </row>
    <row r="280" spans="1:10" ht="13.5" customHeight="1" x14ac:dyDescent="0.2">
      <c r="A280" s="79">
        <v>42432</v>
      </c>
      <c r="B280" s="76"/>
      <c r="C280" s="63" t="s">
        <v>5833</v>
      </c>
      <c r="D280" s="50"/>
      <c r="E280" s="13">
        <v>1500</v>
      </c>
      <c r="F280" s="13"/>
      <c r="G280" s="75">
        <v>16500</v>
      </c>
      <c r="H280" s="77"/>
      <c r="I280" s="77"/>
      <c r="J280" s="13"/>
    </row>
    <row r="281" spans="1:10" ht="13.5" customHeight="1" x14ac:dyDescent="0.2">
      <c r="A281" s="79">
        <v>42509</v>
      </c>
      <c r="B281" s="76"/>
      <c r="C281" s="63" t="s">
        <v>5834</v>
      </c>
      <c r="D281" s="50"/>
      <c r="E281" s="13">
        <v>1500</v>
      </c>
      <c r="F281" s="13"/>
      <c r="G281" s="75">
        <v>15000</v>
      </c>
      <c r="H281" s="77"/>
      <c r="I281" s="77"/>
      <c r="J281" s="13"/>
    </row>
    <row r="282" spans="1:10" ht="13.5" customHeight="1" x14ac:dyDescent="0.2">
      <c r="A282" s="79">
        <v>42537</v>
      </c>
      <c r="B282" s="76"/>
      <c r="C282" s="63" t="s">
        <v>5835</v>
      </c>
      <c r="D282" s="50"/>
      <c r="E282" s="13">
        <v>1500</v>
      </c>
      <c r="F282" s="13"/>
      <c r="G282" s="75">
        <v>13500</v>
      </c>
      <c r="H282" s="77"/>
      <c r="I282" s="77"/>
      <c r="J282" s="13"/>
    </row>
    <row r="283" spans="1:10" ht="13.5" customHeight="1" x14ac:dyDescent="0.2">
      <c r="A283" s="79">
        <v>42566</v>
      </c>
      <c r="B283" s="76"/>
      <c r="C283" s="63" t="s">
        <v>5835</v>
      </c>
      <c r="D283" s="78"/>
      <c r="E283" s="13">
        <v>1500</v>
      </c>
      <c r="F283" s="78"/>
      <c r="G283" s="75">
        <v>12000</v>
      </c>
      <c r="H283" s="77"/>
      <c r="I283" s="77"/>
      <c r="J283" s="13"/>
    </row>
    <row r="284" spans="1:10" ht="13.5" customHeight="1" x14ac:dyDescent="0.2">
      <c r="A284" s="79">
        <v>42590</v>
      </c>
      <c r="B284" s="76"/>
      <c r="C284" s="63" t="s">
        <v>5835</v>
      </c>
      <c r="D284" s="78"/>
      <c r="E284" s="13">
        <v>1500</v>
      </c>
      <c r="F284" s="78"/>
      <c r="G284" s="75">
        <v>10500</v>
      </c>
      <c r="H284" s="77"/>
      <c r="I284" s="77"/>
      <c r="J284" s="13"/>
    </row>
    <row r="285" spans="1:10" ht="13.5" customHeight="1" x14ac:dyDescent="0.2">
      <c r="A285" s="79">
        <v>42612</v>
      </c>
      <c r="B285" s="76"/>
      <c r="C285" s="63" t="s">
        <v>5835</v>
      </c>
      <c r="D285" s="78"/>
      <c r="E285" s="13">
        <v>1500</v>
      </c>
      <c r="F285" s="78"/>
      <c r="G285" s="75">
        <v>9000</v>
      </c>
      <c r="H285" s="77"/>
      <c r="I285" s="77"/>
      <c r="J285" s="13"/>
    </row>
    <row r="286" spans="1:10" ht="13.5" customHeight="1" x14ac:dyDescent="0.2">
      <c r="A286" s="79">
        <v>42634</v>
      </c>
      <c r="B286" s="76"/>
      <c r="C286" s="63" t="s">
        <v>5835</v>
      </c>
      <c r="D286" s="78"/>
      <c r="E286" s="13">
        <v>1500</v>
      </c>
      <c r="F286" s="78"/>
      <c r="G286" s="75">
        <v>7500</v>
      </c>
      <c r="H286" s="77"/>
      <c r="I286" s="77"/>
      <c r="J286" s="13"/>
    </row>
    <row r="287" spans="1:10" ht="13.5" customHeight="1" x14ac:dyDescent="0.2">
      <c r="A287" s="79">
        <v>42683</v>
      </c>
      <c r="B287" s="70"/>
      <c r="C287" s="63" t="s">
        <v>5836</v>
      </c>
      <c r="D287" s="50"/>
      <c r="E287" s="13">
        <v>2000</v>
      </c>
      <c r="F287" s="13"/>
      <c r="G287" s="75">
        <v>5500</v>
      </c>
      <c r="H287" s="13"/>
      <c r="I287" s="13"/>
      <c r="J287" s="13"/>
    </row>
    <row r="288" spans="1:10" ht="13.5" customHeight="1" x14ac:dyDescent="0.2">
      <c r="A288" s="79">
        <v>42719</v>
      </c>
      <c r="B288" s="70"/>
      <c r="C288" s="63" t="s">
        <v>5837</v>
      </c>
      <c r="D288" s="50"/>
      <c r="E288" s="13">
        <v>500</v>
      </c>
      <c r="F288" s="13"/>
      <c r="G288" s="75">
        <v>5000</v>
      </c>
      <c r="H288" s="13"/>
      <c r="I288" s="13"/>
      <c r="J288" s="13"/>
    </row>
    <row r="289" spans="1:15" ht="13.5" customHeight="1" x14ac:dyDescent="0.2">
      <c r="A289" s="79">
        <v>42775</v>
      </c>
      <c r="B289" s="70"/>
      <c r="C289" s="63" t="s">
        <v>5838</v>
      </c>
      <c r="D289" s="50"/>
      <c r="E289" s="13">
        <v>500</v>
      </c>
      <c r="F289" s="13"/>
      <c r="G289" s="75">
        <v>4500</v>
      </c>
      <c r="H289" s="13"/>
      <c r="I289" s="13"/>
      <c r="J289" s="13"/>
    </row>
    <row r="290" spans="1:15" ht="13.5" customHeight="1" x14ac:dyDescent="0.2">
      <c r="A290" s="79">
        <v>42836</v>
      </c>
      <c r="B290" s="70"/>
      <c r="C290" s="63" t="s">
        <v>5839</v>
      </c>
      <c r="D290" s="50"/>
      <c r="E290" s="13">
        <v>500</v>
      </c>
      <c r="F290" s="13"/>
      <c r="G290" s="75">
        <v>4000</v>
      </c>
      <c r="H290" s="13"/>
      <c r="I290" s="13"/>
      <c r="J290" s="13"/>
    </row>
    <row r="291" spans="1:15" ht="13.5" customHeight="1" x14ac:dyDescent="0.2">
      <c r="A291" s="79">
        <v>42870</v>
      </c>
      <c r="B291" s="70"/>
      <c r="C291" s="63" t="s">
        <v>5840</v>
      </c>
      <c r="D291" s="50"/>
      <c r="E291" s="13">
        <v>500</v>
      </c>
      <c r="F291" s="13"/>
      <c r="G291" s="75">
        <v>3500</v>
      </c>
      <c r="H291" s="13"/>
      <c r="I291" s="13"/>
      <c r="J291" s="13"/>
    </row>
    <row r="292" spans="1:15" ht="13.5" customHeight="1" x14ac:dyDescent="0.2">
      <c r="A292" s="79">
        <v>42902</v>
      </c>
      <c r="B292" s="70"/>
      <c r="C292" s="63" t="s">
        <v>5841</v>
      </c>
      <c r="D292" s="50"/>
      <c r="E292" s="13">
        <v>500</v>
      </c>
      <c r="F292" s="13"/>
      <c r="G292" s="75">
        <v>3000</v>
      </c>
      <c r="H292" s="13"/>
      <c r="I292" s="13"/>
      <c r="J292" s="13"/>
    </row>
    <row r="293" spans="1:15" ht="13.5" customHeight="1" x14ac:dyDescent="0.2">
      <c r="A293" s="79">
        <v>42933</v>
      </c>
      <c r="B293" s="70"/>
      <c r="C293" s="63" t="s">
        <v>5842</v>
      </c>
      <c r="D293" s="50"/>
      <c r="E293" s="13">
        <v>500</v>
      </c>
      <c r="F293" s="13"/>
      <c r="G293" s="1061">
        <v>2500</v>
      </c>
      <c r="H293" s="13"/>
      <c r="I293" s="13"/>
      <c r="J293" s="13"/>
    </row>
    <row r="294" spans="1:15" ht="13.5" customHeight="1" x14ac:dyDescent="0.2">
      <c r="A294" s="79">
        <v>42963</v>
      </c>
      <c r="B294" s="70"/>
      <c r="C294" s="32" t="s">
        <v>5704</v>
      </c>
      <c r="D294" s="50"/>
      <c r="E294" s="13">
        <v>500</v>
      </c>
      <c r="F294" s="13"/>
      <c r="G294" s="75">
        <v>2000</v>
      </c>
      <c r="H294" s="13"/>
      <c r="I294" s="13"/>
      <c r="J294" s="13"/>
      <c r="O294" s="1"/>
    </row>
    <row r="295" spans="1:15" ht="13.5" customHeight="1" x14ac:dyDescent="0.2">
      <c r="A295" s="79">
        <v>43005</v>
      </c>
      <c r="B295" s="70"/>
      <c r="C295" s="63" t="s">
        <v>5704</v>
      </c>
      <c r="D295" s="50"/>
      <c r="E295" s="13">
        <v>500</v>
      </c>
      <c r="F295" s="13"/>
      <c r="G295" s="1061">
        <v>1500</v>
      </c>
      <c r="H295" s="13"/>
      <c r="I295" s="13"/>
      <c r="J295" s="13"/>
      <c r="O295" s="1"/>
    </row>
    <row r="296" spans="1:15" ht="13.5" customHeight="1" x14ac:dyDescent="0.2">
      <c r="A296" s="79">
        <v>43018</v>
      </c>
      <c r="B296" s="70"/>
      <c r="C296" s="32" t="s">
        <v>6328</v>
      </c>
      <c r="D296" s="50"/>
      <c r="E296" s="13">
        <v>0</v>
      </c>
      <c r="F296" s="13"/>
      <c r="G296" s="1061">
        <v>1500</v>
      </c>
      <c r="H296" s="13"/>
      <c r="I296" s="13"/>
      <c r="J296" s="13"/>
      <c r="O296" s="1"/>
    </row>
    <row r="297" spans="1:15" ht="13.5" customHeight="1" x14ac:dyDescent="0.2">
      <c r="A297" s="79">
        <v>43076</v>
      </c>
      <c r="B297" s="70"/>
      <c r="C297" s="32" t="s">
        <v>6329</v>
      </c>
      <c r="D297" s="50"/>
      <c r="E297" s="13">
        <v>1500</v>
      </c>
      <c r="F297" s="13"/>
      <c r="G297" s="14">
        <v>0</v>
      </c>
      <c r="H297" s="13"/>
      <c r="I297" s="13"/>
      <c r="J297" s="13"/>
      <c r="O297" s="1"/>
    </row>
    <row r="298" spans="1:15" ht="13.5" customHeight="1" x14ac:dyDescent="0.2">
      <c r="A298" s="79"/>
      <c r="B298" s="70"/>
      <c r="C298" s="63"/>
      <c r="D298" s="50"/>
      <c r="E298" s="13"/>
      <c r="F298" s="13"/>
      <c r="G298" s="14"/>
      <c r="H298" s="13"/>
      <c r="I298" s="13"/>
      <c r="J298" s="13"/>
    </row>
    <row r="299" spans="1:15" ht="13.5" customHeight="1" x14ac:dyDescent="0.2">
      <c r="A299" s="79"/>
      <c r="B299" s="70"/>
      <c r="C299" s="63"/>
      <c r="D299" s="50"/>
      <c r="E299" s="13"/>
      <c r="F299" s="13"/>
      <c r="G299" s="14"/>
      <c r="H299" s="13"/>
      <c r="I299" s="13"/>
      <c r="J299" s="13"/>
    </row>
    <row r="300" spans="1:15" ht="13.5" customHeight="1" thickBot="1" x14ac:dyDescent="0.25">
      <c r="A300" s="76"/>
      <c r="B300" s="76"/>
      <c r="C300" s="78"/>
      <c r="D300" s="78"/>
      <c r="E300" s="78"/>
      <c r="F300" s="78"/>
      <c r="G300" s="75"/>
      <c r="H300" s="77"/>
      <c r="I300" s="77"/>
      <c r="J300" s="13"/>
    </row>
    <row r="301" spans="1:15" ht="13.5" customHeight="1" thickBot="1" x14ac:dyDescent="0.25">
      <c r="A301" s="1060" t="s">
        <v>5829</v>
      </c>
      <c r="B301" s="214"/>
      <c r="C301" s="215" t="s">
        <v>5843</v>
      </c>
      <c r="D301" s="216"/>
      <c r="E301" s="187"/>
      <c r="F301" s="187"/>
      <c r="G301" s="217" t="s">
        <v>7</v>
      </c>
      <c r="H301" s="187"/>
      <c r="I301" s="187"/>
      <c r="J301" s="189"/>
    </row>
    <row r="302" spans="1:15" ht="13.5" customHeight="1" x14ac:dyDescent="0.2">
      <c r="A302" s="70"/>
      <c r="B302" s="70"/>
      <c r="C302" s="63" t="s">
        <v>5831</v>
      </c>
      <c r="D302" s="50"/>
      <c r="E302" s="13"/>
      <c r="F302" s="13"/>
      <c r="G302" s="75">
        <v>6000</v>
      </c>
      <c r="H302" s="13"/>
      <c r="I302" s="13"/>
      <c r="J302" s="13"/>
    </row>
    <row r="303" spans="1:15" ht="13.5" customHeight="1" x14ac:dyDescent="0.2">
      <c r="A303" s="79">
        <v>42594</v>
      </c>
      <c r="B303" s="70"/>
      <c r="C303" s="63" t="s">
        <v>5844</v>
      </c>
      <c r="D303" s="50"/>
      <c r="E303" s="13">
        <v>2000</v>
      </c>
      <c r="F303" s="13"/>
      <c r="G303" s="75">
        <v>4000</v>
      </c>
      <c r="H303" s="13"/>
      <c r="I303" s="13"/>
      <c r="J303" s="13"/>
    </row>
    <row r="304" spans="1:15" ht="13.5" customHeight="1" x14ac:dyDescent="0.2">
      <c r="A304" s="79">
        <v>42682</v>
      </c>
      <c r="B304" s="79"/>
      <c r="C304" s="63" t="s">
        <v>5845</v>
      </c>
      <c r="D304" s="78"/>
      <c r="E304" s="13">
        <v>3500</v>
      </c>
      <c r="F304" s="13"/>
      <c r="G304" s="75">
        <v>500</v>
      </c>
      <c r="H304" s="77"/>
      <c r="I304" s="77"/>
      <c r="J304" s="13"/>
    </row>
    <row r="305" spans="1:10" ht="13.5" customHeight="1" x14ac:dyDescent="0.2">
      <c r="A305" s="79"/>
      <c r="B305" s="79"/>
      <c r="C305" s="78"/>
      <c r="D305" s="78"/>
      <c r="E305" s="78"/>
      <c r="F305" s="78"/>
      <c r="G305" s="75"/>
      <c r="H305" s="77"/>
      <c r="I305" s="77"/>
      <c r="J305" s="13"/>
    </row>
    <row r="306" spans="1:10" ht="13.5" customHeight="1" thickBot="1" x14ac:dyDescent="0.25">
      <c r="A306" s="79"/>
      <c r="B306" s="79"/>
      <c r="C306" s="78"/>
      <c r="D306" s="78"/>
      <c r="E306" s="78"/>
      <c r="F306" s="78"/>
      <c r="G306" s="75"/>
      <c r="H306" s="77"/>
      <c r="I306" s="77"/>
      <c r="J306" s="13"/>
    </row>
    <row r="307" spans="1:10" ht="13.5" customHeight="1" thickBot="1" x14ac:dyDescent="0.25">
      <c r="A307" s="1060" t="s">
        <v>5829</v>
      </c>
      <c r="B307" s="214"/>
      <c r="C307" s="215" t="s">
        <v>5846</v>
      </c>
      <c r="D307" s="216"/>
      <c r="E307" s="187"/>
      <c r="F307" s="187"/>
      <c r="G307" s="217" t="s">
        <v>7</v>
      </c>
      <c r="H307" s="77"/>
      <c r="I307" s="77"/>
      <c r="J307" s="13"/>
    </row>
    <row r="308" spans="1:10" ht="13.5" customHeight="1" x14ac:dyDescent="0.2">
      <c r="A308" s="79"/>
      <c r="B308" s="70"/>
      <c r="C308" s="63" t="s">
        <v>5831</v>
      </c>
      <c r="D308" s="50"/>
      <c r="E308" s="13"/>
      <c r="F308" s="13"/>
      <c r="G308" s="75">
        <v>1400</v>
      </c>
      <c r="H308" s="77"/>
      <c r="I308" s="77"/>
      <c r="J308" s="13"/>
    </row>
    <row r="309" spans="1:10" ht="13.5" customHeight="1" x14ac:dyDescent="0.2">
      <c r="A309" s="79">
        <v>42465</v>
      </c>
      <c r="B309" s="70"/>
      <c r="C309" s="63" t="s">
        <v>5847</v>
      </c>
      <c r="D309" s="50"/>
      <c r="E309" s="13">
        <v>123.9</v>
      </c>
      <c r="F309" s="13"/>
      <c r="G309" s="75">
        <v>1276.0999999999999</v>
      </c>
      <c r="H309" s="77"/>
      <c r="I309" s="77"/>
      <c r="J309" s="13"/>
    </row>
    <row r="310" spans="1:10" ht="13.5" customHeight="1" x14ac:dyDescent="0.2">
      <c r="A310" s="79"/>
      <c r="B310" s="70"/>
      <c r="C310" s="63" t="s">
        <v>5848</v>
      </c>
      <c r="D310" s="50"/>
      <c r="E310" s="13">
        <v>150</v>
      </c>
      <c r="F310" s="13"/>
      <c r="G310" s="75">
        <v>1126.0999999999999</v>
      </c>
      <c r="H310" s="77"/>
      <c r="I310" s="77"/>
      <c r="J310" s="13"/>
    </row>
    <row r="311" spans="1:10" ht="13.5" customHeight="1" x14ac:dyDescent="0.2">
      <c r="A311" s="79">
        <v>42543</v>
      </c>
      <c r="B311" s="70"/>
      <c r="C311" s="63" t="s">
        <v>5849</v>
      </c>
      <c r="D311" s="50"/>
      <c r="E311" s="13">
        <v>176.9</v>
      </c>
      <c r="F311" s="13"/>
      <c r="G311" s="75">
        <v>949.19999999999993</v>
      </c>
      <c r="H311" s="13"/>
      <c r="I311" s="13"/>
      <c r="J311" s="13"/>
    </row>
    <row r="312" spans="1:10" ht="13.5" customHeight="1" x14ac:dyDescent="0.2">
      <c r="A312" s="79"/>
      <c r="B312" s="79"/>
      <c r="C312" s="63" t="s">
        <v>5850</v>
      </c>
      <c r="D312" s="78"/>
      <c r="E312" s="13">
        <v>105.5</v>
      </c>
      <c r="F312" s="13"/>
      <c r="G312" s="75">
        <v>843.69999999999993</v>
      </c>
      <c r="H312" s="13"/>
      <c r="I312" s="13"/>
      <c r="J312" s="13"/>
    </row>
    <row r="313" spans="1:10" ht="13.5" customHeight="1" x14ac:dyDescent="0.2">
      <c r="A313" s="79"/>
      <c r="B313" s="79"/>
      <c r="C313" s="78" t="s">
        <v>5851</v>
      </c>
      <c r="D313" s="78"/>
      <c r="E313" s="13">
        <v>37.5</v>
      </c>
      <c r="F313" s="13"/>
      <c r="G313" s="75">
        <v>806.19999999999993</v>
      </c>
      <c r="H313" s="77"/>
      <c r="I313" s="77"/>
      <c r="J313" s="13"/>
    </row>
    <row r="314" spans="1:10" ht="13.5" customHeight="1" x14ac:dyDescent="0.2">
      <c r="A314" s="79">
        <v>42576</v>
      </c>
      <c r="B314" s="79"/>
      <c r="C314" s="78" t="s">
        <v>5852</v>
      </c>
      <c r="D314" s="78"/>
      <c r="E314" s="13">
        <v>39.9</v>
      </c>
      <c r="F314" s="13"/>
      <c r="G314" s="75">
        <v>766.3</v>
      </c>
      <c r="H314" s="77"/>
      <c r="I314" s="77"/>
      <c r="J314" s="13"/>
    </row>
    <row r="315" spans="1:10" ht="13.5" customHeight="1" x14ac:dyDescent="0.2">
      <c r="A315" s="79">
        <v>42600</v>
      </c>
      <c r="B315" s="79"/>
      <c r="C315" s="850" t="s">
        <v>5853</v>
      </c>
      <c r="D315" s="78"/>
      <c r="E315" s="13">
        <v>11.8</v>
      </c>
      <c r="F315" s="13"/>
      <c r="G315" s="75">
        <v>754.5</v>
      </c>
      <c r="H315" s="77"/>
      <c r="I315" s="77"/>
      <c r="J315" s="13"/>
    </row>
    <row r="316" spans="1:10" ht="13.5" customHeight="1" x14ac:dyDescent="0.2">
      <c r="A316" s="79">
        <v>42611</v>
      </c>
      <c r="B316" s="79"/>
      <c r="C316" s="63" t="s">
        <v>5854</v>
      </c>
      <c r="D316" s="78"/>
      <c r="E316" s="13">
        <v>176.9</v>
      </c>
      <c r="F316" s="13"/>
      <c r="G316" s="75">
        <v>577.6</v>
      </c>
      <c r="H316" s="77"/>
      <c r="I316" s="77"/>
      <c r="J316" s="13"/>
    </row>
    <row r="317" spans="1:10" ht="13.5" customHeight="1" x14ac:dyDescent="0.2">
      <c r="A317" s="79">
        <v>42633</v>
      </c>
      <c r="B317" s="70"/>
      <c r="C317" s="63" t="s">
        <v>5855</v>
      </c>
      <c r="D317" s="50"/>
      <c r="E317" s="13">
        <v>5</v>
      </c>
      <c r="F317" s="13"/>
      <c r="G317" s="75">
        <v>572.6</v>
      </c>
      <c r="H317" s="13"/>
      <c r="I317" s="13"/>
      <c r="J317" s="13"/>
    </row>
    <row r="318" spans="1:10" ht="13.5" customHeight="1" x14ac:dyDescent="0.2">
      <c r="A318" s="79">
        <v>42664</v>
      </c>
      <c r="B318" s="80"/>
      <c r="C318" s="81" t="s">
        <v>5856</v>
      </c>
      <c r="D318" s="50"/>
      <c r="E318" s="13">
        <v>95</v>
      </c>
      <c r="F318" s="13"/>
      <c r="G318" s="75">
        <v>477.6</v>
      </c>
      <c r="H318" s="13"/>
      <c r="I318" s="13"/>
      <c r="J318" s="13"/>
    </row>
    <row r="319" spans="1:10" ht="13.5" customHeight="1" x14ac:dyDescent="0.2">
      <c r="A319" s="79">
        <v>42704</v>
      </c>
      <c r="B319" s="79"/>
      <c r="C319" s="78" t="s">
        <v>5857</v>
      </c>
      <c r="D319" s="78"/>
      <c r="E319" s="13">
        <v>31.7</v>
      </c>
      <c r="F319" s="13"/>
      <c r="G319" s="75">
        <v>445.90000000000003</v>
      </c>
      <c r="H319" s="77"/>
      <c r="I319" s="77"/>
      <c r="J319" s="13"/>
    </row>
    <row r="320" spans="1:10" ht="13.5" customHeight="1" x14ac:dyDescent="0.2">
      <c r="A320" s="79">
        <v>42705</v>
      </c>
      <c r="B320" s="79"/>
      <c r="C320" s="78" t="s">
        <v>5858</v>
      </c>
      <c r="D320" s="50"/>
      <c r="E320" s="13">
        <v>14.4</v>
      </c>
      <c r="F320" s="13"/>
      <c r="G320" s="75">
        <v>431.50000000000006</v>
      </c>
      <c r="H320" s="77"/>
      <c r="I320" s="77"/>
      <c r="J320" s="13"/>
    </row>
    <row r="321" spans="1:10" ht="13.5" customHeight="1" x14ac:dyDescent="0.2">
      <c r="A321" s="79">
        <v>42716</v>
      </c>
      <c r="B321" s="79"/>
      <c r="C321" s="78" t="s">
        <v>5847</v>
      </c>
      <c r="D321" s="78"/>
      <c r="E321" s="13">
        <v>120</v>
      </c>
      <c r="F321" s="13"/>
      <c r="G321" s="75">
        <v>311.50000000000006</v>
      </c>
      <c r="H321" s="77"/>
      <c r="I321" s="77"/>
      <c r="J321" s="13"/>
    </row>
    <row r="322" spans="1:10" ht="13.5" customHeight="1" x14ac:dyDescent="0.2">
      <c r="A322" s="79">
        <v>42718</v>
      </c>
      <c r="B322" s="79"/>
      <c r="C322" s="78" t="s">
        <v>5859</v>
      </c>
      <c r="D322" s="50"/>
      <c r="E322" s="13">
        <v>23.7</v>
      </c>
      <c r="F322" s="13"/>
      <c r="G322" s="75">
        <v>287.80000000000007</v>
      </c>
      <c r="H322" s="77"/>
      <c r="I322" s="77"/>
      <c r="J322" s="13"/>
    </row>
    <row r="323" spans="1:10" ht="13.5" customHeight="1" x14ac:dyDescent="0.2">
      <c r="A323" s="79">
        <v>42759</v>
      </c>
      <c r="B323" s="80"/>
      <c r="C323" s="1062" t="s">
        <v>5860</v>
      </c>
      <c r="D323" s="78"/>
      <c r="E323" s="13">
        <v>1</v>
      </c>
      <c r="F323" s="13"/>
      <c r="G323" s="75">
        <v>286.80000000000007</v>
      </c>
      <c r="H323" s="13"/>
      <c r="I323" s="13"/>
      <c r="J323" s="13"/>
    </row>
    <row r="324" spans="1:10" ht="13.5" customHeight="1" x14ac:dyDescent="0.2">
      <c r="A324" s="79">
        <v>42765</v>
      </c>
      <c r="B324" s="79"/>
      <c r="C324" s="78" t="s">
        <v>5861</v>
      </c>
      <c r="D324" s="50"/>
      <c r="E324" s="13">
        <v>45</v>
      </c>
      <c r="F324" s="13"/>
      <c r="G324" s="75">
        <v>241.80000000000007</v>
      </c>
      <c r="H324" s="77"/>
      <c r="I324" s="77"/>
      <c r="J324" s="13"/>
    </row>
    <row r="325" spans="1:10" ht="13.5" customHeight="1" x14ac:dyDescent="0.2">
      <c r="A325" s="79">
        <v>42899</v>
      </c>
      <c r="B325" s="79"/>
      <c r="C325" s="78" t="s">
        <v>5862</v>
      </c>
      <c r="D325" s="78"/>
      <c r="E325" s="13">
        <v>130</v>
      </c>
      <c r="F325" s="13"/>
      <c r="G325" s="75">
        <v>111.80000000000007</v>
      </c>
      <c r="H325" s="77"/>
      <c r="I325" s="77"/>
      <c r="J325" s="13"/>
    </row>
    <row r="326" spans="1:10" ht="13.5" customHeight="1" x14ac:dyDescent="0.2">
      <c r="A326" s="79"/>
      <c r="B326" s="79"/>
      <c r="C326" s="78"/>
      <c r="D326" s="78"/>
      <c r="E326" s="13"/>
      <c r="F326" s="13"/>
      <c r="G326" s="75"/>
      <c r="H326" s="77"/>
      <c r="I326" s="77"/>
      <c r="J326" s="13"/>
    </row>
    <row r="327" spans="1:10" ht="13.5" customHeight="1" x14ac:dyDescent="0.2">
      <c r="A327" s="74"/>
      <c r="B327" s="80"/>
      <c r="C327" s="81"/>
      <c r="D327" s="50"/>
      <c r="E327" s="13"/>
      <c r="F327" s="13"/>
      <c r="G327" s="75"/>
      <c r="H327" s="13"/>
      <c r="I327" s="13"/>
      <c r="J327" s="13"/>
    </row>
    <row r="328" spans="1:10" ht="13.5" customHeight="1" x14ac:dyDescent="0.2">
      <c r="A328" s="79"/>
      <c r="B328" s="79"/>
      <c r="C328" s="78"/>
      <c r="D328" s="78"/>
      <c r="E328" s="13"/>
      <c r="F328" s="13"/>
      <c r="G328" s="75"/>
      <c r="H328" s="77"/>
      <c r="I328" s="77"/>
      <c r="J328" s="13"/>
    </row>
    <row r="329" spans="1:10" ht="13.5" customHeight="1" x14ac:dyDescent="0.2">
      <c r="A329" s="79"/>
      <c r="B329" s="79"/>
      <c r="C329" s="78"/>
      <c r="D329" s="78"/>
      <c r="E329" s="13"/>
      <c r="F329" s="13"/>
      <c r="G329" s="75"/>
      <c r="H329" s="77"/>
      <c r="I329" s="77"/>
      <c r="J329" s="13"/>
    </row>
    <row r="330" spans="1:10" ht="13.5" customHeight="1" x14ac:dyDescent="0.2">
      <c r="A330" s="79"/>
      <c r="B330" s="79"/>
      <c r="C330" s="78"/>
      <c r="D330" s="78"/>
      <c r="E330" s="78"/>
      <c r="F330" s="78"/>
      <c r="G330" s="75"/>
      <c r="H330" s="77"/>
      <c r="I330" s="77"/>
      <c r="J330" s="13"/>
    </row>
    <row r="331" spans="1:10" ht="13.5" customHeight="1" x14ac:dyDescent="0.2">
      <c r="A331" s="79"/>
      <c r="B331" s="79"/>
      <c r="C331" s="78"/>
      <c r="D331" s="78"/>
      <c r="E331" s="78"/>
      <c r="F331" s="78"/>
      <c r="G331" s="75"/>
      <c r="H331" s="77"/>
      <c r="I331" s="77"/>
      <c r="J331" s="13"/>
    </row>
    <row r="332" spans="1:10" ht="13.5" customHeight="1" x14ac:dyDescent="0.2">
      <c r="A332" s="79"/>
      <c r="B332" s="79"/>
      <c r="C332" s="78"/>
      <c r="D332" s="78"/>
      <c r="E332" s="78"/>
      <c r="F332" s="78"/>
      <c r="G332" s="75"/>
      <c r="H332" s="77"/>
      <c r="I332" s="77"/>
      <c r="J332" s="13"/>
    </row>
    <row r="333" spans="1:10" ht="13.5" customHeight="1" x14ac:dyDescent="0.2">
      <c r="A333" s="79"/>
      <c r="B333" s="79"/>
      <c r="C333" s="78"/>
      <c r="D333" s="78"/>
      <c r="E333" s="78"/>
      <c r="F333" s="78"/>
      <c r="G333" s="75"/>
      <c r="H333" s="77"/>
      <c r="I333" s="77"/>
      <c r="J333" s="13"/>
    </row>
    <row r="334" spans="1:10" ht="13.5" customHeight="1" x14ac:dyDescent="0.2">
      <c r="A334" s="79"/>
      <c r="B334" s="79"/>
      <c r="C334" s="78"/>
      <c r="D334" s="78"/>
      <c r="E334" s="78"/>
      <c r="F334" s="78"/>
      <c r="G334" s="75"/>
      <c r="H334" s="77"/>
      <c r="I334" s="77"/>
      <c r="J334" s="13"/>
    </row>
    <row r="335" spans="1:10" ht="13.5" customHeight="1" x14ac:dyDescent="0.2">
      <c r="A335" s="79"/>
      <c r="B335" s="79"/>
      <c r="C335" s="78"/>
      <c r="D335" s="78"/>
      <c r="E335" s="78"/>
      <c r="F335" s="78"/>
      <c r="G335" s="14"/>
      <c r="H335" s="77"/>
      <c r="I335" s="77"/>
      <c r="J335" s="130"/>
    </row>
    <row r="336" spans="1:10" ht="13.5" customHeight="1" x14ac:dyDescent="0.2">
      <c r="A336" s="70"/>
      <c r="B336" s="70"/>
      <c r="C336" s="63"/>
      <c r="D336" s="50"/>
      <c r="E336" s="13"/>
      <c r="F336" s="13"/>
      <c r="G336" s="75"/>
      <c r="H336" s="82"/>
      <c r="I336" s="13"/>
      <c r="J336" s="13"/>
    </row>
    <row r="337" spans="1:10" ht="13.5" customHeight="1" x14ac:dyDescent="0.2">
      <c r="A337" s="70"/>
      <c r="B337" s="70"/>
      <c r="C337" s="63"/>
      <c r="D337" s="50"/>
      <c r="E337" s="13"/>
      <c r="F337" s="13"/>
      <c r="G337" s="75"/>
      <c r="H337" s="82"/>
      <c r="I337" s="13"/>
      <c r="J337" s="13"/>
    </row>
    <row r="338" spans="1:10" ht="13.5" customHeight="1" x14ac:dyDescent="0.2">
      <c r="A338" s="70"/>
      <c r="B338" s="70"/>
      <c r="C338" s="63"/>
      <c r="D338" s="50"/>
      <c r="E338" s="13"/>
      <c r="F338" s="13"/>
      <c r="G338" s="75"/>
      <c r="H338" s="82"/>
      <c r="I338" s="13"/>
      <c r="J338" s="13"/>
    </row>
    <row r="339" spans="1:10" ht="13.5" customHeight="1" x14ac:dyDescent="0.2">
      <c r="A339" s="70"/>
      <c r="B339" s="70"/>
      <c r="C339" s="63"/>
      <c r="D339" s="50"/>
      <c r="E339" s="13"/>
      <c r="F339" s="13"/>
      <c r="G339" s="75"/>
      <c r="H339" s="82"/>
      <c r="I339" s="13"/>
      <c r="J339" s="13"/>
    </row>
    <row r="340" spans="1:10" ht="13.5" customHeight="1" x14ac:dyDescent="0.2">
      <c r="A340" s="70"/>
      <c r="B340" s="70"/>
      <c r="C340" s="63"/>
      <c r="D340" s="50"/>
      <c r="E340" s="13"/>
      <c r="F340" s="13"/>
      <c r="G340" s="75"/>
      <c r="H340" s="82"/>
      <c r="I340" s="13"/>
      <c r="J340" s="13"/>
    </row>
    <row r="341" spans="1:10" ht="13.5" customHeight="1" x14ac:dyDescent="0.2">
      <c r="A341" s="70"/>
      <c r="B341" s="70"/>
      <c r="C341" s="63"/>
      <c r="D341" s="50"/>
      <c r="E341" s="13"/>
      <c r="F341" s="13"/>
      <c r="G341" s="75"/>
      <c r="H341" s="82"/>
      <c r="I341" s="13"/>
      <c r="J341" s="13"/>
    </row>
    <row r="342" spans="1:10" ht="13.5" customHeight="1" x14ac:dyDescent="0.2">
      <c r="A342" s="70"/>
      <c r="B342" s="70"/>
      <c r="C342" s="63"/>
      <c r="D342" s="50"/>
      <c r="E342" s="13"/>
      <c r="F342" s="13"/>
      <c r="G342" s="75"/>
      <c r="H342" s="82"/>
      <c r="I342" s="13"/>
      <c r="J342" s="13"/>
    </row>
    <row r="343" spans="1:10" ht="13.5" customHeight="1" x14ac:dyDescent="0.2">
      <c r="A343" s="70"/>
      <c r="B343" s="70"/>
      <c r="C343" s="63"/>
      <c r="D343" s="50"/>
      <c r="E343" s="13"/>
      <c r="F343" s="13"/>
      <c r="G343" s="75"/>
      <c r="H343" s="82"/>
      <c r="I343" s="13"/>
      <c r="J343" s="13"/>
    </row>
    <row r="344" spans="1:10" ht="13.5" customHeight="1" x14ac:dyDescent="0.2">
      <c r="A344" s="70"/>
      <c r="B344" s="70"/>
      <c r="C344" s="63"/>
      <c r="D344" s="50"/>
      <c r="E344" s="13"/>
      <c r="F344" s="13"/>
      <c r="G344" s="75"/>
      <c r="H344" s="82"/>
      <c r="I344" s="13"/>
      <c r="J344" s="13"/>
    </row>
    <row r="345" spans="1:10" ht="13.5" customHeight="1" x14ac:dyDescent="0.2">
      <c r="A345" s="70"/>
      <c r="B345" s="70"/>
      <c r="C345" s="63"/>
      <c r="D345" s="50"/>
      <c r="E345" s="13"/>
      <c r="F345" s="13"/>
      <c r="G345" s="75"/>
      <c r="H345" s="82"/>
      <c r="I345" s="13"/>
      <c r="J345" s="13"/>
    </row>
    <row r="346" spans="1:10" ht="13.5" customHeight="1" x14ac:dyDescent="0.2">
      <c r="A346" s="70"/>
      <c r="B346" s="70"/>
      <c r="C346" s="63"/>
      <c r="D346" s="50"/>
      <c r="E346" s="13"/>
      <c r="F346" s="13"/>
      <c r="G346" s="75"/>
      <c r="H346" s="82"/>
      <c r="I346" s="13"/>
      <c r="J346" s="13"/>
    </row>
    <row r="347" spans="1:10" ht="13.5" customHeight="1" x14ac:dyDescent="0.2">
      <c r="A347" s="70"/>
      <c r="B347" s="70"/>
      <c r="C347" s="63"/>
      <c r="D347" s="50"/>
      <c r="E347" s="13"/>
      <c r="F347" s="13"/>
      <c r="G347" s="75"/>
      <c r="H347" s="82"/>
      <c r="I347" s="13"/>
      <c r="J347" s="13"/>
    </row>
    <row r="348" spans="1:10" ht="13.5" customHeight="1" x14ac:dyDescent="0.2">
      <c r="A348" s="70"/>
      <c r="B348" s="70"/>
      <c r="C348" s="63"/>
      <c r="D348" s="50"/>
      <c r="E348" s="13"/>
      <c r="F348" s="13"/>
      <c r="G348" s="75"/>
      <c r="H348" s="82"/>
      <c r="I348" s="13"/>
      <c r="J348" s="13"/>
    </row>
    <row r="349" spans="1:10" ht="13.5" customHeight="1" x14ac:dyDescent="0.2">
      <c r="A349" s="70"/>
      <c r="B349" s="70"/>
      <c r="C349" s="63"/>
      <c r="D349" s="50"/>
      <c r="E349" s="13"/>
      <c r="F349" s="13"/>
      <c r="G349" s="75"/>
      <c r="H349" s="82"/>
      <c r="I349" s="13"/>
      <c r="J349" s="13"/>
    </row>
    <row r="350" spans="1:10" ht="13.5" customHeight="1" x14ac:dyDescent="0.2">
      <c r="A350" s="70"/>
      <c r="B350" s="70"/>
      <c r="C350" s="63"/>
      <c r="D350" s="50"/>
      <c r="E350" s="13"/>
      <c r="F350" s="13"/>
      <c r="G350" s="75"/>
      <c r="H350" s="82"/>
      <c r="I350" s="13"/>
      <c r="J350" s="13"/>
    </row>
    <row r="351" spans="1:10" ht="13.5" customHeight="1" x14ac:dyDescent="0.2">
      <c r="A351" s="70"/>
      <c r="B351" s="70"/>
      <c r="C351" s="63"/>
      <c r="D351" s="50"/>
      <c r="E351" s="13"/>
      <c r="F351" s="13"/>
      <c r="G351" s="75"/>
      <c r="H351" s="82"/>
      <c r="I351" s="13"/>
      <c r="J351" s="13"/>
    </row>
    <row r="352" spans="1:10" ht="13.5" customHeight="1" x14ac:dyDescent="0.2">
      <c r="A352" s="70"/>
      <c r="B352" s="70"/>
      <c r="C352" s="63"/>
      <c r="D352" s="50"/>
      <c r="E352" s="13"/>
      <c r="F352" s="13"/>
      <c r="G352" s="75"/>
      <c r="H352" s="82"/>
      <c r="I352" s="13"/>
      <c r="J352" s="13"/>
    </row>
    <row r="353" spans="1:10" ht="13.5" customHeight="1" x14ac:dyDescent="0.2">
      <c r="A353" s="70"/>
      <c r="B353" s="70"/>
      <c r="C353" s="63"/>
      <c r="D353" s="50"/>
      <c r="E353" s="13"/>
      <c r="F353" s="13"/>
      <c r="G353" s="75"/>
      <c r="H353" s="82"/>
      <c r="I353" s="13"/>
      <c r="J353" s="13"/>
    </row>
    <row r="354" spans="1:10" ht="13.5" customHeight="1" x14ac:dyDescent="0.2">
      <c r="A354" s="70"/>
      <c r="B354" s="70"/>
      <c r="C354" s="63"/>
      <c r="D354" s="50"/>
      <c r="E354" s="13"/>
      <c r="F354" s="13"/>
      <c r="G354" s="75"/>
      <c r="H354" s="82"/>
      <c r="I354" s="13"/>
      <c r="J354" s="13"/>
    </row>
    <row r="355" spans="1:10" ht="13.5" customHeight="1" x14ac:dyDescent="0.2">
      <c r="A355" s="70"/>
      <c r="B355" s="70"/>
      <c r="C355" s="63"/>
      <c r="D355" s="50"/>
      <c r="E355" s="13"/>
      <c r="F355" s="13"/>
      <c r="G355" s="75"/>
      <c r="H355" s="82"/>
      <c r="I355" s="13"/>
      <c r="J355" s="13"/>
    </row>
    <row r="356" spans="1:10" ht="13.5" customHeight="1" x14ac:dyDescent="0.2">
      <c r="A356" s="70"/>
      <c r="B356" s="70"/>
      <c r="C356" s="63"/>
      <c r="D356" s="50"/>
      <c r="E356" s="13"/>
      <c r="F356" s="13"/>
      <c r="G356" s="75"/>
      <c r="H356" s="82"/>
      <c r="I356" s="13"/>
      <c r="J356" s="13"/>
    </row>
    <row r="357" spans="1:10" ht="13.5" customHeight="1" x14ac:dyDescent="0.2">
      <c r="A357" s="70"/>
      <c r="B357" s="70"/>
      <c r="C357" s="63"/>
      <c r="D357" s="50"/>
      <c r="E357" s="13"/>
      <c r="F357" s="13"/>
      <c r="G357" s="75"/>
      <c r="H357" s="82"/>
      <c r="I357" s="13"/>
      <c r="J357" s="13"/>
    </row>
    <row r="358" spans="1:10" ht="13.5" customHeight="1" x14ac:dyDescent="0.2">
      <c r="A358" s="70"/>
      <c r="B358" s="70"/>
      <c r="C358" s="63"/>
      <c r="D358" s="50"/>
      <c r="E358" s="13"/>
      <c r="F358" s="13"/>
      <c r="G358" s="75"/>
      <c r="H358" s="82"/>
      <c r="I358" s="13"/>
      <c r="J358" s="13"/>
    </row>
    <row r="359" spans="1:10" ht="13.5" customHeight="1" x14ac:dyDescent="0.2">
      <c r="A359" s="70"/>
      <c r="B359" s="70"/>
      <c r="C359" s="63"/>
      <c r="D359" s="50"/>
      <c r="E359" s="13"/>
      <c r="F359" s="13"/>
      <c r="G359" s="75"/>
      <c r="H359" s="82"/>
      <c r="I359" s="13"/>
      <c r="J359" s="13"/>
    </row>
    <row r="360" spans="1:10" ht="13.5" customHeight="1" x14ac:dyDescent="0.2">
      <c r="A360" s="70"/>
      <c r="B360" s="70"/>
      <c r="C360" s="63"/>
      <c r="D360" s="50"/>
      <c r="E360" s="13"/>
      <c r="F360" s="13"/>
      <c r="G360" s="75"/>
      <c r="H360" s="82"/>
      <c r="I360" s="13"/>
      <c r="J360" s="13"/>
    </row>
    <row r="361" spans="1:10" ht="13.5" customHeight="1" x14ac:dyDescent="0.2">
      <c r="A361" s="70"/>
      <c r="B361" s="70"/>
      <c r="C361" s="63"/>
      <c r="D361" s="50"/>
      <c r="E361" s="13"/>
      <c r="F361" s="13"/>
      <c r="G361" s="75"/>
      <c r="H361" s="82"/>
      <c r="I361" s="13"/>
      <c r="J361" s="13"/>
    </row>
    <row r="362" spans="1:10" ht="13.5" customHeight="1" x14ac:dyDescent="0.2">
      <c r="A362" s="70"/>
      <c r="B362" s="70"/>
      <c r="C362" s="63"/>
      <c r="D362" s="50"/>
      <c r="E362" s="13"/>
      <c r="F362" s="13"/>
      <c r="G362" s="75"/>
      <c r="H362" s="82"/>
      <c r="I362" s="13"/>
      <c r="J362" s="13"/>
    </row>
    <row r="363" spans="1:10" ht="13.5" customHeight="1" x14ac:dyDescent="0.2">
      <c r="A363" s="70"/>
      <c r="B363" s="70"/>
      <c r="C363" s="63"/>
      <c r="D363" s="50"/>
      <c r="E363" s="13"/>
      <c r="F363" s="13"/>
      <c r="G363" s="75"/>
      <c r="H363" s="82"/>
      <c r="I363" s="13"/>
      <c r="J363" s="13"/>
    </row>
    <row r="364" spans="1:10" ht="13.5" customHeight="1" x14ac:dyDescent="0.2">
      <c r="A364" s="70"/>
      <c r="B364" s="70"/>
      <c r="C364" s="63"/>
      <c r="D364" s="50"/>
      <c r="E364" s="13"/>
      <c r="F364" s="13"/>
      <c r="G364" s="75"/>
      <c r="H364" s="82"/>
      <c r="I364" s="13"/>
      <c r="J364" s="13"/>
    </row>
    <row r="365" spans="1:10" ht="13.5" customHeight="1" x14ac:dyDescent="0.2">
      <c r="A365" s="70"/>
      <c r="B365" s="70"/>
      <c r="C365" s="63"/>
      <c r="D365" s="50"/>
      <c r="E365" s="13"/>
      <c r="F365" s="13"/>
      <c r="G365" s="75"/>
      <c r="H365" s="82"/>
      <c r="I365" s="13"/>
      <c r="J365" s="13"/>
    </row>
    <row r="366" spans="1:10" ht="13.5" customHeight="1" x14ac:dyDescent="0.2">
      <c r="A366" s="70"/>
      <c r="B366" s="70"/>
      <c r="C366" s="63"/>
      <c r="D366" s="50"/>
      <c r="E366" s="13"/>
      <c r="F366" s="13"/>
      <c r="G366" s="75"/>
      <c r="H366" s="82"/>
      <c r="I366" s="13"/>
      <c r="J366" s="13"/>
    </row>
    <row r="367" spans="1:10" ht="13.5" customHeight="1" x14ac:dyDescent="0.2">
      <c r="A367" s="70"/>
      <c r="B367" s="70"/>
      <c r="C367" s="63"/>
      <c r="D367" s="50"/>
      <c r="E367" s="13"/>
      <c r="F367" s="13"/>
      <c r="G367" s="75"/>
      <c r="H367" s="82"/>
      <c r="I367" s="13"/>
      <c r="J367" s="13"/>
    </row>
    <row r="368" spans="1:10" ht="13.5" customHeight="1" x14ac:dyDescent="0.2">
      <c r="A368" s="70"/>
      <c r="B368" s="70"/>
      <c r="C368" s="63"/>
      <c r="D368" s="50"/>
      <c r="E368" s="13"/>
      <c r="F368" s="13"/>
      <c r="G368" s="75"/>
      <c r="H368" s="82"/>
      <c r="I368" s="13"/>
      <c r="J368" s="13"/>
    </row>
    <row r="369" spans="1:10" ht="13.5" customHeight="1" x14ac:dyDescent="0.2">
      <c r="A369" s="70"/>
      <c r="B369" s="70"/>
      <c r="C369" s="63"/>
      <c r="D369" s="50"/>
      <c r="E369" s="13"/>
      <c r="F369" s="13"/>
      <c r="G369" s="75"/>
      <c r="H369" s="82"/>
      <c r="I369" s="13"/>
      <c r="J369" s="13"/>
    </row>
    <row r="370" spans="1:10" ht="13.5" customHeight="1" x14ac:dyDescent="0.2">
      <c r="A370" s="70"/>
      <c r="B370" s="70"/>
      <c r="C370" s="63"/>
      <c r="D370" s="50"/>
      <c r="E370" s="13"/>
      <c r="F370" s="13"/>
      <c r="G370" s="75"/>
      <c r="H370" s="82"/>
      <c r="I370" s="13"/>
      <c r="J370" s="13"/>
    </row>
    <row r="371" spans="1:10" ht="13.5" customHeight="1" x14ac:dyDescent="0.2">
      <c r="A371" s="70"/>
      <c r="B371" s="70"/>
      <c r="C371" s="63"/>
      <c r="D371" s="50"/>
      <c r="E371" s="13"/>
      <c r="F371" s="13"/>
      <c r="G371" s="75"/>
      <c r="H371" s="82"/>
      <c r="I371" s="13"/>
      <c r="J371" s="13"/>
    </row>
    <row r="372" spans="1:10" ht="13.5" customHeight="1" x14ac:dyDescent="0.2">
      <c r="A372" s="70"/>
      <c r="B372" s="70"/>
      <c r="C372" s="63"/>
      <c r="D372" s="50"/>
      <c r="E372" s="13"/>
      <c r="F372" s="13"/>
      <c r="G372" s="75"/>
      <c r="H372" s="82"/>
      <c r="I372" s="13"/>
      <c r="J372" s="13"/>
    </row>
    <row r="373" spans="1:10" ht="13.5" customHeight="1" x14ac:dyDescent="0.2">
      <c r="A373" s="70"/>
      <c r="B373" s="70"/>
      <c r="C373" s="63"/>
      <c r="D373" s="50"/>
      <c r="E373" s="13"/>
      <c r="F373" s="13"/>
      <c r="G373" s="75"/>
      <c r="H373" s="82"/>
      <c r="I373" s="13"/>
      <c r="J373" s="13"/>
    </row>
    <row r="374" spans="1:10" ht="13.5" customHeight="1" x14ac:dyDescent="0.2">
      <c r="A374" s="70"/>
      <c r="B374" s="70"/>
      <c r="C374" s="63"/>
      <c r="D374" s="50"/>
      <c r="E374" s="13"/>
      <c r="F374" s="13"/>
      <c r="G374" s="75"/>
      <c r="H374" s="82"/>
      <c r="I374" s="13"/>
      <c r="J374" s="13"/>
    </row>
    <row r="375" spans="1:10" ht="13.5" customHeight="1" x14ac:dyDescent="0.2">
      <c r="A375" s="70"/>
      <c r="B375" s="70"/>
      <c r="C375" s="63"/>
      <c r="D375" s="50"/>
      <c r="E375" s="13"/>
      <c r="F375" s="13"/>
      <c r="G375" s="75"/>
      <c r="H375" s="82"/>
      <c r="I375" s="13"/>
      <c r="J375" s="13"/>
    </row>
    <row r="376" spans="1:10" ht="13.5" customHeight="1" x14ac:dyDescent="0.2">
      <c r="A376" s="70"/>
      <c r="B376" s="70"/>
      <c r="C376" s="63"/>
      <c r="D376" s="50"/>
      <c r="E376" s="13"/>
      <c r="F376" s="13"/>
      <c r="G376" s="75"/>
      <c r="H376" s="83"/>
      <c r="I376" s="13"/>
      <c r="J376" s="13"/>
    </row>
    <row r="377" spans="1:10" ht="13.5" customHeight="1" x14ac:dyDescent="0.2">
      <c r="A377" s="70"/>
      <c r="B377" s="70"/>
      <c r="C377" s="63"/>
      <c r="D377" s="50"/>
      <c r="E377" s="13"/>
      <c r="F377" s="13"/>
      <c r="G377" s="75"/>
      <c r="H377" s="83"/>
      <c r="I377" s="13"/>
      <c r="J377" s="13"/>
    </row>
    <row r="378" spans="1:10" ht="13.5" customHeight="1" x14ac:dyDescent="0.2">
      <c r="A378" s="131"/>
      <c r="B378" s="70"/>
      <c r="C378" s="64"/>
      <c r="D378" s="50"/>
      <c r="E378" s="13"/>
      <c r="F378" s="13"/>
      <c r="G378" s="75"/>
      <c r="H378" s="84"/>
      <c r="I378" s="13"/>
      <c r="J378" s="13"/>
    </row>
    <row r="379" spans="1:10" ht="13.5" customHeight="1" x14ac:dyDescent="0.2">
      <c r="A379" s="70"/>
      <c r="B379" s="70"/>
      <c r="C379" s="63"/>
      <c r="D379" s="50"/>
      <c r="E379" s="13"/>
      <c r="F379" s="13"/>
      <c r="G379" s="75"/>
      <c r="H379" s="83"/>
      <c r="I379" s="13"/>
      <c r="J379" s="13"/>
    </row>
    <row r="380" spans="1:10" ht="13.5" customHeight="1" x14ac:dyDescent="0.2">
      <c r="A380" s="70"/>
      <c r="B380" s="70"/>
      <c r="C380" s="63"/>
      <c r="D380" s="50"/>
      <c r="E380" s="13"/>
      <c r="F380" s="13"/>
      <c r="G380" s="75"/>
      <c r="H380" s="83"/>
      <c r="I380" s="13"/>
      <c r="J380" s="13"/>
    </row>
    <row r="381" spans="1:10" ht="13.5" customHeight="1" x14ac:dyDescent="0.2">
      <c r="A381" s="131"/>
      <c r="B381" s="70"/>
      <c r="C381" s="85"/>
      <c r="D381" s="50"/>
      <c r="E381" s="13"/>
      <c r="F381" s="13"/>
      <c r="G381" s="75"/>
      <c r="H381" s="83"/>
      <c r="I381" s="13"/>
      <c r="J381" s="13"/>
    </row>
    <row r="382" spans="1:10" ht="13.5" customHeight="1" x14ac:dyDescent="0.2">
      <c r="A382" s="131"/>
      <c r="B382" s="70"/>
      <c r="C382" s="63"/>
      <c r="D382" s="50"/>
      <c r="E382" s="13"/>
      <c r="F382" s="13"/>
      <c r="G382" s="75"/>
      <c r="H382" s="83"/>
      <c r="I382" s="13"/>
      <c r="J382" s="13"/>
    </row>
    <row r="383" spans="1:10" ht="13.5" customHeight="1" x14ac:dyDescent="0.2">
      <c r="A383" s="131"/>
      <c r="B383" s="70"/>
      <c r="C383" s="63"/>
      <c r="D383" s="50"/>
      <c r="E383" s="13"/>
      <c r="F383" s="13"/>
      <c r="G383" s="75"/>
      <c r="H383" s="84"/>
      <c r="I383" s="13"/>
      <c r="J383" s="13"/>
    </row>
    <row r="384" spans="1:10" ht="13.5" customHeight="1" x14ac:dyDescent="0.2">
      <c r="A384" s="131"/>
      <c r="B384" s="70"/>
      <c r="C384" s="64"/>
      <c r="D384" s="50"/>
      <c r="E384" s="13"/>
      <c r="F384" s="13"/>
      <c r="G384" s="75"/>
      <c r="H384" s="83"/>
      <c r="I384" s="13"/>
      <c r="J384" s="13"/>
    </row>
    <row r="385" spans="1:10" ht="13.5" customHeight="1" x14ac:dyDescent="0.2">
      <c r="A385" s="70"/>
      <c r="B385" s="70"/>
      <c r="C385" s="63"/>
      <c r="D385" s="50"/>
      <c r="E385" s="13"/>
      <c r="F385" s="13"/>
      <c r="G385" s="75"/>
      <c r="H385" s="83"/>
      <c r="I385" s="13"/>
      <c r="J385" s="13"/>
    </row>
    <row r="386" spans="1:10" ht="13.5" customHeight="1" x14ac:dyDescent="0.2">
      <c r="A386" s="131"/>
      <c r="B386" s="70"/>
      <c r="C386" s="63"/>
      <c r="D386" s="50"/>
      <c r="E386" s="13"/>
      <c r="F386" s="13"/>
      <c r="G386" s="75"/>
      <c r="H386" s="84"/>
      <c r="I386" s="13"/>
      <c r="J386" s="13"/>
    </row>
    <row r="387" spans="1:10" ht="13.5" customHeight="1" x14ac:dyDescent="0.2">
      <c r="A387" s="131"/>
      <c r="B387" s="70"/>
      <c r="C387" s="64"/>
      <c r="D387" s="50"/>
      <c r="E387" s="13"/>
      <c r="F387" s="13"/>
      <c r="G387" s="75"/>
      <c r="H387" s="84"/>
      <c r="I387" s="13"/>
      <c r="J387" s="13"/>
    </row>
    <row r="388" spans="1:10" ht="13.5" customHeight="1" x14ac:dyDescent="0.2">
      <c r="A388" s="70"/>
      <c r="B388" s="70"/>
      <c r="C388" s="63"/>
      <c r="D388" s="50"/>
      <c r="E388" s="13"/>
      <c r="F388" s="13"/>
      <c r="G388" s="75"/>
      <c r="H388" s="83"/>
      <c r="I388" s="13"/>
      <c r="J388" s="13"/>
    </row>
    <row r="389" spans="1:10" ht="13.5" customHeight="1" x14ac:dyDescent="0.2">
      <c r="A389" s="131"/>
      <c r="B389" s="70"/>
      <c r="C389" s="63"/>
      <c r="D389" s="50"/>
      <c r="E389" s="13"/>
      <c r="F389" s="13"/>
      <c r="G389" s="75"/>
      <c r="H389" s="84"/>
      <c r="I389" s="13"/>
      <c r="J389" s="13"/>
    </row>
    <row r="390" spans="1:10" ht="13.5" customHeight="1" x14ac:dyDescent="0.2">
      <c r="A390" s="131"/>
      <c r="B390" s="70"/>
      <c r="C390" s="64"/>
      <c r="D390" s="50"/>
      <c r="E390" s="13"/>
      <c r="F390" s="13"/>
      <c r="G390" s="75"/>
      <c r="H390" s="84"/>
      <c r="I390" s="13"/>
      <c r="J390" s="13"/>
    </row>
    <row r="391" spans="1:10" ht="13.5" customHeight="1" x14ac:dyDescent="0.2">
      <c r="A391" s="70"/>
      <c r="B391" s="70"/>
      <c r="C391" s="63"/>
      <c r="D391" s="50"/>
      <c r="E391" s="13"/>
      <c r="F391" s="13"/>
      <c r="G391" s="75"/>
      <c r="H391" s="83"/>
      <c r="I391" s="13"/>
      <c r="J391" s="13"/>
    </row>
    <row r="392" spans="1:10" ht="13.5" customHeight="1" x14ac:dyDescent="0.2">
      <c r="A392" s="70"/>
      <c r="B392" s="70"/>
      <c r="C392" s="63"/>
      <c r="D392" s="50"/>
      <c r="E392" s="13"/>
      <c r="F392" s="13"/>
      <c r="G392" s="75"/>
      <c r="H392" s="83"/>
      <c r="I392" s="13"/>
      <c r="J392" s="13"/>
    </row>
    <row r="393" spans="1:10" ht="13.5" customHeight="1" x14ac:dyDescent="0.2">
      <c r="A393" s="70"/>
      <c r="B393" s="70"/>
      <c r="C393" s="63"/>
      <c r="D393" s="50"/>
      <c r="E393" s="13"/>
      <c r="F393" s="13"/>
      <c r="G393" s="75"/>
      <c r="H393" s="82"/>
      <c r="I393" s="13"/>
      <c r="J393" s="13"/>
    </row>
    <row r="394" spans="1:10" ht="13.5" customHeight="1" x14ac:dyDescent="0.2">
      <c r="A394" s="131"/>
      <c r="B394" s="70"/>
      <c r="C394" s="86"/>
      <c r="D394" s="50"/>
      <c r="E394" s="13"/>
      <c r="F394" s="13"/>
      <c r="G394" s="75"/>
      <c r="H394" s="82"/>
      <c r="I394" s="13"/>
      <c r="J394" s="13"/>
    </row>
    <row r="395" spans="1:10" ht="13.5" customHeight="1" x14ac:dyDescent="0.2">
      <c r="A395" s="131"/>
      <c r="B395" s="70"/>
      <c r="C395" s="85"/>
      <c r="D395" s="50"/>
      <c r="E395" s="13"/>
      <c r="F395" s="13"/>
      <c r="G395" s="75"/>
      <c r="H395" s="82"/>
      <c r="I395" s="13"/>
      <c r="J395" s="13"/>
    </row>
    <row r="396" spans="1:10" ht="13.5" customHeight="1" x14ac:dyDescent="0.2">
      <c r="A396" s="131"/>
      <c r="B396" s="70"/>
      <c r="C396" s="87"/>
      <c r="D396" s="50"/>
      <c r="E396" s="13"/>
      <c r="F396" s="13"/>
      <c r="G396" s="75"/>
      <c r="H396" s="82"/>
      <c r="I396" s="13"/>
      <c r="J396" s="13"/>
    </row>
    <row r="397" spans="1:10" ht="13.5" customHeight="1" x14ac:dyDescent="0.2">
      <c r="A397" s="131"/>
      <c r="B397" s="70"/>
      <c r="C397" s="88"/>
      <c r="D397" s="50"/>
      <c r="E397" s="13"/>
      <c r="F397" s="13"/>
      <c r="G397" s="75"/>
      <c r="H397" s="82"/>
      <c r="I397" s="13"/>
      <c r="J397" s="13"/>
    </row>
    <row r="398" spans="1:10" ht="13.5" customHeight="1" x14ac:dyDescent="0.2">
      <c r="A398" s="91"/>
      <c r="B398" s="9"/>
      <c r="C398" s="56"/>
      <c r="D398" s="11"/>
      <c r="E398" s="12"/>
      <c r="F398" s="12"/>
      <c r="G398" s="23"/>
      <c r="H398" s="89"/>
      <c r="I398" s="12"/>
      <c r="J398" s="13"/>
    </row>
    <row r="399" spans="1:10" ht="13.5" customHeight="1" x14ac:dyDescent="0.2">
      <c r="A399" s="9"/>
      <c r="B399" s="9"/>
      <c r="C399" s="56"/>
      <c r="D399" s="11"/>
      <c r="E399" s="12"/>
      <c r="F399" s="12"/>
      <c r="G399" s="23"/>
      <c r="H399" s="90"/>
      <c r="I399" s="12"/>
      <c r="J399" s="13"/>
    </row>
    <row r="400" spans="1:10" ht="13.5" customHeight="1" x14ac:dyDescent="0.2">
      <c r="A400" s="9"/>
      <c r="B400" s="9"/>
      <c r="C400" s="56"/>
      <c r="D400" s="11"/>
      <c r="E400" s="12"/>
      <c r="F400" s="12"/>
      <c r="G400" s="23"/>
      <c r="H400" s="89"/>
      <c r="I400" s="12"/>
      <c r="J400" s="13"/>
    </row>
    <row r="401" spans="1:10" ht="13.5" customHeight="1" x14ac:dyDescent="0.2">
      <c r="A401" s="91"/>
      <c r="B401" s="9"/>
      <c r="D401" s="11"/>
      <c r="E401" s="12"/>
      <c r="F401" s="12"/>
      <c r="G401" s="23"/>
      <c r="H401" s="89"/>
      <c r="I401" s="12"/>
      <c r="J401" s="13"/>
    </row>
    <row r="402" spans="1:10" ht="13.5" customHeight="1" x14ac:dyDescent="0.2">
      <c r="A402" s="9"/>
      <c r="B402" s="9"/>
      <c r="C402" s="56"/>
      <c r="D402" s="11"/>
      <c r="E402" s="12"/>
      <c r="F402" s="12"/>
      <c r="G402" s="23"/>
      <c r="H402" s="90"/>
      <c r="I402" s="12"/>
      <c r="J402" s="13"/>
    </row>
    <row r="403" spans="1:10" ht="13.5" customHeight="1" x14ac:dyDescent="0.2">
      <c r="A403" s="9"/>
      <c r="B403" s="9"/>
      <c r="C403" s="56"/>
      <c r="D403" s="11"/>
      <c r="E403" s="12"/>
      <c r="F403" s="12"/>
      <c r="G403" s="23"/>
      <c r="H403" s="90"/>
      <c r="I403" s="12"/>
      <c r="J403" s="13"/>
    </row>
    <row r="404" spans="1:10" ht="13.5" customHeight="1" x14ac:dyDescent="0.2">
      <c r="A404" s="9"/>
      <c r="B404" s="9"/>
      <c r="C404" s="56"/>
      <c r="D404" s="11"/>
      <c r="E404" s="12"/>
      <c r="F404" s="12"/>
      <c r="G404" s="23"/>
      <c r="H404" s="90"/>
      <c r="I404" s="12"/>
      <c r="J404" s="13"/>
    </row>
    <row r="405" spans="1:10" ht="13.5" customHeight="1" x14ac:dyDescent="0.2">
      <c r="A405" s="91"/>
      <c r="B405" s="9"/>
      <c r="C405" s="27"/>
      <c r="D405" s="11"/>
      <c r="E405" s="12"/>
      <c r="F405" s="12"/>
      <c r="G405" s="23"/>
      <c r="H405" s="92"/>
      <c r="I405" s="12"/>
      <c r="J405" s="13"/>
    </row>
    <row r="406" spans="1:10" ht="13.5" customHeight="1" x14ac:dyDescent="0.2">
      <c r="A406" s="91"/>
      <c r="B406" s="9"/>
      <c r="C406" s="27"/>
      <c r="D406" s="11"/>
      <c r="E406" s="12"/>
      <c r="F406" s="12"/>
      <c r="G406" s="23"/>
      <c r="H406" s="90"/>
      <c r="I406" s="12"/>
      <c r="J406" s="13"/>
    </row>
    <row r="407" spans="1:10" ht="13.5" customHeight="1" x14ac:dyDescent="0.2">
      <c r="A407" s="91"/>
      <c r="B407" s="9"/>
      <c r="D407" s="11"/>
      <c r="E407" s="12"/>
      <c r="F407" s="12"/>
      <c r="G407" s="23"/>
      <c r="H407" s="92"/>
      <c r="I407" s="12"/>
      <c r="J407" s="13"/>
    </row>
    <row r="408" spans="1:10" ht="13.5" customHeight="1" x14ac:dyDescent="0.2">
      <c r="A408" s="9"/>
      <c r="B408" s="9"/>
      <c r="C408" s="56"/>
      <c r="D408" s="11"/>
      <c r="E408" s="12"/>
      <c r="F408" s="12"/>
      <c r="G408" s="23"/>
      <c r="H408" s="89"/>
      <c r="I408" s="12"/>
      <c r="J408" s="13"/>
    </row>
    <row r="409" spans="1:10" ht="13.5" customHeight="1" x14ac:dyDescent="0.2">
      <c r="A409" s="9"/>
      <c r="B409" s="9"/>
      <c r="C409" s="56"/>
      <c r="D409" s="11"/>
      <c r="E409" s="12"/>
      <c r="F409" s="12"/>
      <c r="G409" s="23"/>
      <c r="H409" s="89"/>
      <c r="I409" s="12"/>
      <c r="J409" s="13"/>
    </row>
    <row r="410" spans="1:10" ht="13.5" customHeight="1" x14ac:dyDescent="0.2">
      <c r="A410" s="9"/>
      <c r="B410" s="9"/>
      <c r="C410" s="56"/>
      <c r="D410" s="11"/>
      <c r="E410" s="12"/>
      <c r="F410" s="12"/>
      <c r="G410" s="23"/>
      <c r="H410" s="89"/>
      <c r="I410" s="12"/>
      <c r="J410" s="13"/>
    </row>
    <row r="411" spans="1:10" ht="13.5" customHeight="1" x14ac:dyDescent="0.2">
      <c r="A411" s="9"/>
      <c r="B411" s="9"/>
      <c r="C411" s="56"/>
      <c r="D411" s="11"/>
      <c r="E411" s="12"/>
      <c r="F411" s="12"/>
      <c r="G411" s="23"/>
      <c r="H411" s="89"/>
      <c r="I411" s="12"/>
      <c r="J411" s="13"/>
    </row>
    <row r="412" spans="1:10" x14ac:dyDescent="0.2">
      <c r="A412" s="132"/>
      <c r="B412" s="93"/>
      <c r="C412" s="94"/>
      <c r="D412" s="27"/>
      <c r="E412" s="27"/>
      <c r="F412" s="27"/>
      <c r="G412" s="27"/>
      <c r="H412" s="95"/>
      <c r="I412" s="30"/>
      <c r="J412" s="51"/>
    </row>
  </sheetData>
  <mergeCells count="4">
    <mergeCell ref="A1:C1"/>
    <mergeCell ref="D1:G1"/>
    <mergeCell ref="H1:J1"/>
    <mergeCell ref="H151:J151"/>
  </mergeCells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321"/>
  <sheetViews>
    <sheetView topLeftCell="A186" zoomScale="80" zoomScaleNormal="80" workbookViewId="0">
      <selection activeCell="B203" sqref="B203"/>
    </sheetView>
  </sheetViews>
  <sheetFormatPr defaultColWidth="9" defaultRowHeight="12.75" x14ac:dyDescent="0.2"/>
  <cols>
    <col min="1" max="1" width="13" style="29" customWidth="1"/>
    <col min="2" max="2" width="90.75" style="1" bestFit="1" customWidth="1"/>
    <col min="3" max="4" width="10.75" style="18" customWidth="1"/>
    <col min="5" max="5" width="11.75" style="40" bestFit="1" customWidth="1"/>
    <col min="6" max="6" width="13.125" style="1" customWidth="1"/>
    <col min="7" max="9" width="9" style="1"/>
    <col min="10" max="10" width="10.5" style="1" bestFit="1" customWidth="1"/>
    <col min="11" max="16384" width="9" style="1"/>
  </cols>
  <sheetData>
    <row r="1" spans="1:16" x14ac:dyDescent="0.2">
      <c r="F1" s="97" t="s">
        <v>218</v>
      </c>
      <c r="G1" s="97" t="s">
        <v>219</v>
      </c>
      <c r="H1" s="97" t="s">
        <v>220</v>
      </c>
      <c r="I1" s="97" t="s">
        <v>221</v>
      </c>
      <c r="J1" s="97" t="s">
        <v>222</v>
      </c>
    </row>
    <row r="2" spans="1:16" ht="13.5" customHeight="1" x14ac:dyDescent="0.2">
      <c r="A2" s="608" t="s">
        <v>3762</v>
      </c>
      <c r="B2" s="1063" t="s">
        <v>6345</v>
      </c>
      <c r="C2" s="24"/>
      <c r="D2" s="25">
        <v>940</v>
      </c>
      <c r="F2" s="100">
        <v>1020</v>
      </c>
      <c r="G2" s="402">
        <v>80</v>
      </c>
      <c r="H2" s="402"/>
      <c r="I2" s="402"/>
      <c r="J2" s="618">
        <v>940</v>
      </c>
      <c r="O2" s="64"/>
      <c r="P2" s="64"/>
    </row>
    <row r="3" spans="1:16" ht="13.5" customHeight="1" x14ac:dyDescent="0.2">
      <c r="A3" s="608" t="s">
        <v>3762</v>
      </c>
      <c r="B3" s="1064" t="s">
        <v>6418</v>
      </c>
      <c r="C3" s="24"/>
      <c r="D3" s="25">
        <v>860</v>
      </c>
      <c r="F3" s="344">
        <v>940</v>
      </c>
      <c r="G3" s="402">
        <v>80</v>
      </c>
      <c r="H3" s="402"/>
      <c r="I3" s="402"/>
      <c r="J3" s="618">
        <f t="shared" ref="J3:J8" si="0">F3-G3-H3-I3</f>
        <v>860</v>
      </c>
    </row>
    <row r="4" spans="1:16" ht="13.5" customHeight="1" x14ac:dyDescent="0.2">
      <c r="A4" s="608" t="s">
        <v>3762</v>
      </c>
      <c r="B4" s="1065" t="s">
        <v>6431</v>
      </c>
      <c r="C4" s="24"/>
      <c r="D4" s="25">
        <v>1056</v>
      </c>
      <c r="F4" s="344">
        <v>1136</v>
      </c>
      <c r="G4" s="402">
        <v>80</v>
      </c>
      <c r="H4" s="402"/>
      <c r="I4" s="402"/>
      <c r="J4" s="618">
        <f t="shared" si="0"/>
        <v>1056</v>
      </c>
      <c r="O4" s="64"/>
      <c r="P4" s="64"/>
    </row>
    <row r="5" spans="1:16" ht="13.5" customHeight="1" x14ac:dyDescent="0.2">
      <c r="A5" s="608" t="s">
        <v>3762</v>
      </c>
      <c r="B5" s="1063" t="s">
        <v>6379</v>
      </c>
      <c r="C5" s="24"/>
      <c r="D5" s="25">
        <v>862</v>
      </c>
      <c r="F5" s="344">
        <v>942</v>
      </c>
      <c r="G5" s="402">
        <v>80</v>
      </c>
      <c r="H5" s="402"/>
      <c r="I5" s="402"/>
      <c r="J5" s="618">
        <f t="shared" si="0"/>
        <v>862</v>
      </c>
    </row>
    <row r="6" spans="1:16" ht="13.5" customHeight="1" x14ac:dyDescent="0.2">
      <c r="A6" s="608" t="s">
        <v>3762</v>
      </c>
      <c r="B6" s="1063" t="s">
        <v>6394</v>
      </c>
      <c r="C6" s="24"/>
      <c r="D6" s="25">
        <v>1500</v>
      </c>
      <c r="F6" s="344">
        <v>1580</v>
      </c>
      <c r="G6" s="402">
        <v>80</v>
      </c>
      <c r="H6" s="402"/>
      <c r="I6" s="402"/>
      <c r="J6" s="618">
        <f t="shared" si="0"/>
        <v>1500</v>
      </c>
      <c r="O6" s="64"/>
      <c r="P6" s="64"/>
    </row>
    <row r="7" spans="1:16" ht="13.5" customHeight="1" x14ac:dyDescent="0.2">
      <c r="A7" s="608" t="s">
        <v>3762</v>
      </c>
      <c r="B7" s="1063" t="s">
        <v>6367</v>
      </c>
      <c r="C7" s="24"/>
      <c r="D7" s="25">
        <v>1430</v>
      </c>
      <c r="F7" s="344">
        <v>1430</v>
      </c>
      <c r="G7" s="402"/>
      <c r="H7" s="402"/>
      <c r="I7" s="402"/>
      <c r="J7" s="618">
        <f t="shared" si="0"/>
        <v>1430</v>
      </c>
      <c r="O7" s="64"/>
      <c r="P7" s="64"/>
    </row>
    <row r="8" spans="1:16" ht="13.5" customHeight="1" x14ac:dyDescent="0.2">
      <c r="A8" s="608" t="s">
        <v>3762</v>
      </c>
      <c r="B8" s="1063" t="s">
        <v>6376</v>
      </c>
      <c r="C8" s="24"/>
      <c r="D8" s="25">
        <v>1200</v>
      </c>
      <c r="F8" s="344">
        <v>1280</v>
      </c>
      <c r="G8" s="402">
        <v>80</v>
      </c>
      <c r="H8" s="402"/>
      <c r="I8" s="402"/>
      <c r="J8" s="618">
        <f t="shared" si="0"/>
        <v>1200</v>
      </c>
      <c r="O8" s="64"/>
      <c r="P8" s="64"/>
    </row>
    <row r="9" spans="1:16" ht="13.5" customHeight="1" x14ac:dyDescent="0.2">
      <c r="A9" s="608" t="s">
        <v>3762</v>
      </c>
      <c r="B9" s="1065" t="s">
        <v>6421</v>
      </c>
      <c r="C9" s="24"/>
      <c r="D9" s="418">
        <v>950</v>
      </c>
      <c r="E9" s="236" t="s">
        <v>6517</v>
      </c>
      <c r="F9" s="344">
        <v>1030</v>
      </c>
      <c r="G9" s="402">
        <v>80</v>
      </c>
      <c r="H9" s="402"/>
      <c r="I9" s="402"/>
      <c r="J9" s="618">
        <f>F9-G9-H9-I9</f>
        <v>950</v>
      </c>
      <c r="O9" s="64"/>
      <c r="P9" s="64"/>
    </row>
    <row r="10" spans="1:16" ht="13.5" customHeight="1" x14ac:dyDescent="0.2">
      <c r="A10" s="608" t="s">
        <v>3762</v>
      </c>
      <c r="B10" s="1065" t="s">
        <v>4091</v>
      </c>
      <c r="C10" s="24"/>
      <c r="D10" s="25">
        <v>900</v>
      </c>
      <c r="F10" s="344">
        <v>900</v>
      </c>
      <c r="G10" s="403"/>
      <c r="H10" s="403"/>
      <c r="I10" s="403"/>
      <c r="J10" s="1066"/>
      <c r="O10" s="64"/>
      <c r="P10" s="64"/>
    </row>
    <row r="11" spans="1:16" ht="13.5" customHeight="1" x14ac:dyDescent="0.2">
      <c r="A11" s="608" t="s">
        <v>3762</v>
      </c>
      <c r="B11" s="1065" t="s">
        <v>10</v>
      </c>
      <c r="C11" s="24"/>
      <c r="D11" s="25">
        <v>560</v>
      </c>
      <c r="F11" s="24"/>
      <c r="G11" s="24"/>
      <c r="H11" s="24"/>
      <c r="I11" s="24"/>
      <c r="J11" s="24"/>
      <c r="O11" s="64"/>
      <c r="P11" s="64"/>
    </row>
    <row r="12" spans="1:16" ht="13.5" customHeight="1" x14ac:dyDescent="0.2">
      <c r="A12" s="608" t="s">
        <v>3762</v>
      </c>
      <c r="B12" s="1063" t="s">
        <v>6391</v>
      </c>
      <c r="C12" s="24"/>
      <c r="D12" s="25">
        <v>3500</v>
      </c>
      <c r="F12" s="100">
        <v>3500</v>
      </c>
      <c r="G12" s="101"/>
      <c r="H12" s="102"/>
      <c r="I12" s="24"/>
      <c r="J12" s="618">
        <f t="shared" ref="J12:J17" si="1">F12-G12-H12-I12</f>
        <v>3500</v>
      </c>
      <c r="O12" s="64"/>
      <c r="P12" s="64"/>
    </row>
    <row r="13" spans="1:16" ht="13.5" customHeight="1" x14ac:dyDescent="0.2">
      <c r="A13" s="608" t="s">
        <v>3762</v>
      </c>
      <c r="B13" s="1063" t="s">
        <v>6412</v>
      </c>
      <c r="C13" s="24"/>
      <c r="D13" s="25">
        <v>2050</v>
      </c>
      <c r="F13" s="100">
        <v>2050</v>
      </c>
      <c r="G13" s="101"/>
      <c r="H13" s="102"/>
      <c r="I13" s="24"/>
      <c r="J13" s="618">
        <f t="shared" si="1"/>
        <v>2050</v>
      </c>
      <c r="O13" s="64"/>
      <c r="P13" s="64"/>
    </row>
    <row r="14" spans="1:16" ht="13.5" customHeight="1" x14ac:dyDescent="0.2">
      <c r="A14" s="608" t="s">
        <v>3762</v>
      </c>
      <c r="B14" s="1063" t="s">
        <v>6349</v>
      </c>
      <c r="C14" s="24"/>
      <c r="D14" s="25">
        <v>5000</v>
      </c>
      <c r="F14" s="100">
        <v>5000</v>
      </c>
      <c r="G14" s="101"/>
      <c r="H14" s="102"/>
      <c r="I14" s="24"/>
      <c r="J14" s="618">
        <f t="shared" si="1"/>
        <v>5000</v>
      </c>
      <c r="O14" s="64"/>
      <c r="P14" s="64"/>
    </row>
    <row r="15" spans="1:16" ht="13.5" customHeight="1" x14ac:dyDescent="0.2">
      <c r="A15" s="608" t="s">
        <v>3762</v>
      </c>
      <c r="B15" s="1063" t="s">
        <v>6372</v>
      </c>
      <c r="C15" s="24"/>
      <c r="D15" s="25">
        <v>1971.41</v>
      </c>
      <c r="F15" s="100">
        <v>1971.41</v>
      </c>
      <c r="G15" s="101"/>
      <c r="H15" s="102"/>
      <c r="I15" s="24"/>
      <c r="J15" s="618">
        <f t="shared" si="1"/>
        <v>1971.41</v>
      </c>
      <c r="O15" s="64"/>
      <c r="P15" s="64"/>
    </row>
    <row r="16" spans="1:16" ht="13.5" customHeight="1" x14ac:dyDescent="0.2">
      <c r="A16" s="608" t="s">
        <v>3762</v>
      </c>
      <c r="B16" s="1065" t="s">
        <v>6437</v>
      </c>
      <c r="C16" s="24"/>
      <c r="D16" s="25">
        <v>1360</v>
      </c>
      <c r="F16" s="100">
        <v>1360</v>
      </c>
      <c r="G16" s="101"/>
      <c r="H16" s="102"/>
      <c r="I16" s="24"/>
      <c r="J16" s="618">
        <f t="shared" si="1"/>
        <v>1360</v>
      </c>
      <c r="O16" s="64"/>
      <c r="P16" s="64"/>
    </row>
    <row r="17" spans="1:16" ht="13.5" customHeight="1" x14ac:dyDescent="0.2">
      <c r="A17" s="608" t="s">
        <v>3762</v>
      </c>
      <c r="B17" s="1063" t="s">
        <v>6357</v>
      </c>
      <c r="C17" s="24"/>
      <c r="D17" s="25">
        <v>1200</v>
      </c>
      <c r="F17" s="100">
        <v>1200</v>
      </c>
      <c r="G17" s="101"/>
      <c r="H17" s="102"/>
      <c r="I17" s="24"/>
      <c r="J17" s="618">
        <f t="shared" si="1"/>
        <v>1200</v>
      </c>
      <c r="O17" s="64"/>
      <c r="P17" s="64"/>
    </row>
    <row r="18" spans="1:16" ht="13.5" customHeight="1" x14ac:dyDescent="0.2">
      <c r="A18" s="608" t="s">
        <v>3762</v>
      </c>
      <c r="B18" s="1063" t="s">
        <v>6393</v>
      </c>
      <c r="C18" s="24"/>
      <c r="D18" s="369">
        <v>190</v>
      </c>
      <c r="G18" s="879">
        <f>SUM(G2:G15)</f>
        <v>560</v>
      </c>
    </row>
    <row r="19" spans="1:16" ht="13.5" customHeight="1" x14ac:dyDescent="0.2">
      <c r="A19" s="608" t="s">
        <v>3762</v>
      </c>
      <c r="B19" s="1063" t="s">
        <v>6385</v>
      </c>
      <c r="C19" s="24"/>
      <c r="D19" s="369">
        <v>185</v>
      </c>
    </row>
    <row r="20" spans="1:16" ht="13.5" customHeight="1" x14ac:dyDescent="0.2">
      <c r="A20" s="608" t="s">
        <v>3762</v>
      </c>
      <c r="B20" s="1063" t="s">
        <v>6361</v>
      </c>
      <c r="C20" s="24"/>
      <c r="D20" s="369">
        <v>190</v>
      </c>
    </row>
    <row r="21" spans="1:16" ht="13.5" customHeight="1" x14ac:dyDescent="0.2">
      <c r="A21" s="608" t="s">
        <v>3762</v>
      </c>
      <c r="B21" s="1063" t="s">
        <v>6396</v>
      </c>
      <c r="C21" s="24"/>
      <c r="D21" s="369">
        <v>190</v>
      </c>
    </row>
    <row r="22" spans="1:16" ht="13.5" customHeight="1" x14ac:dyDescent="0.2">
      <c r="A22" s="608" t="s">
        <v>3762</v>
      </c>
      <c r="B22" s="1063" t="s">
        <v>6392</v>
      </c>
      <c r="C22" s="24"/>
      <c r="D22" s="369">
        <v>185</v>
      </c>
    </row>
    <row r="23" spans="1:16" ht="13.5" customHeight="1" x14ac:dyDescent="0.2">
      <c r="A23" s="608" t="s">
        <v>3762</v>
      </c>
      <c r="B23" s="1063" t="s">
        <v>6358</v>
      </c>
      <c r="C23" s="24"/>
      <c r="D23" s="369">
        <v>150</v>
      </c>
      <c r="F23" s="397"/>
      <c r="G23" s="397"/>
      <c r="H23" s="397"/>
      <c r="I23" s="397"/>
      <c r="J23" s="397"/>
    </row>
    <row r="24" spans="1:16" ht="13.5" customHeight="1" x14ac:dyDescent="0.2">
      <c r="A24" s="608" t="s">
        <v>3762</v>
      </c>
      <c r="B24" s="1063" t="s">
        <v>6346</v>
      </c>
      <c r="C24" s="24"/>
      <c r="D24" s="369">
        <v>220</v>
      </c>
      <c r="F24" s="397"/>
      <c r="G24" s="397"/>
      <c r="H24" s="397"/>
      <c r="I24" s="397"/>
      <c r="J24" s="397"/>
    </row>
    <row r="25" spans="1:16" ht="13.5" customHeight="1" x14ac:dyDescent="0.2">
      <c r="A25" s="608" t="s">
        <v>3762</v>
      </c>
      <c r="B25" s="1063" t="s">
        <v>6395</v>
      </c>
      <c r="C25" s="24"/>
      <c r="D25" s="369">
        <v>60</v>
      </c>
      <c r="F25" s="397"/>
      <c r="G25" s="397"/>
      <c r="H25" s="397"/>
      <c r="I25" s="397"/>
      <c r="J25" s="397"/>
    </row>
    <row r="26" spans="1:16" ht="13.5" customHeight="1" x14ac:dyDescent="0.2">
      <c r="A26" s="608" t="s">
        <v>3762</v>
      </c>
      <c r="B26" s="1063" t="s">
        <v>6397</v>
      </c>
      <c r="C26" s="24"/>
      <c r="D26" s="369">
        <v>50</v>
      </c>
      <c r="E26" s="1067">
        <f>SUM(D18:D27)</f>
        <v>1500</v>
      </c>
    </row>
    <row r="27" spans="1:16" ht="13.5" customHeight="1" x14ac:dyDescent="0.2">
      <c r="A27" s="608" t="s">
        <v>3762</v>
      </c>
      <c r="B27" s="1063" t="s">
        <v>6400</v>
      </c>
      <c r="C27" s="24"/>
      <c r="D27" s="369">
        <v>80</v>
      </c>
      <c r="K27" s="397"/>
    </row>
    <row r="28" spans="1:16" ht="13.5" customHeight="1" x14ac:dyDescent="0.2">
      <c r="A28" s="608"/>
      <c r="B28" s="1063"/>
      <c r="C28" s="24"/>
      <c r="D28" s="134">
        <f>SUM(D2:D27)</f>
        <v>26839.41</v>
      </c>
    </row>
    <row r="29" spans="1:16" ht="13.5" customHeight="1" x14ac:dyDescent="0.2">
      <c r="A29" s="608"/>
      <c r="B29" s="1063"/>
      <c r="C29" s="24"/>
      <c r="D29" s="25"/>
    </row>
    <row r="30" spans="1:16" ht="13.5" customHeight="1" x14ac:dyDescent="0.2">
      <c r="A30" s="608" t="s">
        <v>3762</v>
      </c>
      <c r="B30" s="1063" t="s">
        <v>6365</v>
      </c>
      <c r="C30" s="24"/>
      <c r="D30" s="25">
        <v>358</v>
      </c>
      <c r="F30" s="100">
        <v>358</v>
      </c>
      <c r="G30" s="109"/>
      <c r="H30" s="109"/>
      <c r="I30" s="109"/>
      <c r="J30" s="618">
        <f>F30-G30-H30-I30</f>
        <v>358</v>
      </c>
    </row>
    <row r="31" spans="1:16" ht="13.5" customHeight="1" x14ac:dyDescent="0.2">
      <c r="A31" s="608" t="s">
        <v>3762</v>
      </c>
      <c r="B31" s="1065" t="s">
        <v>6518</v>
      </c>
      <c r="C31" s="24"/>
      <c r="D31" s="25">
        <v>2250</v>
      </c>
      <c r="F31" s="100">
        <v>2296.13</v>
      </c>
      <c r="G31" s="109"/>
      <c r="H31" s="109"/>
      <c r="I31" s="109">
        <v>46.13</v>
      </c>
      <c r="J31" s="618">
        <f>F31-G31-H31-I31</f>
        <v>2250</v>
      </c>
      <c r="O31" s="64"/>
      <c r="P31" s="64"/>
    </row>
    <row r="32" spans="1:16" ht="13.5" customHeight="1" x14ac:dyDescent="0.2">
      <c r="A32" s="608" t="s">
        <v>3762</v>
      </c>
      <c r="B32" s="1068" t="s">
        <v>6413</v>
      </c>
      <c r="C32" s="24"/>
      <c r="D32" s="25">
        <v>7500</v>
      </c>
      <c r="F32" s="100">
        <v>7500</v>
      </c>
      <c r="G32" s="109"/>
      <c r="H32" s="109"/>
      <c r="I32" s="109"/>
      <c r="J32" s="618">
        <f>F32-G32-H32-I32</f>
        <v>7500</v>
      </c>
      <c r="O32" s="64"/>
      <c r="P32" s="64"/>
    </row>
    <row r="33" spans="1:10" ht="13.5" customHeight="1" x14ac:dyDescent="0.2">
      <c r="A33" s="608" t="s">
        <v>3762</v>
      </c>
      <c r="B33" s="1063" t="s">
        <v>6178</v>
      </c>
      <c r="C33" s="24"/>
      <c r="D33" s="25">
        <v>500</v>
      </c>
      <c r="F33" s="100">
        <v>500</v>
      </c>
      <c r="G33" s="109"/>
      <c r="H33" s="109"/>
      <c r="I33" s="109"/>
      <c r="J33" s="618">
        <f>F33-G33-H33-I33</f>
        <v>500</v>
      </c>
    </row>
    <row r="34" spans="1:10" ht="13.5" customHeight="1" x14ac:dyDescent="0.2">
      <c r="A34" s="608" t="s">
        <v>3762</v>
      </c>
      <c r="B34" s="1065" t="s">
        <v>3542</v>
      </c>
      <c r="C34" s="24"/>
      <c r="D34" s="25">
        <v>46.13</v>
      </c>
      <c r="F34" s="1069"/>
      <c r="G34" s="883"/>
      <c r="H34" s="883"/>
      <c r="I34" s="883"/>
      <c r="J34" s="884"/>
    </row>
    <row r="35" spans="1:10" ht="13.5" customHeight="1" x14ac:dyDescent="0.2">
      <c r="A35" s="608"/>
      <c r="B35" s="1063"/>
      <c r="C35" s="24"/>
      <c r="D35" s="134">
        <f>SUM(D30:D34)</f>
        <v>10654.13</v>
      </c>
      <c r="F35" s="885"/>
      <c r="G35" s="1044">
        <f>SUM(G33,G17)</f>
        <v>0</v>
      </c>
      <c r="H35" s="1044">
        <f>SUM(H26:H33)</f>
        <v>0</v>
      </c>
      <c r="I35" s="1045">
        <f>SUM(I26:I33)</f>
        <v>46.13</v>
      </c>
      <c r="J35" s="887"/>
    </row>
    <row r="36" spans="1:10" ht="13.5" customHeight="1" x14ac:dyDescent="0.2">
      <c r="A36" s="608"/>
      <c r="B36" s="1063"/>
      <c r="C36" s="24"/>
      <c r="D36" s="25"/>
    </row>
    <row r="37" spans="1:10" ht="13.5" customHeight="1" x14ac:dyDescent="0.2">
      <c r="A37" s="608" t="s">
        <v>223</v>
      </c>
      <c r="B37" s="546" t="s">
        <v>6467</v>
      </c>
      <c r="C37" s="24">
        <v>6024.28</v>
      </c>
      <c r="D37" s="25"/>
    </row>
    <row r="38" spans="1:10" ht="13.5" customHeight="1" x14ac:dyDescent="0.2">
      <c r="A38" s="608" t="s">
        <v>223</v>
      </c>
      <c r="B38" s="1065" t="s">
        <v>6467</v>
      </c>
      <c r="C38" s="24">
        <v>2090.1</v>
      </c>
      <c r="D38" s="25"/>
    </row>
    <row r="39" spans="1:10" ht="13.5" customHeight="1" x14ac:dyDescent="0.2">
      <c r="A39" s="608" t="s">
        <v>223</v>
      </c>
      <c r="B39" s="1065" t="s">
        <v>189</v>
      </c>
      <c r="C39" s="24">
        <v>4000</v>
      </c>
      <c r="D39" s="25"/>
    </row>
    <row r="40" spans="1:10" ht="13.5" customHeight="1" x14ac:dyDescent="0.2">
      <c r="A40" s="608" t="s">
        <v>223</v>
      </c>
      <c r="B40" s="1065" t="s">
        <v>769</v>
      </c>
      <c r="C40" s="24">
        <v>-2103.6999999999998</v>
      </c>
      <c r="D40" s="25"/>
    </row>
    <row r="41" spans="1:10" ht="13.5" customHeight="1" x14ac:dyDescent="0.2">
      <c r="A41" s="608" t="s">
        <v>223</v>
      </c>
      <c r="B41" s="1065" t="s">
        <v>769</v>
      </c>
      <c r="C41" s="24">
        <v>-4000</v>
      </c>
      <c r="D41" s="25"/>
    </row>
    <row r="42" spans="1:10" ht="13.5" customHeight="1" x14ac:dyDescent="0.2">
      <c r="A42" s="608" t="s">
        <v>223</v>
      </c>
      <c r="B42" s="1065" t="s">
        <v>174</v>
      </c>
      <c r="C42" s="24">
        <v>-228.59</v>
      </c>
      <c r="D42" s="25"/>
    </row>
    <row r="43" spans="1:10" ht="13.5" customHeight="1" x14ac:dyDescent="0.2">
      <c r="A43" s="608" t="s">
        <v>223</v>
      </c>
      <c r="B43" s="1065" t="s">
        <v>174</v>
      </c>
      <c r="C43" s="24">
        <v>-716.39</v>
      </c>
      <c r="D43" s="25"/>
    </row>
    <row r="44" spans="1:10" ht="13.5" customHeight="1" x14ac:dyDescent="0.2">
      <c r="A44" s="608" t="s">
        <v>223</v>
      </c>
      <c r="B44" s="1065" t="s">
        <v>174</v>
      </c>
      <c r="C44" s="24">
        <v>-929.73</v>
      </c>
      <c r="D44" s="25"/>
    </row>
    <row r="45" spans="1:10" ht="13.5" customHeight="1" x14ac:dyDescent="0.2">
      <c r="A45" s="608" t="s">
        <v>223</v>
      </c>
      <c r="B45" s="1065" t="s">
        <v>174</v>
      </c>
      <c r="C45" s="24">
        <v>-1187.98</v>
      </c>
      <c r="D45" s="25"/>
    </row>
    <row r="46" spans="1:10" ht="13.5" customHeight="1" x14ac:dyDescent="0.2">
      <c r="A46" s="608" t="s">
        <v>223</v>
      </c>
      <c r="B46" s="1065" t="s">
        <v>174</v>
      </c>
      <c r="C46" s="24">
        <v>-1519.45</v>
      </c>
      <c r="D46" s="1070"/>
    </row>
    <row r="47" spans="1:10" ht="13.5" customHeight="1" x14ac:dyDescent="0.2">
      <c r="A47" s="608" t="s">
        <v>223</v>
      </c>
      <c r="B47" s="1065" t="s">
        <v>174</v>
      </c>
      <c r="C47" s="24">
        <v>-2120</v>
      </c>
      <c r="D47" s="25"/>
    </row>
    <row r="48" spans="1:10" ht="13.5" customHeight="1" x14ac:dyDescent="0.2">
      <c r="A48" s="608" t="s">
        <v>223</v>
      </c>
      <c r="B48" s="1065" t="s">
        <v>174</v>
      </c>
      <c r="C48" s="24">
        <v>-2441.84</v>
      </c>
      <c r="D48" s="25"/>
    </row>
    <row r="49" spans="1:4" ht="13.5" customHeight="1" x14ac:dyDescent="0.2">
      <c r="A49" s="608" t="s">
        <v>223</v>
      </c>
      <c r="B49" s="1065" t="s">
        <v>174</v>
      </c>
      <c r="C49" s="24">
        <v>-2465.38</v>
      </c>
      <c r="D49" s="25"/>
    </row>
    <row r="50" spans="1:4" ht="13.5" customHeight="1" x14ac:dyDescent="0.2">
      <c r="A50" s="608"/>
      <c r="B50" s="1065"/>
      <c r="C50" s="136">
        <f>SUM(C37:C49)</f>
        <v>-5598.6800000000012</v>
      </c>
      <c r="D50" s="25"/>
    </row>
    <row r="51" spans="1:4" ht="13.5" customHeight="1" x14ac:dyDescent="0.2">
      <c r="A51" s="608"/>
      <c r="B51" s="1065"/>
      <c r="C51" s="24"/>
      <c r="D51" s="25"/>
    </row>
    <row r="52" spans="1:4" ht="13.5" customHeight="1" x14ac:dyDescent="0.2">
      <c r="A52" s="608" t="s">
        <v>224</v>
      </c>
      <c r="B52" s="1064" t="s">
        <v>128</v>
      </c>
      <c r="C52" s="24">
        <v>38.549999999999997</v>
      </c>
      <c r="D52" s="25"/>
    </row>
    <row r="53" spans="1:4" ht="13.5" customHeight="1" x14ac:dyDescent="0.2">
      <c r="A53" s="608" t="s">
        <v>224</v>
      </c>
      <c r="B53" s="1065" t="s">
        <v>6502</v>
      </c>
      <c r="C53" s="110">
        <v>24.8</v>
      </c>
      <c r="D53" s="1071"/>
    </row>
    <row r="54" spans="1:4" ht="13.5" customHeight="1" x14ac:dyDescent="0.2">
      <c r="A54" s="608" t="s">
        <v>224</v>
      </c>
      <c r="B54" s="1065" t="s">
        <v>62</v>
      </c>
      <c r="C54" s="24">
        <v>478.99</v>
      </c>
      <c r="D54" s="25"/>
    </row>
    <row r="55" spans="1:4" ht="13.5" customHeight="1" x14ac:dyDescent="0.2">
      <c r="A55" s="608" t="s">
        <v>224</v>
      </c>
      <c r="B55" s="1065" t="s">
        <v>6416</v>
      </c>
      <c r="C55" s="24">
        <v>125.4</v>
      </c>
      <c r="D55" s="25"/>
    </row>
    <row r="56" spans="1:4" ht="13.5" customHeight="1" x14ac:dyDescent="0.2">
      <c r="A56" s="608" t="s">
        <v>224</v>
      </c>
      <c r="B56" s="1065" t="s">
        <v>6519</v>
      </c>
      <c r="C56" s="24">
        <v>350</v>
      </c>
      <c r="D56" s="24"/>
    </row>
    <row r="57" spans="1:4" ht="13.5" customHeight="1" x14ac:dyDescent="0.2">
      <c r="A57" s="1072"/>
      <c r="B57" s="1065"/>
      <c r="C57" s="136">
        <f>SUM(C52:C56)</f>
        <v>1017.74</v>
      </c>
      <c r="D57" s="25"/>
    </row>
    <row r="58" spans="1:4" ht="13.5" customHeight="1" x14ac:dyDescent="0.2">
      <c r="A58" s="1072"/>
      <c r="B58" s="1065"/>
      <c r="C58" s="24"/>
      <c r="D58" s="25"/>
    </row>
    <row r="59" spans="1:4" ht="13.5" customHeight="1" x14ac:dyDescent="0.2">
      <c r="A59" s="608" t="s">
        <v>224</v>
      </c>
      <c r="B59" s="1065" t="s">
        <v>6383</v>
      </c>
      <c r="C59" s="24">
        <v>105</v>
      </c>
      <c r="D59" s="25"/>
    </row>
    <row r="60" spans="1:4" ht="13.5" customHeight="1" x14ac:dyDescent="0.2">
      <c r="A60" s="608" t="s">
        <v>224</v>
      </c>
      <c r="B60" s="1063" t="s">
        <v>5977</v>
      </c>
      <c r="C60" s="24">
        <v>70</v>
      </c>
      <c r="D60" s="25"/>
    </row>
    <row r="61" spans="1:4" ht="13.5" customHeight="1" x14ac:dyDescent="0.2">
      <c r="A61" s="608" t="s">
        <v>224</v>
      </c>
      <c r="B61" s="1065" t="s">
        <v>5977</v>
      </c>
      <c r="C61" s="24">
        <v>70</v>
      </c>
      <c r="D61" s="25"/>
    </row>
    <row r="62" spans="1:4" ht="13.5" customHeight="1" x14ac:dyDescent="0.2">
      <c r="A62" s="608" t="s">
        <v>224</v>
      </c>
      <c r="B62" s="1063" t="s">
        <v>5976</v>
      </c>
      <c r="C62" s="24">
        <v>140</v>
      </c>
      <c r="D62" s="25"/>
    </row>
    <row r="63" spans="1:4" ht="13.5" customHeight="1" x14ac:dyDescent="0.2">
      <c r="A63" s="608" t="s">
        <v>224</v>
      </c>
      <c r="B63" s="1063" t="s">
        <v>6409</v>
      </c>
      <c r="C63" s="24">
        <v>70</v>
      </c>
      <c r="D63" s="25"/>
    </row>
    <row r="64" spans="1:4" ht="13.5" customHeight="1" x14ac:dyDescent="0.2">
      <c r="A64" s="608" t="s">
        <v>224</v>
      </c>
      <c r="B64" s="1065" t="s">
        <v>6409</v>
      </c>
      <c r="C64" s="24">
        <v>70</v>
      </c>
      <c r="D64" s="24">
        <f>C65-D65</f>
        <v>350</v>
      </c>
    </row>
    <row r="65" spans="1:16" ht="13.5" customHeight="1" x14ac:dyDescent="0.2">
      <c r="A65" s="1072"/>
      <c r="B65" s="1065"/>
      <c r="C65" s="260">
        <f>SUM(C59:C64)</f>
        <v>525</v>
      </c>
      <c r="D65" s="24">
        <f>C65/3</f>
        <v>175</v>
      </c>
    </row>
    <row r="66" spans="1:16" ht="13.5" customHeight="1" x14ac:dyDescent="0.2">
      <c r="A66" s="1072"/>
      <c r="B66" s="1065"/>
      <c r="C66" s="24"/>
      <c r="D66" s="25"/>
    </row>
    <row r="67" spans="1:16" ht="13.5" customHeight="1" x14ac:dyDescent="0.2">
      <c r="A67" s="608" t="s">
        <v>225</v>
      </c>
      <c r="B67" s="1065" t="s">
        <v>6284</v>
      </c>
      <c r="C67" s="136">
        <v>708</v>
      </c>
      <c r="D67" s="25"/>
    </row>
    <row r="68" spans="1:16" ht="13.5" customHeight="1" x14ac:dyDescent="0.2">
      <c r="A68" s="608"/>
      <c r="B68" s="1065"/>
      <c r="C68" s="24"/>
      <c r="D68" s="25"/>
    </row>
    <row r="69" spans="1:16" ht="13.5" customHeight="1" x14ac:dyDescent="0.2">
      <c r="A69" s="608"/>
      <c r="B69" s="1065"/>
      <c r="C69" s="24"/>
      <c r="D69" s="25"/>
    </row>
    <row r="70" spans="1:16" ht="13.5" customHeight="1" x14ac:dyDescent="0.2">
      <c r="A70" s="608" t="s">
        <v>226</v>
      </c>
      <c r="B70" s="1064" t="s">
        <v>127</v>
      </c>
      <c r="C70" s="24">
        <v>25.47</v>
      </c>
      <c r="D70" s="25"/>
    </row>
    <row r="71" spans="1:16" ht="13.5" customHeight="1" x14ac:dyDescent="0.2">
      <c r="A71" s="608" t="s">
        <v>226</v>
      </c>
      <c r="B71" s="1064" t="s">
        <v>5726</v>
      </c>
      <c r="C71" s="24">
        <v>17.2</v>
      </c>
      <c r="D71" s="25"/>
    </row>
    <row r="72" spans="1:16" ht="13.5" customHeight="1" x14ac:dyDescent="0.2">
      <c r="A72" s="608" t="s">
        <v>226</v>
      </c>
      <c r="B72" s="1065" t="s">
        <v>5935</v>
      </c>
      <c r="C72" s="24">
        <v>53.58</v>
      </c>
      <c r="D72" s="25"/>
    </row>
    <row r="73" spans="1:16" ht="13.5" customHeight="1" x14ac:dyDescent="0.2">
      <c r="A73" s="608" t="s">
        <v>226</v>
      </c>
      <c r="B73" s="1065" t="s">
        <v>558</v>
      </c>
      <c r="C73" s="24">
        <v>83.39</v>
      </c>
      <c r="D73" s="25"/>
    </row>
    <row r="74" spans="1:16" ht="13.5" customHeight="1" x14ac:dyDescent="0.2">
      <c r="A74" s="608" t="s">
        <v>226</v>
      </c>
      <c r="B74" s="1065" t="s">
        <v>6439</v>
      </c>
      <c r="C74" s="24">
        <v>582.91999999999996</v>
      </c>
      <c r="D74" s="25"/>
    </row>
    <row r="75" spans="1:16" ht="13.5" customHeight="1" x14ac:dyDescent="0.2">
      <c r="A75" s="608" t="s">
        <v>226</v>
      </c>
      <c r="B75" s="1063" t="s">
        <v>6359</v>
      </c>
      <c r="C75" s="24">
        <v>-41.69</v>
      </c>
      <c r="D75" s="25"/>
      <c r="O75" s="64"/>
      <c r="P75" s="64"/>
    </row>
    <row r="76" spans="1:16" ht="13.5" customHeight="1" x14ac:dyDescent="0.2">
      <c r="A76" s="608" t="s">
        <v>226</v>
      </c>
      <c r="B76" s="1065" t="s">
        <v>6520</v>
      </c>
      <c r="C76" s="24">
        <v>1302.53</v>
      </c>
      <c r="D76" s="25"/>
      <c r="O76" s="64"/>
      <c r="P76" s="64"/>
    </row>
    <row r="77" spans="1:16" ht="13.5" customHeight="1" x14ac:dyDescent="0.2">
      <c r="A77" s="1072"/>
      <c r="B77" s="1065"/>
      <c r="C77" s="136">
        <f>SUM(C70:C76)</f>
        <v>2023.3999999999999</v>
      </c>
      <c r="D77" s="25"/>
    </row>
    <row r="78" spans="1:16" ht="13.5" customHeight="1" x14ac:dyDescent="0.2">
      <c r="A78" s="1072"/>
      <c r="B78" s="1065"/>
      <c r="C78" s="24"/>
      <c r="D78" s="25"/>
      <c r="F78" s="36" t="s">
        <v>6480</v>
      </c>
      <c r="G78" s="103">
        <v>70</v>
      </c>
    </row>
    <row r="79" spans="1:16" ht="13.5" customHeight="1" x14ac:dyDescent="0.2">
      <c r="A79" s="608" t="s">
        <v>226</v>
      </c>
      <c r="B79" s="1065" t="s">
        <v>6521</v>
      </c>
      <c r="C79" s="24">
        <v>1302.53</v>
      </c>
      <c r="D79" s="25"/>
      <c r="F79" s="56" t="s">
        <v>6401</v>
      </c>
      <c r="G79" s="103">
        <v>28</v>
      </c>
    </row>
    <row r="80" spans="1:16" ht="13.5" customHeight="1" x14ac:dyDescent="0.2">
      <c r="A80" s="1072" t="s">
        <v>226</v>
      </c>
      <c r="B80" s="1065" t="s">
        <v>6423</v>
      </c>
      <c r="C80" s="24">
        <v>6</v>
      </c>
      <c r="D80" s="25"/>
      <c r="F80" s="36" t="s">
        <v>3727</v>
      </c>
      <c r="G80" s="103">
        <v>2465.38</v>
      </c>
    </row>
    <row r="81" spans="1:7" ht="13.5" customHeight="1" x14ac:dyDescent="0.2">
      <c r="A81" s="1072" t="s">
        <v>226</v>
      </c>
      <c r="B81" s="1068" t="s">
        <v>6433</v>
      </c>
      <c r="C81" s="24">
        <v>6</v>
      </c>
      <c r="D81" s="25"/>
      <c r="F81" s="56" t="s">
        <v>6366</v>
      </c>
      <c r="G81" s="103">
        <v>14.1</v>
      </c>
    </row>
    <row r="82" spans="1:7" ht="13.5" customHeight="1" x14ac:dyDescent="0.2">
      <c r="A82" s="1072" t="s">
        <v>226</v>
      </c>
      <c r="B82" s="546" t="s">
        <v>6469</v>
      </c>
      <c r="C82" s="24">
        <v>129.99</v>
      </c>
      <c r="D82" s="25"/>
      <c r="F82" s="63" t="s">
        <v>6434</v>
      </c>
      <c r="G82" s="103">
        <v>15</v>
      </c>
    </row>
    <row r="83" spans="1:7" ht="13.5" customHeight="1" x14ac:dyDescent="0.2">
      <c r="A83" s="1072"/>
      <c r="B83" s="1065"/>
      <c r="C83" s="136">
        <f>SUM(C79:C82)</f>
        <v>1444.52</v>
      </c>
      <c r="D83" s="25"/>
      <c r="F83" s="36" t="s">
        <v>6522</v>
      </c>
      <c r="G83" s="103">
        <v>12.58</v>
      </c>
    </row>
    <row r="84" spans="1:7" ht="13.5" customHeight="1" x14ac:dyDescent="0.2">
      <c r="A84" s="1072"/>
      <c r="B84" s="1065"/>
      <c r="C84" s="24"/>
      <c r="D84" s="25"/>
    </row>
    <row r="85" spans="1:7" ht="13.5" customHeight="1" x14ac:dyDescent="0.2">
      <c r="A85" s="608" t="s">
        <v>229</v>
      </c>
      <c r="B85" s="1064" t="s">
        <v>199</v>
      </c>
      <c r="C85" s="24">
        <v>88.34</v>
      </c>
      <c r="D85" s="1073" t="s">
        <v>6523</v>
      </c>
    </row>
    <row r="86" spans="1:7" ht="13.5" customHeight="1" x14ac:dyDescent="0.2">
      <c r="A86" s="1072" t="s">
        <v>229</v>
      </c>
      <c r="B86" s="1065" t="s">
        <v>180</v>
      </c>
      <c r="C86" s="24">
        <v>183.09</v>
      </c>
      <c r="D86" s="1073" t="s">
        <v>6523</v>
      </c>
    </row>
    <row r="87" spans="1:7" ht="13.5" customHeight="1" x14ac:dyDescent="0.2">
      <c r="A87" s="608" t="s">
        <v>229</v>
      </c>
      <c r="B87" s="1065" t="s">
        <v>6524</v>
      </c>
      <c r="C87" s="24">
        <v>175</v>
      </c>
      <c r="D87" s="24"/>
    </row>
    <row r="88" spans="1:7" ht="13.5" customHeight="1" x14ac:dyDescent="0.2">
      <c r="A88" s="1072" t="s">
        <v>229</v>
      </c>
      <c r="B88" s="1065" t="s">
        <v>4091</v>
      </c>
      <c r="C88" s="24">
        <v>900</v>
      </c>
      <c r="D88" s="25"/>
    </row>
    <row r="89" spans="1:7" ht="13.5" customHeight="1" x14ac:dyDescent="0.2">
      <c r="A89" s="608" t="s">
        <v>229</v>
      </c>
      <c r="B89" s="1065" t="s">
        <v>6444</v>
      </c>
      <c r="C89" s="24">
        <v>13.5</v>
      </c>
      <c r="D89" s="25"/>
    </row>
    <row r="90" spans="1:7" ht="13.5" customHeight="1" x14ac:dyDescent="0.2">
      <c r="A90" s="608" t="s">
        <v>229</v>
      </c>
      <c r="B90" s="1065" t="s">
        <v>6090</v>
      </c>
      <c r="C90" s="24">
        <v>67.150000000000006</v>
      </c>
      <c r="D90" s="25"/>
    </row>
    <row r="91" spans="1:7" ht="13.5" customHeight="1" x14ac:dyDescent="0.2">
      <c r="A91" s="608" t="s">
        <v>229</v>
      </c>
      <c r="B91" s="1065" t="s">
        <v>6020</v>
      </c>
      <c r="C91" s="24">
        <v>75</v>
      </c>
      <c r="D91" s="25"/>
    </row>
    <row r="92" spans="1:7" ht="13.5" customHeight="1" x14ac:dyDescent="0.2">
      <c r="A92" s="608" t="s">
        <v>229</v>
      </c>
      <c r="B92" s="1068" t="s">
        <v>6371</v>
      </c>
      <c r="C92" s="24">
        <v>5.98</v>
      </c>
      <c r="D92" s="25"/>
    </row>
    <row r="93" spans="1:7" ht="13.5" customHeight="1" x14ac:dyDescent="0.2">
      <c r="A93" s="608" t="s">
        <v>229</v>
      </c>
      <c r="B93" s="1065" t="s">
        <v>6425</v>
      </c>
      <c r="C93" s="24">
        <v>24.25</v>
      </c>
      <c r="D93" s="25"/>
    </row>
    <row r="94" spans="1:7" ht="13.5" customHeight="1" x14ac:dyDescent="0.2">
      <c r="A94" s="608" t="s">
        <v>229</v>
      </c>
      <c r="B94" s="1068" t="s">
        <v>5600</v>
      </c>
      <c r="C94" s="24">
        <v>14</v>
      </c>
      <c r="D94" s="25"/>
    </row>
    <row r="95" spans="1:7" ht="13.5" customHeight="1" x14ac:dyDescent="0.2">
      <c r="A95" s="608" t="s">
        <v>229</v>
      </c>
      <c r="B95" s="1063" t="s">
        <v>5600</v>
      </c>
      <c r="C95" s="24">
        <v>15</v>
      </c>
      <c r="D95" s="25"/>
    </row>
    <row r="96" spans="1:7" ht="13.5" customHeight="1" x14ac:dyDescent="0.2">
      <c r="A96" s="608" t="s">
        <v>229</v>
      </c>
      <c r="B96" s="1065" t="s">
        <v>1013</v>
      </c>
      <c r="C96" s="24">
        <v>1650</v>
      </c>
      <c r="D96" s="25"/>
    </row>
    <row r="97" spans="1:4" ht="13.5" customHeight="1" x14ac:dyDescent="0.2">
      <c r="A97" s="608" t="s">
        <v>229</v>
      </c>
      <c r="B97" s="1065" t="s">
        <v>6415</v>
      </c>
      <c r="C97" s="24">
        <v>147.44</v>
      </c>
      <c r="D97" s="25"/>
    </row>
    <row r="98" spans="1:4" ht="13.5" customHeight="1" x14ac:dyDescent="0.2">
      <c r="A98" s="608" t="s">
        <v>229</v>
      </c>
      <c r="B98" s="1063" t="s">
        <v>6370</v>
      </c>
      <c r="C98" s="24">
        <v>500</v>
      </c>
      <c r="D98" s="25"/>
    </row>
    <row r="99" spans="1:4" ht="13.5" customHeight="1" x14ac:dyDescent="0.2">
      <c r="A99" s="608" t="s">
        <v>229</v>
      </c>
      <c r="B99" s="1065" t="s">
        <v>5619</v>
      </c>
      <c r="C99" s="24">
        <v>1000</v>
      </c>
      <c r="D99" s="25"/>
    </row>
    <row r="100" spans="1:4" ht="13.5" customHeight="1" x14ac:dyDescent="0.2">
      <c r="A100" s="608" t="s">
        <v>229</v>
      </c>
      <c r="B100" s="1063" t="s">
        <v>6384</v>
      </c>
      <c r="C100" s="24">
        <v>10</v>
      </c>
      <c r="D100" s="25"/>
    </row>
    <row r="101" spans="1:4" ht="13.5" customHeight="1" x14ac:dyDescent="0.2">
      <c r="A101" s="608" t="s">
        <v>229</v>
      </c>
      <c r="B101" s="1074" t="s">
        <v>6389</v>
      </c>
      <c r="C101" s="24">
        <v>5.0999999999999996</v>
      </c>
      <c r="D101" s="25"/>
    </row>
    <row r="102" spans="1:4" ht="13.5" customHeight="1" x14ac:dyDescent="0.2">
      <c r="A102" s="608" t="s">
        <v>229</v>
      </c>
      <c r="B102" s="1065" t="s">
        <v>6389</v>
      </c>
      <c r="C102" s="24">
        <v>6.8</v>
      </c>
      <c r="D102" s="25"/>
    </row>
    <row r="103" spans="1:4" ht="13.5" customHeight="1" x14ac:dyDescent="0.2">
      <c r="A103" s="608" t="s">
        <v>229</v>
      </c>
      <c r="B103" s="1065" t="s">
        <v>6424</v>
      </c>
      <c r="C103" s="24">
        <v>4.8499999999999996</v>
      </c>
      <c r="D103" s="25"/>
    </row>
    <row r="104" spans="1:4" ht="13.5" customHeight="1" x14ac:dyDescent="0.2">
      <c r="A104" s="608" t="s">
        <v>229</v>
      </c>
      <c r="B104" s="1063" t="s">
        <v>6368</v>
      </c>
      <c r="C104" s="24">
        <v>11.5</v>
      </c>
      <c r="D104" s="25"/>
    </row>
    <row r="105" spans="1:4" ht="13.5" customHeight="1" x14ac:dyDescent="0.2">
      <c r="A105" s="608"/>
      <c r="B105" s="1063"/>
      <c r="C105" s="260">
        <f>SUM(C85:C104)</f>
        <v>4897.0000000000009</v>
      </c>
      <c r="D105" s="134">
        <f>C105/2</f>
        <v>2448.5000000000005</v>
      </c>
    </row>
    <row r="106" spans="1:4" ht="13.5" customHeight="1" x14ac:dyDescent="0.2">
      <c r="A106" s="608"/>
      <c r="B106" s="1063"/>
      <c r="C106" s="260"/>
      <c r="D106" s="25"/>
    </row>
    <row r="107" spans="1:4" ht="13.5" customHeight="1" x14ac:dyDescent="0.2">
      <c r="A107" s="608" t="s">
        <v>418</v>
      </c>
      <c r="B107" s="1065" t="s">
        <v>382</v>
      </c>
      <c r="C107" s="136">
        <v>228.59</v>
      </c>
      <c r="D107" s="25"/>
    </row>
    <row r="108" spans="1:4" ht="13.5" customHeight="1" x14ac:dyDescent="0.2">
      <c r="A108" s="608"/>
      <c r="B108" s="1065"/>
      <c r="C108" s="24"/>
      <c r="D108" s="25"/>
    </row>
    <row r="109" spans="1:4" ht="13.5" customHeight="1" x14ac:dyDescent="0.2">
      <c r="A109" s="608" t="s">
        <v>419</v>
      </c>
      <c r="B109" s="1065" t="s">
        <v>394</v>
      </c>
      <c r="C109" s="136">
        <v>1241.43</v>
      </c>
      <c r="D109" s="25"/>
    </row>
    <row r="110" spans="1:4" ht="13.5" customHeight="1" x14ac:dyDescent="0.2">
      <c r="A110" s="608"/>
      <c r="B110" s="1065"/>
      <c r="C110" s="24"/>
      <c r="D110" s="25"/>
    </row>
    <row r="111" spans="1:4" ht="13.5" customHeight="1" x14ac:dyDescent="0.2">
      <c r="A111" s="608" t="s">
        <v>232</v>
      </c>
      <c r="B111" s="1065" t="s">
        <v>6473</v>
      </c>
      <c r="C111" s="24">
        <v>937</v>
      </c>
      <c r="D111" s="25"/>
    </row>
    <row r="112" spans="1:4" ht="13.5" customHeight="1" x14ac:dyDescent="0.2">
      <c r="A112" s="608" t="s">
        <v>232</v>
      </c>
      <c r="B112" s="1065" t="s">
        <v>6476</v>
      </c>
      <c r="C112" s="24">
        <v>491.7</v>
      </c>
      <c r="D112" s="25"/>
    </row>
    <row r="113" spans="1:14" ht="13.5" customHeight="1" x14ac:dyDescent="0.2">
      <c r="A113" s="608" t="s">
        <v>232</v>
      </c>
      <c r="B113" s="1065" t="s">
        <v>6289</v>
      </c>
      <c r="C113" s="24">
        <v>749.6</v>
      </c>
      <c r="D113" s="25"/>
      <c r="F113" s="36" t="s">
        <v>6353</v>
      </c>
      <c r="G113" s="24">
        <v>25.25</v>
      </c>
      <c r="H113" s="25"/>
    </row>
    <row r="114" spans="1:14" ht="13.5" customHeight="1" x14ac:dyDescent="0.2">
      <c r="A114" s="608" t="s">
        <v>232</v>
      </c>
      <c r="B114" s="1065" t="s">
        <v>6287</v>
      </c>
      <c r="C114" s="24">
        <v>393.36</v>
      </c>
      <c r="D114" s="25"/>
      <c r="F114" s="32" t="s">
        <v>6513</v>
      </c>
      <c r="G114" s="111">
        <v>2.5</v>
      </c>
      <c r="H114" s="1075"/>
      <c r="I114" s="64"/>
      <c r="J114" s="64"/>
    </row>
    <row r="115" spans="1:14" ht="13.5" customHeight="1" x14ac:dyDescent="0.2">
      <c r="A115" s="608" t="s">
        <v>232</v>
      </c>
      <c r="B115" s="1065" t="s">
        <v>1930</v>
      </c>
      <c r="C115" s="24">
        <v>100</v>
      </c>
      <c r="D115" s="25"/>
      <c r="F115" s="32" t="s">
        <v>6513</v>
      </c>
      <c r="G115" s="111">
        <v>2.5</v>
      </c>
      <c r="H115" s="1075"/>
      <c r="I115" s="64"/>
      <c r="J115" s="64"/>
    </row>
    <row r="116" spans="1:14" ht="13.5" customHeight="1" x14ac:dyDescent="0.2">
      <c r="A116" s="608" t="s">
        <v>232</v>
      </c>
      <c r="B116" s="1065" t="s">
        <v>6390</v>
      </c>
      <c r="C116" s="24">
        <v>10.4</v>
      </c>
      <c r="D116" s="25"/>
      <c r="F116" s="32" t="s">
        <v>6513</v>
      </c>
      <c r="G116" s="111">
        <v>7.7</v>
      </c>
      <c r="H116" s="1075"/>
      <c r="I116" s="64"/>
      <c r="J116" s="64"/>
    </row>
    <row r="117" spans="1:14" ht="13.5" customHeight="1" x14ac:dyDescent="0.2">
      <c r="A117" s="608" t="s">
        <v>232</v>
      </c>
      <c r="B117" s="1065" t="s">
        <v>6369</v>
      </c>
      <c r="C117" s="24">
        <v>6.3</v>
      </c>
      <c r="D117" s="25"/>
      <c r="F117" s="32" t="s">
        <v>6513</v>
      </c>
      <c r="G117" s="111">
        <v>9</v>
      </c>
      <c r="H117" s="1075"/>
      <c r="I117" s="64"/>
      <c r="J117" s="64"/>
    </row>
    <row r="118" spans="1:14" ht="13.5" customHeight="1" x14ac:dyDescent="0.2">
      <c r="A118" s="608" t="s">
        <v>232</v>
      </c>
      <c r="B118" s="1065" t="s">
        <v>6406</v>
      </c>
      <c r="C118" s="24">
        <v>6.98</v>
      </c>
      <c r="D118" s="25"/>
      <c r="E118" s="65"/>
      <c r="F118" s="32" t="s">
        <v>6513</v>
      </c>
      <c r="G118" s="111">
        <v>10</v>
      </c>
      <c r="H118" s="1075"/>
      <c r="I118" s="64"/>
      <c r="J118" s="64"/>
      <c r="K118" s="64"/>
      <c r="L118" s="64"/>
      <c r="M118" s="64"/>
      <c r="N118" s="64"/>
    </row>
    <row r="119" spans="1:14" ht="13.5" customHeight="1" x14ac:dyDescent="0.2">
      <c r="A119" s="608" t="s">
        <v>232</v>
      </c>
      <c r="B119" s="1064" t="s">
        <v>6511</v>
      </c>
      <c r="C119" s="111">
        <v>20</v>
      </c>
      <c r="D119" s="1075"/>
      <c r="E119" s="65"/>
      <c r="F119" s="32" t="s">
        <v>6513</v>
      </c>
      <c r="G119" s="111">
        <v>10.5</v>
      </c>
      <c r="H119" s="1075"/>
      <c r="I119" s="64"/>
      <c r="J119" s="64"/>
      <c r="K119" s="64"/>
      <c r="L119" s="64"/>
      <c r="M119" s="64"/>
      <c r="N119" s="64"/>
    </row>
    <row r="120" spans="1:14" ht="13.5" customHeight="1" x14ac:dyDescent="0.2">
      <c r="A120" s="608" t="s">
        <v>232</v>
      </c>
      <c r="B120" s="1065" t="s">
        <v>5593</v>
      </c>
      <c r="C120" s="24">
        <v>60</v>
      </c>
      <c r="D120" s="25"/>
      <c r="E120" s="65"/>
      <c r="F120" s="32" t="s">
        <v>6513</v>
      </c>
      <c r="G120" s="111">
        <v>13</v>
      </c>
      <c r="H120" s="1075"/>
      <c r="I120" s="64"/>
      <c r="J120" s="64"/>
      <c r="K120" s="64"/>
      <c r="L120" s="64"/>
      <c r="M120" s="64"/>
      <c r="N120" s="64"/>
    </row>
    <row r="121" spans="1:14" ht="13.5" customHeight="1" x14ac:dyDescent="0.2">
      <c r="A121" s="608" t="s">
        <v>232</v>
      </c>
      <c r="B121" s="1065" t="s">
        <v>5593</v>
      </c>
      <c r="C121" s="24">
        <v>120</v>
      </c>
      <c r="D121" s="25"/>
      <c r="E121" s="65"/>
      <c r="F121" s="32" t="s">
        <v>6513</v>
      </c>
      <c r="G121" s="111">
        <v>13.5</v>
      </c>
      <c r="H121" s="1075"/>
      <c r="I121" s="64"/>
      <c r="J121" s="64"/>
      <c r="K121" s="64"/>
      <c r="L121" s="64"/>
      <c r="M121" s="64"/>
      <c r="N121" s="64"/>
    </row>
    <row r="122" spans="1:14" ht="13.5" customHeight="1" x14ac:dyDescent="0.2">
      <c r="A122" s="608" t="s">
        <v>232</v>
      </c>
      <c r="B122" s="1064" t="s">
        <v>5593</v>
      </c>
      <c r="C122" s="24">
        <v>120</v>
      </c>
      <c r="D122" s="25"/>
      <c r="E122" s="65"/>
      <c r="F122" s="32" t="s">
        <v>6513</v>
      </c>
      <c r="G122" s="111">
        <v>20</v>
      </c>
      <c r="H122" s="1075"/>
      <c r="I122" s="64"/>
      <c r="J122" s="64"/>
      <c r="K122" s="64"/>
      <c r="L122" s="64"/>
      <c r="M122" s="64"/>
      <c r="N122" s="64"/>
    </row>
    <row r="123" spans="1:14" ht="13.5" customHeight="1" x14ac:dyDescent="0.2">
      <c r="A123" s="608" t="s">
        <v>232</v>
      </c>
      <c r="B123" s="1065" t="s">
        <v>5593</v>
      </c>
      <c r="C123" s="24">
        <v>120</v>
      </c>
      <c r="D123" s="25"/>
      <c r="E123" s="65"/>
      <c r="F123" s="56" t="s">
        <v>6380</v>
      </c>
      <c r="G123" s="24">
        <v>200</v>
      </c>
      <c r="K123" s="64"/>
      <c r="L123" s="64"/>
      <c r="M123" s="64"/>
      <c r="N123" s="64"/>
    </row>
    <row r="124" spans="1:14" ht="13.5" customHeight="1" x14ac:dyDescent="0.2">
      <c r="A124" s="608" t="s">
        <v>232</v>
      </c>
      <c r="B124" s="1065" t="s">
        <v>5593</v>
      </c>
      <c r="C124" s="24">
        <v>300</v>
      </c>
      <c r="D124" s="25"/>
      <c r="E124" s="65"/>
      <c r="F124" s="56" t="s">
        <v>6158</v>
      </c>
      <c r="G124" s="24">
        <v>150</v>
      </c>
      <c r="K124" s="64"/>
      <c r="L124" s="64"/>
      <c r="M124" s="64"/>
      <c r="N124" s="64"/>
    </row>
    <row r="125" spans="1:14" ht="13.5" customHeight="1" x14ac:dyDescent="0.2">
      <c r="A125" s="608" t="s">
        <v>232</v>
      </c>
      <c r="B125" s="1065" t="s">
        <v>6428</v>
      </c>
      <c r="C125" s="24">
        <v>100</v>
      </c>
      <c r="D125" s="25"/>
      <c r="E125" s="65"/>
      <c r="F125" s="56" t="s">
        <v>6158</v>
      </c>
      <c r="G125" s="24">
        <v>250</v>
      </c>
      <c r="K125" s="64"/>
      <c r="L125" s="64"/>
      <c r="M125" s="64"/>
      <c r="N125" s="64"/>
    </row>
    <row r="126" spans="1:14" ht="13.5" customHeight="1" x14ac:dyDescent="0.2">
      <c r="A126" s="608" t="s">
        <v>232</v>
      </c>
      <c r="B126" s="1065" t="s">
        <v>6133</v>
      </c>
      <c r="C126" s="24">
        <v>200</v>
      </c>
      <c r="D126" s="25"/>
      <c r="E126" s="65"/>
      <c r="F126" s="36" t="s">
        <v>6441</v>
      </c>
      <c r="G126" s="24">
        <v>35</v>
      </c>
      <c r="K126" s="64"/>
      <c r="L126" s="64"/>
      <c r="M126" s="64"/>
      <c r="N126" s="64"/>
    </row>
    <row r="127" spans="1:14" ht="13.5" customHeight="1" x14ac:dyDescent="0.2">
      <c r="A127" s="608" t="s">
        <v>232</v>
      </c>
      <c r="B127" s="1065" t="s">
        <v>6133</v>
      </c>
      <c r="C127" s="24">
        <v>310</v>
      </c>
      <c r="D127" s="25"/>
    </row>
    <row r="128" spans="1:14" ht="13.5" customHeight="1" x14ac:dyDescent="0.2">
      <c r="A128" s="608" t="s">
        <v>232</v>
      </c>
      <c r="B128" s="1065" t="s">
        <v>749</v>
      </c>
      <c r="C128" s="24">
        <v>950.84</v>
      </c>
      <c r="D128" s="25"/>
    </row>
    <row r="129" spans="1:14" ht="13.5" customHeight="1" x14ac:dyDescent="0.2">
      <c r="A129" s="608" t="s">
        <v>232</v>
      </c>
      <c r="B129" s="1065" t="s">
        <v>751</v>
      </c>
      <c r="C129" s="24">
        <v>568.61</v>
      </c>
      <c r="D129" s="25"/>
    </row>
    <row r="130" spans="1:14" ht="13.5" customHeight="1" x14ac:dyDescent="0.2">
      <c r="A130" s="608" t="s">
        <v>232</v>
      </c>
      <c r="B130" s="1065" t="s">
        <v>6525</v>
      </c>
      <c r="C130" s="24">
        <f>SUM(G113:G126)/2</f>
        <v>374.47500000000002</v>
      </c>
      <c r="D130" s="25"/>
    </row>
    <row r="131" spans="1:14" ht="13.5" customHeight="1" x14ac:dyDescent="0.2">
      <c r="A131" s="608"/>
      <c r="B131" s="1065"/>
      <c r="C131" s="136">
        <f>SUM(C111:C130)</f>
        <v>5939.2650000000003</v>
      </c>
      <c r="D131" s="25"/>
    </row>
    <row r="132" spans="1:14" ht="13.5" customHeight="1" x14ac:dyDescent="0.2">
      <c r="A132" s="608"/>
      <c r="B132" s="1063"/>
      <c r="C132" s="24"/>
      <c r="D132" s="25"/>
      <c r="F132" s="64"/>
      <c r="G132" s="64"/>
      <c r="H132" s="64"/>
      <c r="I132" s="64"/>
      <c r="J132" s="64"/>
    </row>
    <row r="133" spans="1:14" ht="13.5" customHeight="1" x14ac:dyDescent="0.2">
      <c r="A133" s="608" t="s">
        <v>232</v>
      </c>
      <c r="B133" s="1065" t="s">
        <v>6422</v>
      </c>
      <c r="C133" s="24">
        <v>8.3000000000000007</v>
      </c>
      <c r="D133" s="25"/>
    </row>
    <row r="134" spans="1:14" ht="13.5" customHeight="1" x14ac:dyDescent="0.2">
      <c r="A134" s="1072" t="s">
        <v>232</v>
      </c>
      <c r="B134" s="1063" t="s">
        <v>6159</v>
      </c>
      <c r="C134" s="24">
        <v>300</v>
      </c>
      <c r="D134" s="25"/>
    </row>
    <row r="135" spans="1:14" ht="13.5" customHeight="1" x14ac:dyDescent="0.2">
      <c r="A135" s="1072" t="s">
        <v>232</v>
      </c>
      <c r="B135" s="1065" t="s">
        <v>6427</v>
      </c>
      <c r="C135" s="24">
        <v>100</v>
      </c>
      <c r="D135" s="25"/>
    </row>
    <row r="136" spans="1:14" ht="13.5" customHeight="1" x14ac:dyDescent="0.2">
      <c r="A136" s="608" t="s">
        <v>232</v>
      </c>
      <c r="B136" s="1065" t="s">
        <v>6526</v>
      </c>
      <c r="C136" s="24">
        <f>SUM(G113:G126)/2</f>
        <v>374.47500000000002</v>
      </c>
      <c r="D136" s="25"/>
    </row>
    <row r="137" spans="1:14" ht="13.5" customHeight="1" x14ac:dyDescent="0.2">
      <c r="A137" s="1072"/>
      <c r="B137" s="1065"/>
      <c r="C137" s="136">
        <f>SUM(C133:C136)</f>
        <v>782.77500000000009</v>
      </c>
      <c r="D137" s="25"/>
      <c r="E137" s="65"/>
      <c r="K137" s="64"/>
      <c r="L137" s="64"/>
      <c r="M137" s="64"/>
      <c r="N137" s="64"/>
    </row>
    <row r="138" spans="1:14" ht="13.5" customHeight="1" x14ac:dyDescent="0.2">
      <c r="A138" s="1072"/>
      <c r="B138" s="1065"/>
      <c r="C138" s="24"/>
      <c r="D138" s="25"/>
    </row>
    <row r="139" spans="1:14" ht="13.5" customHeight="1" x14ac:dyDescent="0.2">
      <c r="A139" s="608" t="s">
        <v>234</v>
      </c>
      <c r="B139" s="1065" t="s">
        <v>6449</v>
      </c>
      <c r="C139" s="24">
        <v>31.5</v>
      </c>
      <c r="D139" s="25"/>
    </row>
    <row r="140" spans="1:14" ht="13.5" customHeight="1" x14ac:dyDescent="0.2">
      <c r="A140" s="608" t="s">
        <v>234</v>
      </c>
      <c r="B140" s="1063" t="s">
        <v>6344</v>
      </c>
      <c r="C140" s="24">
        <v>7</v>
      </c>
      <c r="D140" s="25"/>
    </row>
    <row r="141" spans="1:14" ht="13.5" customHeight="1" x14ac:dyDescent="0.2">
      <c r="A141" s="608" t="s">
        <v>234</v>
      </c>
      <c r="B141" s="1065" t="s">
        <v>6500</v>
      </c>
      <c r="C141" s="110">
        <v>57</v>
      </c>
      <c r="D141" s="1071"/>
    </row>
    <row r="142" spans="1:14" ht="13.5" customHeight="1" x14ac:dyDescent="0.2">
      <c r="A142" s="608" t="s">
        <v>234</v>
      </c>
      <c r="B142" s="1065" t="s">
        <v>6465</v>
      </c>
      <c r="C142" s="24">
        <v>150.69999999999999</v>
      </c>
      <c r="D142" s="25"/>
    </row>
    <row r="143" spans="1:14" ht="13.5" customHeight="1" x14ac:dyDescent="0.2">
      <c r="A143" s="608" t="s">
        <v>234</v>
      </c>
      <c r="B143" s="1065" t="s">
        <v>6504</v>
      </c>
      <c r="C143" s="110">
        <v>19</v>
      </c>
      <c r="D143" s="1071"/>
    </row>
    <row r="144" spans="1:14" ht="13.5" customHeight="1" x14ac:dyDescent="0.2">
      <c r="A144" s="608" t="s">
        <v>234</v>
      </c>
      <c r="B144" s="1065" t="s">
        <v>6463</v>
      </c>
      <c r="C144" s="24">
        <v>55.33</v>
      </c>
      <c r="D144" s="25"/>
    </row>
    <row r="145" spans="1:10" ht="13.5" customHeight="1" x14ac:dyDescent="0.2">
      <c r="A145" s="608" t="s">
        <v>234</v>
      </c>
      <c r="B145" s="1064" t="s">
        <v>6510</v>
      </c>
      <c r="C145" s="54">
        <v>1.9</v>
      </c>
      <c r="D145" s="52"/>
    </row>
    <row r="146" spans="1:10" ht="13.5" customHeight="1" x14ac:dyDescent="0.2">
      <c r="A146" s="608" t="s">
        <v>234</v>
      </c>
      <c r="B146" s="546" t="s">
        <v>6373</v>
      </c>
      <c r="C146" s="119">
        <v>32.299999999999997</v>
      </c>
      <c r="D146" s="60"/>
    </row>
    <row r="147" spans="1:10" ht="13.5" customHeight="1" x14ac:dyDescent="0.2">
      <c r="A147" s="608" t="s">
        <v>234</v>
      </c>
      <c r="B147" s="1076" t="s">
        <v>6407</v>
      </c>
      <c r="C147" s="119">
        <v>10.5</v>
      </c>
      <c r="D147" s="60"/>
    </row>
    <row r="148" spans="1:10" ht="13.5" customHeight="1" x14ac:dyDescent="0.2">
      <c r="A148" s="608" t="s">
        <v>234</v>
      </c>
      <c r="B148" s="1074" t="s">
        <v>6113</v>
      </c>
      <c r="C148" s="119">
        <v>8.5</v>
      </c>
      <c r="D148" s="60"/>
    </row>
    <row r="149" spans="1:10" ht="13.5" customHeight="1" x14ac:dyDescent="0.2">
      <c r="A149" s="608" t="s">
        <v>234</v>
      </c>
      <c r="B149" s="546" t="s">
        <v>6501</v>
      </c>
      <c r="C149" s="59">
        <v>10</v>
      </c>
      <c r="D149" s="61"/>
    </row>
    <row r="150" spans="1:10" ht="13.5" customHeight="1" x14ac:dyDescent="0.2">
      <c r="A150" s="608" t="s">
        <v>234</v>
      </c>
      <c r="B150" s="546" t="s">
        <v>6355</v>
      </c>
      <c r="C150" s="119">
        <v>14</v>
      </c>
      <c r="D150" s="60"/>
    </row>
    <row r="151" spans="1:10" ht="13.5" customHeight="1" x14ac:dyDescent="0.2">
      <c r="A151" s="608" t="s">
        <v>234</v>
      </c>
      <c r="B151" s="1077" t="s">
        <v>6516</v>
      </c>
      <c r="C151" s="179">
        <v>95</v>
      </c>
      <c r="D151" s="67"/>
    </row>
    <row r="152" spans="1:10" ht="13.5" customHeight="1" x14ac:dyDescent="0.2">
      <c r="A152" s="608" t="s">
        <v>234</v>
      </c>
      <c r="B152" s="1074" t="s">
        <v>6381</v>
      </c>
      <c r="C152" s="119">
        <v>9.6999999999999993</v>
      </c>
      <c r="D152" s="60"/>
    </row>
    <row r="153" spans="1:10" ht="13.5" customHeight="1" x14ac:dyDescent="0.2">
      <c r="A153" s="608" t="s">
        <v>234</v>
      </c>
      <c r="B153" s="546" t="s">
        <v>6456</v>
      </c>
      <c r="C153" s="119">
        <v>72.400000000000006</v>
      </c>
      <c r="D153" s="60"/>
    </row>
    <row r="154" spans="1:10" ht="13.5" customHeight="1" x14ac:dyDescent="0.2">
      <c r="A154" s="608" t="s">
        <v>234</v>
      </c>
      <c r="B154" s="546" t="s">
        <v>6505</v>
      </c>
      <c r="C154" s="59">
        <v>9.4</v>
      </c>
      <c r="D154" s="61"/>
    </row>
    <row r="155" spans="1:10" ht="13.5" customHeight="1" x14ac:dyDescent="0.2">
      <c r="A155" s="608" t="s">
        <v>234</v>
      </c>
      <c r="B155" s="1074" t="s">
        <v>6403</v>
      </c>
      <c r="C155" s="119">
        <v>9.6999999999999993</v>
      </c>
      <c r="D155" s="60"/>
    </row>
    <row r="156" spans="1:10" ht="13.5" customHeight="1" x14ac:dyDescent="0.2">
      <c r="A156" s="608" t="s">
        <v>234</v>
      </c>
      <c r="B156" s="546" t="s">
        <v>6458</v>
      </c>
      <c r="C156" s="119">
        <v>360.9</v>
      </c>
      <c r="D156" s="60"/>
    </row>
    <row r="157" spans="1:10" ht="13.5" customHeight="1" x14ac:dyDescent="0.2">
      <c r="A157" s="608" t="s">
        <v>234</v>
      </c>
      <c r="B157" s="546" t="s">
        <v>6448</v>
      </c>
      <c r="C157" s="119">
        <v>3.6</v>
      </c>
      <c r="D157" s="60"/>
      <c r="F157" s="64"/>
      <c r="G157" s="64"/>
      <c r="H157" s="64"/>
      <c r="I157" s="64"/>
      <c r="J157" s="64"/>
    </row>
    <row r="158" spans="1:10" ht="13.5" customHeight="1" x14ac:dyDescent="0.2">
      <c r="A158" s="608" t="s">
        <v>234</v>
      </c>
      <c r="B158" s="546" t="s">
        <v>6378</v>
      </c>
      <c r="C158" s="119">
        <v>13.2</v>
      </c>
      <c r="D158" s="60"/>
    </row>
    <row r="159" spans="1:10" ht="13.5" customHeight="1" x14ac:dyDescent="0.2">
      <c r="A159" s="608" t="s">
        <v>234</v>
      </c>
      <c r="B159" s="546" t="s">
        <v>6347</v>
      </c>
      <c r="C159" s="119">
        <v>76.400000000000006</v>
      </c>
      <c r="D159" s="60"/>
    </row>
    <row r="160" spans="1:10" ht="13.5" customHeight="1" x14ac:dyDescent="0.2">
      <c r="A160" s="608" t="s">
        <v>234</v>
      </c>
      <c r="B160" s="546" t="s">
        <v>6490</v>
      </c>
      <c r="C160" s="119">
        <v>470</v>
      </c>
      <c r="D160" s="60"/>
    </row>
    <row r="161" spans="1:14" ht="13.5" customHeight="1" x14ac:dyDescent="0.2">
      <c r="A161" s="608" t="s">
        <v>234</v>
      </c>
      <c r="B161" s="546" t="s">
        <v>6450</v>
      </c>
      <c r="C161" s="119">
        <v>1.6</v>
      </c>
      <c r="D161" s="60"/>
      <c r="E161" s="65"/>
      <c r="K161" s="64"/>
      <c r="L161" s="64"/>
      <c r="M161" s="64"/>
      <c r="N161" s="64"/>
    </row>
    <row r="162" spans="1:14" ht="13.5" customHeight="1" x14ac:dyDescent="0.2">
      <c r="A162" s="608" t="s">
        <v>234</v>
      </c>
      <c r="B162" s="546" t="s">
        <v>6363</v>
      </c>
      <c r="C162" s="119">
        <v>66.7</v>
      </c>
      <c r="D162" s="60"/>
    </row>
    <row r="163" spans="1:14" ht="13.5" customHeight="1" x14ac:dyDescent="0.2">
      <c r="A163" s="608" t="s">
        <v>234</v>
      </c>
      <c r="B163" s="546" t="s">
        <v>6503</v>
      </c>
      <c r="C163" s="59">
        <v>11.2</v>
      </c>
      <c r="D163" s="61"/>
      <c r="F163" s="64"/>
      <c r="G163" s="64"/>
      <c r="H163" s="64"/>
      <c r="I163" s="64"/>
      <c r="J163" s="64"/>
    </row>
    <row r="164" spans="1:14" ht="13.5" customHeight="1" x14ac:dyDescent="0.2">
      <c r="A164" s="608" t="s">
        <v>234</v>
      </c>
      <c r="B164" s="546" t="s">
        <v>6377</v>
      </c>
      <c r="C164" s="119">
        <v>35</v>
      </c>
      <c r="D164" s="60"/>
    </row>
    <row r="165" spans="1:14" ht="13.5" customHeight="1" x14ac:dyDescent="0.2">
      <c r="A165" s="608" t="s">
        <v>234</v>
      </c>
      <c r="B165" s="546" t="s">
        <v>6499</v>
      </c>
      <c r="C165" s="59">
        <v>3</v>
      </c>
      <c r="D165" s="61"/>
    </row>
    <row r="166" spans="1:14" ht="13.5" customHeight="1" x14ac:dyDescent="0.2">
      <c r="A166" s="608" t="s">
        <v>234</v>
      </c>
      <c r="B166" s="546" t="s">
        <v>6506</v>
      </c>
      <c r="C166" s="59">
        <v>6.98</v>
      </c>
      <c r="D166" s="61"/>
      <c r="F166" s="63" t="s">
        <v>6399</v>
      </c>
      <c r="G166" s="119">
        <v>26.7</v>
      </c>
    </row>
    <row r="167" spans="1:14" ht="13.5" customHeight="1" x14ac:dyDescent="0.2">
      <c r="A167" s="608" t="s">
        <v>234</v>
      </c>
      <c r="B167" s="546" t="s">
        <v>6470</v>
      </c>
      <c r="C167" s="119">
        <v>349.99</v>
      </c>
      <c r="D167" s="60"/>
      <c r="E167" s="65"/>
      <c r="F167" s="63" t="s">
        <v>6398</v>
      </c>
      <c r="G167" s="119">
        <v>18</v>
      </c>
      <c r="K167" s="64"/>
      <c r="L167" s="64"/>
      <c r="M167" s="64"/>
      <c r="N167" s="64"/>
    </row>
    <row r="168" spans="1:14" ht="13.5" customHeight="1" x14ac:dyDescent="0.2">
      <c r="A168" s="608" t="s">
        <v>234</v>
      </c>
      <c r="B168" s="1074" t="s">
        <v>6382</v>
      </c>
      <c r="C168" s="119">
        <v>30.9</v>
      </c>
      <c r="D168" s="60"/>
      <c r="F168" s="32" t="s">
        <v>6512</v>
      </c>
      <c r="G168" s="179">
        <v>18.649999999999999</v>
      </c>
    </row>
    <row r="169" spans="1:14" ht="13.5" customHeight="1" x14ac:dyDescent="0.2">
      <c r="A169" s="608" t="s">
        <v>234</v>
      </c>
      <c r="B169" s="1074" t="s">
        <v>6408</v>
      </c>
      <c r="C169" s="119">
        <v>30</v>
      </c>
      <c r="D169" s="60"/>
      <c r="F169" s="36" t="s">
        <v>6387</v>
      </c>
      <c r="G169" s="119">
        <v>19.75</v>
      </c>
    </row>
    <row r="170" spans="1:14" ht="13.5" customHeight="1" x14ac:dyDescent="0.2">
      <c r="A170" s="608" t="s">
        <v>234</v>
      </c>
      <c r="B170" s="1074" t="s">
        <v>6402</v>
      </c>
      <c r="C170" s="119">
        <v>10</v>
      </c>
      <c r="D170" s="60"/>
      <c r="F170" s="56" t="s">
        <v>6386</v>
      </c>
      <c r="G170" s="119">
        <v>18.7</v>
      </c>
    </row>
    <row r="171" spans="1:14" ht="13.5" customHeight="1" x14ac:dyDescent="0.2">
      <c r="A171" s="608" t="s">
        <v>234</v>
      </c>
      <c r="B171" s="546" t="s">
        <v>6498</v>
      </c>
      <c r="C171" s="59">
        <v>8.85</v>
      </c>
      <c r="D171" s="61"/>
      <c r="F171" s="36" t="s">
        <v>6509</v>
      </c>
      <c r="G171" s="59">
        <v>9</v>
      </c>
    </row>
    <row r="172" spans="1:14" ht="13.5" customHeight="1" x14ac:dyDescent="0.2">
      <c r="A172" s="608" t="s">
        <v>234</v>
      </c>
      <c r="B172" s="546" t="s">
        <v>6527</v>
      </c>
      <c r="C172" s="68">
        <f>SUM(G166:G171)/2</f>
        <v>55.4</v>
      </c>
      <c r="D172" s="61"/>
    </row>
    <row r="173" spans="1:14" ht="13.5" customHeight="1" x14ac:dyDescent="0.2">
      <c r="A173" s="608"/>
      <c r="B173" s="546"/>
      <c r="C173" s="139">
        <f>SUM(C139:C172)</f>
        <v>2127.65</v>
      </c>
      <c r="D173" s="61"/>
    </row>
    <row r="174" spans="1:14" ht="13.5" customHeight="1" x14ac:dyDescent="0.2">
      <c r="A174" s="608"/>
      <c r="B174" s="546"/>
      <c r="C174" s="59"/>
      <c r="D174" s="61"/>
    </row>
    <row r="175" spans="1:14" ht="13.5" customHeight="1" x14ac:dyDescent="0.2">
      <c r="A175" s="608" t="s">
        <v>234</v>
      </c>
      <c r="B175" s="546" t="s">
        <v>6445</v>
      </c>
      <c r="C175" s="119">
        <v>6</v>
      </c>
      <c r="D175" s="60"/>
    </row>
    <row r="176" spans="1:14" ht="13.5" customHeight="1" x14ac:dyDescent="0.2">
      <c r="A176" s="1072" t="s">
        <v>234</v>
      </c>
      <c r="B176" s="546" t="s">
        <v>6446</v>
      </c>
      <c r="C176" s="119">
        <v>2</v>
      </c>
      <c r="D176" s="60"/>
    </row>
    <row r="177" spans="1:10" ht="13.5" customHeight="1" x14ac:dyDescent="0.2">
      <c r="A177" s="1072" t="s">
        <v>234</v>
      </c>
      <c r="B177" s="1074" t="s">
        <v>6414</v>
      </c>
      <c r="C177" s="119">
        <v>10.9</v>
      </c>
      <c r="D177" s="60"/>
    </row>
    <row r="178" spans="1:10" ht="13.5" customHeight="1" x14ac:dyDescent="0.2">
      <c r="A178" s="1072" t="s">
        <v>234</v>
      </c>
      <c r="B178" s="546" t="s">
        <v>6447</v>
      </c>
      <c r="C178" s="119">
        <v>14.9</v>
      </c>
      <c r="D178" s="60"/>
    </row>
    <row r="179" spans="1:10" ht="13.5" customHeight="1" x14ac:dyDescent="0.2">
      <c r="A179" s="1072" t="s">
        <v>234</v>
      </c>
      <c r="B179" s="546" t="s">
        <v>6508</v>
      </c>
      <c r="C179" s="59">
        <v>20</v>
      </c>
      <c r="D179" s="61"/>
    </row>
    <row r="180" spans="1:10" ht="13.5" customHeight="1" x14ac:dyDescent="0.2">
      <c r="A180" s="1072" t="s">
        <v>234</v>
      </c>
      <c r="B180" s="546" t="s">
        <v>6528</v>
      </c>
      <c r="C180" s="59">
        <v>55.4</v>
      </c>
      <c r="D180" s="61"/>
    </row>
    <row r="181" spans="1:10" ht="13.5" customHeight="1" x14ac:dyDescent="0.2">
      <c r="A181" s="1072"/>
      <c r="B181" s="546"/>
      <c r="C181" s="139">
        <f>SUM(C175:C180)</f>
        <v>109.19999999999999</v>
      </c>
      <c r="D181" s="61"/>
    </row>
    <row r="182" spans="1:10" ht="13.5" customHeight="1" x14ac:dyDescent="0.2">
      <c r="A182" s="1072"/>
      <c r="B182" s="546"/>
      <c r="C182" s="59"/>
      <c r="D182" s="61"/>
    </row>
    <row r="183" spans="1:10" ht="13.5" customHeight="1" x14ac:dyDescent="0.2">
      <c r="A183" s="608" t="s">
        <v>235</v>
      </c>
      <c r="B183" s="546" t="s">
        <v>195</v>
      </c>
      <c r="C183" s="119">
        <v>307.5</v>
      </c>
      <c r="D183" s="60"/>
    </row>
    <row r="184" spans="1:10" ht="13.5" customHeight="1" x14ac:dyDescent="0.2">
      <c r="A184" s="1072" t="s">
        <v>235</v>
      </c>
      <c r="B184" s="546" t="s">
        <v>194</v>
      </c>
      <c r="C184" s="119">
        <v>66.63</v>
      </c>
      <c r="D184" s="60"/>
    </row>
    <row r="185" spans="1:10" ht="13.5" customHeight="1" x14ac:dyDescent="0.2">
      <c r="A185" s="1072"/>
      <c r="B185" s="546"/>
      <c r="C185" s="1048">
        <f>SUM(C183:C184)</f>
        <v>374.13</v>
      </c>
      <c r="D185" s="60"/>
    </row>
    <row r="186" spans="1:10" ht="13.5" customHeight="1" x14ac:dyDescent="0.2">
      <c r="A186" s="1072"/>
      <c r="B186" s="546"/>
      <c r="C186" s="119"/>
      <c r="D186" s="60"/>
    </row>
    <row r="187" spans="1:10" ht="13.5" customHeight="1" x14ac:dyDescent="0.2">
      <c r="A187" s="608" t="s">
        <v>236</v>
      </c>
      <c r="B187" s="1077" t="s">
        <v>5730</v>
      </c>
      <c r="C187" s="119">
        <v>161.27000000000001</v>
      </c>
      <c r="D187" s="60"/>
    </row>
    <row r="188" spans="1:10" ht="13.5" customHeight="1" x14ac:dyDescent="0.2">
      <c r="A188" s="608" t="s">
        <v>236</v>
      </c>
      <c r="B188" s="546" t="s">
        <v>1002</v>
      </c>
      <c r="C188" s="119">
        <v>2000</v>
      </c>
      <c r="D188" s="60"/>
    </row>
    <row r="189" spans="1:10" ht="13.5" customHeight="1" x14ac:dyDescent="0.2">
      <c r="A189" s="608" t="s">
        <v>236</v>
      </c>
      <c r="B189" s="1065" t="s">
        <v>1002</v>
      </c>
      <c r="C189" s="119">
        <v>2000</v>
      </c>
      <c r="D189" s="71"/>
    </row>
    <row r="190" spans="1:10" ht="13.5" customHeight="1" x14ac:dyDescent="0.2">
      <c r="A190" s="608" t="s">
        <v>236</v>
      </c>
      <c r="B190" s="1064" t="s">
        <v>1002</v>
      </c>
      <c r="C190" s="179">
        <v>6066.9</v>
      </c>
      <c r="D190" s="179"/>
      <c r="F190" s="64"/>
      <c r="G190" s="64"/>
      <c r="H190" s="64"/>
      <c r="I190" s="64"/>
      <c r="J190" s="64"/>
    </row>
    <row r="191" spans="1:10" ht="13.5" customHeight="1" x14ac:dyDescent="0.2">
      <c r="A191" s="608" t="s">
        <v>236</v>
      </c>
      <c r="B191" s="1063" t="s">
        <v>6234</v>
      </c>
      <c r="C191" s="119">
        <v>560</v>
      </c>
      <c r="D191" s="71"/>
    </row>
    <row r="192" spans="1:10" ht="13.5" customHeight="1" x14ac:dyDescent="0.2">
      <c r="A192" s="608" t="s">
        <v>236</v>
      </c>
      <c r="B192" s="1065" t="s">
        <v>6410</v>
      </c>
      <c r="C192" s="119">
        <v>1250</v>
      </c>
      <c r="D192" s="71"/>
    </row>
    <row r="193" spans="1:14" ht="13.5" customHeight="1" x14ac:dyDescent="0.2">
      <c r="A193" s="608" t="s">
        <v>236</v>
      </c>
      <c r="B193" s="1065" t="s">
        <v>6435</v>
      </c>
      <c r="C193" s="119">
        <v>950</v>
      </c>
      <c r="D193" s="71"/>
    </row>
    <row r="194" spans="1:14" ht="13.5" customHeight="1" x14ac:dyDescent="0.2">
      <c r="A194" s="608"/>
      <c r="B194" s="1065"/>
      <c r="C194" s="383">
        <f>SUM(C187:C193)</f>
        <v>12988.17</v>
      </c>
      <c r="D194" s="1078">
        <f>C194-342.04-781.81-5075.88-2121.6</f>
        <v>4666.84</v>
      </c>
      <c r="E194" s="65"/>
      <c r="K194" s="64"/>
      <c r="L194" s="64"/>
      <c r="M194" s="64"/>
      <c r="N194" s="64"/>
    </row>
    <row r="195" spans="1:14" ht="13.5" customHeight="1" x14ac:dyDescent="0.2">
      <c r="A195" s="608"/>
      <c r="B195" s="1065"/>
      <c r="C195" s="383"/>
      <c r="D195" s="71"/>
      <c r="E195" s="65"/>
      <c r="K195" s="64"/>
      <c r="L195" s="64"/>
      <c r="M195" s="64"/>
      <c r="N195" s="64"/>
    </row>
    <row r="196" spans="1:14" ht="13.5" customHeight="1" x14ac:dyDescent="0.2">
      <c r="A196" s="608" t="s">
        <v>236</v>
      </c>
      <c r="B196" s="1065" t="s">
        <v>1553</v>
      </c>
      <c r="C196" s="59">
        <v>7000</v>
      </c>
      <c r="D196" s="59"/>
    </row>
    <row r="197" spans="1:14" ht="13.5" customHeight="1" x14ac:dyDescent="0.2">
      <c r="A197" s="608" t="s">
        <v>236</v>
      </c>
      <c r="B197" s="1065" t="s">
        <v>6420</v>
      </c>
      <c r="C197" s="119">
        <v>70.56</v>
      </c>
      <c r="D197" s="71"/>
    </row>
    <row r="198" spans="1:14" ht="13.5" customHeight="1" x14ac:dyDescent="0.2">
      <c r="A198" s="608"/>
      <c r="B198" s="1065"/>
      <c r="C198" s="383">
        <f>SUM(C196:C197)</f>
        <v>7070.56</v>
      </c>
      <c r="D198" s="1078">
        <f>C198-1124.76-1118.11</f>
        <v>4827.6900000000005</v>
      </c>
    </row>
    <row r="199" spans="1:14" ht="13.5" customHeight="1" x14ac:dyDescent="0.2">
      <c r="A199" s="608"/>
      <c r="B199" s="1065"/>
      <c r="C199" s="119"/>
      <c r="D199" s="71"/>
    </row>
    <row r="200" spans="1:14" ht="13.5" customHeight="1" x14ac:dyDescent="0.2">
      <c r="A200" s="608" t="s">
        <v>237</v>
      </c>
      <c r="B200" s="1065" t="s">
        <v>6350</v>
      </c>
      <c r="C200" s="1048">
        <v>400</v>
      </c>
      <c r="D200" s="71"/>
    </row>
    <row r="201" spans="1:14" ht="13.5" customHeight="1" x14ac:dyDescent="0.2">
      <c r="A201" s="608"/>
      <c r="B201" s="1065"/>
      <c r="C201" s="119"/>
      <c r="D201" s="71"/>
    </row>
    <row r="202" spans="1:14" ht="13.5" customHeight="1" x14ac:dyDescent="0.2">
      <c r="A202" s="608" t="s">
        <v>238</v>
      </c>
      <c r="B202" s="1065" t="s">
        <v>1597</v>
      </c>
      <c r="C202" s="119">
        <v>0.03</v>
      </c>
      <c r="D202" s="71"/>
    </row>
    <row r="203" spans="1:14" ht="13.5" customHeight="1" x14ac:dyDescent="0.2">
      <c r="A203" s="608" t="s">
        <v>238</v>
      </c>
      <c r="B203" s="1065" t="s">
        <v>5558</v>
      </c>
      <c r="C203" s="119">
        <v>0.8</v>
      </c>
      <c r="D203" s="71"/>
    </row>
    <row r="204" spans="1:14" ht="13.5" customHeight="1" x14ac:dyDescent="0.2">
      <c r="A204" s="608" t="s">
        <v>238</v>
      </c>
      <c r="B204" s="1065" t="s">
        <v>20</v>
      </c>
      <c r="C204" s="119">
        <v>-0.01</v>
      </c>
      <c r="D204" s="71"/>
    </row>
    <row r="205" spans="1:14" ht="13.5" customHeight="1" x14ac:dyDescent="0.2">
      <c r="A205" s="608" t="s">
        <v>238</v>
      </c>
      <c r="B205" s="546" t="s">
        <v>20</v>
      </c>
      <c r="C205" s="119">
        <v>-0.01</v>
      </c>
      <c r="D205" s="71"/>
    </row>
    <row r="206" spans="1:14" ht="13.5" customHeight="1" x14ac:dyDescent="0.2">
      <c r="A206" s="608" t="s">
        <v>238</v>
      </c>
      <c r="B206" s="1065" t="s">
        <v>20</v>
      </c>
      <c r="C206" s="119">
        <v>-0.03</v>
      </c>
      <c r="D206" s="71"/>
    </row>
    <row r="207" spans="1:14" ht="13.5" customHeight="1" x14ac:dyDescent="0.2">
      <c r="A207" s="608" t="s">
        <v>238</v>
      </c>
      <c r="B207" s="1065" t="s">
        <v>20</v>
      </c>
      <c r="C207" s="119">
        <v>-0.16</v>
      </c>
      <c r="D207" s="71"/>
    </row>
    <row r="208" spans="1:14" ht="13.5" customHeight="1" x14ac:dyDescent="0.2">
      <c r="A208" s="608" t="s">
        <v>238</v>
      </c>
      <c r="B208" s="1065" t="s">
        <v>20</v>
      </c>
      <c r="C208" s="119">
        <v>-0.26</v>
      </c>
      <c r="D208" s="71"/>
    </row>
    <row r="209" spans="1:16" ht="13.5" customHeight="1" x14ac:dyDescent="0.2">
      <c r="A209" s="608" t="s">
        <v>238</v>
      </c>
      <c r="B209" s="1065" t="s">
        <v>20</v>
      </c>
      <c r="C209" s="119">
        <v>-0.02</v>
      </c>
      <c r="D209" s="71"/>
      <c r="F209" s="64"/>
      <c r="G209" s="64"/>
      <c r="H209" s="64"/>
      <c r="I209" s="64"/>
      <c r="J209" s="64"/>
    </row>
    <row r="210" spans="1:16" ht="13.5" customHeight="1" x14ac:dyDescent="0.2">
      <c r="A210" s="608" t="s">
        <v>238</v>
      </c>
      <c r="B210" s="1065" t="s">
        <v>86</v>
      </c>
      <c r="C210" s="119">
        <v>72</v>
      </c>
      <c r="D210" s="71"/>
    </row>
    <row r="211" spans="1:16" s="64" customFormat="1" ht="13.5" customHeight="1" x14ac:dyDescent="0.2">
      <c r="A211" s="608" t="s">
        <v>238</v>
      </c>
      <c r="B211" s="1065" t="s">
        <v>86</v>
      </c>
      <c r="C211" s="119">
        <v>69</v>
      </c>
      <c r="D211" s="71"/>
      <c r="E211" s="40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</row>
    <row r="212" spans="1:16" ht="13.5" customHeight="1" x14ac:dyDescent="0.2">
      <c r="A212" s="608" t="s">
        <v>238</v>
      </c>
      <c r="B212" s="1065" t="s">
        <v>86</v>
      </c>
      <c r="C212" s="119">
        <v>9.9</v>
      </c>
      <c r="D212" s="71"/>
    </row>
    <row r="213" spans="1:16" ht="13.5" customHeight="1" x14ac:dyDescent="0.2">
      <c r="A213" s="608"/>
      <c r="B213" s="1065"/>
      <c r="C213" s="1079">
        <f>SUM(C202:C212)</f>
        <v>151.24</v>
      </c>
      <c r="D213" s="1078">
        <f>C213/2</f>
        <v>75.62</v>
      </c>
      <c r="E213" s="65"/>
      <c r="K213" s="64"/>
      <c r="L213" s="64"/>
      <c r="M213" s="64"/>
      <c r="N213" s="64"/>
    </row>
    <row r="214" spans="1:16" ht="13.5" customHeight="1" x14ac:dyDescent="0.2">
      <c r="A214" s="608"/>
      <c r="B214" s="1065"/>
      <c r="C214" s="119"/>
      <c r="D214" s="71"/>
    </row>
    <row r="215" spans="1:16" ht="13.5" customHeight="1" x14ac:dyDescent="0.2">
      <c r="A215" s="608" t="s">
        <v>239</v>
      </c>
      <c r="B215" s="1064" t="s">
        <v>6515</v>
      </c>
      <c r="C215" s="179">
        <v>8.4</v>
      </c>
      <c r="D215" s="179"/>
    </row>
    <row r="216" spans="1:16" ht="13.5" customHeight="1" x14ac:dyDescent="0.2">
      <c r="A216" s="608" t="s">
        <v>239</v>
      </c>
      <c r="B216" s="1065" t="s">
        <v>6529</v>
      </c>
      <c r="C216" s="119">
        <v>256</v>
      </c>
      <c r="D216" s="71"/>
    </row>
    <row r="217" spans="1:16" ht="13.5" customHeight="1" x14ac:dyDescent="0.2">
      <c r="A217" s="608" t="s">
        <v>239</v>
      </c>
      <c r="B217" s="1065" t="s">
        <v>6507</v>
      </c>
      <c r="C217" s="59">
        <v>330.1</v>
      </c>
      <c r="D217" s="59"/>
    </row>
    <row r="218" spans="1:16" ht="13.5" customHeight="1" x14ac:dyDescent="0.2">
      <c r="A218" s="608" t="s">
        <v>239</v>
      </c>
      <c r="B218" s="1064" t="s">
        <v>6514</v>
      </c>
      <c r="C218" s="179">
        <v>155.04</v>
      </c>
      <c r="D218" s="179"/>
    </row>
    <row r="219" spans="1:16" ht="13.5" customHeight="1" x14ac:dyDescent="0.2">
      <c r="A219" s="608" t="s">
        <v>239</v>
      </c>
      <c r="B219" s="1064" t="s">
        <v>6514</v>
      </c>
      <c r="C219" s="179">
        <v>207.27</v>
      </c>
      <c r="D219" s="179"/>
    </row>
    <row r="220" spans="1:16" ht="13.5" customHeight="1" x14ac:dyDescent="0.2">
      <c r="A220" s="608"/>
      <c r="B220" s="1064"/>
      <c r="C220" s="1080">
        <f>SUM(C215:C219)</f>
        <v>956.81</v>
      </c>
      <c r="D220" s="139">
        <f>C220/2</f>
        <v>478.40499999999997</v>
      </c>
    </row>
    <row r="221" spans="1:16" ht="13.5" customHeight="1" x14ac:dyDescent="0.2">
      <c r="A221" s="608"/>
      <c r="B221" s="1064"/>
      <c r="C221" s="179"/>
      <c r="D221" s="179"/>
    </row>
    <row r="222" spans="1:16" ht="13.5" customHeight="1" x14ac:dyDescent="0.2">
      <c r="A222" s="608" t="s">
        <v>421</v>
      </c>
      <c r="B222" s="1065" t="s">
        <v>6443</v>
      </c>
      <c r="C222" s="119">
        <v>1974.16</v>
      </c>
      <c r="D222" s="71"/>
    </row>
    <row r="223" spans="1:16" ht="13.5" customHeight="1" x14ac:dyDescent="0.2">
      <c r="A223" s="608" t="s">
        <v>421</v>
      </c>
      <c r="B223" s="1065" t="s">
        <v>6487</v>
      </c>
      <c r="C223" s="119">
        <v>919.83</v>
      </c>
      <c r="D223" s="71"/>
    </row>
    <row r="224" spans="1:16" ht="13.5" customHeight="1" x14ac:dyDescent="0.2">
      <c r="A224" s="608"/>
      <c r="B224" s="1065"/>
      <c r="C224" s="1048">
        <f>SUM(C222:C223)</f>
        <v>2893.9900000000002</v>
      </c>
      <c r="D224" s="71"/>
    </row>
    <row r="225" spans="1:16" ht="13.5" customHeight="1" x14ac:dyDescent="0.2">
      <c r="A225" s="608"/>
      <c r="B225" s="1065"/>
      <c r="C225" s="119"/>
      <c r="D225" s="71"/>
    </row>
    <row r="226" spans="1:16" ht="13.5" customHeight="1" x14ac:dyDescent="0.2">
      <c r="A226" s="1072" t="s">
        <v>421</v>
      </c>
      <c r="B226" s="1063" t="s">
        <v>6352</v>
      </c>
      <c r="C226" s="1048">
        <v>180</v>
      </c>
      <c r="D226" s="71"/>
    </row>
    <row r="227" spans="1:16" ht="13.5" customHeight="1" x14ac:dyDescent="0.2">
      <c r="B227" s="1076"/>
      <c r="C227" s="1081"/>
      <c r="D227" s="13"/>
    </row>
    <row r="228" spans="1:16" ht="13.5" customHeight="1" x14ac:dyDescent="0.2">
      <c r="B228" s="1076"/>
      <c r="C228" s="82"/>
      <c r="D228" s="13"/>
    </row>
    <row r="229" spans="1:16" ht="13.5" customHeight="1" x14ac:dyDescent="0.2">
      <c r="B229" s="1076"/>
      <c r="C229" s="82"/>
      <c r="D229" s="13"/>
    </row>
    <row r="230" spans="1:16" ht="13.5" customHeight="1" x14ac:dyDescent="0.2">
      <c r="B230" s="1076"/>
      <c r="C230" s="82"/>
      <c r="D230" s="13"/>
    </row>
    <row r="231" spans="1:16" s="64" customFormat="1" ht="13.5" customHeight="1" x14ac:dyDescent="0.2">
      <c r="A231" s="29"/>
      <c r="B231" s="1076"/>
      <c r="C231" s="82"/>
      <c r="D231" s="13"/>
      <c r="E231" s="40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</row>
    <row r="232" spans="1:16" s="64" customFormat="1" ht="13.5" customHeight="1" x14ac:dyDescent="0.2">
      <c r="A232" s="29"/>
      <c r="B232" s="1076"/>
      <c r="C232" s="82"/>
      <c r="D232" s="13"/>
      <c r="E232" s="40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</row>
    <row r="233" spans="1:16" s="64" customFormat="1" ht="13.5" customHeight="1" x14ac:dyDescent="0.2">
      <c r="A233" s="29"/>
      <c r="B233" s="1076"/>
      <c r="C233" s="82"/>
      <c r="D233" s="13"/>
      <c r="E233" s="40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</row>
    <row r="234" spans="1:16" s="64" customFormat="1" ht="13.5" customHeight="1" x14ac:dyDescent="0.2">
      <c r="A234" s="29"/>
      <c r="B234" s="1076"/>
      <c r="C234" s="82"/>
      <c r="D234" s="13"/>
      <c r="E234" s="40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</row>
    <row r="235" spans="1:16" s="64" customFormat="1" ht="13.5" customHeight="1" x14ac:dyDescent="0.2">
      <c r="A235" s="29"/>
      <c r="B235" s="1076"/>
      <c r="C235" s="82"/>
      <c r="D235" s="13"/>
      <c r="E235" s="40"/>
      <c r="K235" s="1"/>
      <c r="L235" s="1"/>
      <c r="M235" s="1"/>
      <c r="N235" s="1"/>
      <c r="O235" s="1"/>
      <c r="P235" s="1"/>
    </row>
    <row r="236" spans="1:16" s="64" customFormat="1" ht="13.5" customHeight="1" x14ac:dyDescent="0.2">
      <c r="A236" s="29"/>
      <c r="B236" s="1076"/>
      <c r="C236" s="82"/>
      <c r="D236" s="13"/>
      <c r="E236" s="40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</row>
    <row r="237" spans="1:16" s="64" customFormat="1" ht="13.5" customHeight="1" x14ac:dyDescent="0.2">
      <c r="A237" s="29"/>
      <c r="B237" s="1076"/>
      <c r="C237" s="82"/>
      <c r="D237" s="13"/>
      <c r="E237" s="40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</row>
    <row r="238" spans="1:16" s="64" customFormat="1" ht="13.5" customHeight="1" x14ac:dyDescent="0.2">
      <c r="A238" s="29"/>
      <c r="B238" s="1076"/>
      <c r="C238" s="82"/>
      <c r="D238" s="13"/>
      <c r="E238" s="40"/>
      <c r="K238" s="1"/>
      <c r="L238" s="1"/>
      <c r="M238" s="1"/>
      <c r="N238" s="1"/>
      <c r="O238" s="1"/>
      <c r="P238" s="1"/>
    </row>
    <row r="239" spans="1:16" s="64" customFormat="1" ht="13.5" customHeight="1" x14ac:dyDescent="0.2">
      <c r="A239" s="29"/>
      <c r="B239" s="1076"/>
      <c r="C239" s="82"/>
      <c r="D239" s="13"/>
      <c r="E239" s="65"/>
      <c r="O239" s="1"/>
      <c r="P239" s="1"/>
    </row>
    <row r="240" spans="1:16" s="64" customFormat="1" ht="13.5" customHeight="1" x14ac:dyDescent="0.2">
      <c r="A240" s="29"/>
      <c r="B240" s="1076"/>
      <c r="C240" s="82"/>
      <c r="D240" s="13"/>
      <c r="E240" s="40"/>
      <c r="K240" s="1"/>
      <c r="L240" s="1"/>
      <c r="M240" s="1"/>
      <c r="N240" s="1"/>
      <c r="O240" s="1"/>
      <c r="P240" s="1"/>
    </row>
    <row r="241" spans="1:16" s="64" customFormat="1" ht="13.5" customHeight="1" x14ac:dyDescent="0.2">
      <c r="A241" s="29"/>
      <c r="B241" s="1076"/>
      <c r="C241" s="82"/>
      <c r="D241" s="13"/>
      <c r="E241" s="40"/>
      <c r="K241" s="1"/>
      <c r="L241" s="1"/>
      <c r="M241" s="1"/>
      <c r="N241" s="1"/>
      <c r="O241" s="1"/>
      <c r="P241" s="1"/>
    </row>
    <row r="242" spans="1:16" s="64" customFormat="1" ht="13.5" customHeight="1" x14ac:dyDescent="0.2">
      <c r="A242" s="29"/>
      <c r="B242" s="1076"/>
      <c r="C242" s="82"/>
      <c r="D242" s="13"/>
      <c r="E242" s="65"/>
      <c r="F242" s="1"/>
      <c r="G242" s="1"/>
      <c r="H242" s="1"/>
      <c r="I242" s="1"/>
      <c r="J242" s="1"/>
      <c r="O242" s="1"/>
      <c r="P242" s="1"/>
    </row>
    <row r="243" spans="1:16" s="64" customFormat="1" ht="13.5" customHeight="1" x14ac:dyDescent="0.2">
      <c r="A243" s="29"/>
      <c r="B243" s="1076"/>
      <c r="C243" s="82"/>
      <c r="D243" s="13"/>
      <c r="E243" s="65"/>
      <c r="F243" s="1"/>
      <c r="G243" s="1"/>
      <c r="H243" s="1"/>
      <c r="I243" s="1"/>
      <c r="J243" s="1"/>
      <c r="O243" s="1"/>
      <c r="P243" s="1"/>
    </row>
    <row r="244" spans="1:16" s="64" customFormat="1" ht="13.5" customHeight="1" x14ac:dyDescent="0.2">
      <c r="A244" s="29"/>
      <c r="B244" s="1076"/>
      <c r="C244" s="82"/>
      <c r="D244" s="13"/>
      <c r="E244" s="65"/>
      <c r="F244" s="1"/>
      <c r="G244" s="1"/>
      <c r="H244" s="1"/>
      <c r="I244" s="1"/>
      <c r="J244" s="1"/>
      <c r="O244" s="1"/>
      <c r="P244" s="1"/>
    </row>
    <row r="245" spans="1:16" s="64" customFormat="1" ht="13.5" customHeight="1" x14ac:dyDescent="0.2">
      <c r="A245" s="29"/>
      <c r="B245" s="1076"/>
      <c r="C245" s="82"/>
      <c r="D245" s="13"/>
      <c r="E245" s="65"/>
      <c r="F245" s="1"/>
      <c r="G245" s="1"/>
      <c r="H245" s="1"/>
      <c r="I245" s="1"/>
      <c r="J245" s="1"/>
      <c r="O245" s="1"/>
      <c r="P245" s="1"/>
    </row>
    <row r="246" spans="1:16" s="64" customFormat="1" ht="13.5" customHeight="1" x14ac:dyDescent="0.2">
      <c r="A246" s="29"/>
      <c r="B246" s="1076"/>
      <c r="C246" s="82"/>
      <c r="D246" s="13"/>
      <c r="E246" s="40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</row>
    <row r="247" spans="1:16" s="64" customFormat="1" ht="13.5" customHeight="1" x14ac:dyDescent="0.2">
      <c r="A247" s="29"/>
      <c r="B247" s="1076"/>
      <c r="C247" s="82"/>
      <c r="D247" s="13"/>
      <c r="E247" s="40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</row>
    <row r="248" spans="1:16" s="64" customFormat="1" ht="14.25" customHeight="1" x14ac:dyDescent="0.2">
      <c r="A248" s="29"/>
      <c r="B248" s="1076"/>
      <c r="C248" s="82"/>
      <c r="D248" s="13"/>
      <c r="E248" s="40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</row>
    <row r="249" spans="1:16" ht="13.5" customHeight="1" x14ac:dyDescent="0.2">
      <c r="B249" s="1076"/>
      <c r="C249" s="82"/>
      <c r="D249" s="13"/>
    </row>
    <row r="250" spans="1:16" ht="13.5" customHeight="1" x14ac:dyDescent="0.2">
      <c r="B250" s="1076"/>
      <c r="C250" s="82"/>
      <c r="D250" s="13"/>
    </row>
    <row r="251" spans="1:16" ht="13.5" customHeight="1" x14ac:dyDescent="0.2">
      <c r="B251" s="1076"/>
      <c r="C251" s="82"/>
      <c r="D251" s="13"/>
    </row>
    <row r="252" spans="1:16" ht="13.5" customHeight="1" x14ac:dyDescent="0.2">
      <c r="B252" s="1076"/>
      <c r="C252" s="82"/>
      <c r="D252" s="13"/>
    </row>
    <row r="253" spans="1:16" ht="13.5" customHeight="1" x14ac:dyDescent="0.2">
      <c r="B253" s="1076"/>
      <c r="C253" s="82"/>
      <c r="D253" s="13"/>
    </row>
    <row r="254" spans="1:16" ht="13.5" customHeight="1" x14ac:dyDescent="0.2">
      <c r="B254" s="1076"/>
      <c r="C254" s="82"/>
      <c r="D254" s="13"/>
    </row>
    <row r="255" spans="1:16" ht="13.5" customHeight="1" x14ac:dyDescent="0.2">
      <c r="B255" s="1076"/>
      <c r="C255" s="82"/>
      <c r="D255" s="13"/>
    </row>
    <row r="256" spans="1:16" ht="13.5" customHeight="1" x14ac:dyDescent="0.2">
      <c r="B256" s="1076"/>
      <c r="C256" s="82"/>
      <c r="D256" s="13"/>
    </row>
    <row r="257" spans="2:4" ht="13.5" customHeight="1" x14ac:dyDescent="0.2">
      <c r="B257" s="1076"/>
      <c r="C257" s="82"/>
      <c r="D257" s="13"/>
    </row>
    <row r="258" spans="2:4" ht="13.5" customHeight="1" x14ac:dyDescent="0.2">
      <c r="B258" s="1076"/>
      <c r="C258" s="82"/>
      <c r="D258" s="13"/>
    </row>
    <row r="259" spans="2:4" ht="13.5" customHeight="1" x14ac:dyDescent="0.2">
      <c r="B259" s="1076"/>
      <c r="C259" s="82"/>
      <c r="D259" s="13"/>
    </row>
    <row r="260" spans="2:4" ht="13.5" customHeight="1" x14ac:dyDescent="0.2">
      <c r="B260" s="1076"/>
      <c r="C260" s="82"/>
      <c r="D260" s="13"/>
    </row>
    <row r="261" spans="2:4" ht="13.5" customHeight="1" x14ac:dyDescent="0.2">
      <c r="B261" s="1076"/>
      <c r="C261" s="82"/>
      <c r="D261" s="13"/>
    </row>
    <row r="262" spans="2:4" ht="13.5" customHeight="1" x14ac:dyDescent="0.2">
      <c r="B262" s="1076"/>
      <c r="C262" s="82"/>
      <c r="D262" s="13"/>
    </row>
    <row r="263" spans="2:4" ht="13.5" customHeight="1" x14ac:dyDescent="0.2">
      <c r="B263" s="1076"/>
      <c r="C263" s="82"/>
      <c r="D263" s="13"/>
    </row>
    <row r="264" spans="2:4" ht="13.5" customHeight="1" x14ac:dyDescent="0.2">
      <c r="B264" s="1076"/>
      <c r="C264" s="83"/>
      <c r="D264" s="13"/>
    </row>
    <row r="265" spans="2:4" ht="13.5" customHeight="1" x14ac:dyDescent="0.2">
      <c r="B265" s="1076"/>
      <c r="C265" s="83"/>
      <c r="D265" s="13"/>
    </row>
    <row r="266" spans="2:4" ht="13.5" customHeight="1" x14ac:dyDescent="0.2">
      <c r="B266" s="64"/>
      <c r="C266" s="84"/>
      <c r="D266" s="13"/>
    </row>
    <row r="267" spans="2:4" ht="13.5" customHeight="1" x14ac:dyDescent="0.2">
      <c r="B267" s="1076"/>
      <c r="C267" s="83"/>
      <c r="D267" s="13"/>
    </row>
    <row r="268" spans="2:4" ht="13.5" customHeight="1" x14ac:dyDescent="0.2">
      <c r="B268" s="1076"/>
      <c r="C268" s="83"/>
      <c r="D268" s="13"/>
    </row>
    <row r="269" spans="2:4" ht="13.5" customHeight="1" x14ac:dyDescent="0.2">
      <c r="B269" s="1082"/>
      <c r="C269" s="83"/>
      <c r="D269" s="13"/>
    </row>
    <row r="270" spans="2:4" ht="13.5" customHeight="1" x14ac:dyDescent="0.2">
      <c r="B270" s="1076"/>
      <c r="C270" s="83"/>
      <c r="D270" s="13"/>
    </row>
    <row r="271" spans="2:4" ht="13.5" customHeight="1" x14ac:dyDescent="0.2">
      <c r="B271" s="1076"/>
      <c r="C271" s="84"/>
      <c r="D271" s="13"/>
    </row>
    <row r="272" spans="2:4" ht="13.5" customHeight="1" x14ac:dyDescent="0.2">
      <c r="B272" s="64"/>
      <c r="C272" s="83"/>
      <c r="D272" s="13"/>
    </row>
    <row r="273" spans="2:4" ht="13.5" customHeight="1" x14ac:dyDescent="0.2">
      <c r="B273" s="1076"/>
      <c r="C273" s="83"/>
      <c r="D273" s="13"/>
    </row>
    <row r="274" spans="2:4" ht="13.5" customHeight="1" x14ac:dyDescent="0.2">
      <c r="B274" s="1076"/>
      <c r="C274" s="84"/>
      <c r="D274" s="13"/>
    </row>
    <row r="275" spans="2:4" ht="13.5" customHeight="1" x14ac:dyDescent="0.2">
      <c r="B275" s="64"/>
      <c r="C275" s="84"/>
      <c r="D275" s="13"/>
    </row>
    <row r="276" spans="2:4" ht="13.5" customHeight="1" x14ac:dyDescent="0.2">
      <c r="B276" s="1076"/>
      <c r="C276" s="83"/>
      <c r="D276" s="13"/>
    </row>
    <row r="277" spans="2:4" ht="13.5" customHeight="1" x14ac:dyDescent="0.2">
      <c r="B277" s="1076"/>
      <c r="C277" s="84"/>
      <c r="D277" s="13"/>
    </row>
    <row r="278" spans="2:4" ht="13.5" customHeight="1" x14ac:dyDescent="0.2">
      <c r="B278" s="64"/>
      <c r="C278" s="84"/>
      <c r="D278" s="13"/>
    </row>
    <row r="279" spans="2:4" ht="13.5" customHeight="1" x14ac:dyDescent="0.2">
      <c r="B279" s="1076"/>
      <c r="C279" s="83"/>
      <c r="D279" s="13"/>
    </row>
    <row r="280" spans="2:4" ht="13.5" customHeight="1" x14ac:dyDescent="0.2">
      <c r="B280" s="1076"/>
      <c r="C280" s="83"/>
      <c r="D280" s="13"/>
    </row>
    <row r="281" spans="2:4" ht="13.5" customHeight="1" x14ac:dyDescent="0.2">
      <c r="B281" s="1076"/>
      <c r="C281" s="82"/>
      <c r="D281" s="13"/>
    </row>
    <row r="282" spans="2:4" ht="13.5" customHeight="1" x14ac:dyDescent="0.2">
      <c r="B282" s="1083"/>
      <c r="C282" s="82"/>
      <c r="D282" s="13"/>
    </row>
    <row r="283" spans="2:4" ht="13.5" customHeight="1" x14ac:dyDescent="0.2">
      <c r="B283" s="1082"/>
      <c r="C283" s="82"/>
      <c r="D283" s="13"/>
    </row>
    <row r="284" spans="2:4" ht="13.5" customHeight="1" x14ac:dyDescent="0.2">
      <c r="B284" s="1084"/>
      <c r="C284" s="82"/>
      <c r="D284" s="13"/>
    </row>
    <row r="285" spans="2:4" ht="13.5" customHeight="1" x14ac:dyDescent="0.2">
      <c r="B285" s="88"/>
      <c r="C285" s="82"/>
      <c r="D285" s="13"/>
    </row>
    <row r="286" spans="2:4" ht="13.5" customHeight="1" x14ac:dyDescent="0.2">
      <c r="B286" s="1074"/>
      <c r="C286" s="89"/>
      <c r="D286" s="12"/>
    </row>
    <row r="287" spans="2:4" ht="13.5" customHeight="1" x14ac:dyDescent="0.2">
      <c r="B287" s="1074"/>
      <c r="C287" s="90"/>
      <c r="D287" s="12"/>
    </row>
    <row r="288" spans="2:4" ht="13.5" customHeight="1" x14ac:dyDescent="0.2">
      <c r="B288" s="1074"/>
      <c r="C288" s="89"/>
      <c r="D288" s="12"/>
    </row>
    <row r="289" spans="2:4" ht="13.5" customHeight="1" x14ac:dyDescent="0.2">
      <c r="C289" s="89"/>
      <c r="D289" s="12"/>
    </row>
    <row r="290" spans="2:4" ht="13.5" customHeight="1" x14ac:dyDescent="0.2">
      <c r="B290" s="1074"/>
      <c r="C290" s="90"/>
      <c r="D290" s="12"/>
    </row>
    <row r="291" spans="2:4" ht="13.5" customHeight="1" x14ac:dyDescent="0.2">
      <c r="B291" s="1074"/>
      <c r="C291" s="90"/>
      <c r="D291" s="12"/>
    </row>
    <row r="292" spans="2:4" ht="13.5" customHeight="1" x14ac:dyDescent="0.2">
      <c r="B292" s="1074"/>
      <c r="C292" s="90"/>
      <c r="D292" s="12"/>
    </row>
    <row r="293" spans="2:4" ht="13.5" customHeight="1" x14ac:dyDescent="0.2">
      <c r="B293" s="94"/>
      <c r="C293" s="92"/>
      <c r="D293" s="12"/>
    </row>
    <row r="294" spans="2:4" ht="13.5" customHeight="1" x14ac:dyDescent="0.2">
      <c r="B294" s="94"/>
      <c r="C294" s="90"/>
      <c r="D294" s="12"/>
    </row>
    <row r="295" spans="2:4" ht="13.5" customHeight="1" x14ac:dyDescent="0.2">
      <c r="C295" s="92"/>
      <c r="D295" s="12"/>
    </row>
    <row r="296" spans="2:4" ht="13.5" customHeight="1" x14ac:dyDescent="0.2">
      <c r="B296" s="1074"/>
      <c r="C296" s="89"/>
      <c r="D296" s="12"/>
    </row>
    <row r="297" spans="2:4" ht="13.5" customHeight="1" x14ac:dyDescent="0.2">
      <c r="B297" s="1074"/>
      <c r="C297" s="89"/>
      <c r="D297" s="12"/>
    </row>
    <row r="298" spans="2:4" ht="13.5" customHeight="1" x14ac:dyDescent="0.2">
      <c r="B298" s="1074"/>
      <c r="C298" s="89"/>
      <c r="D298" s="12"/>
    </row>
    <row r="299" spans="2:4" ht="13.5" customHeight="1" x14ac:dyDescent="0.2">
      <c r="B299" s="1074"/>
      <c r="C299" s="89"/>
      <c r="D299" s="12"/>
    </row>
    <row r="300" spans="2:4" ht="13.5" customHeight="1" x14ac:dyDescent="0.2">
      <c r="B300" s="94"/>
      <c r="C300" s="95"/>
      <c r="D300" s="30"/>
    </row>
    <row r="301" spans="2:4" ht="13.5" customHeight="1" x14ac:dyDescent="0.2"/>
    <row r="302" spans="2:4" ht="13.5" customHeight="1" x14ac:dyDescent="0.2"/>
    <row r="303" spans="2:4" ht="13.5" customHeight="1" x14ac:dyDescent="0.2"/>
    <row r="304" spans="2:4" ht="13.5" customHeight="1" x14ac:dyDescent="0.2"/>
    <row r="305" ht="13.5" customHeight="1" x14ac:dyDescent="0.2"/>
    <row r="306" ht="13.5" customHeight="1" x14ac:dyDescent="0.2"/>
    <row r="307" ht="13.5" customHeight="1" x14ac:dyDescent="0.2"/>
    <row r="308" ht="13.5" customHeight="1" x14ac:dyDescent="0.2"/>
    <row r="309" ht="13.5" customHeight="1" x14ac:dyDescent="0.2"/>
    <row r="310" ht="13.5" customHeight="1" x14ac:dyDescent="0.2"/>
    <row r="311" ht="13.5" customHeight="1" x14ac:dyDescent="0.2"/>
    <row r="312" ht="13.5" customHeight="1" x14ac:dyDescent="0.2"/>
    <row r="313" ht="13.5" customHeight="1" x14ac:dyDescent="0.2"/>
    <row r="314" ht="13.5" customHeight="1" x14ac:dyDescent="0.2"/>
    <row r="315" ht="13.5" customHeight="1" x14ac:dyDescent="0.2"/>
    <row r="316" ht="13.5" customHeight="1" x14ac:dyDescent="0.2"/>
    <row r="317" ht="13.5" customHeight="1" x14ac:dyDescent="0.2"/>
    <row r="318" ht="13.5" customHeight="1" x14ac:dyDescent="0.2"/>
    <row r="319" ht="13.5" customHeight="1" x14ac:dyDescent="0.2"/>
    <row r="320" ht="13.5" customHeight="1" x14ac:dyDescent="0.2"/>
    <row r="321" ht="13.5" customHeight="1" x14ac:dyDescent="0.2"/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395"/>
  <sheetViews>
    <sheetView topLeftCell="D238" zoomScale="85" zoomScaleNormal="85" workbookViewId="0">
      <selection activeCell="C15" sqref="C15"/>
    </sheetView>
  </sheetViews>
  <sheetFormatPr defaultColWidth="9" defaultRowHeight="12.75" x14ac:dyDescent="0.2"/>
  <cols>
    <col min="1" max="1" width="14" style="1" customWidth="1"/>
    <col min="2" max="2" width="1.875" style="1" customWidth="1"/>
    <col min="3" max="3" width="95.875" style="1" customWidth="1"/>
    <col min="4" max="4" width="12" style="1" customWidth="1"/>
    <col min="5" max="5" width="12.375" style="1" customWidth="1"/>
    <col min="6" max="6" width="10.75" style="1" customWidth="1"/>
    <col min="7" max="7" width="11.875" style="1" customWidth="1"/>
    <col min="8" max="8" width="10.75" style="283" customWidth="1"/>
    <col min="9" max="9" width="10.75" style="18" customWidth="1"/>
    <col min="10" max="10" width="10.875" style="66" customWidth="1"/>
    <col min="11" max="11" width="10.625" style="1" customWidth="1"/>
    <col min="12" max="12" width="10.375" style="1" customWidth="1"/>
    <col min="13" max="14" width="9" style="1"/>
    <col min="15" max="15" width="10.875" style="40" bestFit="1" customWidth="1"/>
    <col min="16" max="16384" width="9" style="1"/>
  </cols>
  <sheetData>
    <row r="1" spans="1:12" ht="13.5" customHeight="1" thickBot="1" x14ac:dyDescent="0.25">
      <c r="A1" s="1407" t="s">
        <v>6530</v>
      </c>
      <c r="B1" s="1407"/>
      <c r="C1" s="1408"/>
      <c r="D1" s="1409" t="s">
        <v>0</v>
      </c>
      <c r="E1" s="1410"/>
      <c r="F1" s="1410"/>
      <c r="G1" s="1411"/>
      <c r="H1" s="1412" t="s">
        <v>1</v>
      </c>
      <c r="I1" s="1413"/>
      <c r="J1" s="1414"/>
    </row>
    <row r="2" spans="1:12" ht="13.5" customHeight="1" thickBot="1" x14ac:dyDescent="0.25">
      <c r="A2" s="2" t="s">
        <v>2</v>
      </c>
      <c r="B2" s="3"/>
      <c r="C2" s="3" t="s">
        <v>3</v>
      </c>
      <c r="D2" s="3" t="s">
        <v>4</v>
      </c>
      <c r="E2" s="3" t="s">
        <v>5</v>
      </c>
      <c r="F2" s="3" t="s">
        <v>6</v>
      </c>
      <c r="G2" s="5" t="s">
        <v>7</v>
      </c>
      <c r="H2" s="269" t="s">
        <v>5</v>
      </c>
      <c r="I2" s="4" t="s">
        <v>6</v>
      </c>
      <c r="J2" s="7" t="s">
        <v>7</v>
      </c>
      <c r="K2" s="18"/>
    </row>
    <row r="3" spans="1:12" ht="13.5" customHeight="1" x14ac:dyDescent="0.2">
      <c r="A3" s="8" t="s">
        <v>6531</v>
      </c>
      <c r="B3" s="9"/>
      <c r="C3" s="10" t="s">
        <v>8</v>
      </c>
      <c r="D3" s="11"/>
      <c r="E3" s="12"/>
      <c r="F3" s="13"/>
      <c r="G3" s="14">
        <v>1320.02</v>
      </c>
      <c r="H3" s="270"/>
      <c r="I3" s="16"/>
      <c r="J3" s="17">
        <v>2871.5100000000061</v>
      </c>
      <c r="K3" s="18">
        <v>1320.02</v>
      </c>
      <c r="L3" s="12">
        <v>2871.5100000000061</v>
      </c>
    </row>
    <row r="4" spans="1:12" ht="13.5" customHeight="1" x14ac:dyDescent="0.2">
      <c r="A4" s="19"/>
      <c r="B4" s="20"/>
      <c r="C4" s="21" t="s">
        <v>6532</v>
      </c>
      <c r="D4" s="11"/>
      <c r="E4" s="12"/>
      <c r="F4" s="22"/>
      <c r="G4" s="23"/>
      <c r="H4" s="22"/>
      <c r="I4" s="25">
        <v>355</v>
      </c>
      <c r="J4" s="26"/>
      <c r="K4" s="18">
        <v>1320.02</v>
      </c>
      <c r="L4" s="12">
        <v>3226.5100000000061</v>
      </c>
    </row>
    <row r="5" spans="1:12" ht="13.5" customHeight="1" x14ac:dyDescent="0.2">
      <c r="A5" s="19"/>
      <c r="B5" s="20"/>
      <c r="C5" s="21" t="s">
        <v>6533</v>
      </c>
      <c r="D5" s="11"/>
      <c r="E5" s="12"/>
      <c r="F5" s="22"/>
      <c r="G5" s="23"/>
      <c r="H5" s="22"/>
      <c r="I5" s="25">
        <v>220</v>
      </c>
      <c r="J5" s="26"/>
      <c r="K5" s="18">
        <v>1320.02</v>
      </c>
      <c r="L5" s="12">
        <v>3446.5100000000061</v>
      </c>
    </row>
    <row r="6" spans="1:12" ht="13.5" customHeight="1" x14ac:dyDescent="0.2">
      <c r="A6" s="19"/>
      <c r="B6" s="20"/>
      <c r="C6" s="21" t="s">
        <v>6534</v>
      </c>
      <c r="D6" s="11"/>
      <c r="E6" s="12"/>
      <c r="F6" s="22"/>
      <c r="G6" s="23"/>
      <c r="H6" s="22">
        <v>10.26</v>
      </c>
      <c r="I6" s="25"/>
      <c r="J6" s="26"/>
      <c r="K6" s="18">
        <v>1320.02</v>
      </c>
      <c r="L6" s="12">
        <v>3436.2500000000059</v>
      </c>
    </row>
    <row r="7" spans="1:12" ht="13.5" customHeight="1" x14ac:dyDescent="0.2">
      <c r="A7" s="19"/>
      <c r="B7" s="20"/>
      <c r="C7" s="21" t="s">
        <v>6535</v>
      </c>
      <c r="D7" s="11"/>
      <c r="E7" s="12"/>
      <c r="F7" s="22"/>
      <c r="G7" s="23"/>
      <c r="H7" s="22">
        <v>18.100000000000001</v>
      </c>
      <c r="I7" s="25"/>
      <c r="J7" s="26"/>
      <c r="K7" s="18">
        <v>1320.02</v>
      </c>
      <c r="L7" s="12">
        <v>3418.150000000006</v>
      </c>
    </row>
    <row r="8" spans="1:12" ht="13.5" customHeight="1" x14ac:dyDescent="0.2">
      <c r="A8" s="19"/>
      <c r="B8" s="20"/>
      <c r="C8" s="34" t="s">
        <v>6536</v>
      </c>
      <c r="D8" s="11"/>
      <c r="E8" s="12"/>
      <c r="F8" s="22"/>
      <c r="G8" s="23"/>
      <c r="H8" s="22">
        <v>20.45</v>
      </c>
      <c r="I8" s="25"/>
      <c r="J8" s="26"/>
      <c r="K8" s="18">
        <v>1320.02</v>
      </c>
      <c r="L8" s="12">
        <v>3397.7000000000062</v>
      </c>
    </row>
    <row r="9" spans="1:12" ht="13.5" customHeight="1" x14ac:dyDescent="0.2">
      <c r="A9" s="19"/>
      <c r="B9" s="20"/>
      <c r="C9" s="34" t="s">
        <v>6537</v>
      </c>
      <c r="D9" s="11"/>
      <c r="E9" s="12"/>
      <c r="F9" s="22"/>
      <c r="G9" s="23"/>
      <c r="H9" s="22">
        <v>1.6</v>
      </c>
      <c r="I9" s="25"/>
      <c r="J9" s="26"/>
      <c r="K9" s="18">
        <v>1320.02</v>
      </c>
      <c r="L9" s="12">
        <v>3396.1000000000063</v>
      </c>
    </row>
    <row r="10" spans="1:12" ht="13.5" customHeight="1" x14ac:dyDescent="0.2">
      <c r="A10" s="19"/>
      <c r="B10" s="20"/>
      <c r="C10" s="34" t="s">
        <v>6159</v>
      </c>
      <c r="D10" s="11"/>
      <c r="E10" s="12"/>
      <c r="F10" s="22"/>
      <c r="G10" s="23"/>
      <c r="H10" s="22">
        <v>300</v>
      </c>
      <c r="I10" s="25"/>
      <c r="J10" s="26"/>
      <c r="K10" s="18">
        <v>1320.02</v>
      </c>
      <c r="L10" s="12">
        <v>3096.1000000000063</v>
      </c>
    </row>
    <row r="11" spans="1:12" ht="13.5" customHeight="1" x14ac:dyDescent="0.2">
      <c r="A11" s="19"/>
      <c r="B11" s="20"/>
      <c r="C11" s="34" t="s">
        <v>6158</v>
      </c>
      <c r="D11" s="11"/>
      <c r="E11" s="12"/>
      <c r="F11" s="22"/>
      <c r="G11" s="23"/>
      <c r="H11" s="22">
        <v>250</v>
      </c>
      <c r="I11" s="25"/>
      <c r="J11" s="26"/>
      <c r="K11" s="18">
        <v>1320.02</v>
      </c>
      <c r="L11" s="12">
        <v>2846.1000000000063</v>
      </c>
    </row>
    <row r="12" spans="1:12" ht="13.5" customHeight="1" x14ac:dyDescent="0.2">
      <c r="A12" s="19"/>
      <c r="B12" s="20"/>
      <c r="C12" s="21" t="s">
        <v>6409</v>
      </c>
      <c r="D12" s="11"/>
      <c r="E12" s="12"/>
      <c r="F12" s="22"/>
      <c r="G12" s="23"/>
      <c r="H12" s="22">
        <v>70</v>
      </c>
      <c r="I12" s="25"/>
      <c r="J12" s="26"/>
      <c r="K12" s="18">
        <v>1320.02</v>
      </c>
      <c r="L12" s="12">
        <v>2776.1000000000063</v>
      </c>
    </row>
    <row r="13" spans="1:12" ht="13.5" customHeight="1" x14ac:dyDescent="0.2">
      <c r="A13" s="19"/>
      <c r="B13" s="20"/>
      <c r="C13" s="21" t="s">
        <v>5977</v>
      </c>
      <c r="D13" s="11"/>
      <c r="E13" s="12"/>
      <c r="F13" s="22"/>
      <c r="G13" s="23"/>
      <c r="H13" s="22">
        <v>70</v>
      </c>
      <c r="I13" s="25"/>
      <c r="J13" s="26">
        <v>2706.1000000000063</v>
      </c>
      <c r="K13" s="18">
        <v>1320.02</v>
      </c>
      <c r="L13" s="12">
        <v>2706.1000000000063</v>
      </c>
    </row>
    <row r="14" spans="1:12" ht="13.5" customHeight="1" x14ac:dyDescent="0.2">
      <c r="A14" s="19"/>
      <c r="B14" s="20"/>
      <c r="C14" s="34" t="s">
        <v>5557</v>
      </c>
      <c r="D14" s="11" t="s">
        <v>19</v>
      </c>
      <c r="E14" s="1051">
        <v>-0.43</v>
      </c>
      <c r="F14" s="22" t="s">
        <v>549</v>
      </c>
      <c r="G14" s="23"/>
      <c r="H14" s="22"/>
      <c r="I14" s="25"/>
      <c r="J14" s="26"/>
      <c r="K14" s="18">
        <v>1319.59</v>
      </c>
      <c r="L14" s="12">
        <v>2706.1000000000063</v>
      </c>
    </row>
    <row r="15" spans="1:12" ht="13.5" customHeight="1" x14ac:dyDescent="0.2">
      <c r="A15" s="19"/>
      <c r="B15" s="20"/>
      <c r="C15" s="34" t="s">
        <v>5558</v>
      </c>
      <c r="D15" s="11" t="s">
        <v>19</v>
      </c>
      <c r="E15" s="1051">
        <v>-4.18</v>
      </c>
      <c r="F15" s="22" t="s">
        <v>549</v>
      </c>
      <c r="G15" s="23">
        <v>1315.41</v>
      </c>
      <c r="H15" s="22"/>
      <c r="I15" s="25"/>
      <c r="J15" s="26"/>
      <c r="K15" s="18">
        <v>1315.4099999999999</v>
      </c>
      <c r="L15" s="12">
        <v>2706.1000000000063</v>
      </c>
    </row>
    <row r="16" spans="1:12" ht="13.5" customHeight="1" x14ac:dyDescent="0.2">
      <c r="A16" s="19">
        <v>43073</v>
      </c>
      <c r="B16" s="20"/>
      <c r="C16" s="34" t="s">
        <v>6538</v>
      </c>
      <c r="D16" s="11"/>
      <c r="E16" s="12"/>
      <c r="F16" s="22"/>
      <c r="G16" s="23"/>
      <c r="H16" s="22"/>
      <c r="I16" s="25">
        <v>1020</v>
      </c>
      <c r="J16" s="26"/>
      <c r="K16" s="18">
        <v>1315.4099999999999</v>
      </c>
      <c r="L16" s="12">
        <v>3726.1000000000063</v>
      </c>
    </row>
    <row r="17" spans="1:12" ht="13.5" customHeight="1" x14ac:dyDescent="0.2">
      <c r="A17" s="19"/>
      <c r="B17" s="20"/>
      <c r="C17" s="21" t="s">
        <v>6250</v>
      </c>
      <c r="D17" s="11"/>
      <c r="E17" s="12"/>
      <c r="F17" s="22"/>
      <c r="G17" s="23"/>
      <c r="H17" s="22">
        <v>2</v>
      </c>
      <c r="I17" s="25"/>
      <c r="J17" s="26"/>
      <c r="K17" s="18">
        <v>1315.4099999999999</v>
      </c>
      <c r="L17" s="12">
        <v>3724.1000000000063</v>
      </c>
    </row>
    <row r="18" spans="1:12" ht="13.5" customHeight="1" x14ac:dyDescent="0.2">
      <c r="A18" s="19"/>
      <c r="B18" s="20"/>
      <c r="C18" s="34" t="s">
        <v>6539</v>
      </c>
      <c r="D18" s="11"/>
      <c r="E18" s="12"/>
      <c r="F18" s="22"/>
      <c r="G18" s="23"/>
      <c r="H18" s="22">
        <v>30</v>
      </c>
      <c r="I18" s="25"/>
      <c r="J18" s="26">
        <v>3694.1000000000063</v>
      </c>
      <c r="K18" s="18">
        <v>1315.4099999999999</v>
      </c>
      <c r="L18" s="12">
        <v>3694.1000000000063</v>
      </c>
    </row>
    <row r="19" spans="1:12" ht="13.5" customHeight="1" x14ac:dyDescent="0.2">
      <c r="A19" s="19">
        <v>43074</v>
      </c>
      <c r="B19" s="20"/>
      <c r="C19" s="21" t="s">
        <v>6540</v>
      </c>
      <c r="D19" s="11"/>
      <c r="E19" s="12"/>
      <c r="F19" s="22"/>
      <c r="G19" s="23"/>
      <c r="H19" s="22"/>
      <c r="I19" s="25">
        <v>1020</v>
      </c>
      <c r="J19" s="26"/>
      <c r="K19" s="18">
        <v>1315.4099999999999</v>
      </c>
      <c r="L19" s="12">
        <v>4714.1000000000058</v>
      </c>
    </row>
    <row r="20" spans="1:12" ht="13.5" customHeight="1" x14ac:dyDescent="0.2">
      <c r="A20" s="19"/>
      <c r="B20" s="20"/>
      <c r="C20" s="21" t="s">
        <v>6541</v>
      </c>
      <c r="D20" s="11"/>
      <c r="E20" s="12"/>
      <c r="F20" s="22"/>
      <c r="G20" s="23"/>
      <c r="H20" s="22"/>
      <c r="I20" s="25">
        <v>5000</v>
      </c>
      <c r="J20" s="26"/>
      <c r="K20" s="18">
        <v>1315.4099999999999</v>
      </c>
      <c r="L20" s="12">
        <v>9714.1000000000058</v>
      </c>
    </row>
    <row r="21" spans="1:12" ht="13.5" customHeight="1" x14ac:dyDescent="0.2">
      <c r="A21" s="19"/>
      <c r="B21" s="20"/>
      <c r="C21" s="34" t="s">
        <v>1332</v>
      </c>
      <c r="D21" s="11"/>
      <c r="E21" s="12"/>
      <c r="F21" s="22"/>
      <c r="G21" s="23"/>
      <c r="H21" s="409">
        <v>6000</v>
      </c>
      <c r="I21" s="25"/>
      <c r="J21" s="26"/>
      <c r="K21" s="18">
        <v>1315.4099999999999</v>
      </c>
      <c r="L21" s="12">
        <v>3714.1000000000058</v>
      </c>
    </row>
    <row r="22" spans="1:12" ht="13.5" customHeight="1" x14ac:dyDescent="0.2">
      <c r="A22" s="19"/>
      <c r="B22" s="20"/>
      <c r="C22" s="34" t="s">
        <v>6542</v>
      </c>
      <c r="D22" s="11"/>
      <c r="E22" s="12"/>
      <c r="F22" s="22"/>
      <c r="G22" s="23"/>
      <c r="H22" s="22">
        <v>46</v>
      </c>
      <c r="I22" s="25"/>
      <c r="J22" s="26"/>
      <c r="K22" s="18">
        <v>1315.4099999999999</v>
      </c>
      <c r="L22" s="12">
        <v>3668.1000000000058</v>
      </c>
    </row>
    <row r="23" spans="1:12" ht="13.5" customHeight="1" x14ac:dyDescent="0.2">
      <c r="A23" s="19"/>
      <c r="B23" s="20"/>
      <c r="C23" s="34" t="s">
        <v>6380</v>
      </c>
      <c r="D23" s="11"/>
      <c r="E23" s="12"/>
      <c r="F23" s="22"/>
      <c r="G23" s="23"/>
      <c r="H23" s="22">
        <v>200</v>
      </c>
      <c r="I23" s="25"/>
      <c r="J23" s="26"/>
      <c r="K23" s="18">
        <v>1315.4099999999999</v>
      </c>
      <c r="L23" s="12">
        <v>3468.1000000000058</v>
      </c>
    </row>
    <row r="24" spans="1:12" ht="13.5" customHeight="1" x14ac:dyDescent="0.2">
      <c r="A24" s="19">
        <v>43075</v>
      </c>
      <c r="B24" s="20"/>
      <c r="C24" s="21" t="s">
        <v>6543</v>
      </c>
      <c r="D24" s="11"/>
      <c r="E24" s="12"/>
      <c r="F24" s="22"/>
      <c r="G24" s="23"/>
      <c r="H24" s="22"/>
      <c r="I24" s="25">
        <v>1971.4</v>
      </c>
      <c r="J24" s="26"/>
      <c r="K24" s="18">
        <v>1315.4099999999999</v>
      </c>
      <c r="L24" s="12">
        <v>5439.5000000000055</v>
      </c>
    </row>
    <row r="25" spans="1:12" ht="13.5" customHeight="1" x14ac:dyDescent="0.2">
      <c r="A25" s="19"/>
      <c r="B25" s="20"/>
      <c r="C25" s="138" t="s">
        <v>6544</v>
      </c>
      <c r="D25" s="11" t="s">
        <v>6545</v>
      </c>
      <c r="E25" s="12" t="s">
        <v>549</v>
      </c>
      <c r="F25" s="932">
        <v>940</v>
      </c>
      <c r="G25" s="23">
        <v>2255.41</v>
      </c>
      <c r="H25" s="22"/>
      <c r="I25" s="25"/>
      <c r="J25" s="26"/>
      <c r="K25" s="18">
        <v>2255.41</v>
      </c>
      <c r="L25" s="12">
        <v>5439.5000000000055</v>
      </c>
    </row>
    <row r="26" spans="1:12" ht="13.5" customHeight="1" x14ac:dyDescent="0.2">
      <c r="A26" s="19">
        <v>43076</v>
      </c>
      <c r="B26" s="20"/>
      <c r="C26" s="34" t="s">
        <v>6546</v>
      </c>
      <c r="D26" s="11"/>
      <c r="E26" s="12"/>
      <c r="F26" s="22"/>
      <c r="G26" s="23"/>
      <c r="H26" s="22"/>
      <c r="I26" s="25">
        <v>1580</v>
      </c>
      <c r="J26" s="26"/>
      <c r="K26" s="18">
        <v>2255.41</v>
      </c>
      <c r="L26" s="12">
        <v>7019.5000000000055</v>
      </c>
    </row>
    <row r="27" spans="1:12" ht="13.5" customHeight="1" x14ac:dyDescent="0.2">
      <c r="A27" s="19"/>
      <c r="B27" s="20"/>
      <c r="C27" s="34" t="s">
        <v>6547</v>
      </c>
      <c r="D27" s="11"/>
      <c r="E27" s="12"/>
      <c r="F27" s="22"/>
      <c r="G27" s="23"/>
      <c r="H27" s="22"/>
      <c r="I27" s="25">
        <v>60</v>
      </c>
      <c r="J27" s="26"/>
      <c r="K27" s="18">
        <v>2255.41</v>
      </c>
      <c r="L27" s="12">
        <v>7079.5000000000055</v>
      </c>
    </row>
    <row r="28" spans="1:12" ht="13.5" customHeight="1" x14ac:dyDescent="0.2">
      <c r="A28" s="19"/>
      <c r="B28" s="20"/>
      <c r="C28" s="34" t="s">
        <v>6548</v>
      </c>
      <c r="D28" s="11"/>
      <c r="E28" s="12"/>
      <c r="F28" s="22"/>
      <c r="G28" s="23"/>
      <c r="H28" s="22"/>
      <c r="I28" s="25">
        <v>1200</v>
      </c>
      <c r="J28" s="26"/>
      <c r="K28" s="18">
        <v>2255.41</v>
      </c>
      <c r="L28" s="12">
        <v>8279.5000000000055</v>
      </c>
    </row>
    <row r="29" spans="1:12" ht="13.5" customHeight="1" x14ac:dyDescent="0.2">
      <c r="A29" s="19"/>
      <c r="B29" s="20"/>
      <c r="C29" s="21" t="s">
        <v>6358</v>
      </c>
      <c r="D29" s="11"/>
      <c r="E29" s="12"/>
      <c r="F29" s="22"/>
      <c r="G29" s="23"/>
      <c r="H29" s="22"/>
      <c r="I29" s="25">
        <v>150</v>
      </c>
      <c r="J29" s="26"/>
      <c r="K29" s="18">
        <v>2255.41</v>
      </c>
      <c r="L29" s="12">
        <v>8429.5000000000055</v>
      </c>
    </row>
    <row r="30" spans="1:12" ht="13.5" customHeight="1" x14ac:dyDescent="0.2">
      <c r="A30" s="19"/>
      <c r="B30" s="20"/>
      <c r="C30" s="56" t="s">
        <v>6549</v>
      </c>
      <c r="D30" s="11"/>
      <c r="E30" s="12"/>
      <c r="F30" s="22"/>
      <c r="G30" s="23"/>
      <c r="H30" s="22">
        <v>28.8</v>
      </c>
      <c r="I30" s="25"/>
      <c r="J30" s="26"/>
      <c r="K30" s="18">
        <v>2255.41</v>
      </c>
      <c r="L30" s="12">
        <v>8400.7000000000062</v>
      </c>
    </row>
    <row r="31" spans="1:12" ht="13.5" customHeight="1" x14ac:dyDescent="0.2">
      <c r="A31" s="19"/>
      <c r="B31" s="20"/>
      <c r="C31" s="21" t="s">
        <v>6550</v>
      </c>
      <c r="D31" s="11"/>
      <c r="E31" s="12"/>
      <c r="F31" s="22"/>
      <c r="G31" s="23"/>
      <c r="H31" s="22">
        <v>6.25</v>
      </c>
      <c r="I31" s="25"/>
      <c r="J31" s="26"/>
      <c r="K31" s="18">
        <v>2255.41</v>
      </c>
      <c r="L31" s="12">
        <v>8394.4500000000062</v>
      </c>
    </row>
    <row r="32" spans="1:12" ht="13.5" customHeight="1" x14ac:dyDescent="0.2">
      <c r="A32" s="19"/>
      <c r="B32" s="20"/>
      <c r="C32" s="21" t="s">
        <v>6551</v>
      </c>
      <c r="D32" s="11"/>
      <c r="E32" s="12"/>
      <c r="F32" s="22"/>
      <c r="G32" s="23"/>
      <c r="H32" s="22">
        <v>4.5</v>
      </c>
      <c r="I32" s="25"/>
      <c r="J32" s="26"/>
      <c r="K32" s="18">
        <v>2255.41</v>
      </c>
      <c r="L32" s="12">
        <v>8389.9500000000062</v>
      </c>
    </row>
    <row r="33" spans="1:12" ht="13.5" customHeight="1" x14ac:dyDescent="0.2">
      <c r="A33" s="19"/>
      <c r="B33" s="20"/>
      <c r="C33" s="21" t="s">
        <v>6552</v>
      </c>
      <c r="D33" s="11"/>
      <c r="E33" s="12"/>
      <c r="F33" s="22"/>
      <c r="G33" s="23"/>
      <c r="H33" s="22">
        <v>19.39</v>
      </c>
      <c r="I33" s="25"/>
      <c r="J33" s="26"/>
      <c r="K33" s="18">
        <v>2255.41</v>
      </c>
      <c r="L33" s="12">
        <v>8370.5600000000068</v>
      </c>
    </row>
    <row r="34" spans="1:12" ht="13.5" customHeight="1" x14ac:dyDescent="0.2">
      <c r="A34" s="19"/>
      <c r="B34" s="20"/>
      <c r="C34" s="21" t="s">
        <v>6553</v>
      </c>
      <c r="D34" s="11"/>
      <c r="E34" s="12"/>
      <c r="F34" s="22"/>
      <c r="G34" s="23"/>
      <c r="H34" s="22">
        <v>23.86</v>
      </c>
      <c r="I34" s="25"/>
      <c r="J34" s="26"/>
      <c r="K34" s="18">
        <v>2255.41</v>
      </c>
      <c r="L34" s="12">
        <v>8346.7000000000062</v>
      </c>
    </row>
    <row r="35" spans="1:12" ht="13.5" customHeight="1" x14ac:dyDescent="0.2">
      <c r="A35" s="19"/>
      <c r="B35" s="20"/>
      <c r="C35" s="34" t="s">
        <v>6554</v>
      </c>
      <c r="D35" s="11"/>
      <c r="E35" s="12"/>
      <c r="F35" s="22"/>
      <c r="G35" s="23"/>
      <c r="H35" s="22">
        <v>9.9499999999999993</v>
      </c>
      <c r="I35" s="25"/>
      <c r="J35" s="26"/>
      <c r="K35" s="18">
        <v>2255.41</v>
      </c>
      <c r="L35" s="12">
        <v>8336.7500000000055</v>
      </c>
    </row>
    <row r="36" spans="1:12" ht="13.5" customHeight="1" x14ac:dyDescent="0.2">
      <c r="A36" s="19"/>
      <c r="B36" s="20"/>
      <c r="C36" s="34" t="s">
        <v>6555</v>
      </c>
      <c r="D36" s="11"/>
      <c r="E36" s="12"/>
      <c r="F36" s="22"/>
      <c r="G36" s="23"/>
      <c r="H36" s="22">
        <v>5.7</v>
      </c>
      <c r="I36" s="25"/>
      <c r="J36" s="26"/>
      <c r="K36" s="18">
        <v>2255.41</v>
      </c>
      <c r="L36" s="12">
        <v>8331.0500000000047</v>
      </c>
    </row>
    <row r="37" spans="1:12" ht="13.5" customHeight="1" x14ac:dyDescent="0.2">
      <c r="A37" s="19"/>
      <c r="B37" s="20"/>
      <c r="C37" s="34" t="s">
        <v>6556</v>
      </c>
      <c r="D37" s="11"/>
      <c r="E37" s="12"/>
      <c r="F37" s="22"/>
      <c r="G37" s="23"/>
      <c r="H37" s="22">
        <v>6</v>
      </c>
      <c r="I37" s="25"/>
      <c r="J37" s="26"/>
      <c r="K37" s="18">
        <v>2255.41</v>
      </c>
      <c r="L37" s="12">
        <v>8325.0500000000047</v>
      </c>
    </row>
    <row r="38" spans="1:12" ht="13.5" customHeight="1" x14ac:dyDescent="0.2">
      <c r="A38" s="19"/>
      <c r="B38" s="20"/>
      <c r="C38" s="34" t="s">
        <v>6409</v>
      </c>
      <c r="D38" s="11"/>
      <c r="E38" s="12"/>
      <c r="F38" s="22"/>
      <c r="G38" s="23"/>
      <c r="H38" s="22">
        <v>70</v>
      </c>
      <c r="I38" s="25"/>
      <c r="J38" s="26"/>
      <c r="K38" s="18">
        <v>2255.41</v>
      </c>
      <c r="L38" s="12">
        <v>8255.0500000000047</v>
      </c>
    </row>
    <row r="39" spans="1:12" ht="13.5" customHeight="1" x14ac:dyDescent="0.2">
      <c r="A39" s="19"/>
      <c r="B39" s="20"/>
      <c r="C39" s="34" t="s">
        <v>5977</v>
      </c>
      <c r="D39" s="11"/>
      <c r="E39" s="12"/>
      <c r="F39" s="22"/>
      <c r="G39" s="23"/>
      <c r="H39" s="22">
        <v>70</v>
      </c>
      <c r="I39" s="25"/>
      <c r="J39" s="26"/>
      <c r="K39" s="18">
        <v>2255.41</v>
      </c>
      <c r="L39" s="12">
        <v>8185.0500000000047</v>
      </c>
    </row>
    <row r="40" spans="1:12" ht="13.5" customHeight="1" x14ac:dyDescent="0.2">
      <c r="A40" s="19"/>
      <c r="B40" s="20"/>
      <c r="C40" s="34" t="s">
        <v>6158</v>
      </c>
      <c r="D40" s="11"/>
      <c r="E40" s="12"/>
      <c r="F40" s="22"/>
      <c r="G40" s="23"/>
      <c r="H40" s="22">
        <v>200</v>
      </c>
      <c r="I40" s="25"/>
      <c r="J40" s="26"/>
      <c r="K40" s="18">
        <v>2255.41</v>
      </c>
      <c r="L40" s="12">
        <v>7985.0500000000047</v>
      </c>
    </row>
    <row r="41" spans="1:12" ht="13.5" customHeight="1" x14ac:dyDescent="0.2">
      <c r="A41" s="19"/>
      <c r="B41" s="20"/>
      <c r="C41" s="34" t="s">
        <v>6159</v>
      </c>
      <c r="D41" s="11"/>
      <c r="E41" s="12"/>
      <c r="F41" s="22"/>
      <c r="G41" s="23"/>
      <c r="H41" s="22">
        <v>240</v>
      </c>
      <c r="I41" s="25"/>
      <c r="J41" s="26"/>
      <c r="K41" s="18">
        <v>2255.41</v>
      </c>
      <c r="L41" s="12">
        <v>7745.0500000000047</v>
      </c>
    </row>
    <row r="42" spans="1:12" ht="13.5" customHeight="1" x14ac:dyDescent="0.2">
      <c r="A42" s="19"/>
      <c r="B42" s="20"/>
      <c r="C42" s="34" t="s">
        <v>6557</v>
      </c>
      <c r="D42" s="11"/>
      <c r="E42" s="12"/>
      <c r="F42" s="22"/>
      <c r="G42" s="23"/>
      <c r="H42" s="22"/>
      <c r="I42" s="25">
        <v>1430</v>
      </c>
      <c r="J42" s="26"/>
      <c r="K42" s="18">
        <v>2255.41</v>
      </c>
      <c r="L42" s="12">
        <v>9175.0500000000047</v>
      </c>
    </row>
    <row r="43" spans="1:12" ht="13.5" customHeight="1" x14ac:dyDescent="0.2">
      <c r="A43" s="19"/>
      <c r="B43" s="20"/>
      <c r="C43" s="34" t="s">
        <v>5568</v>
      </c>
      <c r="D43" s="11"/>
      <c r="E43" s="12"/>
      <c r="F43" s="22"/>
      <c r="G43" s="23"/>
      <c r="H43" s="162">
        <v>1430</v>
      </c>
      <c r="I43" s="25"/>
      <c r="J43" s="26"/>
      <c r="K43" s="18">
        <v>2255.41</v>
      </c>
      <c r="L43" s="12">
        <v>7745.0500000000047</v>
      </c>
    </row>
    <row r="44" spans="1:12" ht="13.5" customHeight="1" x14ac:dyDescent="0.2">
      <c r="A44" s="19"/>
      <c r="B44" s="20"/>
      <c r="C44" s="34" t="s">
        <v>1332</v>
      </c>
      <c r="D44" s="11"/>
      <c r="E44" s="12"/>
      <c r="F44" s="22"/>
      <c r="G44" s="23"/>
      <c r="H44" s="409">
        <v>4000</v>
      </c>
      <c r="I44" s="25"/>
      <c r="J44" s="26"/>
      <c r="K44" s="18">
        <v>2255.41</v>
      </c>
      <c r="L44" s="12">
        <v>3745.0500000000047</v>
      </c>
    </row>
    <row r="45" spans="1:12" ht="13.5" customHeight="1" x14ac:dyDescent="0.2">
      <c r="A45" s="19"/>
      <c r="B45" s="20"/>
      <c r="C45" s="34" t="s">
        <v>6558</v>
      </c>
      <c r="D45" s="11"/>
      <c r="E45" s="12"/>
      <c r="F45" s="22"/>
      <c r="G45" s="23"/>
      <c r="H45" s="22">
        <v>100</v>
      </c>
      <c r="I45" s="25"/>
      <c r="J45" s="26"/>
      <c r="K45" s="18">
        <v>2255.41</v>
      </c>
      <c r="L45" s="12">
        <v>3645.0500000000047</v>
      </c>
    </row>
    <row r="46" spans="1:12" ht="13.5" customHeight="1" x14ac:dyDescent="0.2">
      <c r="A46" s="19"/>
      <c r="B46" s="20"/>
      <c r="C46" s="34" t="s">
        <v>6559</v>
      </c>
      <c r="D46" s="11"/>
      <c r="E46" s="12"/>
      <c r="F46" s="22"/>
      <c r="G46" s="23"/>
      <c r="H46" s="22">
        <v>80</v>
      </c>
      <c r="I46" s="25"/>
      <c r="J46" s="26"/>
      <c r="K46" s="18">
        <v>2255.41</v>
      </c>
      <c r="L46" s="12">
        <v>3565.0500000000047</v>
      </c>
    </row>
    <row r="47" spans="1:12" ht="13.5" customHeight="1" x14ac:dyDescent="0.2">
      <c r="A47" s="19"/>
      <c r="B47" s="20"/>
      <c r="C47" s="34" t="s">
        <v>5568</v>
      </c>
      <c r="D47" s="11" t="s">
        <v>6560</v>
      </c>
      <c r="E47" s="12" t="s">
        <v>549</v>
      </c>
      <c r="F47" s="162">
        <v>1430</v>
      </c>
      <c r="G47" s="23">
        <v>3685.41</v>
      </c>
      <c r="H47" s="22"/>
      <c r="I47" s="25"/>
      <c r="J47" s="26"/>
      <c r="K47" s="18">
        <v>3685.41</v>
      </c>
      <c r="L47" s="12">
        <v>3565.0500000000047</v>
      </c>
    </row>
    <row r="48" spans="1:12" ht="13.5" customHeight="1" x14ac:dyDescent="0.2">
      <c r="A48" s="19">
        <v>43080</v>
      </c>
      <c r="B48" s="20"/>
      <c r="C48" s="34" t="s">
        <v>6561</v>
      </c>
      <c r="D48" s="11"/>
      <c r="E48" s="12"/>
      <c r="F48" s="22"/>
      <c r="G48" s="23"/>
      <c r="H48" s="162">
        <v>1020</v>
      </c>
      <c r="I48" s="25"/>
      <c r="J48" s="26"/>
      <c r="K48" s="18">
        <v>3685.41</v>
      </c>
      <c r="L48" s="12">
        <v>2545.0500000000047</v>
      </c>
    </row>
    <row r="49" spans="1:12" ht="13.5" customHeight="1" x14ac:dyDescent="0.2">
      <c r="A49" s="19"/>
      <c r="B49" s="20"/>
      <c r="C49" s="34" t="s">
        <v>6562</v>
      </c>
      <c r="D49" s="11"/>
      <c r="E49" s="12"/>
      <c r="F49" s="22"/>
      <c r="G49" s="23"/>
      <c r="H49" s="22"/>
      <c r="I49" s="25">
        <v>2296.13</v>
      </c>
      <c r="J49" s="26"/>
      <c r="K49" s="18">
        <v>3685.41</v>
      </c>
      <c r="L49" s="12">
        <v>4841.1800000000048</v>
      </c>
    </row>
    <row r="50" spans="1:12" ht="13.5" customHeight="1" x14ac:dyDescent="0.2">
      <c r="A50" s="19"/>
      <c r="B50" s="20"/>
      <c r="C50" s="34" t="s">
        <v>5995</v>
      </c>
      <c r="D50" s="11"/>
      <c r="E50" s="12"/>
      <c r="F50" s="22"/>
      <c r="G50" s="23"/>
      <c r="H50" s="162">
        <v>2296.13</v>
      </c>
      <c r="I50" s="25"/>
      <c r="J50" s="26"/>
      <c r="K50" s="18">
        <v>3685.41</v>
      </c>
      <c r="L50" s="12">
        <v>2545.0500000000047</v>
      </c>
    </row>
    <row r="51" spans="1:12" ht="13.5" customHeight="1" x14ac:dyDescent="0.2">
      <c r="A51" s="19"/>
      <c r="B51" s="20"/>
      <c r="C51" s="34" t="s">
        <v>6563</v>
      </c>
      <c r="D51" s="11"/>
      <c r="E51" s="12"/>
      <c r="F51" s="22"/>
      <c r="G51" s="23"/>
      <c r="H51" s="22"/>
      <c r="I51" s="25">
        <v>942</v>
      </c>
      <c r="J51" s="26"/>
      <c r="K51" s="18">
        <v>3685.41</v>
      </c>
      <c r="L51" s="12">
        <v>3487.0500000000047</v>
      </c>
    </row>
    <row r="52" spans="1:12" ht="13.5" customHeight="1" x14ac:dyDescent="0.2">
      <c r="A52" s="19"/>
      <c r="B52" s="20"/>
      <c r="C52" s="34" t="s">
        <v>6564</v>
      </c>
      <c r="D52" s="11"/>
      <c r="E52" s="12"/>
      <c r="F52" s="22"/>
      <c r="G52" s="23"/>
      <c r="H52" s="22"/>
      <c r="I52" s="25">
        <v>185</v>
      </c>
      <c r="J52" s="26"/>
      <c r="K52" s="18">
        <v>3685.41</v>
      </c>
      <c r="L52" s="12">
        <v>3672.0500000000047</v>
      </c>
    </row>
    <row r="53" spans="1:12" ht="13.5" customHeight="1" x14ac:dyDescent="0.2">
      <c r="A53" s="19"/>
      <c r="B53" s="20"/>
      <c r="C53" s="34" t="s">
        <v>558</v>
      </c>
      <c r="D53" s="11" t="s">
        <v>19</v>
      </c>
      <c r="E53" s="1051">
        <v>-90.05</v>
      </c>
      <c r="F53" s="22" t="s">
        <v>549</v>
      </c>
      <c r="G53" s="23"/>
      <c r="H53" s="22"/>
      <c r="I53" s="25"/>
      <c r="J53" s="26"/>
      <c r="K53" s="18">
        <v>3595.3599999999997</v>
      </c>
      <c r="L53" s="12">
        <v>3672.0500000000047</v>
      </c>
    </row>
    <row r="54" spans="1:12" ht="13.5" customHeight="1" x14ac:dyDescent="0.2">
      <c r="A54" s="19"/>
      <c r="B54" s="20"/>
      <c r="C54" s="34" t="s">
        <v>62</v>
      </c>
      <c r="D54" s="11" t="s">
        <v>19</v>
      </c>
      <c r="E54" s="1051">
        <v>-502.78</v>
      </c>
      <c r="F54" s="22" t="s">
        <v>549</v>
      </c>
      <c r="G54" s="23"/>
      <c r="H54" s="22"/>
      <c r="I54" s="25"/>
      <c r="J54" s="26"/>
      <c r="K54" s="18">
        <v>3092.58</v>
      </c>
      <c r="L54" s="12">
        <v>3672.0500000000047</v>
      </c>
    </row>
    <row r="55" spans="1:12" ht="13.5" customHeight="1" x14ac:dyDescent="0.2">
      <c r="A55" s="19"/>
      <c r="B55" s="20"/>
      <c r="C55" s="36" t="s">
        <v>6565</v>
      </c>
      <c r="D55" s="11" t="s">
        <v>19</v>
      </c>
      <c r="E55" s="12">
        <v>-2500</v>
      </c>
      <c r="F55" s="22" t="s">
        <v>549</v>
      </c>
      <c r="G55" s="23"/>
      <c r="H55" s="22"/>
      <c r="I55" s="25"/>
      <c r="J55" s="26"/>
      <c r="K55" s="18">
        <v>592.57999999999993</v>
      </c>
      <c r="L55" s="12">
        <v>3672.0500000000047</v>
      </c>
    </row>
    <row r="56" spans="1:12" ht="13.5" customHeight="1" x14ac:dyDescent="0.2">
      <c r="A56" s="19"/>
      <c r="B56" s="20"/>
      <c r="C56" s="34" t="s">
        <v>6561</v>
      </c>
      <c r="D56" s="11" t="s">
        <v>6566</v>
      </c>
      <c r="E56" s="12" t="s">
        <v>549</v>
      </c>
      <c r="F56" s="162">
        <v>1020</v>
      </c>
      <c r="G56" s="23"/>
      <c r="H56" s="22"/>
      <c r="I56" s="25"/>
      <c r="J56" s="26"/>
      <c r="K56" s="18">
        <v>1612.58</v>
      </c>
      <c r="L56" s="12">
        <v>3672.0500000000047</v>
      </c>
    </row>
    <row r="57" spans="1:12" ht="13.5" customHeight="1" x14ac:dyDescent="0.2">
      <c r="A57" s="19"/>
      <c r="B57" s="20"/>
      <c r="C57" s="34" t="s">
        <v>20</v>
      </c>
      <c r="D57" s="11" t="s">
        <v>19</v>
      </c>
      <c r="E57" s="12" t="s">
        <v>549</v>
      </c>
      <c r="F57" s="932">
        <v>0.08</v>
      </c>
      <c r="G57" s="23">
        <v>1612.66</v>
      </c>
      <c r="H57" s="22"/>
      <c r="I57" s="25"/>
      <c r="J57" s="26"/>
      <c r="K57" s="18">
        <v>1612.6599999999999</v>
      </c>
      <c r="L57" s="12">
        <v>3672.0500000000047</v>
      </c>
    </row>
    <row r="58" spans="1:12" ht="13.5" customHeight="1" x14ac:dyDescent="0.2">
      <c r="A58" s="19">
        <v>43081</v>
      </c>
      <c r="B58" s="20"/>
      <c r="C58" s="34" t="s">
        <v>6567</v>
      </c>
      <c r="D58" s="11"/>
      <c r="E58" s="12"/>
      <c r="F58" s="22"/>
      <c r="G58" s="23"/>
      <c r="H58" s="162">
        <v>1765</v>
      </c>
      <c r="I58" s="25"/>
      <c r="J58" s="26"/>
      <c r="K58" s="18">
        <v>1612.6599999999999</v>
      </c>
      <c r="L58" s="12">
        <v>1907.0500000000047</v>
      </c>
    </row>
    <row r="59" spans="1:12" ht="13.5" customHeight="1" x14ac:dyDescent="0.2">
      <c r="A59" s="19"/>
      <c r="B59" s="20"/>
      <c r="C59" s="34" t="s">
        <v>6568</v>
      </c>
      <c r="D59" s="11"/>
      <c r="E59" s="12"/>
      <c r="F59" s="22"/>
      <c r="G59" s="23"/>
      <c r="H59" s="22">
        <v>7</v>
      </c>
      <c r="I59" s="25"/>
      <c r="J59" s="26"/>
      <c r="K59" s="18">
        <v>1612.6599999999999</v>
      </c>
      <c r="L59" s="12">
        <v>1900.0500000000047</v>
      </c>
    </row>
    <row r="60" spans="1:12" ht="13.5" customHeight="1" x14ac:dyDescent="0.2">
      <c r="A60" s="19"/>
      <c r="B60" s="20"/>
      <c r="C60" s="34" t="s">
        <v>6569</v>
      </c>
      <c r="D60" s="11"/>
      <c r="E60" s="12"/>
      <c r="F60" s="22"/>
      <c r="G60" s="23"/>
      <c r="H60" s="22">
        <v>14.05</v>
      </c>
      <c r="I60" s="25"/>
      <c r="J60" s="26"/>
      <c r="K60" s="18">
        <v>1612.6599999999999</v>
      </c>
      <c r="L60" s="12">
        <v>1886.0000000000048</v>
      </c>
    </row>
    <row r="61" spans="1:12" ht="13.5" customHeight="1" x14ac:dyDescent="0.2">
      <c r="A61" s="19"/>
      <c r="B61" s="20"/>
      <c r="C61" s="34" t="s">
        <v>5660</v>
      </c>
      <c r="D61" s="11"/>
      <c r="E61" s="12"/>
      <c r="F61" s="22"/>
      <c r="G61" s="23"/>
      <c r="H61" s="22">
        <v>14.46</v>
      </c>
      <c r="I61" s="25"/>
      <c r="J61" s="26"/>
      <c r="K61" s="18">
        <v>1612.6599999999999</v>
      </c>
      <c r="L61" s="12">
        <v>1871.5400000000047</v>
      </c>
    </row>
    <row r="62" spans="1:12" ht="13.5" customHeight="1" x14ac:dyDescent="0.2">
      <c r="A62" s="19"/>
      <c r="B62" s="20"/>
      <c r="C62" s="34" t="s">
        <v>6570</v>
      </c>
      <c r="D62" s="11"/>
      <c r="E62" s="12"/>
      <c r="F62" s="22"/>
      <c r="G62" s="23"/>
      <c r="H62" s="22">
        <v>9.5</v>
      </c>
      <c r="I62" s="25"/>
      <c r="J62" s="26"/>
      <c r="K62" s="18">
        <v>1612.6599999999999</v>
      </c>
      <c r="L62" s="12">
        <v>1862.0400000000047</v>
      </c>
    </row>
    <row r="63" spans="1:12" ht="13.5" customHeight="1" x14ac:dyDescent="0.2">
      <c r="A63" s="19"/>
      <c r="B63" s="20"/>
      <c r="C63" s="34" t="s">
        <v>6571</v>
      </c>
      <c r="D63" s="11"/>
      <c r="E63" s="12"/>
      <c r="F63" s="22"/>
      <c r="G63" s="23"/>
      <c r="H63" s="22">
        <v>9.4</v>
      </c>
      <c r="I63" s="25"/>
      <c r="J63" s="26"/>
      <c r="K63" s="18">
        <v>1612.6599999999999</v>
      </c>
      <c r="L63" s="12">
        <v>1852.6400000000046</v>
      </c>
    </row>
    <row r="64" spans="1:12" ht="13.5" customHeight="1" x14ac:dyDescent="0.2">
      <c r="A64" s="19"/>
      <c r="B64" s="20"/>
      <c r="C64" s="34" t="s">
        <v>6572</v>
      </c>
      <c r="D64" s="11"/>
      <c r="E64" s="12"/>
      <c r="F64" s="22"/>
      <c r="G64" s="23"/>
      <c r="H64" s="22"/>
      <c r="I64" s="25">
        <v>45</v>
      </c>
      <c r="J64" s="26"/>
      <c r="K64" s="18">
        <v>1612.6599999999999</v>
      </c>
      <c r="L64" s="12">
        <v>1897.6400000000046</v>
      </c>
    </row>
    <row r="65" spans="1:12" ht="13.5" customHeight="1" x14ac:dyDescent="0.2">
      <c r="A65" s="19"/>
      <c r="B65" s="20"/>
      <c r="C65" s="34" t="s">
        <v>6573</v>
      </c>
      <c r="D65" s="11"/>
      <c r="E65" s="12"/>
      <c r="F65" s="22"/>
      <c r="G65" s="23"/>
      <c r="H65" s="22"/>
      <c r="I65" s="25">
        <v>3500</v>
      </c>
      <c r="J65" s="26"/>
      <c r="K65" s="18">
        <v>1612.6599999999999</v>
      </c>
      <c r="L65" s="12">
        <v>5397.6400000000049</v>
      </c>
    </row>
    <row r="66" spans="1:12" ht="13.5" customHeight="1" x14ac:dyDescent="0.2">
      <c r="A66" s="19"/>
      <c r="B66" s="20"/>
      <c r="C66" s="34" t="s">
        <v>6574</v>
      </c>
      <c r="D66" s="11"/>
      <c r="E66" s="12"/>
      <c r="F66" s="22"/>
      <c r="G66" s="23"/>
      <c r="H66" s="22">
        <v>5.3</v>
      </c>
      <c r="I66" s="25"/>
      <c r="J66" s="26"/>
      <c r="K66" s="18">
        <v>1612.6599999999999</v>
      </c>
      <c r="L66" s="12">
        <v>5392.3400000000047</v>
      </c>
    </row>
    <row r="67" spans="1:12" ht="13.5" customHeight="1" x14ac:dyDescent="0.2">
      <c r="A67" s="19"/>
      <c r="B67" s="20"/>
      <c r="C67" s="34" t="s">
        <v>6567</v>
      </c>
      <c r="D67" s="11" t="s">
        <v>6575</v>
      </c>
      <c r="E67" s="12" t="s">
        <v>549</v>
      </c>
      <c r="F67" s="162">
        <v>1765</v>
      </c>
      <c r="G67" s="23"/>
      <c r="H67" s="22"/>
      <c r="I67" s="25"/>
      <c r="J67" s="26"/>
      <c r="K67" s="18">
        <v>3377.66</v>
      </c>
      <c r="L67" s="12">
        <v>5392.3400000000047</v>
      </c>
    </row>
    <row r="68" spans="1:12" ht="13.5" customHeight="1" x14ac:dyDescent="0.2">
      <c r="A68" s="19"/>
      <c r="B68" s="20"/>
      <c r="C68" s="34" t="s">
        <v>6561</v>
      </c>
      <c r="D68" s="11" t="s">
        <v>6576</v>
      </c>
      <c r="E68" s="168">
        <v>-1020</v>
      </c>
      <c r="F68" s="22" t="s">
        <v>549</v>
      </c>
      <c r="G68" s="23">
        <v>2357.66</v>
      </c>
      <c r="H68" s="22"/>
      <c r="I68" s="25"/>
      <c r="J68" s="26"/>
      <c r="K68" s="18">
        <v>2357.66</v>
      </c>
      <c r="L68" s="12">
        <v>5392.3400000000047</v>
      </c>
    </row>
    <row r="69" spans="1:12" ht="13.5" customHeight="1" x14ac:dyDescent="0.2">
      <c r="A69" s="19">
        <v>43083</v>
      </c>
      <c r="B69" s="20"/>
      <c r="C69" s="34" t="s">
        <v>6577</v>
      </c>
      <c r="D69" s="11"/>
      <c r="E69" s="12"/>
      <c r="F69" s="22"/>
      <c r="G69" s="23"/>
      <c r="H69" s="22"/>
      <c r="I69" s="25">
        <v>50</v>
      </c>
      <c r="J69" s="26"/>
      <c r="K69" s="18">
        <v>2357.66</v>
      </c>
      <c r="L69" s="12">
        <v>5442.3400000000047</v>
      </c>
    </row>
    <row r="70" spans="1:12" ht="13.5" customHeight="1" x14ac:dyDescent="0.2">
      <c r="A70" s="19"/>
      <c r="B70" s="20"/>
      <c r="C70" s="34" t="s">
        <v>6578</v>
      </c>
      <c r="D70" s="11"/>
      <c r="E70" s="12"/>
      <c r="F70" s="22"/>
      <c r="G70" s="23"/>
      <c r="H70" s="22"/>
      <c r="I70" s="25">
        <v>190</v>
      </c>
      <c r="J70" s="26"/>
      <c r="K70" s="18">
        <v>2357.66</v>
      </c>
      <c r="L70" s="12">
        <v>5632.3400000000047</v>
      </c>
    </row>
    <row r="71" spans="1:12" ht="13.5" customHeight="1" x14ac:dyDescent="0.2">
      <c r="A71" s="19"/>
      <c r="B71" s="20"/>
      <c r="C71" s="34" t="s">
        <v>6579</v>
      </c>
      <c r="D71" s="11"/>
      <c r="E71" s="12"/>
      <c r="F71" s="22"/>
      <c r="G71" s="23"/>
      <c r="H71" s="22"/>
      <c r="I71" s="25">
        <v>185</v>
      </c>
      <c r="J71" s="26"/>
      <c r="K71" s="18">
        <v>2357.66</v>
      </c>
      <c r="L71" s="12">
        <v>5817.3400000000047</v>
      </c>
    </row>
    <row r="72" spans="1:12" ht="13.5" customHeight="1" x14ac:dyDescent="0.2">
      <c r="A72" s="19"/>
      <c r="B72" s="20"/>
      <c r="C72" s="34" t="s">
        <v>6580</v>
      </c>
      <c r="D72" s="11"/>
      <c r="E72" s="12"/>
      <c r="F72" s="22"/>
      <c r="G72" s="23"/>
      <c r="H72" s="22">
        <v>2.4</v>
      </c>
      <c r="I72" s="25"/>
      <c r="J72" s="26"/>
      <c r="K72" s="18">
        <v>2357.66</v>
      </c>
      <c r="L72" s="12">
        <v>5814.9400000000051</v>
      </c>
    </row>
    <row r="73" spans="1:12" ht="13.5" customHeight="1" x14ac:dyDescent="0.2">
      <c r="A73" s="19"/>
      <c r="B73" s="20"/>
      <c r="C73" s="34" t="s">
        <v>6581</v>
      </c>
      <c r="D73" s="11"/>
      <c r="E73" s="12"/>
      <c r="F73" s="22"/>
      <c r="G73" s="23"/>
      <c r="H73" s="22">
        <v>2.5</v>
      </c>
      <c r="I73" s="25"/>
      <c r="J73" s="26"/>
      <c r="K73" s="18">
        <v>2357.66</v>
      </c>
      <c r="L73" s="12">
        <v>5812.4400000000051</v>
      </c>
    </row>
    <row r="74" spans="1:12" ht="13.5" customHeight="1" x14ac:dyDescent="0.2">
      <c r="A74" s="19"/>
      <c r="B74" s="20"/>
      <c r="C74" s="34" t="s">
        <v>6582</v>
      </c>
      <c r="D74" s="11"/>
      <c r="E74" s="12"/>
      <c r="F74" s="22"/>
      <c r="G74" s="23"/>
      <c r="H74" s="22">
        <v>3.5</v>
      </c>
      <c r="I74" s="25"/>
      <c r="J74" s="26"/>
      <c r="K74" s="18">
        <v>2357.66</v>
      </c>
      <c r="L74" s="12">
        <v>5808.9400000000051</v>
      </c>
    </row>
    <row r="75" spans="1:12" ht="13.5" customHeight="1" x14ac:dyDescent="0.2">
      <c r="A75" s="19"/>
      <c r="B75" s="20"/>
      <c r="C75" s="34" t="s">
        <v>6583</v>
      </c>
      <c r="D75" s="11"/>
      <c r="E75" s="12"/>
      <c r="F75" s="22"/>
      <c r="G75" s="23"/>
      <c r="H75" s="22">
        <v>21.5</v>
      </c>
      <c r="I75" s="25"/>
      <c r="J75" s="26"/>
      <c r="K75" s="18">
        <v>2357.66</v>
      </c>
      <c r="L75" s="12">
        <v>5787.4400000000051</v>
      </c>
    </row>
    <row r="76" spans="1:12" ht="13.5" customHeight="1" x14ac:dyDescent="0.2">
      <c r="A76" s="19"/>
      <c r="B76" s="20"/>
      <c r="C76" s="34" t="s">
        <v>6584</v>
      </c>
      <c r="D76" s="11"/>
      <c r="E76" s="12"/>
      <c r="F76" s="22"/>
      <c r="G76" s="23"/>
      <c r="H76" s="22">
        <v>20</v>
      </c>
      <c r="I76" s="25"/>
      <c r="J76" s="26"/>
      <c r="K76" s="18">
        <v>2357.66</v>
      </c>
      <c r="L76" s="12">
        <v>5767.4400000000051</v>
      </c>
    </row>
    <row r="77" spans="1:12" ht="13.5" customHeight="1" x14ac:dyDescent="0.2">
      <c r="A77" s="19"/>
      <c r="B77" s="20"/>
      <c r="C77" s="34" t="s">
        <v>5933</v>
      </c>
      <c r="D77" s="11"/>
      <c r="E77" s="12"/>
      <c r="F77" s="22"/>
      <c r="G77" s="23"/>
      <c r="H77" s="22">
        <v>1000</v>
      </c>
      <c r="I77" s="25"/>
      <c r="J77" s="26"/>
      <c r="K77" s="18">
        <v>2357.66</v>
      </c>
      <c r="L77" s="12">
        <v>4767.4400000000051</v>
      </c>
    </row>
    <row r="78" spans="1:12" ht="13.5" customHeight="1" x14ac:dyDescent="0.2">
      <c r="A78" s="19">
        <v>43084</v>
      </c>
      <c r="B78" s="20"/>
      <c r="C78" s="34" t="s">
        <v>6585</v>
      </c>
      <c r="D78" s="11"/>
      <c r="E78" s="12"/>
      <c r="F78" s="22"/>
      <c r="G78" s="23"/>
      <c r="H78" s="22"/>
      <c r="I78" s="25">
        <v>1306.4100000000001</v>
      </c>
      <c r="J78" s="26"/>
      <c r="K78" s="18">
        <v>2357.66</v>
      </c>
      <c r="L78" s="12">
        <v>6073.8500000000049</v>
      </c>
    </row>
    <row r="79" spans="1:12" ht="13.5" customHeight="1" x14ac:dyDescent="0.2">
      <c r="A79" s="19"/>
      <c r="B79" s="20"/>
      <c r="C79" s="34" t="s">
        <v>6113</v>
      </c>
      <c r="D79" s="11"/>
      <c r="E79" s="12"/>
      <c r="F79" s="22"/>
      <c r="G79" s="23"/>
      <c r="H79" s="22">
        <v>3.25</v>
      </c>
      <c r="I79" s="25"/>
      <c r="J79" s="26"/>
      <c r="K79" s="18">
        <v>2357.66</v>
      </c>
      <c r="L79" s="12">
        <v>6070.6000000000049</v>
      </c>
    </row>
    <row r="80" spans="1:12" ht="13.5" customHeight="1" x14ac:dyDescent="0.2">
      <c r="A80" s="19"/>
      <c r="B80" s="20"/>
      <c r="C80" s="34" t="s">
        <v>6409</v>
      </c>
      <c r="D80" s="11"/>
      <c r="E80" s="12"/>
      <c r="F80" s="22"/>
      <c r="G80" s="23"/>
      <c r="H80" s="22">
        <v>70</v>
      </c>
      <c r="I80" s="25"/>
      <c r="J80" s="26"/>
      <c r="K80" s="18">
        <v>2357.66</v>
      </c>
      <c r="L80" s="12">
        <v>6000.6000000000049</v>
      </c>
    </row>
    <row r="81" spans="1:12" ht="13.5" customHeight="1" x14ac:dyDescent="0.2">
      <c r="A81" s="19"/>
      <c r="B81" s="20"/>
      <c r="C81" s="34" t="s">
        <v>5977</v>
      </c>
      <c r="D81" s="11"/>
      <c r="E81" s="12"/>
      <c r="F81" s="22"/>
      <c r="G81" s="23"/>
      <c r="H81" s="22">
        <v>70</v>
      </c>
      <c r="I81" s="25"/>
      <c r="J81" s="26"/>
      <c r="K81" s="18">
        <v>2357.66</v>
      </c>
      <c r="L81" s="12">
        <v>5930.6000000000049</v>
      </c>
    </row>
    <row r="82" spans="1:12" ht="13.5" customHeight="1" x14ac:dyDescent="0.2">
      <c r="A82" s="19"/>
      <c r="B82" s="20"/>
      <c r="C82" s="34" t="s">
        <v>6158</v>
      </c>
      <c r="D82" s="11"/>
      <c r="E82" s="12"/>
      <c r="F82" s="22"/>
      <c r="G82" s="23"/>
      <c r="H82" s="22">
        <v>250</v>
      </c>
      <c r="I82" s="25"/>
      <c r="J82" s="26"/>
      <c r="K82" s="18">
        <v>2357.66</v>
      </c>
      <c r="L82" s="12">
        <v>5680.6000000000049</v>
      </c>
    </row>
    <row r="83" spans="1:12" ht="13.5" customHeight="1" x14ac:dyDescent="0.2">
      <c r="A83" s="19"/>
      <c r="B83" s="20"/>
      <c r="C83" s="34" t="s">
        <v>6159</v>
      </c>
      <c r="D83" s="11"/>
      <c r="E83" s="12"/>
      <c r="F83" s="22"/>
      <c r="G83" s="23"/>
      <c r="H83" s="22">
        <v>300</v>
      </c>
      <c r="I83" s="25"/>
      <c r="J83" s="26"/>
      <c r="K83" s="18">
        <v>2357.66</v>
      </c>
      <c r="L83" s="12">
        <v>5380.6000000000049</v>
      </c>
    </row>
    <row r="84" spans="1:12" ht="13.5" customHeight="1" x14ac:dyDescent="0.2">
      <c r="A84" s="19"/>
      <c r="B84" s="20"/>
      <c r="C84" s="34" t="s">
        <v>1332</v>
      </c>
      <c r="D84" s="11"/>
      <c r="E84" s="12"/>
      <c r="F84" s="22"/>
      <c r="G84" s="23"/>
      <c r="H84" s="409">
        <v>3000</v>
      </c>
      <c r="I84" s="25"/>
      <c r="J84" s="26"/>
      <c r="K84" s="18">
        <v>2357.66</v>
      </c>
      <c r="L84" s="12">
        <v>2380.6000000000049</v>
      </c>
    </row>
    <row r="85" spans="1:12" ht="13.5" customHeight="1" x14ac:dyDescent="0.2">
      <c r="A85" s="19"/>
      <c r="B85" s="20"/>
      <c r="C85" s="34" t="s">
        <v>6586</v>
      </c>
      <c r="D85" s="11"/>
      <c r="E85" s="12"/>
      <c r="F85" s="22"/>
      <c r="G85" s="23"/>
      <c r="H85" s="22"/>
      <c r="I85" s="25">
        <v>7500</v>
      </c>
      <c r="J85" s="26"/>
      <c r="K85" s="18">
        <v>2357.66</v>
      </c>
      <c r="L85" s="12">
        <v>9880.6000000000058</v>
      </c>
    </row>
    <row r="86" spans="1:12" ht="13.5" customHeight="1" x14ac:dyDescent="0.2">
      <c r="A86" s="19"/>
      <c r="B86" s="20"/>
      <c r="C86" s="34" t="s">
        <v>6587</v>
      </c>
      <c r="D86" s="11"/>
      <c r="E86" s="12"/>
      <c r="F86" s="22"/>
      <c r="G86" s="23"/>
      <c r="H86" s="22"/>
      <c r="I86" s="25">
        <v>500</v>
      </c>
      <c r="J86" s="26"/>
      <c r="K86" s="18">
        <v>2357.66</v>
      </c>
      <c r="L86" s="12">
        <v>10380.600000000006</v>
      </c>
    </row>
    <row r="87" spans="1:12" ht="13.5" customHeight="1" x14ac:dyDescent="0.2">
      <c r="A87" s="19"/>
      <c r="B87" s="20"/>
      <c r="C87" s="34" t="s">
        <v>86</v>
      </c>
      <c r="D87" s="11"/>
      <c r="E87" s="12">
        <v>-69</v>
      </c>
      <c r="F87" s="22"/>
      <c r="G87" s="23"/>
      <c r="H87" s="22"/>
      <c r="I87" s="25"/>
      <c r="J87" s="26"/>
      <c r="K87" s="18">
        <v>2288.66</v>
      </c>
      <c r="L87" s="12">
        <v>10380.600000000006</v>
      </c>
    </row>
    <row r="88" spans="1:12" ht="13.5" customHeight="1" x14ac:dyDescent="0.2">
      <c r="A88" s="19"/>
      <c r="B88" s="20"/>
      <c r="C88" s="21" t="s">
        <v>6234</v>
      </c>
      <c r="D88" s="11" t="s">
        <v>6588</v>
      </c>
      <c r="E88" s="1051">
        <v>-560</v>
      </c>
      <c r="F88" s="22" t="s">
        <v>549</v>
      </c>
      <c r="G88" s="23"/>
      <c r="H88" s="22"/>
      <c r="I88" s="25"/>
      <c r="J88" s="26"/>
      <c r="K88" s="18">
        <v>1728.6599999999999</v>
      </c>
      <c r="L88" s="12">
        <v>10380.600000000006</v>
      </c>
    </row>
    <row r="89" spans="1:12" ht="13.5" customHeight="1" x14ac:dyDescent="0.2">
      <c r="A89" s="19"/>
      <c r="B89" s="20"/>
      <c r="C89" s="34" t="s">
        <v>20</v>
      </c>
      <c r="D89" s="11" t="s">
        <v>19</v>
      </c>
      <c r="E89" s="12" t="s">
        <v>549</v>
      </c>
      <c r="F89" s="932">
        <v>0.02</v>
      </c>
      <c r="G89" s="23">
        <v>1728.68</v>
      </c>
      <c r="H89" s="22"/>
      <c r="I89" s="25"/>
      <c r="J89" s="26"/>
      <c r="K89" s="18">
        <v>1728.6799999999998</v>
      </c>
      <c r="L89" s="12">
        <v>10380.600000000006</v>
      </c>
    </row>
    <row r="90" spans="1:12" ht="13.5" customHeight="1" x14ac:dyDescent="0.2">
      <c r="A90" s="19">
        <v>43087</v>
      </c>
      <c r="B90" s="20"/>
      <c r="C90" s="34" t="s">
        <v>5995</v>
      </c>
      <c r="D90" s="11"/>
      <c r="E90" s="12"/>
      <c r="F90" s="22"/>
      <c r="G90" s="23"/>
      <c r="H90" s="162">
        <v>8000</v>
      </c>
      <c r="I90" s="25"/>
      <c r="J90" s="26"/>
      <c r="K90" s="18">
        <v>1728.6799999999998</v>
      </c>
      <c r="L90" s="12">
        <v>2380.6000000000058</v>
      </c>
    </row>
    <row r="91" spans="1:12" ht="13.5" customHeight="1" x14ac:dyDescent="0.2">
      <c r="A91" s="19"/>
      <c r="B91" s="20"/>
      <c r="C91" s="34" t="s">
        <v>6561</v>
      </c>
      <c r="D91" s="11" t="s">
        <v>6589</v>
      </c>
      <c r="E91" s="12" t="s">
        <v>549</v>
      </c>
      <c r="F91" s="162">
        <v>1020</v>
      </c>
      <c r="G91" s="23">
        <v>2748.68</v>
      </c>
      <c r="H91" s="22"/>
      <c r="I91" s="25"/>
      <c r="J91" s="26"/>
      <c r="K91" s="18">
        <v>2748.68</v>
      </c>
      <c r="L91" s="12">
        <v>2380.6000000000058</v>
      </c>
    </row>
    <row r="92" spans="1:12" ht="13.5" customHeight="1" x14ac:dyDescent="0.2">
      <c r="A92" s="19">
        <v>43088</v>
      </c>
      <c r="B92" s="20"/>
      <c r="C92" s="357" t="s">
        <v>6590</v>
      </c>
      <c r="D92" s="11"/>
      <c r="E92" s="12"/>
      <c r="F92" s="22"/>
      <c r="G92" s="275"/>
      <c r="H92" s="22"/>
      <c r="I92" s="25">
        <v>2790</v>
      </c>
      <c r="J92" s="26"/>
      <c r="K92" s="18">
        <v>2748.68</v>
      </c>
      <c r="L92" s="12">
        <v>5170.6000000000058</v>
      </c>
    </row>
    <row r="93" spans="1:12" ht="13.5" customHeight="1" x14ac:dyDescent="0.2">
      <c r="A93" s="19"/>
      <c r="B93" s="20"/>
      <c r="C93" s="138" t="s">
        <v>6591</v>
      </c>
      <c r="D93" s="11"/>
      <c r="E93" s="12"/>
      <c r="F93" s="22"/>
      <c r="G93" s="275"/>
      <c r="H93" s="22">
        <v>9.6999999999999993</v>
      </c>
      <c r="I93" s="25"/>
      <c r="J93" s="26"/>
      <c r="K93" s="18">
        <v>2748.68</v>
      </c>
      <c r="L93" s="12">
        <v>5160.900000000006</v>
      </c>
    </row>
    <row r="94" spans="1:12" ht="13.5" customHeight="1" x14ac:dyDescent="0.2">
      <c r="A94" s="19"/>
      <c r="B94" s="20"/>
      <c r="C94" s="357" t="s">
        <v>6592</v>
      </c>
      <c r="D94" s="11"/>
      <c r="E94" s="12"/>
      <c r="F94" s="22"/>
      <c r="G94" s="275"/>
      <c r="H94" s="22">
        <v>8.4</v>
      </c>
      <c r="I94" s="25"/>
      <c r="J94" s="26"/>
      <c r="K94" s="18">
        <v>2748.68</v>
      </c>
      <c r="L94" s="12">
        <v>5152.5000000000064</v>
      </c>
    </row>
    <row r="95" spans="1:12" ht="13.5" customHeight="1" x14ac:dyDescent="0.2">
      <c r="A95" s="19"/>
      <c r="B95" s="20"/>
      <c r="C95" s="357" t="s">
        <v>6593</v>
      </c>
      <c r="D95" s="11"/>
      <c r="E95" s="12"/>
      <c r="F95" s="22"/>
      <c r="G95" s="275"/>
      <c r="H95" s="22">
        <v>40</v>
      </c>
      <c r="I95" s="25"/>
      <c r="J95" s="26"/>
      <c r="K95" s="18">
        <v>2748.68</v>
      </c>
      <c r="L95" s="12">
        <v>5112.5000000000064</v>
      </c>
    </row>
    <row r="96" spans="1:12" ht="13.5" customHeight="1" x14ac:dyDescent="0.2">
      <c r="A96" s="19"/>
      <c r="B96" s="20"/>
      <c r="C96" s="357" t="s">
        <v>6594</v>
      </c>
      <c r="D96" s="11"/>
      <c r="E96" s="12"/>
      <c r="F96" s="22"/>
      <c r="G96" s="23"/>
      <c r="H96" s="22">
        <v>450</v>
      </c>
      <c r="I96" s="25"/>
      <c r="J96" s="26"/>
      <c r="K96" s="18">
        <v>2748.68</v>
      </c>
      <c r="L96" s="12">
        <v>4662.5000000000064</v>
      </c>
    </row>
    <row r="97" spans="1:12" ht="13.5" customHeight="1" x14ac:dyDescent="0.2">
      <c r="A97" s="19"/>
      <c r="B97" s="20"/>
      <c r="C97" s="34" t="s">
        <v>6595</v>
      </c>
      <c r="D97" s="11" t="s">
        <v>2078</v>
      </c>
      <c r="E97" s="1051">
        <v>-125.4</v>
      </c>
      <c r="F97" s="22" t="s">
        <v>549</v>
      </c>
      <c r="G97" s="23"/>
      <c r="H97" s="22"/>
      <c r="I97" s="25"/>
      <c r="J97" s="26"/>
      <c r="K97" s="18">
        <v>2623.2799999999997</v>
      </c>
      <c r="L97" s="12">
        <v>4662.5000000000064</v>
      </c>
    </row>
    <row r="98" spans="1:12" ht="13.5" customHeight="1" x14ac:dyDescent="0.2">
      <c r="A98" s="19"/>
      <c r="B98" s="20"/>
      <c r="C98" s="34" t="s">
        <v>6596</v>
      </c>
      <c r="D98" s="11" t="s">
        <v>6597</v>
      </c>
      <c r="E98" s="1051">
        <v>-51.92</v>
      </c>
      <c r="F98" s="22" t="s">
        <v>549</v>
      </c>
      <c r="G98" s="23"/>
      <c r="H98" s="22"/>
      <c r="I98" s="25"/>
      <c r="J98" s="26"/>
      <c r="K98" s="18">
        <v>2571.3599999999997</v>
      </c>
      <c r="L98" s="12">
        <v>4662.5000000000064</v>
      </c>
    </row>
    <row r="99" spans="1:12" customFormat="1" x14ac:dyDescent="0.2">
      <c r="A99" s="1085"/>
      <c r="B99" s="1086"/>
      <c r="C99" s="34" t="s">
        <v>20</v>
      </c>
      <c r="D99" s="1085" t="s">
        <v>19</v>
      </c>
      <c r="E99" s="1087" t="s">
        <v>549</v>
      </c>
      <c r="F99" s="1087">
        <v>0.01</v>
      </c>
      <c r="G99" s="23">
        <v>2571.37</v>
      </c>
      <c r="H99" s="22"/>
      <c r="I99" s="25"/>
      <c r="J99" s="26"/>
      <c r="K99" s="18">
        <v>2571.37</v>
      </c>
      <c r="L99" s="12">
        <v>4662.5000000000064</v>
      </c>
    </row>
    <row r="100" spans="1:12" ht="13.5" customHeight="1" x14ac:dyDescent="0.2">
      <c r="A100" s="19">
        <v>43089</v>
      </c>
      <c r="B100" s="20"/>
      <c r="C100" s="357" t="s">
        <v>6598</v>
      </c>
      <c r="D100" s="11"/>
      <c r="E100" s="12"/>
      <c r="F100" s="22"/>
      <c r="G100" s="23"/>
      <c r="H100" s="22">
        <v>78.760000000000005</v>
      </c>
      <c r="I100" s="25"/>
      <c r="J100" s="26"/>
      <c r="K100" s="18">
        <v>2571.37</v>
      </c>
      <c r="L100" s="12">
        <v>4583.7400000000061</v>
      </c>
    </row>
    <row r="101" spans="1:12" ht="13.5" customHeight="1" x14ac:dyDescent="0.2">
      <c r="A101" s="19"/>
      <c r="B101" s="20"/>
      <c r="C101" s="357" t="s">
        <v>6599</v>
      </c>
      <c r="D101" s="11"/>
      <c r="E101" s="12"/>
      <c r="F101" s="22"/>
      <c r="G101" s="23"/>
      <c r="H101" s="22"/>
      <c r="I101" s="25">
        <v>190</v>
      </c>
      <c r="J101" s="26"/>
      <c r="K101" s="18">
        <v>2571.37</v>
      </c>
      <c r="L101" s="12">
        <v>4773.7400000000061</v>
      </c>
    </row>
    <row r="102" spans="1:12" ht="13.5" customHeight="1" x14ac:dyDescent="0.2">
      <c r="A102" s="19"/>
      <c r="B102" s="20"/>
      <c r="C102" s="357" t="s">
        <v>6600</v>
      </c>
      <c r="D102" s="11"/>
      <c r="E102" s="12"/>
      <c r="F102" s="22"/>
      <c r="G102" s="23"/>
      <c r="H102" s="22"/>
      <c r="I102" s="25">
        <v>2050</v>
      </c>
      <c r="J102" s="26"/>
      <c r="K102" s="18">
        <v>2571.37</v>
      </c>
      <c r="L102" s="12">
        <v>6823.7400000000061</v>
      </c>
    </row>
    <row r="103" spans="1:12" ht="13.5" customHeight="1" x14ac:dyDescent="0.2">
      <c r="A103" s="19"/>
      <c r="B103" s="20"/>
      <c r="C103" s="357" t="s">
        <v>6601</v>
      </c>
      <c r="D103" s="11"/>
      <c r="E103" s="12"/>
      <c r="F103" s="22"/>
      <c r="G103" s="23"/>
      <c r="H103" s="22"/>
      <c r="I103" s="25">
        <v>209</v>
      </c>
      <c r="J103" s="26"/>
      <c r="K103" s="18">
        <v>2571.37</v>
      </c>
      <c r="L103" s="12">
        <v>7032.7400000000061</v>
      </c>
    </row>
    <row r="104" spans="1:12" ht="13.5" customHeight="1" x14ac:dyDescent="0.2">
      <c r="A104" s="19"/>
      <c r="B104" s="20"/>
      <c r="C104" s="357" t="s">
        <v>6602</v>
      </c>
      <c r="D104" s="11"/>
      <c r="E104" s="12"/>
      <c r="F104" s="22"/>
      <c r="G104" s="23"/>
      <c r="H104" s="22"/>
      <c r="I104" s="25">
        <v>190</v>
      </c>
      <c r="J104" s="26"/>
      <c r="K104" s="18">
        <v>2571.37</v>
      </c>
      <c r="L104" s="12">
        <v>7222.7400000000061</v>
      </c>
    </row>
    <row r="105" spans="1:12" customFormat="1" x14ac:dyDescent="0.2">
      <c r="A105" s="1085"/>
      <c r="B105" s="1086"/>
      <c r="C105" s="1086" t="s">
        <v>6603</v>
      </c>
      <c r="D105" s="1085" t="s">
        <v>19</v>
      </c>
      <c r="E105" s="1088">
        <v>-1362.05</v>
      </c>
      <c r="F105" s="1087" t="s">
        <v>549</v>
      </c>
      <c r="G105" s="23"/>
      <c r="H105" s="22"/>
      <c r="I105" s="25"/>
      <c r="J105" s="26"/>
      <c r="K105" s="18">
        <v>1209.32</v>
      </c>
      <c r="L105" s="12">
        <v>7222.7400000000061</v>
      </c>
    </row>
    <row r="106" spans="1:12" ht="13.5" customHeight="1" x14ac:dyDescent="0.2">
      <c r="A106" s="19"/>
      <c r="B106" s="20"/>
      <c r="C106" s="34" t="s">
        <v>20</v>
      </c>
      <c r="D106" s="11" t="s">
        <v>19</v>
      </c>
      <c r="E106" s="12" t="s">
        <v>549</v>
      </c>
      <c r="F106" s="932">
        <v>0.05</v>
      </c>
      <c r="G106" s="23">
        <v>1209.3699999999999</v>
      </c>
      <c r="H106" s="22"/>
      <c r="I106" s="25"/>
      <c r="J106" s="26"/>
      <c r="K106" s="18">
        <v>1209.3699999999999</v>
      </c>
      <c r="L106" s="12">
        <v>7222.7400000000061</v>
      </c>
    </row>
    <row r="107" spans="1:12" ht="13.5" customHeight="1" x14ac:dyDescent="0.2">
      <c r="A107" s="19">
        <v>43090</v>
      </c>
      <c r="B107" s="20"/>
      <c r="C107" s="357" t="s">
        <v>6604</v>
      </c>
      <c r="D107" s="11"/>
      <c r="E107" s="12"/>
      <c r="F107" s="22"/>
      <c r="G107" s="23"/>
      <c r="H107" s="22">
        <v>28.27</v>
      </c>
      <c r="I107" s="25"/>
      <c r="J107" s="26"/>
      <c r="K107" s="18">
        <v>1209.3699999999999</v>
      </c>
      <c r="L107" s="12">
        <v>7194.4700000000057</v>
      </c>
    </row>
    <row r="108" spans="1:12" ht="13.5" customHeight="1" x14ac:dyDescent="0.2">
      <c r="A108" s="19"/>
      <c r="B108" s="20"/>
      <c r="C108" s="357" t="s">
        <v>6605</v>
      </c>
      <c r="D108" s="11"/>
      <c r="E108" s="12"/>
      <c r="F108" s="22"/>
      <c r="G108" s="23"/>
      <c r="H108" s="22">
        <v>14.6</v>
      </c>
      <c r="I108" s="25"/>
      <c r="J108" s="26"/>
      <c r="K108" s="18">
        <v>1209.3699999999999</v>
      </c>
      <c r="L108" s="12">
        <v>7179.8700000000053</v>
      </c>
    </row>
    <row r="109" spans="1:12" ht="13.5" customHeight="1" x14ac:dyDescent="0.2">
      <c r="A109" s="19"/>
      <c r="B109" s="20"/>
      <c r="C109" s="357" t="s">
        <v>6606</v>
      </c>
      <c r="D109" s="11"/>
      <c r="E109" s="12"/>
      <c r="F109" s="22"/>
      <c r="G109" s="23"/>
      <c r="H109" s="22">
        <v>34</v>
      </c>
      <c r="I109" s="25"/>
      <c r="J109" s="26"/>
      <c r="K109" s="18">
        <v>1209.3699999999999</v>
      </c>
      <c r="L109" s="12">
        <v>7145.8700000000053</v>
      </c>
    </row>
    <row r="110" spans="1:12" ht="13.5" customHeight="1" x14ac:dyDescent="0.2">
      <c r="A110" s="19"/>
      <c r="B110" s="20"/>
      <c r="C110" s="357" t="s">
        <v>6607</v>
      </c>
      <c r="D110" s="11"/>
      <c r="E110" s="12"/>
      <c r="F110" s="22"/>
      <c r="G110" s="23"/>
      <c r="H110" s="22">
        <v>7.6</v>
      </c>
      <c r="I110" s="25"/>
      <c r="J110" s="26"/>
      <c r="K110" s="18">
        <v>1209.3699999999999</v>
      </c>
      <c r="L110" s="12">
        <v>7138.270000000005</v>
      </c>
    </row>
    <row r="111" spans="1:12" ht="13.5" customHeight="1" x14ac:dyDescent="0.2">
      <c r="A111" s="19"/>
      <c r="B111" s="20"/>
      <c r="C111" s="357" t="s">
        <v>6608</v>
      </c>
      <c r="D111" s="11"/>
      <c r="E111" s="12"/>
      <c r="F111" s="22"/>
      <c r="G111" s="23"/>
      <c r="H111" s="22"/>
      <c r="I111" s="25">
        <v>88</v>
      </c>
      <c r="J111" s="26"/>
      <c r="K111" s="18">
        <v>1209.3699999999999</v>
      </c>
      <c r="L111" s="12">
        <v>7226.270000000005</v>
      </c>
    </row>
    <row r="112" spans="1:12" ht="13.5" customHeight="1" x14ac:dyDescent="0.2">
      <c r="A112" s="19"/>
      <c r="B112" s="20"/>
      <c r="C112" s="357" t="s">
        <v>6609</v>
      </c>
      <c r="D112" s="11"/>
      <c r="E112" s="12"/>
      <c r="F112" s="22"/>
      <c r="G112" s="23"/>
      <c r="H112" s="22">
        <v>200</v>
      </c>
      <c r="I112" s="25"/>
      <c r="J112" s="26"/>
      <c r="K112" s="18">
        <v>1209.3699999999999</v>
      </c>
      <c r="L112" s="12">
        <v>7026.270000000005</v>
      </c>
    </row>
    <row r="113" spans="1:12" ht="13.5" customHeight="1" x14ac:dyDescent="0.2">
      <c r="A113" s="19"/>
      <c r="B113" s="20"/>
      <c r="C113" s="357" t="s">
        <v>6610</v>
      </c>
      <c r="D113" s="11"/>
      <c r="E113" s="12"/>
      <c r="F113" s="22"/>
      <c r="G113" s="23"/>
      <c r="H113" s="22"/>
      <c r="I113" s="25">
        <v>14.75</v>
      </c>
      <c r="J113" s="26"/>
      <c r="K113" s="18">
        <v>1209.3699999999999</v>
      </c>
      <c r="L113" s="12">
        <v>7041.020000000005</v>
      </c>
    </row>
    <row r="114" spans="1:12" ht="13.5" customHeight="1" x14ac:dyDescent="0.2">
      <c r="A114" s="19"/>
      <c r="B114" s="20"/>
      <c r="C114" s="357" t="s">
        <v>5568</v>
      </c>
      <c r="D114" s="11"/>
      <c r="E114" s="12"/>
      <c r="F114" s="22"/>
      <c r="G114" s="23"/>
      <c r="H114" s="162">
        <v>540</v>
      </c>
      <c r="I114" s="25"/>
      <c r="J114" s="26"/>
      <c r="K114" s="18">
        <v>1209.3699999999999</v>
      </c>
      <c r="L114" s="12">
        <v>6501.020000000005</v>
      </c>
    </row>
    <row r="115" spans="1:12" ht="13.5" customHeight="1" x14ac:dyDescent="0.2">
      <c r="A115" s="19"/>
      <c r="B115" s="20"/>
      <c r="C115" s="357" t="s">
        <v>6611</v>
      </c>
      <c r="D115" s="11"/>
      <c r="E115" s="12"/>
      <c r="F115" s="22"/>
      <c r="G115" s="23"/>
      <c r="H115" s="22"/>
      <c r="I115" s="25">
        <v>1030</v>
      </c>
      <c r="J115" s="26"/>
      <c r="K115" s="18">
        <v>1209.3699999999999</v>
      </c>
      <c r="L115" s="12">
        <v>7531.020000000005</v>
      </c>
    </row>
    <row r="116" spans="1:12" ht="13.5" customHeight="1" x14ac:dyDescent="0.2">
      <c r="A116" s="19"/>
      <c r="B116" s="20"/>
      <c r="C116" s="357" t="s">
        <v>6612</v>
      </c>
      <c r="D116" s="11"/>
      <c r="E116" s="12"/>
      <c r="F116" s="22"/>
      <c r="G116" s="23"/>
      <c r="H116" s="22">
        <v>29</v>
      </c>
      <c r="I116" s="25"/>
      <c r="J116" s="26"/>
      <c r="K116" s="18">
        <v>1209.3699999999999</v>
      </c>
      <c r="L116" s="12">
        <v>7502.020000000005</v>
      </c>
    </row>
    <row r="117" spans="1:12" ht="13.5" customHeight="1" x14ac:dyDescent="0.2">
      <c r="A117" s="19"/>
      <c r="B117" s="20"/>
      <c r="C117" s="357" t="s">
        <v>6613</v>
      </c>
      <c r="D117" s="11"/>
      <c r="E117" s="12"/>
      <c r="F117" s="22"/>
      <c r="G117" s="23"/>
      <c r="H117" s="22">
        <v>32</v>
      </c>
      <c r="I117" s="25"/>
      <c r="J117" s="26"/>
      <c r="K117" s="18">
        <v>1209.3699999999999</v>
      </c>
      <c r="L117" s="12">
        <v>7470.020000000005</v>
      </c>
    </row>
    <row r="118" spans="1:12" ht="13.5" customHeight="1" x14ac:dyDescent="0.2">
      <c r="A118" s="19"/>
      <c r="B118" s="20"/>
      <c r="C118" s="357" t="s">
        <v>6614</v>
      </c>
      <c r="D118" s="11"/>
      <c r="E118" s="12"/>
      <c r="F118" s="22"/>
      <c r="G118" s="23"/>
      <c r="H118" s="22">
        <v>1.7</v>
      </c>
      <c r="I118" s="25"/>
      <c r="J118" s="26"/>
      <c r="K118" s="18">
        <v>1209.3699999999999</v>
      </c>
      <c r="L118" s="12">
        <v>7468.3200000000052</v>
      </c>
    </row>
    <row r="119" spans="1:12" ht="13.5" customHeight="1" x14ac:dyDescent="0.2">
      <c r="A119" s="19"/>
      <c r="B119" s="20"/>
      <c r="C119" s="357" t="s">
        <v>6615</v>
      </c>
      <c r="D119" s="11"/>
      <c r="E119" s="12"/>
      <c r="F119" s="22"/>
      <c r="G119" s="23"/>
      <c r="H119" s="22">
        <v>100</v>
      </c>
      <c r="I119" s="25"/>
      <c r="J119" s="26"/>
      <c r="K119" s="18">
        <v>1209.3699999999999</v>
      </c>
      <c r="L119" s="12">
        <v>7368.3200000000052</v>
      </c>
    </row>
    <row r="120" spans="1:12" customFormat="1" x14ac:dyDescent="0.2">
      <c r="A120" s="1085"/>
      <c r="B120" s="1086"/>
      <c r="C120" s="1086" t="s">
        <v>6616</v>
      </c>
      <c r="D120" s="1085" t="s">
        <v>6617</v>
      </c>
      <c r="E120" s="1087">
        <v>-865</v>
      </c>
      <c r="F120" s="1087" t="s">
        <v>549</v>
      </c>
      <c r="G120" s="23"/>
      <c r="H120" s="22"/>
      <c r="I120" s="25"/>
      <c r="J120" s="26"/>
      <c r="K120" s="18">
        <v>344.36999999999989</v>
      </c>
      <c r="L120" s="12">
        <v>7368.3200000000052</v>
      </c>
    </row>
    <row r="121" spans="1:12" ht="13.5" customHeight="1" x14ac:dyDescent="0.2">
      <c r="A121" s="19"/>
      <c r="B121" s="20"/>
      <c r="C121" s="34" t="s">
        <v>20</v>
      </c>
      <c r="D121" s="11" t="s">
        <v>19</v>
      </c>
      <c r="E121" s="12" t="s">
        <v>549</v>
      </c>
      <c r="F121" s="932">
        <v>0.02</v>
      </c>
      <c r="G121" s="1052">
        <v>344.39</v>
      </c>
      <c r="H121" s="22"/>
      <c r="I121" s="25"/>
      <c r="J121" s="26"/>
      <c r="K121" s="18">
        <v>344.38999999999987</v>
      </c>
      <c r="L121" s="12">
        <v>7368.3200000000052</v>
      </c>
    </row>
    <row r="122" spans="1:12" ht="13.5" customHeight="1" x14ac:dyDescent="0.2">
      <c r="A122" s="19">
        <v>43091</v>
      </c>
      <c r="B122" s="20"/>
      <c r="C122" s="357" t="s">
        <v>6409</v>
      </c>
      <c r="D122" s="11"/>
      <c r="E122" s="12"/>
      <c r="F122" s="22"/>
      <c r="G122" s="23"/>
      <c r="H122" s="22">
        <v>70</v>
      </c>
      <c r="I122" s="25"/>
      <c r="J122" s="26"/>
      <c r="K122" s="18">
        <v>344.38999999999987</v>
      </c>
      <c r="L122" s="12">
        <v>7298.3200000000052</v>
      </c>
    </row>
    <row r="123" spans="1:12" ht="13.5" customHeight="1" x14ac:dyDescent="0.2">
      <c r="A123" s="19"/>
      <c r="B123" s="20"/>
      <c r="C123" s="357" t="s">
        <v>5977</v>
      </c>
      <c r="D123" s="11"/>
      <c r="E123" s="12"/>
      <c r="F123" s="22"/>
      <c r="G123" s="23"/>
      <c r="H123" s="22">
        <v>70</v>
      </c>
      <c r="I123" s="25"/>
      <c r="J123" s="26"/>
      <c r="K123" s="18">
        <v>344.38999999999987</v>
      </c>
      <c r="L123" s="12">
        <v>7228.3200000000052</v>
      </c>
    </row>
    <row r="124" spans="1:12" ht="13.5" customHeight="1" x14ac:dyDescent="0.2">
      <c r="A124" s="19"/>
      <c r="B124" s="20"/>
      <c r="C124" s="357" t="s">
        <v>6618</v>
      </c>
      <c r="D124" s="11"/>
      <c r="E124" s="12"/>
      <c r="F124" s="22"/>
      <c r="G124" s="23"/>
      <c r="H124" s="22">
        <v>3.54</v>
      </c>
      <c r="I124" s="25"/>
      <c r="J124" s="26"/>
      <c r="K124" s="18">
        <v>344.38999999999987</v>
      </c>
      <c r="L124" s="12">
        <v>7224.7800000000052</v>
      </c>
    </row>
    <row r="125" spans="1:12" ht="13.5" customHeight="1" x14ac:dyDescent="0.2">
      <c r="A125" s="19"/>
      <c r="B125" s="20"/>
      <c r="C125" s="357" t="s">
        <v>6619</v>
      </c>
      <c r="D125" s="11"/>
      <c r="E125" s="12"/>
      <c r="F125" s="22"/>
      <c r="G125" s="23"/>
      <c r="H125" s="22">
        <v>67.23</v>
      </c>
      <c r="I125" s="25"/>
      <c r="J125" s="26"/>
      <c r="K125" s="18">
        <v>344.38999999999987</v>
      </c>
      <c r="L125" s="12">
        <v>7157.5500000000056</v>
      </c>
    </row>
    <row r="126" spans="1:12" ht="13.5" customHeight="1" x14ac:dyDescent="0.2">
      <c r="A126" s="19"/>
      <c r="B126" s="20"/>
      <c r="C126" s="357" t="s">
        <v>6158</v>
      </c>
      <c r="D126" s="11"/>
      <c r="E126" s="12"/>
      <c r="F126" s="22"/>
      <c r="G126" s="23"/>
      <c r="H126" s="22">
        <v>250</v>
      </c>
      <c r="I126" s="25"/>
      <c r="J126" s="26"/>
      <c r="K126" s="18">
        <v>344.38999999999987</v>
      </c>
      <c r="L126" s="12">
        <v>6907.5500000000056</v>
      </c>
    </row>
    <row r="127" spans="1:12" ht="13.5" customHeight="1" x14ac:dyDescent="0.2">
      <c r="A127" s="19"/>
      <c r="B127" s="20"/>
      <c r="C127" s="357" t="s">
        <v>6620</v>
      </c>
      <c r="D127" s="11"/>
      <c r="E127" s="12"/>
      <c r="F127" s="22"/>
      <c r="G127" s="23"/>
      <c r="H127" s="22">
        <v>59.4</v>
      </c>
      <c r="I127" s="25"/>
      <c r="J127" s="26"/>
      <c r="K127" s="18">
        <v>344.38999999999987</v>
      </c>
      <c r="L127" s="12">
        <v>6848.150000000006</v>
      </c>
    </row>
    <row r="128" spans="1:12" ht="13.5" customHeight="1" x14ac:dyDescent="0.2">
      <c r="A128" s="19"/>
      <c r="B128" s="20"/>
      <c r="C128" s="357" t="s">
        <v>6258</v>
      </c>
      <c r="D128" s="11"/>
      <c r="E128" s="12"/>
      <c r="F128" s="22"/>
      <c r="G128" s="23"/>
      <c r="H128" s="22">
        <v>1.25</v>
      </c>
      <c r="I128" s="25"/>
      <c r="J128" s="26"/>
      <c r="K128" s="18">
        <v>344.38999999999987</v>
      </c>
      <c r="L128" s="12">
        <v>6846.900000000006</v>
      </c>
    </row>
    <row r="129" spans="1:12" ht="13.5" customHeight="1" x14ac:dyDescent="0.2">
      <c r="A129" s="19"/>
      <c r="B129" s="20"/>
      <c r="C129" s="357" t="s">
        <v>6621</v>
      </c>
      <c r="D129" s="11"/>
      <c r="E129" s="12"/>
      <c r="F129" s="22"/>
      <c r="G129" s="23"/>
      <c r="H129" s="22">
        <v>800</v>
      </c>
      <c r="I129" s="25"/>
      <c r="J129" s="26"/>
      <c r="K129" s="18">
        <v>344.38999999999987</v>
      </c>
      <c r="L129" s="12">
        <v>6046.900000000006</v>
      </c>
    </row>
    <row r="130" spans="1:12" ht="13.5" customHeight="1" x14ac:dyDescent="0.2">
      <c r="A130" s="19"/>
      <c r="B130" s="20"/>
      <c r="C130" s="138" t="s">
        <v>127</v>
      </c>
      <c r="D130" s="11" t="s">
        <v>19</v>
      </c>
      <c r="E130" s="1051">
        <v>-26.41</v>
      </c>
      <c r="F130" s="22" t="s">
        <v>549</v>
      </c>
      <c r="G130" s="23"/>
      <c r="H130" s="22"/>
      <c r="I130" s="25"/>
      <c r="J130" s="26"/>
      <c r="K130" s="18">
        <v>317.97999999999985</v>
      </c>
      <c r="L130" s="12">
        <v>6046.900000000006</v>
      </c>
    </row>
    <row r="131" spans="1:12" ht="13.5" customHeight="1" x14ac:dyDescent="0.2">
      <c r="A131" s="19"/>
      <c r="B131" s="20"/>
      <c r="C131" s="138" t="s">
        <v>128</v>
      </c>
      <c r="D131" s="11" t="s">
        <v>19</v>
      </c>
      <c r="E131" s="1051">
        <v>-29.38</v>
      </c>
      <c r="F131" s="22" t="s">
        <v>549</v>
      </c>
      <c r="G131" s="23"/>
      <c r="H131" s="22"/>
      <c r="I131" s="25"/>
      <c r="J131" s="26"/>
      <c r="K131" s="18">
        <v>288.59999999999985</v>
      </c>
      <c r="L131" s="12">
        <v>6046.900000000006</v>
      </c>
    </row>
    <row r="132" spans="1:12" ht="13.5" customHeight="1" x14ac:dyDescent="0.2">
      <c r="A132" s="19"/>
      <c r="B132" s="20"/>
      <c r="C132" s="34" t="s">
        <v>5732</v>
      </c>
      <c r="D132" s="11" t="s">
        <v>19</v>
      </c>
      <c r="E132" s="1051">
        <v>-42.63</v>
      </c>
      <c r="F132" s="22" t="s">
        <v>549</v>
      </c>
      <c r="G132" s="23"/>
      <c r="H132" s="22"/>
      <c r="I132" s="25"/>
      <c r="J132" s="26"/>
      <c r="K132" s="18">
        <v>245.96999999999986</v>
      </c>
      <c r="L132" s="12">
        <v>6046.900000000006</v>
      </c>
    </row>
    <row r="133" spans="1:12" ht="13.5" customHeight="1" x14ac:dyDescent="0.2">
      <c r="A133" s="19"/>
      <c r="B133" s="20"/>
      <c r="C133" s="138" t="s">
        <v>5730</v>
      </c>
      <c r="D133" s="11" t="s">
        <v>19</v>
      </c>
      <c r="E133" s="1051">
        <v>-137.51</v>
      </c>
      <c r="F133" s="22" t="s">
        <v>549</v>
      </c>
      <c r="G133" s="23"/>
      <c r="H133" s="22"/>
      <c r="I133" s="25"/>
      <c r="J133" s="26"/>
      <c r="K133" s="18">
        <v>108.45999999999987</v>
      </c>
      <c r="L133" s="12">
        <v>6046.900000000006</v>
      </c>
    </row>
    <row r="134" spans="1:12" ht="13.5" customHeight="1" x14ac:dyDescent="0.2">
      <c r="A134" s="19"/>
      <c r="B134" s="20"/>
      <c r="C134" s="138" t="s">
        <v>6622</v>
      </c>
      <c r="D134" s="11" t="s">
        <v>6623</v>
      </c>
      <c r="E134" s="1051">
        <v>-150</v>
      </c>
      <c r="F134" s="22" t="s">
        <v>549</v>
      </c>
      <c r="G134" s="23"/>
      <c r="H134" s="22"/>
      <c r="I134" s="25"/>
      <c r="J134" s="26"/>
      <c r="K134" s="18">
        <v>-41.540000000000134</v>
      </c>
      <c r="L134" s="12">
        <v>6046.900000000006</v>
      </c>
    </row>
    <row r="135" spans="1:12" ht="13.5" customHeight="1" x14ac:dyDescent="0.2">
      <c r="A135" s="19"/>
      <c r="B135" s="20"/>
      <c r="C135" s="357" t="s">
        <v>5568</v>
      </c>
      <c r="D135" s="11" t="s">
        <v>6624</v>
      </c>
      <c r="E135" s="12" t="s">
        <v>549</v>
      </c>
      <c r="F135" s="933">
        <v>540</v>
      </c>
      <c r="G135" s="1052">
        <v>498.46</v>
      </c>
      <c r="H135" s="22"/>
      <c r="I135" s="25"/>
      <c r="J135" s="26"/>
      <c r="K135" s="18">
        <v>498.45999999999987</v>
      </c>
      <c r="L135" s="12">
        <v>6046.900000000006</v>
      </c>
    </row>
    <row r="136" spans="1:12" ht="13.5" customHeight="1" x14ac:dyDescent="0.2">
      <c r="A136" s="19">
        <v>43096</v>
      </c>
      <c r="B136" s="20"/>
      <c r="C136" s="357" t="s">
        <v>6625</v>
      </c>
      <c r="D136" s="11"/>
      <c r="E136" s="12"/>
      <c r="F136" s="22"/>
      <c r="G136" s="23"/>
      <c r="H136" s="22"/>
      <c r="I136" s="25">
        <v>323</v>
      </c>
      <c r="J136" s="177">
        <v>6369.9000000000096</v>
      </c>
      <c r="K136" s="18">
        <v>498.45999999999987</v>
      </c>
      <c r="L136" s="12">
        <v>6369.900000000006</v>
      </c>
    </row>
    <row r="137" spans="1:12" ht="13.5" customHeight="1" x14ac:dyDescent="0.2">
      <c r="A137" s="19" t="s">
        <v>6626</v>
      </c>
      <c r="B137" s="20"/>
      <c r="C137" s="1086" t="s">
        <v>6627</v>
      </c>
      <c r="D137" s="11">
        <v>0</v>
      </c>
      <c r="E137" s="12">
        <v>-225.6</v>
      </c>
      <c r="F137" s="22"/>
      <c r="G137" s="1054">
        <v>272.86</v>
      </c>
      <c r="H137" s="22"/>
      <c r="I137" s="25"/>
      <c r="J137" s="26"/>
      <c r="K137" s="18">
        <v>272.8599999999999</v>
      </c>
      <c r="L137" s="12">
        <v>6369.900000000006</v>
      </c>
    </row>
    <row r="138" spans="1:12" ht="13.5" customHeight="1" thickBot="1" x14ac:dyDescent="0.25">
      <c r="A138" s="47"/>
      <c r="B138" s="48"/>
      <c r="C138" s="49"/>
      <c r="D138" s="50"/>
      <c r="E138" s="51"/>
      <c r="F138" s="52"/>
      <c r="G138" s="53"/>
      <c r="H138" s="1089"/>
      <c r="I138" s="55"/>
      <c r="J138" s="52"/>
      <c r="L138" s="12"/>
    </row>
    <row r="139" spans="1:12" ht="13.5" customHeight="1" thickBot="1" x14ac:dyDescent="0.25">
      <c r="A139" s="2" t="s">
        <v>2</v>
      </c>
      <c r="B139" s="3"/>
      <c r="C139" s="3" t="s">
        <v>481</v>
      </c>
      <c r="D139" s="3" t="s">
        <v>4</v>
      </c>
      <c r="E139" s="3" t="s">
        <v>5</v>
      </c>
      <c r="F139" s="3" t="s">
        <v>6</v>
      </c>
      <c r="G139" s="5" t="s">
        <v>7</v>
      </c>
      <c r="H139" s="1415" t="s">
        <v>482</v>
      </c>
      <c r="I139" s="1416"/>
      <c r="J139" s="1417"/>
    </row>
    <row r="140" spans="1:12" ht="13.5" customHeight="1" x14ac:dyDescent="0.2">
      <c r="A140" s="8" t="s">
        <v>6531</v>
      </c>
      <c r="B140" s="56"/>
      <c r="C140" s="10" t="s">
        <v>8</v>
      </c>
      <c r="D140" s="11">
        <v>0</v>
      </c>
      <c r="E140" s="51"/>
      <c r="F140" s="12"/>
      <c r="G140" s="178">
        <v>0</v>
      </c>
      <c r="H140" s="82"/>
      <c r="I140" s="57"/>
      <c r="J140" s="58">
        <v>509.23</v>
      </c>
      <c r="K140" s="18">
        <v>0</v>
      </c>
      <c r="L140" s="51"/>
    </row>
    <row r="141" spans="1:12" ht="13.5" customHeight="1" x14ac:dyDescent="0.2">
      <c r="A141" s="180"/>
      <c r="B141" s="56" t="s">
        <v>483</v>
      </c>
      <c r="C141" s="36" t="s">
        <v>5798</v>
      </c>
      <c r="D141" s="11" t="s">
        <v>488</v>
      </c>
      <c r="E141" s="181">
        <v>-8.6999999999999993</v>
      </c>
      <c r="F141" s="12"/>
      <c r="G141" s="182" t="s">
        <v>483</v>
      </c>
      <c r="H141" s="89"/>
      <c r="I141" s="60"/>
      <c r="J141" s="61"/>
      <c r="K141" s="18">
        <v>-8.6999999999999993</v>
      </c>
      <c r="L141" s="30"/>
    </row>
    <row r="142" spans="1:12" ht="13.5" customHeight="1" x14ac:dyDescent="0.2">
      <c r="A142" s="180"/>
      <c r="B142" s="56" t="s">
        <v>483</v>
      </c>
      <c r="C142" s="34" t="s">
        <v>5557</v>
      </c>
      <c r="D142" s="11" t="s">
        <v>488</v>
      </c>
      <c r="E142" s="181">
        <v>-0.21</v>
      </c>
      <c r="F142" s="12"/>
      <c r="G142" s="182" t="s">
        <v>483</v>
      </c>
      <c r="H142" s="89"/>
      <c r="I142" s="60"/>
      <c r="J142" s="61"/>
      <c r="K142" s="18">
        <v>-8.91</v>
      </c>
      <c r="L142" s="30"/>
    </row>
    <row r="143" spans="1:12" ht="13.5" customHeight="1" x14ac:dyDescent="0.2">
      <c r="A143" s="180"/>
      <c r="B143" s="56" t="s">
        <v>483</v>
      </c>
      <c r="C143" s="34" t="s">
        <v>5558</v>
      </c>
      <c r="D143" s="11" t="s">
        <v>488</v>
      </c>
      <c r="E143" s="181">
        <v>-7.5</v>
      </c>
      <c r="F143" s="12"/>
      <c r="G143" s="182" t="s">
        <v>483</v>
      </c>
      <c r="H143" s="89"/>
      <c r="I143" s="60"/>
      <c r="J143" s="61"/>
      <c r="K143" s="18">
        <v>-16.41</v>
      </c>
      <c r="L143" s="30"/>
    </row>
    <row r="144" spans="1:12" ht="13.5" customHeight="1" x14ac:dyDescent="0.2">
      <c r="A144" s="180"/>
      <c r="B144" s="56" t="s">
        <v>483</v>
      </c>
      <c r="C144" s="36" t="s">
        <v>174</v>
      </c>
      <c r="D144" s="11" t="s">
        <v>488</v>
      </c>
      <c r="E144" s="30"/>
      <c r="F144" s="183">
        <v>16.41</v>
      </c>
      <c r="G144" s="182">
        <v>0</v>
      </c>
      <c r="H144" s="89">
        <v>16.41</v>
      </c>
      <c r="I144" s="60"/>
      <c r="J144" s="61">
        <v>492.83</v>
      </c>
      <c r="K144" s="18">
        <v>0</v>
      </c>
      <c r="L144" s="30"/>
    </row>
    <row r="145" spans="1:12" ht="13.5" customHeight="1" x14ac:dyDescent="0.2">
      <c r="A145" s="180" t="s">
        <v>6628</v>
      </c>
      <c r="B145" s="56" t="s">
        <v>483</v>
      </c>
      <c r="C145" s="36" t="s">
        <v>6629</v>
      </c>
      <c r="D145" s="11" t="s">
        <v>6630</v>
      </c>
      <c r="E145" s="181">
        <v>-250</v>
      </c>
      <c r="F145" s="12"/>
      <c r="G145" s="182" t="s">
        <v>483</v>
      </c>
      <c r="H145" s="89"/>
      <c r="I145" s="60"/>
      <c r="J145" s="61"/>
      <c r="K145" s="18">
        <v>-250</v>
      </c>
      <c r="L145" s="30"/>
    </row>
    <row r="146" spans="1:12" ht="13.5" customHeight="1" x14ac:dyDescent="0.2">
      <c r="A146" s="180"/>
      <c r="B146" s="56" t="s">
        <v>483</v>
      </c>
      <c r="C146" s="36" t="s">
        <v>749</v>
      </c>
      <c r="D146" s="11" t="s">
        <v>6631</v>
      </c>
      <c r="E146" s="181">
        <v>-950.84</v>
      </c>
      <c r="F146" s="12"/>
      <c r="G146" s="182" t="s">
        <v>483</v>
      </c>
      <c r="H146" s="89"/>
      <c r="I146" s="60"/>
      <c r="J146" s="61"/>
      <c r="K146" s="18">
        <v>-1200.8400000000001</v>
      </c>
      <c r="L146" s="30"/>
    </row>
    <row r="147" spans="1:12" ht="13.5" customHeight="1" x14ac:dyDescent="0.2">
      <c r="A147" s="180"/>
      <c r="B147" s="56" t="s">
        <v>483</v>
      </c>
      <c r="C147" s="36" t="s">
        <v>751</v>
      </c>
      <c r="D147" s="11" t="s">
        <v>6632</v>
      </c>
      <c r="E147" s="181">
        <v>-568.61</v>
      </c>
      <c r="F147" s="12"/>
      <c r="G147" s="182" t="s">
        <v>483</v>
      </c>
      <c r="H147" s="89"/>
      <c r="I147" s="60"/>
      <c r="J147" s="61"/>
      <c r="K147" s="18">
        <v>-1769.4500000000003</v>
      </c>
      <c r="L147" s="30"/>
    </row>
    <row r="148" spans="1:12" ht="13.5" customHeight="1" x14ac:dyDescent="0.2">
      <c r="A148" s="180"/>
      <c r="B148" s="56" t="s">
        <v>483</v>
      </c>
      <c r="C148" s="36" t="s">
        <v>174</v>
      </c>
      <c r="D148" s="11" t="s">
        <v>488</v>
      </c>
      <c r="E148" s="30"/>
      <c r="F148" s="183">
        <v>492.83</v>
      </c>
      <c r="G148" s="182">
        <v>-1276.6199999999999</v>
      </c>
      <c r="H148" s="89">
        <v>492.83</v>
      </c>
      <c r="I148" s="60"/>
      <c r="J148" s="61">
        <v>0</v>
      </c>
      <c r="K148" s="18">
        <v>-1276.6200000000003</v>
      </c>
      <c r="L148" s="30"/>
    </row>
    <row r="149" spans="1:12" ht="13.5" customHeight="1" x14ac:dyDescent="0.2">
      <c r="A149" s="180" t="s">
        <v>6633</v>
      </c>
      <c r="B149" s="56" t="s">
        <v>483</v>
      </c>
      <c r="C149" s="36" t="s">
        <v>180</v>
      </c>
      <c r="D149" s="11" t="s">
        <v>488</v>
      </c>
      <c r="E149" s="181">
        <v>-183.09</v>
      </c>
      <c r="F149" s="12"/>
      <c r="G149" s="182" t="s">
        <v>483</v>
      </c>
      <c r="H149" s="89"/>
      <c r="I149" s="60"/>
      <c r="J149" s="61"/>
      <c r="K149" s="18">
        <v>-1459.7100000000003</v>
      </c>
      <c r="L149" s="30"/>
    </row>
    <row r="150" spans="1:12" ht="13.5" customHeight="1" x14ac:dyDescent="0.2">
      <c r="A150" s="180"/>
      <c r="B150" s="56" t="s">
        <v>483</v>
      </c>
      <c r="C150" s="36" t="s">
        <v>1930</v>
      </c>
      <c r="D150" s="11" t="s">
        <v>1185</v>
      </c>
      <c r="E150" s="181">
        <v>-100</v>
      </c>
      <c r="F150" s="12"/>
      <c r="G150" s="182" t="s">
        <v>483</v>
      </c>
      <c r="H150" s="89"/>
      <c r="I150" s="60"/>
      <c r="J150" s="61"/>
      <c r="K150" s="18">
        <v>-1559.7100000000003</v>
      </c>
      <c r="L150" s="30"/>
    </row>
    <row r="151" spans="1:12" ht="13.5" customHeight="1" x14ac:dyDescent="0.2">
      <c r="A151" s="180"/>
      <c r="B151" s="56" t="s">
        <v>483</v>
      </c>
      <c r="C151" s="36" t="s">
        <v>6634</v>
      </c>
      <c r="D151" s="11" t="s">
        <v>6635</v>
      </c>
      <c r="E151" s="181">
        <v>-79.489999999999995</v>
      </c>
      <c r="F151" s="12"/>
      <c r="G151" s="182" t="s">
        <v>483</v>
      </c>
      <c r="H151" s="89"/>
      <c r="I151" s="60"/>
      <c r="J151" s="61"/>
      <c r="K151" s="18">
        <v>-1639.2000000000003</v>
      </c>
      <c r="L151" s="30"/>
    </row>
    <row r="152" spans="1:12" ht="13.5" customHeight="1" x14ac:dyDescent="0.2">
      <c r="A152" s="180"/>
      <c r="B152" s="56" t="s">
        <v>483</v>
      </c>
      <c r="C152" s="36" t="s">
        <v>769</v>
      </c>
      <c r="D152" s="11" t="s">
        <v>488</v>
      </c>
      <c r="E152" s="30"/>
      <c r="F152" s="183">
        <v>2000</v>
      </c>
      <c r="G152" s="182"/>
      <c r="H152" s="89"/>
      <c r="I152" s="60"/>
      <c r="J152" s="61"/>
      <c r="K152" s="18">
        <v>360.79999999999973</v>
      </c>
      <c r="L152" s="30"/>
    </row>
    <row r="153" spans="1:12" ht="13.5" customHeight="1" x14ac:dyDescent="0.2">
      <c r="A153" s="180"/>
      <c r="B153" s="56" t="s">
        <v>483</v>
      </c>
      <c r="C153" s="36" t="s">
        <v>189</v>
      </c>
      <c r="D153" s="11" t="s">
        <v>488</v>
      </c>
      <c r="E153" s="181">
        <v>-360.8</v>
      </c>
      <c r="F153" s="12"/>
      <c r="G153" s="182">
        <v>0</v>
      </c>
      <c r="H153" s="89"/>
      <c r="I153" s="60">
        <v>360.8</v>
      </c>
      <c r="J153" s="61">
        <v>360.8</v>
      </c>
      <c r="K153" s="18">
        <v>0</v>
      </c>
      <c r="L153" s="30"/>
    </row>
    <row r="154" spans="1:12" ht="13.5" customHeight="1" x14ac:dyDescent="0.2">
      <c r="A154" s="180" t="s">
        <v>6636</v>
      </c>
      <c r="B154" s="56" t="s">
        <v>483</v>
      </c>
      <c r="C154" s="36" t="s">
        <v>6637</v>
      </c>
      <c r="D154" s="11" t="s">
        <v>3361</v>
      </c>
      <c r="E154" s="181">
        <v>-329.29</v>
      </c>
      <c r="F154" s="12"/>
      <c r="G154" s="182" t="s">
        <v>483</v>
      </c>
      <c r="H154" s="89"/>
      <c r="I154" s="60"/>
      <c r="J154" s="61"/>
      <c r="K154" s="18">
        <v>-329.29</v>
      </c>
      <c r="L154" s="30"/>
    </row>
    <row r="155" spans="1:12" ht="13.5" customHeight="1" x14ac:dyDescent="0.2">
      <c r="A155" s="180"/>
      <c r="B155" s="56" t="s">
        <v>483</v>
      </c>
      <c r="C155" s="36" t="s">
        <v>769</v>
      </c>
      <c r="D155" s="11" t="s">
        <v>488</v>
      </c>
      <c r="E155" s="30"/>
      <c r="F155" s="183">
        <v>6000</v>
      </c>
      <c r="G155" s="182" t="s">
        <v>483</v>
      </c>
      <c r="H155" s="89"/>
      <c r="I155" s="60"/>
      <c r="J155" s="61"/>
      <c r="K155" s="18">
        <v>5670.71</v>
      </c>
      <c r="L155" s="30"/>
    </row>
    <row r="156" spans="1:12" ht="13.5" customHeight="1" x14ac:dyDescent="0.2">
      <c r="A156" s="180"/>
      <c r="B156" s="56" t="s">
        <v>483</v>
      </c>
      <c r="C156" s="36" t="s">
        <v>6638</v>
      </c>
      <c r="D156" s="11" t="s">
        <v>488</v>
      </c>
      <c r="E156" s="181">
        <v>-5000</v>
      </c>
      <c r="F156" s="12"/>
      <c r="G156" s="182">
        <v>670.71</v>
      </c>
      <c r="H156" s="89"/>
      <c r="I156" s="60"/>
      <c r="J156" s="61"/>
      <c r="K156" s="18">
        <v>670.71</v>
      </c>
      <c r="L156" s="30"/>
    </row>
    <row r="157" spans="1:12" ht="13.5" customHeight="1" x14ac:dyDescent="0.2">
      <c r="A157" s="180" t="s">
        <v>6636</v>
      </c>
      <c r="B157" s="56" t="s">
        <v>483</v>
      </c>
      <c r="C157" s="36" t="s">
        <v>189</v>
      </c>
      <c r="D157" s="11" t="s">
        <v>488</v>
      </c>
      <c r="E157" s="1090">
        <v>-670.71</v>
      </c>
      <c r="F157" s="12"/>
      <c r="G157" s="1052">
        <v>0</v>
      </c>
      <c r="H157" s="89"/>
      <c r="I157" s="60">
        <v>670.71</v>
      </c>
      <c r="J157" s="61">
        <v>1031.51</v>
      </c>
      <c r="K157" s="18">
        <v>0</v>
      </c>
      <c r="L157" s="30"/>
    </row>
    <row r="158" spans="1:12" ht="13.5" customHeight="1" x14ac:dyDescent="0.2">
      <c r="A158" s="180" t="s">
        <v>6639</v>
      </c>
      <c r="B158" s="56" t="s">
        <v>483</v>
      </c>
      <c r="C158" s="36" t="s">
        <v>86</v>
      </c>
      <c r="D158" s="11" t="s">
        <v>488</v>
      </c>
      <c r="E158" s="1090">
        <v>-8.6999999999999993</v>
      </c>
      <c r="F158" s="12"/>
      <c r="G158" s="23" t="s">
        <v>483</v>
      </c>
      <c r="H158" s="89"/>
      <c r="I158" s="60"/>
      <c r="J158" s="61"/>
      <c r="K158" s="18">
        <v>-8.6999999999999993</v>
      </c>
      <c r="L158" s="30"/>
    </row>
    <row r="159" spans="1:12" ht="13.5" customHeight="1" x14ac:dyDescent="0.2">
      <c r="A159" s="180"/>
      <c r="B159" s="56" t="s">
        <v>483</v>
      </c>
      <c r="C159" s="36" t="s">
        <v>382</v>
      </c>
      <c r="D159" s="11" t="s">
        <v>4201</v>
      </c>
      <c r="E159" s="1090">
        <v>-342.88</v>
      </c>
      <c r="F159" s="12"/>
      <c r="G159" s="23" t="s">
        <v>483</v>
      </c>
      <c r="H159" s="89"/>
      <c r="I159" s="60"/>
      <c r="J159" s="61"/>
      <c r="K159" s="18">
        <v>-351.58</v>
      </c>
      <c r="L159" s="30"/>
    </row>
    <row r="160" spans="1:12" ht="13.5" customHeight="1" x14ac:dyDescent="0.2">
      <c r="A160" s="180"/>
      <c r="B160" s="56" t="s">
        <v>483</v>
      </c>
      <c r="C160" s="36" t="s">
        <v>174</v>
      </c>
      <c r="D160" s="11" t="s">
        <v>488</v>
      </c>
      <c r="E160" s="225"/>
      <c r="F160" s="1091">
        <v>351.58</v>
      </c>
      <c r="G160" s="1052">
        <v>0</v>
      </c>
      <c r="H160" s="89" t="s">
        <v>6640</v>
      </c>
      <c r="I160" s="60"/>
      <c r="J160" s="61">
        <v>679.93000000000006</v>
      </c>
      <c r="K160" s="18">
        <v>0</v>
      </c>
      <c r="L160" s="30"/>
    </row>
    <row r="161" spans="1:13" ht="13.5" customHeight="1" x14ac:dyDescent="0.2">
      <c r="A161" s="180" t="s">
        <v>6641</v>
      </c>
      <c r="B161" s="56" t="s">
        <v>483</v>
      </c>
      <c r="C161" s="36" t="s">
        <v>6642</v>
      </c>
      <c r="D161" s="11" t="s">
        <v>4324</v>
      </c>
      <c r="E161" s="1090">
        <v>-228.5</v>
      </c>
      <c r="F161" s="12"/>
      <c r="G161" s="23" t="s">
        <v>483</v>
      </c>
      <c r="H161" s="89"/>
      <c r="I161" s="60"/>
      <c r="J161" s="61"/>
      <c r="K161" s="18">
        <v>-228.5</v>
      </c>
      <c r="L161" s="30"/>
    </row>
    <row r="162" spans="1:13" ht="13.5" customHeight="1" x14ac:dyDescent="0.2">
      <c r="A162" s="180"/>
      <c r="B162" s="56" t="s">
        <v>483</v>
      </c>
      <c r="C162" s="36" t="s">
        <v>6643</v>
      </c>
      <c r="D162" s="11" t="s">
        <v>6644</v>
      </c>
      <c r="E162" s="1090">
        <v>-202.65</v>
      </c>
      <c r="F162" s="12"/>
      <c r="G162" s="23" t="s">
        <v>483</v>
      </c>
      <c r="H162" s="89"/>
      <c r="I162" s="60"/>
      <c r="J162" s="61"/>
      <c r="K162" s="18">
        <v>-431.15</v>
      </c>
      <c r="L162" s="30">
        <v>12.25</v>
      </c>
      <c r="M162" s="18">
        <v>12.25</v>
      </c>
    </row>
    <row r="163" spans="1:13" ht="13.5" customHeight="1" x14ac:dyDescent="0.2">
      <c r="A163" s="180"/>
      <c r="B163" s="56" t="s">
        <v>483</v>
      </c>
      <c r="C163" s="36" t="s">
        <v>174</v>
      </c>
      <c r="D163" s="11" t="s">
        <v>488</v>
      </c>
      <c r="E163" s="225"/>
      <c r="F163" s="1091">
        <v>431.15</v>
      </c>
      <c r="G163" s="1052">
        <v>0</v>
      </c>
      <c r="H163" s="89" t="s">
        <v>6645</v>
      </c>
      <c r="I163" s="60"/>
      <c r="J163" s="61">
        <v>248.78000000000009</v>
      </c>
      <c r="K163" s="18">
        <v>0</v>
      </c>
      <c r="L163" s="30">
        <v>25.9</v>
      </c>
      <c r="M163" s="18">
        <v>38.15</v>
      </c>
    </row>
    <row r="164" spans="1:13" ht="13.5" customHeight="1" x14ac:dyDescent="0.2">
      <c r="A164" s="180" t="s">
        <v>6646</v>
      </c>
      <c r="B164" s="56" t="s">
        <v>591</v>
      </c>
      <c r="C164" s="34" t="s">
        <v>5995</v>
      </c>
      <c r="D164" s="11" t="s">
        <v>6647</v>
      </c>
      <c r="E164" s="1092"/>
      <c r="F164" s="168">
        <v>2296.13</v>
      </c>
      <c r="G164" s="23">
        <v>2296.13</v>
      </c>
      <c r="H164" s="89"/>
      <c r="I164" s="60"/>
      <c r="J164" s="61"/>
      <c r="K164" s="18">
        <v>2296.13</v>
      </c>
      <c r="L164" s="30">
        <v>61.3</v>
      </c>
      <c r="M164" s="18">
        <v>99.449999999999989</v>
      </c>
    </row>
    <row r="165" spans="1:13" ht="13.5" customHeight="1" x14ac:dyDescent="0.2">
      <c r="A165" s="180" t="s">
        <v>6648</v>
      </c>
      <c r="B165" s="56" t="s">
        <v>483</v>
      </c>
      <c r="C165" s="36" t="s">
        <v>189</v>
      </c>
      <c r="D165" s="11" t="s">
        <v>488</v>
      </c>
      <c r="E165" s="1092">
        <v>-2296.13</v>
      </c>
      <c r="F165" s="12"/>
      <c r="G165" s="1052">
        <v>0</v>
      </c>
      <c r="H165" s="89"/>
      <c r="I165" s="60">
        <v>2296.13</v>
      </c>
      <c r="J165" s="61">
        <v>2544.9100000000003</v>
      </c>
      <c r="K165" s="18">
        <v>0</v>
      </c>
      <c r="L165" s="30">
        <v>70.3</v>
      </c>
      <c r="M165" s="18">
        <v>169.75</v>
      </c>
    </row>
    <row r="166" spans="1:13" ht="13.5" customHeight="1" x14ac:dyDescent="0.2">
      <c r="A166" s="180" t="s">
        <v>6649</v>
      </c>
      <c r="B166" s="56" t="s">
        <v>483</v>
      </c>
      <c r="C166" s="36" t="s">
        <v>6650</v>
      </c>
      <c r="D166" s="11" t="s">
        <v>1944</v>
      </c>
      <c r="E166" s="1090">
        <v>-108.54</v>
      </c>
      <c r="F166" s="12"/>
      <c r="G166" s="23" t="s">
        <v>483</v>
      </c>
      <c r="H166" s="89"/>
      <c r="I166" s="60"/>
      <c r="J166" s="61"/>
      <c r="K166" s="18">
        <v>-108.54</v>
      </c>
      <c r="L166" s="30">
        <v>28.5</v>
      </c>
      <c r="M166" s="18">
        <v>198.25</v>
      </c>
    </row>
    <row r="167" spans="1:13" ht="13.5" customHeight="1" x14ac:dyDescent="0.2">
      <c r="A167" s="180"/>
      <c r="B167" s="56" t="s">
        <v>483</v>
      </c>
      <c r="C167" s="32" t="s">
        <v>6651</v>
      </c>
      <c r="D167" s="11" t="s">
        <v>488</v>
      </c>
      <c r="E167" s="225"/>
      <c r="F167" s="183">
        <v>19731.47</v>
      </c>
      <c r="G167" s="23"/>
      <c r="H167" s="89"/>
      <c r="I167" s="60"/>
      <c r="J167" s="61"/>
      <c r="K167" s="18">
        <v>19622.93</v>
      </c>
      <c r="L167" s="30">
        <v>4.4000000000000004</v>
      </c>
      <c r="M167" s="18">
        <v>202.65</v>
      </c>
    </row>
    <row r="168" spans="1:13" ht="13.5" customHeight="1" x14ac:dyDescent="0.2">
      <c r="A168" s="180"/>
      <c r="B168" s="56" t="s">
        <v>483</v>
      </c>
      <c r="C168" s="36" t="s">
        <v>189</v>
      </c>
      <c r="D168" s="11" t="s">
        <v>488</v>
      </c>
      <c r="E168" s="1092">
        <v>-19622.93</v>
      </c>
      <c r="F168" s="12"/>
      <c r="G168" s="1052">
        <v>0</v>
      </c>
      <c r="H168" s="89"/>
      <c r="I168" s="60">
        <v>19622.93</v>
      </c>
      <c r="J168" s="61">
        <v>22167.84</v>
      </c>
      <c r="K168" s="18">
        <v>0</v>
      </c>
      <c r="L168" s="30"/>
      <c r="M168" s="18"/>
    </row>
    <row r="169" spans="1:13" ht="13.5" customHeight="1" x14ac:dyDescent="0.2">
      <c r="A169" s="180" t="s">
        <v>6652</v>
      </c>
      <c r="B169" s="56" t="s">
        <v>483</v>
      </c>
      <c r="C169" s="34" t="s">
        <v>6653</v>
      </c>
      <c r="D169" s="11" t="s">
        <v>6654</v>
      </c>
      <c r="E169" s="1092">
        <v>-1416</v>
      </c>
      <c r="F169" s="12"/>
      <c r="G169" s="23"/>
      <c r="H169" s="89"/>
      <c r="I169" s="60"/>
      <c r="J169" s="61"/>
      <c r="K169" s="18">
        <v>-1416</v>
      </c>
      <c r="L169" s="30">
        <v>55</v>
      </c>
      <c r="M169" s="18"/>
    </row>
    <row r="170" spans="1:13" ht="13.5" customHeight="1" x14ac:dyDescent="0.2">
      <c r="A170" s="180"/>
      <c r="B170" s="56" t="s">
        <v>483</v>
      </c>
      <c r="C170" s="36" t="s">
        <v>6655</v>
      </c>
      <c r="D170" s="11" t="s">
        <v>488</v>
      </c>
      <c r="E170" s="1092">
        <v>-1082.49</v>
      </c>
      <c r="F170" s="12"/>
      <c r="G170" s="23" t="s">
        <v>483</v>
      </c>
      <c r="H170" s="89"/>
      <c r="I170" s="60"/>
      <c r="J170" s="61"/>
      <c r="K170" s="18">
        <v>-2498.4899999999998</v>
      </c>
      <c r="L170" s="30">
        <v>9.5</v>
      </c>
      <c r="M170" s="18"/>
    </row>
    <row r="171" spans="1:13" ht="13.5" customHeight="1" x14ac:dyDescent="0.2">
      <c r="A171" s="180"/>
      <c r="B171" s="56" t="s">
        <v>483</v>
      </c>
      <c r="C171" s="36" t="s">
        <v>6656</v>
      </c>
      <c r="D171" s="11" t="s">
        <v>6657</v>
      </c>
      <c r="E171" s="1090">
        <v>-259</v>
      </c>
      <c r="F171" s="12"/>
      <c r="G171" s="23" t="s">
        <v>483</v>
      </c>
      <c r="H171" s="89"/>
      <c r="I171" s="60"/>
      <c r="J171" s="61"/>
      <c r="K171" s="18">
        <v>-2757.49</v>
      </c>
      <c r="L171" s="30">
        <v>45.5</v>
      </c>
      <c r="M171" s="18"/>
    </row>
    <row r="172" spans="1:13" ht="13.5" customHeight="1" x14ac:dyDescent="0.2">
      <c r="A172" s="180"/>
      <c r="B172" s="56" t="s">
        <v>483</v>
      </c>
      <c r="C172" s="36" t="s">
        <v>174</v>
      </c>
      <c r="D172" s="11" t="s">
        <v>488</v>
      </c>
      <c r="E172" s="225"/>
      <c r="F172" s="183">
        <v>2757.49</v>
      </c>
      <c r="G172" s="1052">
        <v>0</v>
      </c>
      <c r="H172" s="89" t="s">
        <v>6658</v>
      </c>
      <c r="I172" s="60"/>
      <c r="J172" s="61">
        <v>19410.349999999999</v>
      </c>
      <c r="K172" s="18">
        <v>0</v>
      </c>
      <c r="L172" s="30">
        <v>110</v>
      </c>
      <c r="M172" s="18"/>
    </row>
    <row r="173" spans="1:13" ht="13.5" customHeight="1" x14ac:dyDescent="0.2">
      <c r="A173" s="180" t="s">
        <v>6659</v>
      </c>
      <c r="B173" s="56" t="s">
        <v>591</v>
      </c>
      <c r="C173" s="34" t="s">
        <v>5995</v>
      </c>
      <c r="D173" s="11" t="s">
        <v>6660</v>
      </c>
      <c r="E173" s="1092"/>
      <c r="F173" s="168">
        <v>8000</v>
      </c>
      <c r="G173" s="23" t="s">
        <v>483</v>
      </c>
      <c r="H173" s="89"/>
      <c r="I173" s="60"/>
      <c r="J173" s="61"/>
      <c r="K173" s="18">
        <v>8000</v>
      </c>
      <c r="L173" s="30"/>
      <c r="M173" s="18"/>
    </row>
    <row r="174" spans="1:13" ht="13.5" customHeight="1" x14ac:dyDescent="0.2">
      <c r="A174" s="180"/>
      <c r="B174" s="56" t="s">
        <v>483</v>
      </c>
      <c r="C174" s="36" t="s">
        <v>6661</v>
      </c>
      <c r="D174" s="11" t="s">
        <v>6662</v>
      </c>
      <c r="E174" s="1090">
        <v>-634.27</v>
      </c>
      <c r="F174" s="12"/>
      <c r="G174" s="23" t="s">
        <v>483</v>
      </c>
      <c r="H174" s="89"/>
      <c r="I174" s="60"/>
      <c r="J174" s="61"/>
      <c r="K174" s="18">
        <v>7365.73</v>
      </c>
      <c r="L174" s="30"/>
      <c r="M174" s="18"/>
    </row>
    <row r="175" spans="1:13" ht="13.5" customHeight="1" x14ac:dyDescent="0.2">
      <c r="A175" s="180"/>
      <c r="B175" s="56" t="s">
        <v>483</v>
      </c>
      <c r="C175" s="32" t="s">
        <v>6663</v>
      </c>
      <c r="D175" s="11" t="s">
        <v>6664</v>
      </c>
      <c r="E175" s="1092">
        <v>-1654.3</v>
      </c>
      <c r="F175" s="12"/>
      <c r="G175" s="23" t="s">
        <v>483</v>
      </c>
      <c r="H175" s="89"/>
      <c r="I175" s="60"/>
      <c r="J175" s="61"/>
      <c r="K175" s="18">
        <v>5711.4299999999994</v>
      </c>
      <c r="L175" s="30"/>
      <c r="M175" s="18"/>
    </row>
    <row r="176" spans="1:13" ht="13.5" customHeight="1" x14ac:dyDescent="0.2">
      <c r="A176" s="180"/>
      <c r="B176" s="56" t="s">
        <v>483</v>
      </c>
      <c r="C176" s="32" t="s">
        <v>6665</v>
      </c>
      <c r="D176" s="11" t="s">
        <v>6666</v>
      </c>
      <c r="E176" s="1092">
        <v>-3117.09</v>
      </c>
      <c r="F176" s="12"/>
      <c r="G176" s="23" t="s">
        <v>483</v>
      </c>
      <c r="H176" s="89"/>
      <c r="I176" s="60"/>
      <c r="J176" s="61"/>
      <c r="K176" s="18">
        <v>2594.3399999999992</v>
      </c>
      <c r="L176" s="30"/>
      <c r="M176" s="18"/>
    </row>
    <row r="177" spans="1:13" ht="13.5" customHeight="1" x14ac:dyDescent="0.2">
      <c r="A177" s="180"/>
      <c r="B177" s="56" t="s">
        <v>483</v>
      </c>
      <c r="C177" s="36" t="s">
        <v>174</v>
      </c>
      <c r="D177" s="11" t="s">
        <v>488</v>
      </c>
      <c r="E177" s="225"/>
      <c r="F177" s="183">
        <v>5405.66</v>
      </c>
      <c r="G177" s="23">
        <v>8000</v>
      </c>
      <c r="H177" s="89" t="s">
        <v>6667</v>
      </c>
      <c r="I177" s="60"/>
      <c r="J177" s="61">
        <v>14004.689999999999</v>
      </c>
      <c r="K177" s="18">
        <v>7999.9999999999991</v>
      </c>
      <c r="L177" s="30"/>
      <c r="M177" s="18"/>
    </row>
    <row r="178" spans="1:13" ht="13.5" customHeight="1" x14ac:dyDescent="0.2">
      <c r="A178" s="180" t="s">
        <v>6668</v>
      </c>
      <c r="B178" s="56" t="s">
        <v>483</v>
      </c>
      <c r="C178" s="36" t="s">
        <v>6669</v>
      </c>
      <c r="D178" s="11" t="s">
        <v>6670</v>
      </c>
      <c r="E178" s="1090">
        <v>-431.45</v>
      </c>
      <c r="F178" s="12"/>
      <c r="G178" s="23"/>
      <c r="H178" s="89"/>
      <c r="I178" s="60"/>
      <c r="J178" s="61"/>
      <c r="K178" s="18">
        <v>7568.5499999999993</v>
      </c>
      <c r="L178" s="30"/>
    </row>
    <row r="179" spans="1:13" ht="13.5" customHeight="1" x14ac:dyDescent="0.2">
      <c r="A179" s="180"/>
      <c r="B179" s="56" t="s">
        <v>483</v>
      </c>
      <c r="C179" s="36" t="s">
        <v>189</v>
      </c>
      <c r="D179" s="11" t="s">
        <v>488</v>
      </c>
      <c r="E179" s="1092">
        <v>-7568.55</v>
      </c>
      <c r="F179" s="12"/>
      <c r="G179" s="1052">
        <v>0</v>
      </c>
      <c r="H179" s="89"/>
      <c r="I179" s="60">
        <v>7568.55</v>
      </c>
      <c r="J179" s="61">
        <v>21573.239999999998</v>
      </c>
      <c r="K179" s="18">
        <v>0</v>
      </c>
      <c r="L179" s="30"/>
    </row>
    <row r="180" spans="1:13" ht="13.5" customHeight="1" x14ac:dyDescent="0.2">
      <c r="A180" s="180" t="s">
        <v>6671</v>
      </c>
      <c r="B180" s="56" t="s">
        <v>483</v>
      </c>
      <c r="C180" s="36" t="s">
        <v>6672</v>
      </c>
      <c r="D180" s="11" t="s">
        <v>3369</v>
      </c>
      <c r="E180" s="1092">
        <v>-1013.1</v>
      </c>
      <c r="F180" s="12"/>
      <c r="G180" s="23" t="s">
        <v>483</v>
      </c>
      <c r="H180" s="89"/>
      <c r="I180" s="60"/>
      <c r="J180" s="61"/>
      <c r="K180" s="18">
        <v>-1013.1</v>
      </c>
      <c r="L180" s="30"/>
    </row>
    <row r="181" spans="1:13" ht="13.5" customHeight="1" x14ac:dyDescent="0.2">
      <c r="A181" s="180"/>
      <c r="B181" s="56" t="s">
        <v>483</v>
      </c>
      <c r="C181" s="36" t="s">
        <v>394</v>
      </c>
      <c r="D181" s="11" t="s">
        <v>6673</v>
      </c>
      <c r="E181" s="1092">
        <v>-1241.43</v>
      </c>
      <c r="F181" s="12"/>
      <c r="G181" s="23" t="s">
        <v>483</v>
      </c>
      <c r="H181" s="89"/>
      <c r="I181" s="60"/>
      <c r="J181" s="61"/>
      <c r="K181" s="18">
        <v>-2254.5300000000002</v>
      </c>
      <c r="L181" s="30"/>
    </row>
    <row r="182" spans="1:13" ht="13.5" customHeight="1" x14ac:dyDescent="0.2">
      <c r="A182" s="180"/>
      <c r="B182" s="56" t="s">
        <v>483</v>
      </c>
      <c r="C182" s="36" t="s">
        <v>1013</v>
      </c>
      <c r="D182" s="11" t="s">
        <v>3736</v>
      </c>
      <c r="E182" s="1090">
        <v>-825</v>
      </c>
      <c r="F182" s="12"/>
      <c r="G182" s="23"/>
      <c r="H182" s="89"/>
      <c r="I182" s="60"/>
      <c r="J182" s="61"/>
      <c r="K182" s="18">
        <v>-3079.53</v>
      </c>
      <c r="L182" s="30"/>
    </row>
    <row r="183" spans="1:13" ht="13.5" customHeight="1" x14ac:dyDescent="0.2">
      <c r="A183" s="180"/>
      <c r="B183" s="56" t="s">
        <v>483</v>
      </c>
      <c r="C183" s="34" t="s">
        <v>194</v>
      </c>
      <c r="D183" s="11" t="s">
        <v>488</v>
      </c>
      <c r="E183" s="1090">
        <v>-68.95</v>
      </c>
      <c r="F183" s="12"/>
      <c r="G183" s="23" t="s">
        <v>483</v>
      </c>
      <c r="H183" s="89"/>
      <c r="I183" s="60"/>
      <c r="J183" s="61"/>
      <c r="K183" s="18">
        <v>-3148.48</v>
      </c>
      <c r="L183" s="30"/>
    </row>
    <row r="184" spans="1:13" ht="13.5" customHeight="1" x14ac:dyDescent="0.2">
      <c r="A184" s="180"/>
      <c r="B184" s="56" t="s">
        <v>483</v>
      </c>
      <c r="C184" s="36" t="s">
        <v>195</v>
      </c>
      <c r="D184" s="11" t="s">
        <v>488</v>
      </c>
      <c r="E184" s="1090">
        <v>-318.24</v>
      </c>
      <c r="F184" s="12"/>
      <c r="G184" s="23">
        <v>-3466.72</v>
      </c>
      <c r="H184" s="89"/>
      <c r="I184" s="60"/>
      <c r="J184" s="61"/>
      <c r="K184" s="18">
        <v>-3466.7200000000003</v>
      </c>
      <c r="L184" s="30"/>
    </row>
    <row r="185" spans="1:13" ht="13.5" customHeight="1" x14ac:dyDescent="0.2">
      <c r="A185" s="180" t="s">
        <v>6671</v>
      </c>
      <c r="B185" s="56" t="s">
        <v>483</v>
      </c>
      <c r="C185" s="36" t="s">
        <v>6674</v>
      </c>
      <c r="D185" s="11" t="s">
        <v>6675</v>
      </c>
      <c r="E185" s="1090">
        <v>-920</v>
      </c>
      <c r="F185" s="12"/>
      <c r="G185" s="23" t="s">
        <v>483</v>
      </c>
      <c r="H185" s="89"/>
      <c r="I185" s="60"/>
      <c r="J185" s="61"/>
      <c r="K185" s="18">
        <v>-4386.72</v>
      </c>
      <c r="L185" s="30"/>
    </row>
    <row r="186" spans="1:13" ht="13.5" customHeight="1" x14ac:dyDescent="0.2">
      <c r="A186" s="180"/>
      <c r="B186" s="56" t="s">
        <v>483</v>
      </c>
      <c r="C186" s="36" t="s">
        <v>174</v>
      </c>
      <c r="D186" s="11" t="s">
        <v>488</v>
      </c>
      <c r="E186" s="225"/>
      <c r="F186" s="183">
        <v>4386.72</v>
      </c>
      <c r="G186" s="1052">
        <v>0</v>
      </c>
      <c r="H186" s="89" t="s">
        <v>6676</v>
      </c>
      <c r="I186" s="60"/>
      <c r="J186" s="61">
        <v>17186.519999999997</v>
      </c>
      <c r="K186" s="18">
        <v>0</v>
      </c>
      <c r="L186" s="30"/>
    </row>
    <row r="187" spans="1:13" ht="13.5" customHeight="1" x14ac:dyDescent="0.2">
      <c r="A187" s="180" t="s">
        <v>6677</v>
      </c>
      <c r="B187" s="56" t="s">
        <v>483</v>
      </c>
      <c r="C187" s="36" t="s">
        <v>86</v>
      </c>
      <c r="D187" s="11" t="s">
        <v>488</v>
      </c>
      <c r="E187" s="1090">
        <v>-72</v>
      </c>
      <c r="F187" s="12"/>
      <c r="G187" s="23" t="s">
        <v>483</v>
      </c>
      <c r="H187" s="89"/>
      <c r="I187" s="60"/>
      <c r="J187" s="61"/>
      <c r="K187" s="18">
        <v>-72</v>
      </c>
      <c r="L187" s="30"/>
    </row>
    <row r="188" spans="1:13" ht="13.5" customHeight="1" x14ac:dyDescent="0.2">
      <c r="A188" s="180"/>
      <c r="B188" s="56" t="s">
        <v>483</v>
      </c>
      <c r="C188" s="36" t="s">
        <v>86</v>
      </c>
      <c r="D188" s="11" t="s">
        <v>488</v>
      </c>
      <c r="E188" s="1090">
        <v>-8.6999999999999993</v>
      </c>
      <c r="F188" s="12"/>
      <c r="G188" s="1052">
        <v>-80.7</v>
      </c>
      <c r="H188" s="89"/>
      <c r="I188" s="60"/>
      <c r="J188" s="61"/>
      <c r="K188" s="18">
        <v>-80.7</v>
      </c>
      <c r="L188" s="30"/>
    </row>
    <row r="189" spans="1:13" ht="13.5" customHeight="1" x14ac:dyDescent="0.2">
      <c r="A189" s="180"/>
      <c r="B189" s="56" t="s">
        <v>483</v>
      </c>
      <c r="C189" s="36" t="s">
        <v>6678</v>
      </c>
      <c r="D189" s="11" t="s">
        <v>6679</v>
      </c>
      <c r="E189" s="1090">
        <v>-110</v>
      </c>
      <c r="F189" s="12"/>
      <c r="G189" s="23" t="s">
        <v>483</v>
      </c>
      <c r="H189" s="89"/>
      <c r="I189" s="60"/>
      <c r="J189" s="61"/>
      <c r="K189" s="18">
        <v>-190.7</v>
      </c>
      <c r="L189" s="30"/>
    </row>
    <row r="190" spans="1:13" ht="13.5" customHeight="1" x14ac:dyDescent="0.2">
      <c r="A190" s="180"/>
      <c r="B190" s="56" t="s">
        <v>483</v>
      </c>
      <c r="C190" s="36" t="s">
        <v>174</v>
      </c>
      <c r="D190" s="11" t="s">
        <v>488</v>
      </c>
      <c r="E190" s="225"/>
      <c r="F190" s="1091">
        <v>190.7</v>
      </c>
      <c r="G190" s="1052">
        <v>0</v>
      </c>
      <c r="H190" s="89" t="s">
        <v>6680</v>
      </c>
      <c r="I190" s="60"/>
      <c r="J190" s="61">
        <v>16995.819999999996</v>
      </c>
      <c r="K190" s="18">
        <v>0</v>
      </c>
      <c r="L190" s="30"/>
    </row>
    <row r="191" spans="1:13" ht="13.5" customHeight="1" x14ac:dyDescent="0.2">
      <c r="A191" s="180" t="s">
        <v>6681</v>
      </c>
      <c r="B191" s="56" t="s">
        <v>483</v>
      </c>
      <c r="C191" s="32" t="s">
        <v>199</v>
      </c>
      <c r="D191" s="11" t="s">
        <v>488</v>
      </c>
      <c r="E191" s="1090">
        <v>-113.76</v>
      </c>
      <c r="F191" s="12"/>
      <c r="G191" s="23" t="s">
        <v>483</v>
      </c>
      <c r="H191" s="89"/>
      <c r="I191" s="60"/>
      <c r="J191" s="61"/>
      <c r="K191" s="18">
        <v>-113.76</v>
      </c>
      <c r="L191" s="30"/>
    </row>
    <row r="192" spans="1:13" x14ac:dyDescent="0.2">
      <c r="A192" s="180"/>
      <c r="B192" s="56" t="s">
        <v>483</v>
      </c>
      <c r="C192" s="36" t="s">
        <v>174</v>
      </c>
      <c r="D192" s="11" t="s">
        <v>488</v>
      </c>
      <c r="E192" s="225"/>
      <c r="F192" s="1091">
        <v>113.76</v>
      </c>
      <c r="G192" s="1052">
        <v>0</v>
      </c>
      <c r="H192" s="89" t="s">
        <v>6682</v>
      </c>
      <c r="I192" s="60"/>
      <c r="J192" s="61">
        <v>16882.059999999998</v>
      </c>
      <c r="K192" s="18">
        <v>0</v>
      </c>
      <c r="L192" s="30">
        <v>8697.68</v>
      </c>
    </row>
    <row r="193" spans="1:15" x14ac:dyDescent="0.2">
      <c r="A193" s="180" t="s">
        <v>6683</v>
      </c>
      <c r="B193" s="56" t="s">
        <v>483</v>
      </c>
      <c r="C193" s="36" t="s">
        <v>86</v>
      </c>
      <c r="D193" s="11" t="s">
        <v>488</v>
      </c>
      <c r="E193" s="1090">
        <v>-9.9</v>
      </c>
      <c r="F193" s="12"/>
      <c r="G193" s="23" t="s">
        <v>483</v>
      </c>
      <c r="H193" s="89"/>
      <c r="I193" s="60"/>
      <c r="J193" s="61"/>
      <c r="K193" s="18">
        <v>-9.9</v>
      </c>
      <c r="L193" s="30">
        <v>7568.74</v>
      </c>
    </row>
    <row r="194" spans="1:15" ht="13.5" customHeight="1" x14ac:dyDescent="0.2">
      <c r="A194" s="180"/>
      <c r="B194" s="56" t="s">
        <v>483</v>
      </c>
      <c r="C194" s="36" t="s">
        <v>6684</v>
      </c>
      <c r="D194" s="11" t="s">
        <v>766</v>
      </c>
      <c r="E194" s="1090">
        <v>-606.51</v>
      </c>
      <c r="F194" s="12"/>
      <c r="G194" s="23"/>
      <c r="H194" s="89"/>
      <c r="I194" s="60"/>
      <c r="J194" s="61"/>
      <c r="K194" s="18">
        <v>-616.41</v>
      </c>
      <c r="L194" s="200">
        <v>16266.42</v>
      </c>
    </row>
    <row r="195" spans="1:15" s="64" customFormat="1" ht="13.5" customHeight="1" x14ac:dyDescent="0.2">
      <c r="A195" s="184"/>
      <c r="B195" s="63" t="s">
        <v>483</v>
      </c>
      <c r="C195" s="36" t="s">
        <v>174</v>
      </c>
      <c r="D195" s="50" t="s">
        <v>488</v>
      </c>
      <c r="E195" s="51"/>
      <c r="F195" s="1091">
        <v>616.41</v>
      </c>
      <c r="G195" s="1093">
        <v>0</v>
      </c>
      <c r="H195" s="82" t="s">
        <v>6685</v>
      </c>
      <c r="I195" s="57"/>
      <c r="J195" s="61">
        <v>16265.649999999998</v>
      </c>
      <c r="K195" s="18">
        <v>0</v>
      </c>
      <c r="L195" s="51"/>
      <c r="O195" s="65"/>
    </row>
    <row r="196" spans="1:15" s="64" customFormat="1" ht="13.5" customHeight="1" x14ac:dyDescent="0.2">
      <c r="A196" s="184"/>
      <c r="B196" s="63"/>
      <c r="C196" s="32" t="s">
        <v>20</v>
      </c>
      <c r="D196" s="50"/>
      <c r="E196" s="51"/>
      <c r="F196" s="13"/>
      <c r="G196" s="14"/>
      <c r="H196" s="82"/>
      <c r="I196" s="57">
        <v>0.77000000000225555</v>
      </c>
      <c r="J196" s="186">
        <v>16266.42</v>
      </c>
      <c r="K196" s="18">
        <v>0</v>
      </c>
      <c r="L196" s="51"/>
      <c r="O196" s="65"/>
    </row>
    <row r="197" spans="1:15" s="64" customFormat="1" ht="13.5" customHeight="1" x14ac:dyDescent="0.2">
      <c r="A197" s="184"/>
      <c r="B197" s="63"/>
      <c r="C197" s="32" t="s">
        <v>5809</v>
      </c>
      <c r="D197" s="50"/>
      <c r="E197" s="51"/>
      <c r="F197" s="13"/>
      <c r="G197" s="14"/>
      <c r="H197" s="82"/>
      <c r="I197" s="57"/>
      <c r="J197" s="186">
        <v>7270.46</v>
      </c>
      <c r="L197" s="51"/>
      <c r="O197" s="65"/>
    </row>
    <row r="198" spans="1:15" s="64" customFormat="1" ht="13.5" customHeight="1" x14ac:dyDescent="0.2">
      <c r="A198" s="184"/>
      <c r="B198" s="63"/>
      <c r="C198" s="222" t="s">
        <v>5810</v>
      </c>
      <c r="D198" s="50"/>
      <c r="E198" s="51"/>
      <c r="F198" s="13"/>
      <c r="G198" s="14"/>
      <c r="H198" s="82"/>
      <c r="I198" s="57"/>
      <c r="J198" s="186">
        <v>23536.880000000001</v>
      </c>
      <c r="L198" s="51"/>
      <c r="O198" s="65"/>
    </row>
    <row r="199" spans="1:15" s="64" customFormat="1" ht="13.5" customHeight="1" thickBot="1" x14ac:dyDescent="0.25">
      <c r="A199" s="184"/>
      <c r="B199" s="63"/>
      <c r="C199" s="63"/>
      <c r="D199" s="50"/>
      <c r="E199" s="51"/>
      <c r="F199" s="13"/>
      <c r="G199" s="53"/>
      <c r="H199" s="82"/>
      <c r="I199" s="57"/>
      <c r="J199" s="67"/>
      <c r="L199" s="51"/>
      <c r="O199" s="65"/>
    </row>
    <row r="200" spans="1:15" ht="13.5" customHeight="1" thickBot="1" x14ac:dyDescent="0.25">
      <c r="A200" s="2" t="s">
        <v>2</v>
      </c>
      <c r="B200" s="3"/>
      <c r="C200" s="3" t="s">
        <v>525</v>
      </c>
      <c r="D200" s="3" t="s">
        <v>4</v>
      </c>
      <c r="E200" s="3" t="s">
        <v>5</v>
      </c>
      <c r="F200" s="3" t="s">
        <v>6</v>
      </c>
      <c r="G200" s="5" t="s">
        <v>7</v>
      </c>
      <c r="H200" s="187"/>
      <c r="I200" s="188"/>
      <c r="J200" s="189"/>
    </row>
    <row r="201" spans="1:15" ht="13.5" customHeight="1" x14ac:dyDescent="0.2">
      <c r="A201" s="8" t="s">
        <v>6531</v>
      </c>
      <c r="B201" s="56"/>
      <c r="C201" s="10" t="s">
        <v>8</v>
      </c>
      <c r="D201" s="11"/>
      <c r="E201" s="51"/>
      <c r="F201" s="12"/>
      <c r="G201" s="178">
        <v>3041.4799999999987</v>
      </c>
      <c r="H201" s="82"/>
      <c r="I201" s="57"/>
      <c r="J201" s="67"/>
      <c r="K201" s="18">
        <v>3041.4799999999987</v>
      </c>
      <c r="L201" s="51"/>
    </row>
    <row r="202" spans="1:15" ht="13.5" customHeight="1" x14ac:dyDescent="0.2">
      <c r="A202" s="8"/>
      <c r="B202" s="56"/>
      <c r="C202" s="36" t="s">
        <v>6686</v>
      </c>
      <c r="D202" s="11"/>
      <c r="E202" s="181">
        <v>130</v>
      </c>
      <c r="F202" s="12"/>
      <c r="G202" s="190">
        <v>2911.4799999999987</v>
      </c>
      <c r="H202" s="82"/>
      <c r="I202" s="57"/>
      <c r="J202" s="67"/>
      <c r="K202" s="18">
        <v>2911.4799999999987</v>
      </c>
      <c r="L202" s="51"/>
    </row>
    <row r="203" spans="1:15" ht="13.5" customHeight="1" x14ac:dyDescent="0.2">
      <c r="A203" s="8"/>
      <c r="B203" s="56"/>
      <c r="C203" s="34" t="s">
        <v>618</v>
      </c>
      <c r="D203" s="11"/>
      <c r="E203" s="181">
        <v>46.2</v>
      </c>
      <c r="F203" s="12"/>
      <c r="G203" s="190">
        <v>2865.2799999999988</v>
      </c>
      <c r="H203" s="82"/>
      <c r="I203" s="57"/>
      <c r="J203" s="67"/>
      <c r="K203" s="18">
        <v>2865.2799999999988</v>
      </c>
      <c r="L203" s="51"/>
    </row>
    <row r="204" spans="1:15" ht="13.5" customHeight="1" x14ac:dyDescent="0.2">
      <c r="A204" s="8"/>
      <c r="B204" s="56"/>
      <c r="C204" s="34" t="s">
        <v>6687</v>
      </c>
      <c r="D204" s="50"/>
      <c r="E204" s="51"/>
      <c r="F204" s="183">
        <v>323</v>
      </c>
      <c r="G204" s="190">
        <v>3188.2799999999988</v>
      </c>
      <c r="H204" s="82"/>
      <c r="I204" s="57"/>
      <c r="J204" s="67"/>
      <c r="K204" s="18">
        <v>3188.2799999999988</v>
      </c>
      <c r="L204" s="51"/>
    </row>
    <row r="205" spans="1:15" s="64" customFormat="1" ht="13.5" customHeight="1" x14ac:dyDescent="0.2">
      <c r="A205" s="184">
        <v>43074</v>
      </c>
      <c r="B205" s="63"/>
      <c r="C205" s="56" t="s">
        <v>815</v>
      </c>
      <c r="D205" s="50"/>
      <c r="E205" s="181">
        <v>833.93</v>
      </c>
      <c r="F205" s="13"/>
      <c r="G205" s="190">
        <v>2354.349999999999</v>
      </c>
      <c r="H205" s="82"/>
      <c r="I205" s="57"/>
      <c r="J205" s="67"/>
      <c r="K205" s="18">
        <v>2354.349999999999</v>
      </c>
      <c r="L205" s="51"/>
      <c r="O205" s="65"/>
    </row>
    <row r="206" spans="1:15" s="64" customFormat="1" ht="13.5" customHeight="1" x14ac:dyDescent="0.2">
      <c r="A206" s="184">
        <v>43462</v>
      </c>
      <c r="B206" s="63"/>
      <c r="C206" s="36" t="s">
        <v>6688</v>
      </c>
      <c r="D206" s="50"/>
      <c r="E206" s="181">
        <v>189.04</v>
      </c>
      <c r="F206" s="13"/>
      <c r="G206" s="190">
        <v>2165.309999999999</v>
      </c>
      <c r="H206" s="82"/>
      <c r="I206" s="57"/>
      <c r="J206" s="67"/>
      <c r="K206" s="18">
        <v>2165.309999999999</v>
      </c>
      <c r="L206" s="51"/>
      <c r="O206" s="65"/>
    </row>
    <row r="207" spans="1:15" s="64" customFormat="1" ht="13.5" customHeight="1" x14ac:dyDescent="0.2">
      <c r="A207" s="184"/>
      <c r="B207" s="63"/>
      <c r="C207" s="36" t="s">
        <v>6689</v>
      </c>
      <c r="D207" s="50"/>
      <c r="E207" s="181">
        <v>2000</v>
      </c>
      <c r="F207" s="13"/>
      <c r="G207" s="205">
        <v>165.30999999999904</v>
      </c>
      <c r="H207" s="82"/>
      <c r="I207" s="57"/>
      <c r="J207" s="67"/>
      <c r="K207" s="18">
        <v>165.30999999999904</v>
      </c>
      <c r="L207" s="51"/>
      <c r="O207" s="65"/>
    </row>
    <row r="208" spans="1:15" s="64" customFormat="1" ht="13.5" customHeight="1" thickBot="1" x14ac:dyDescent="0.25">
      <c r="A208" s="184"/>
      <c r="B208" s="63"/>
      <c r="C208" s="56"/>
      <c r="D208" s="50"/>
      <c r="E208" s="51"/>
      <c r="F208" s="13"/>
      <c r="G208" s="53"/>
      <c r="H208" s="82"/>
      <c r="I208" s="57"/>
      <c r="J208" s="67"/>
      <c r="K208" s="18">
        <v>165.30999999999904</v>
      </c>
      <c r="L208" s="51"/>
      <c r="O208" s="65"/>
    </row>
    <row r="209" spans="1:15" customFormat="1" ht="13.5" customHeight="1" thickBot="1" x14ac:dyDescent="0.25">
      <c r="A209" s="2" t="s">
        <v>2</v>
      </c>
      <c r="B209" s="3"/>
      <c r="C209" s="3" t="s">
        <v>534</v>
      </c>
      <c r="D209" s="191" t="s">
        <v>4</v>
      </c>
      <c r="E209" s="3" t="s">
        <v>5</v>
      </c>
      <c r="F209" s="3" t="s">
        <v>6</v>
      </c>
      <c r="G209" s="5" t="s">
        <v>7</v>
      </c>
      <c r="H209" s="192"/>
      <c r="I209" s="193"/>
      <c r="J209" s="194"/>
    </row>
    <row r="210" spans="1:15" customFormat="1" ht="13.5" customHeight="1" x14ac:dyDescent="0.2">
      <c r="A210" s="8">
        <v>42370</v>
      </c>
      <c r="B210" s="36"/>
      <c r="C210" s="10" t="s">
        <v>8</v>
      </c>
      <c r="D210" s="195"/>
      <c r="E210" s="196"/>
      <c r="F210" s="43"/>
      <c r="G210" s="178">
        <v>27143.14</v>
      </c>
      <c r="H210" s="197"/>
      <c r="I210" s="57"/>
      <c r="J210" s="198"/>
      <c r="K210" s="72">
        <v>27143.14</v>
      </c>
      <c r="L210" s="196"/>
    </row>
    <row r="211" spans="1:15" customFormat="1" ht="13.5" customHeight="1" x14ac:dyDescent="0.2">
      <c r="A211" s="180">
        <v>42723</v>
      </c>
      <c r="B211" s="36"/>
      <c r="C211" s="32" t="s">
        <v>1206</v>
      </c>
      <c r="D211" s="195"/>
      <c r="E211" s="196"/>
      <c r="F211" s="199">
        <v>256.86</v>
      </c>
      <c r="G211" s="190">
        <v>27400</v>
      </c>
      <c r="H211" s="197"/>
      <c r="I211" s="57"/>
      <c r="J211" s="198"/>
      <c r="K211" s="72">
        <v>27400</v>
      </c>
      <c r="L211" s="196"/>
    </row>
    <row r="212" spans="1:15" customFormat="1" ht="13.5" customHeight="1" x14ac:dyDescent="0.2">
      <c r="A212" s="184">
        <v>42740</v>
      </c>
      <c r="B212" s="36"/>
      <c r="C212" s="36" t="s">
        <v>1206</v>
      </c>
      <c r="D212" s="195"/>
      <c r="E212" s="196"/>
      <c r="F212" s="199">
        <v>2000</v>
      </c>
      <c r="G212" s="190">
        <v>29400</v>
      </c>
      <c r="H212" s="197"/>
      <c r="I212" s="57"/>
      <c r="J212" s="198"/>
      <c r="K212" s="72">
        <v>29400</v>
      </c>
      <c r="L212" s="196"/>
    </row>
    <row r="213" spans="1:15" s="244" customFormat="1" ht="13.5" customHeight="1" x14ac:dyDescent="0.2">
      <c r="A213" s="184">
        <v>42754</v>
      </c>
      <c r="B213" s="32"/>
      <c r="C213" s="32" t="s">
        <v>5813</v>
      </c>
      <c r="D213" s="1056"/>
      <c r="E213" s="343">
        <v>2400</v>
      </c>
      <c r="F213" s="240"/>
      <c r="G213" s="190">
        <v>27000</v>
      </c>
      <c r="H213" s="197"/>
      <c r="I213" s="57"/>
      <c r="J213" s="198"/>
      <c r="K213" s="72">
        <v>27000</v>
      </c>
      <c r="L213" s="196"/>
    </row>
    <row r="214" spans="1:15" s="244" customFormat="1" ht="13.5" customHeight="1" x14ac:dyDescent="0.2">
      <c r="A214" s="184">
        <v>42782</v>
      </c>
      <c r="B214" s="32"/>
      <c r="C214" s="32" t="s">
        <v>5814</v>
      </c>
      <c r="D214" s="1056"/>
      <c r="E214" s="343">
        <v>2500</v>
      </c>
      <c r="F214" s="240"/>
      <c r="G214" s="190">
        <v>24500</v>
      </c>
      <c r="H214" s="197"/>
      <c r="I214" s="57"/>
      <c r="J214" s="198"/>
      <c r="K214" s="72">
        <v>24500</v>
      </c>
      <c r="L214" s="196"/>
    </row>
    <row r="215" spans="1:15" s="244" customFormat="1" ht="13.5" customHeight="1" x14ac:dyDescent="0.2">
      <c r="A215" s="184">
        <v>42789</v>
      </c>
      <c r="B215" s="32"/>
      <c r="C215" s="32" t="s">
        <v>5814</v>
      </c>
      <c r="D215" s="1056"/>
      <c r="E215" s="343">
        <v>2000</v>
      </c>
      <c r="F215" s="240"/>
      <c r="G215" s="190">
        <v>22500</v>
      </c>
      <c r="H215" s="197"/>
      <c r="I215" s="57"/>
      <c r="J215" s="198"/>
      <c r="K215" s="72">
        <v>22500</v>
      </c>
      <c r="L215" s="196"/>
    </row>
    <row r="216" spans="1:15" s="244" customFormat="1" ht="13.5" customHeight="1" x14ac:dyDescent="0.2">
      <c r="A216" s="184">
        <v>42849</v>
      </c>
      <c r="B216" s="32"/>
      <c r="C216" s="32" t="s">
        <v>5814</v>
      </c>
      <c r="D216" s="1056"/>
      <c r="E216" s="343">
        <v>1500</v>
      </c>
      <c r="F216" s="240"/>
      <c r="G216" s="190">
        <v>21000</v>
      </c>
      <c r="H216" s="197"/>
      <c r="I216" s="57"/>
      <c r="J216" s="198"/>
      <c r="K216" s="72">
        <v>21000</v>
      </c>
      <c r="L216" s="196"/>
    </row>
    <row r="217" spans="1:15" s="244" customFormat="1" ht="13.5" customHeight="1" x14ac:dyDescent="0.2">
      <c r="A217" s="180">
        <v>42933</v>
      </c>
      <c r="B217" s="36"/>
      <c r="C217" s="36" t="s">
        <v>5814</v>
      </c>
      <c r="D217" s="195"/>
      <c r="E217" s="343">
        <v>9000</v>
      </c>
      <c r="F217" s="240"/>
      <c r="G217" s="190">
        <v>12000</v>
      </c>
      <c r="H217" s="197"/>
      <c r="I217" s="57"/>
      <c r="J217" s="198"/>
      <c r="K217" s="72">
        <v>12000</v>
      </c>
      <c r="L217" s="196"/>
    </row>
    <row r="218" spans="1:15" s="64" customFormat="1" ht="13.5" customHeight="1" x14ac:dyDescent="0.2">
      <c r="A218" s="184">
        <v>43328</v>
      </c>
      <c r="B218" s="63"/>
      <c r="C218" s="36" t="s">
        <v>5814</v>
      </c>
      <c r="D218" s="50"/>
      <c r="E218" s="183">
        <v>5000</v>
      </c>
      <c r="F218" s="12"/>
      <c r="G218" s="190">
        <v>7000</v>
      </c>
      <c r="H218" s="179"/>
      <c r="I218" s="57"/>
      <c r="J218" s="67"/>
      <c r="K218" s="72">
        <v>7000</v>
      </c>
      <c r="L218" s="51"/>
      <c r="M218" s="66"/>
    </row>
    <row r="219" spans="1:15" s="64" customFormat="1" ht="13.5" customHeight="1" x14ac:dyDescent="0.2">
      <c r="A219" s="184">
        <v>43440</v>
      </c>
      <c r="B219" s="63"/>
      <c r="C219" s="36" t="s">
        <v>5814</v>
      </c>
      <c r="D219" s="50"/>
      <c r="E219" s="183">
        <v>5000</v>
      </c>
      <c r="F219" s="13"/>
      <c r="G219" s="190">
        <v>2000</v>
      </c>
      <c r="H219" s="82"/>
      <c r="I219" s="57"/>
      <c r="J219" s="67"/>
      <c r="K219" s="72">
        <v>2000</v>
      </c>
      <c r="L219" s="51"/>
      <c r="O219" s="65"/>
    </row>
    <row r="220" spans="1:15" s="64" customFormat="1" ht="13.5" customHeight="1" x14ac:dyDescent="0.2">
      <c r="A220" s="184">
        <v>43462</v>
      </c>
      <c r="B220" s="63"/>
      <c r="C220" s="36" t="s">
        <v>5814</v>
      </c>
      <c r="D220" s="50"/>
      <c r="E220" s="181">
        <v>2000</v>
      </c>
      <c r="F220" s="13"/>
      <c r="G220" s="205">
        <v>0</v>
      </c>
      <c r="H220" s="82"/>
      <c r="I220" s="57"/>
      <c r="J220" s="67"/>
      <c r="K220" s="72">
        <v>0</v>
      </c>
      <c r="L220" s="51"/>
      <c r="O220" s="65"/>
    </row>
    <row r="221" spans="1:15" s="64" customFormat="1" ht="13.5" customHeight="1" x14ac:dyDescent="0.2">
      <c r="A221" s="184"/>
      <c r="B221" s="63"/>
      <c r="C221" s="63"/>
      <c r="D221" s="50"/>
      <c r="E221" s="51"/>
      <c r="F221" s="13"/>
      <c r="G221" s="53"/>
      <c r="H221" s="82"/>
      <c r="I221" s="57"/>
      <c r="J221" s="67"/>
      <c r="L221" s="51"/>
      <c r="O221" s="65"/>
    </row>
    <row r="222" spans="1:15" ht="13.5" customHeight="1" thickBot="1" x14ac:dyDescent="0.25">
      <c r="A222" s="180"/>
      <c r="B222" s="56"/>
      <c r="C222" s="56"/>
      <c r="D222" s="11"/>
      <c r="E222" s="30"/>
      <c r="F222" s="12"/>
      <c r="G222" s="182"/>
      <c r="H222" s="89"/>
      <c r="I222" s="60"/>
      <c r="J222" s="61"/>
      <c r="L222" s="30"/>
    </row>
    <row r="223" spans="1:15" ht="13.5" customHeight="1" thickBot="1" x14ac:dyDescent="0.25">
      <c r="A223" s="2" t="s">
        <v>2</v>
      </c>
      <c r="B223" s="3"/>
      <c r="C223" s="3" t="s">
        <v>536</v>
      </c>
      <c r="D223" s="3"/>
      <c r="E223" s="3"/>
      <c r="F223" s="3"/>
      <c r="G223" s="5" t="s">
        <v>7</v>
      </c>
      <c r="H223" s="269" t="s">
        <v>5</v>
      </c>
      <c r="I223" s="4" t="s">
        <v>6</v>
      </c>
      <c r="J223" s="7" t="s">
        <v>7</v>
      </c>
    </row>
    <row r="224" spans="1:15" ht="13.5" customHeight="1" x14ac:dyDescent="0.2">
      <c r="A224" s="8" t="s">
        <v>6531</v>
      </c>
      <c r="B224" s="70"/>
      <c r="C224" s="10" t="s">
        <v>537</v>
      </c>
      <c r="D224" s="125"/>
      <c r="E224" s="67"/>
      <c r="F224" s="67"/>
      <c r="G224" s="178"/>
      <c r="H224" s="82"/>
      <c r="I224" s="57"/>
      <c r="J224" s="58">
        <v>0</v>
      </c>
      <c r="L224" s="18">
        <v>0</v>
      </c>
    </row>
    <row r="225" spans="1:15" ht="13.5" customHeight="1" x14ac:dyDescent="0.2">
      <c r="A225" s="91"/>
      <c r="B225" s="9"/>
      <c r="C225" s="34" t="s">
        <v>6690</v>
      </c>
      <c r="D225" s="229"/>
      <c r="E225" s="61"/>
      <c r="F225" s="61"/>
      <c r="G225" s="182"/>
      <c r="H225" s="89">
        <v>10</v>
      </c>
      <c r="I225" s="59"/>
      <c r="J225" s="61">
        <v>-10</v>
      </c>
      <c r="K225" s="18"/>
      <c r="L225" s="18">
        <v>-10</v>
      </c>
      <c r="M225" s="18"/>
    </row>
    <row r="226" spans="1:15" ht="13.5" customHeight="1" x14ac:dyDescent="0.2">
      <c r="A226" s="91">
        <v>43074</v>
      </c>
      <c r="B226" s="9"/>
      <c r="C226" s="34" t="s">
        <v>1332</v>
      </c>
      <c r="D226" s="229"/>
      <c r="E226" s="61"/>
      <c r="F226" s="61"/>
      <c r="G226" s="182"/>
      <c r="H226" s="89"/>
      <c r="I226" s="531">
        <v>6000</v>
      </c>
      <c r="J226" s="61">
        <v>5990</v>
      </c>
      <c r="K226" s="18"/>
      <c r="L226" s="18">
        <v>5990</v>
      </c>
      <c r="M226" s="18"/>
      <c r="O226" s="1"/>
    </row>
    <row r="227" spans="1:15" ht="13.5" customHeight="1" x14ac:dyDescent="0.2">
      <c r="A227" s="91">
        <v>43075</v>
      </c>
      <c r="B227" s="9"/>
      <c r="C227" s="34" t="s">
        <v>6691</v>
      </c>
      <c r="D227" s="229"/>
      <c r="E227" s="61"/>
      <c r="F227" s="61"/>
      <c r="G227" s="182"/>
      <c r="H227" s="89">
        <v>65</v>
      </c>
      <c r="I227" s="59"/>
      <c r="J227" s="61">
        <v>5925</v>
      </c>
      <c r="K227" s="18"/>
      <c r="L227" s="18">
        <v>5925</v>
      </c>
      <c r="M227" s="18"/>
    </row>
    <row r="228" spans="1:15" ht="13.5" customHeight="1" x14ac:dyDescent="0.2">
      <c r="A228" s="91">
        <v>43076</v>
      </c>
      <c r="B228" s="9"/>
      <c r="C228" s="34" t="s">
        <v>1332</v>
      </c>
      <c r="D228" s="229"/>
      <c r="E228" s="61"/>
      <c r="F228" s="61"/>
      <c r="G228" s="182"/>
      <c r="H228" s="89"/>
      <c r="I228" s="531">
        <v>4000</v>
      </c>
      <c r="J228" s="61">
        <v>9925</v>
      </c>
      <c r="K228" s="18"/>
      <c r="L228" s="18">
        <v>9925</v>
      </c>
      <c r="M228" s="18"/>
    </row>
    <row r="229" spans="1:15" ht="13.5" customHeight="1" x14ac:dyDescent="0.2">
      <c r="A229" s="91">
        <v>43076</v>
      </c>
      <c r="B229" s="9"/>
      <c r="C229" s="32" t="s">
        <v>6692</v>
      </c>
      <c r="D229" s="229"/>
      <c r="E229" s="61"/>
      <c r="F229" s="61"/>
      <c r="G229" s="182"/>
      <c r="H229" s="89">
        <v>4700</v>
      </c>
      <c r="I229" s="59"/>
      <c r="J229" s="61">
        <v>5225</v>
      </c>
      <c r="K229" s="18"/>
      <c r="L229" s="18">
        <v>5225</v>
      </c>
      <c r="M229" s="18"/>
      <c r="O229" s="1"/>
    </row>
    <row r="230" spans="1:15" ht="13.5" customHeight="1" x14ac:dyDescent="0.2">
      <c r="A230" s="91"/>
      <c r="B230" s="9"/>
      <c r="C230" s="34" t="s">
        <v>6693</v>
      </c>
      <c r="D230" s="229"/>
      <c r="E230" s="61"/>
      <c r="F230" s="61"/>
      <c r="G230" s="182"/>
      <c r="H230" s="89">
        <v>40.590000000000003</v>
      </c>
      <c r="I230" s="59"/>
      <c r="J230" s="61">
        <v>5184.41</v>
      </c>
      <c r="K230" s="18"/>
      <c r="L230" s="18">
        <v>5184.41</v>
      </c>
      <c r="M230" s="18"/>
    </row>
    <row r="231" spans="1:15" ht="13.5" customHeight="1" x14ac:dyDescent="0.2">
      <c r="A231" s="91"/>
      <c r="B231" s="9"/>
      <c r="C231" s="34" t="s">
        <v>6694</v>
      </c>
      <c r="D231" s="229"/>
      <c r="E231" s="61"/>
      <c r="F231" s="61"/>
      <c r="G231" s="182"/>
      <c r="H231" s="89">
        <v>6.88</v>
      </c>
      <c r="I231" s="59"/>
      <c r="J231" s="61">
        <v>5177.53</v>
      </c>
      <c r="K231" s="18"/>
      <c r="L231" s="18">
        <v>5177.53</v>
      </c>
      <c r="M231" s="18"/>
    </row>
    <row r="232" spans="1:15" ht="13.5" customHeight="1" x14ac:dyDescent="0.2">
      <c r="A232" s="91"/>
      <c r="B232" s="9"/>
      <c r="C232" s="34" t="s">
        <v>1553</v>
      </c>
      <c r="D232" s="229"/>
      <c r="E232" s="61"/>
      <c r="F232" s="61"/>
      <c r="G232" s="182"/>
      <c r="H232" s="89">
        <v>3000</v>
      </c>
      <c r="I232" s="59"/>
      <c r="J232" s="61">
        <v>2177.5299999999997</v>
      </c>
      <c r="K232" s="18"/>
      <c r="L232" s="18">
        <v>2177.5299999999997</v>
      </c>
      <c r="M232" s="18"/>
    </row>
    <row r="233" spans="1:15" ht="13.5" customHeight="1" x14ac:dyDescent="0.2">
      <c r="A233" s="91">
        <v>43084</v>
      </c>
      <c r="B233" s="9"/>
      <c r="C233" s="34" t="s">
        <v>1332</v>
      </c>
      <c r="D233" s="229"/>
      <c r="E233" s="61"/>
      <c r="F233" s="61"/>
      <c r="G233" s="182"/>
      <c r="H233" s="89"/>
      <c r="I233" s="531">
        <v>3000</v>
      </c>
      <c r="J233" s="61">
        <v>5177.53</v>
      </c>
      <c r="K233" s="18"/>
      <c r="L233" s="18">
        <v>5177.53</v>
      </c>
      <c r="M233" s="18"/>
    </row>
    <row r="234" spans="1:15" ht="13.5" customHeight="1" x14ac:dyDescent="0.2">
      <c r="A234" s="91"/>
      <c r="B234" s="9"/>
      <c r="C234" s="34" t="s">
        <v>6695</v>
      </c>
      <c r="D234" s="229"/>
      <c r="E234" s="61"/>
      <c r="F234" s="61"/>
      <c r="G234" s="182"/>
      <c r="H234" s="89">
        <v>90.76</v>
      </c>
      <c r="I234" s="59"/>
      <c r="J234" s="61">
        <v>5086.7699999999995</v>
      </c>
      <c r="K234" s="18"/>
      <c r="L234" s="18">
        <v>5086.7699999999995</v>
      </c>
      <c r="M234" s="18"/>
    </row>
    <row r="235" spans="1:15" ht="13.5" customHeight="1" x14ac:dyDescent="0.2">
      <c r="A235" s="91"/>
      <c r="B235" s="9"/>
      <c r="C235" s="34" t="s">
        <v>6696</v>
      </c>
      <c r="D235" s="229"/>
      <c r="E235" s="61"/>
      <c r="F235" s="61"/>
      <c r="G235" s="182"/>
      <c r="H235" s="89">
        <v>28.18</v>
      </c>
      <c r="I235" s="59"/>
      <c r="J235" s="61">
        <v>5058.5899999999992</v>
      </c>
      <c r="K235" s="18"/>
      <c r="L235" s="18">
        <v>5058.5899999999992</v>
      </c>
      <c r="M235" s="18"/>
    </row>
    <row r="236" spans="1:15" ht="13.5" customHeight="1" x14ac:dyDescent="0.2">
      <c r="A236" s="91"/>
      <c r="B236" s="9"/>
      <c r="C236" s="34" t="s">
        <v>6697</v>
      </c>
      <c r="D236" s="229"/>
      <c r="E236" s="61"/>
      <c r="F236" s="61"/>
      <c r="G236" s="182"/>
      <c r="H236" s="89">
        <v>250</v>
      </c>
      <c r="I236" s="59"/>
      <c r="J236" s="61">
        <v>4808.5899999999992</v>
      </c>
      <c r="K236" s="18"/>
      <c r="L236" s="18">
        <v>4808.5899999999992</v>
      </c>
      <c r="M236" s="18"/>
    </row>
    <row r="237" spans="1:15" ht="13.5" customHeight="1" x14ac:dyDescent="0.2">
      <c r="A237" s="91">
        <v>43454</v>
      </c>
      <c r="B237" s="9"/>
      <c r="C237" s="34" t="s">
        <v>6698</v>
      </c>
      <c r="D237" s="229"/>
      <c r="E237" s="61"/>
      <c r="F237" s="61"/>
      <c r="G237" s="182"/>
      <c r="H237" s="89">
        <v>310</v>
      </c>
      <c r="I237" s="59"/>
      <c r="J237" s="61">
        <v>4498.5899999999992</v>
      </c>
      <c r="K237" s="18"/>
      <c r="L237" s="18">
        <v>4498.5899999999992</v>
      </c>
      <c r="M237" s="18"/>
    </row>
    <row r="238" spans="1:15" ht="13.5" customHeight="1" x14ac:dyDescent="0.2">
      <c r="A238" s="91"/>
      <c r="B238" s="9"/>
      <c r="C238" s="34" t="s">
        <v>6695</v>
      </c>
      <c r="D238" s="229"/>
      <c r="E238" s="61"/>
      <c r="F238" s="61"/>
      <c r="G238" s="182"/>
      <c r="H238" s="89">
        <v>157.28</v>
      </c>
      <c r="I238" s="59"/>
      <c r="J238" s="61">
        <v>4341.3099999999995</v>
      </c>
      <c r="K238" s="18"/>
      <c r="L238" s="18">
        <v>4341.3099999999995</v>
      </c>
      <c r="M238" s="18"/>
    </row>
    <row r="239" spans="1:15" ht="13.5" customHeight="1" x14ac:dyDescent="0.2">
      <c r="A239" s="91">
        <v>43456</v>
      </c>
      <c r="B239" s="9"/>
      <c r="C239" s="34" t="s">
        <v>6699</v>
      </c>
      <c r="D239" s="229"/>
      <c r="E239" s="61"/>
      <c r="F239" s="61"/>
      <c r="G239" s="182"/>
      <c r="H239" s="89">
        <v>33.94</v>
      </c>
      <c r="I239" s="59"/>
      <c r="J239" s="61">
        <v>4307.37</v>
      </c>
      <c r="K239" s="18"/>
      <c r="L239" s="18">
        <v>4307.37</v>
      </c>
      <c r="M239" s="18"/>
    </row>
    <row r="240" spans="1:15" s="64" customFormat="1" ht="13.5" customHeight="1" x14ac:dyDescent="0.2">
      <c r="A240" s="131">
        <v>43461</v>
      </c>
      <c r="B240" s="70"/>
      <c r="C240" s="34" t="s">
        <v>6700</v>
      </c>
      <c r="D240" s="522"/>
      <c r="E240" s="61"/>
      <c r="F240" s="67"/>
      <c r="G240" s="53"/>
      <c r="H240" s="82">
        <v>5.99</v>
      </c>
      <c r="I240" s="179"/>
      <c r="J240" s="61">
        <v>4301.38</v>
      </c>
      <c r="K240" s="66"/>
      <c r="L240" s="18">
        <v>4301.38</v>
      </c>
      <c r="M240" s="66"/>
      <c r="O240" s="65"/>
    </row>
    <row r="241" spans="1:15" s="64" customFormat="1" ht="13.5" customHeight="1" x14ac:dyDescent="0.2">
      <c r="A241" s="131"/>
      <c r="B241" s="70"/>
      <c r="C241" s="34" t="s">
        <v>6701</v>
      </c>
      <c r="D241" s="522"/>
      <c r="E241" s="67"/>
      <c r="F241" s="67"/>
      <c r="G241" s="53"/>
      <c r="H241" s="82">
        <v>45.91</v>
      </c>
      <c r="I241" s="179"/>
      <c r="J241" s="61">
        <v>4255.47</v>
      </c>
      <c r="K241" s="66"/>
      <c r="L241" s="18">
        <v>4255.47</v>
      </c>
      <c r="M241" s="66"/>
      <c r="O241" s="65"/>
    </row>
    <row r="242" spans="1:15" s="64" customFormat="1" ht="13.5" customHeight="1" x14ac:dyDescent="0.2">
      <c r="A242" s="131"/>
      <c r="B242" s="70"/>
      <c r="C242" s="138" t="s">
        <v>6702</v>
      </c>
      <c r="D242" s="522"/>
      <c r="E242" s="67"/>
      <c r="F242" s="67"/>
      <c r="G242" s="53"/>
      <c r="H242" s="82">
        <v>15.9</v>
      </c>
      <c r="I242" s="179"/>
      <c r="J242" s="61">
        <v>4239.5700000000006</v>
      </c>
      <c r="K242" s="66"/>
      <c r="L242" s="18">
        <v>4239.5700000000006</v>
      </c>
      <c r="M242" s="66"/>
      <c r="O242" s="65"/>
    </row>
    <row r="243" spans="1:15" s="64" customFormat="1" ht="13.5" customHeight="1" x14ac:dyDescent="0.2">
      <c r="A243" s="47"/>
      <c r="B243" s="48"/>
      <c r="C243" s="138" t="s">
        <v>6703</v>
      </c>
      <c r="D243" s="1094"/>
      <c r="E243" s="52"/>
      <c r="F243" s="52"/>
      <c r="G243" s="1095"/>
      <c r="H243" s="1089">
        <v>10</v>
      </c>
      <c r="I243" s="54"/>
      <c r="J243" s="61">
        <v>4229.5700000000006</v>
      </c>
      <c r="K243" s="66"/>
      <c r="L243" s="18">
        <v>4229.5700000000006</v>
      </c>
      <c r="M243" s="66"/>
      <c r="O243" s="65"/>
    </row>
    <row r="244" spans="1:15" s="64" customFormat="1" ht="13.5" customHeight="1" x14ac:dyDescent="0.2">
      <c r="A244" s="47"/>
      <c r="B244" s="48"/>
      <c r="C244" s="34" t="s">
        <v>6704</v>
      </c>
      <c r="D244" s="1094"/>
      <c r="E244" s="52"/>
      <c r="F244" s="52"/>
      <c r="G244" s="1095"/>
      <c r="H244" s="1089">
        <v>8.98</v>
      </c>
      <c r="I244" s="54"/>
      <c r="J244" s="61">
        <v>4220.5900000000011</v>
      </c>
      <c r="K244" s="66"/>
      <c r="L244" s="18">
        <v>4220.5900000000011</v>
      </c>
      <c r="M244" s="66"/>
      <c r="O244" s="65"/>
    </row>
    <row r="245" spans="1:15" s="64" customFormat="1" ht="13.5" customHeight="1" x14ac:dyDescent="0.2">
      <c r="A245" s="47">
        <v>43463</v>
      </c>
      <c r="B245" s="48"/>
      <c r="C245" s="138" t="s">
        <v>6705</v>
      </c>
      <c r="D245" s="1094"/>
      <c r="E245" s="52"/>
      <c r="F245" s="52"/>
      <c r="G245" s="1095"/>
      <c r="H245" s="1089">
        <v>38.4</v>
      </c>
      <c r="I245" s="54"/>
      <c r="J245" s="61">
        <v>4182.1900000000014</v>
      </c>
      <c r="K245" s="66"/>
      <c r="L245" s="18">
        <v>4182.1900000000014</v>
      </c>
      <c r="M245" s="66"/>
      <c r="O245" s="65"/>
    </row>
    <row r="246" spans="1:15" s="64" customFormat="1" ht="13.5" customHeight="1" x14ac:dyDescent="0.2">
      <c r="A246" s="47"/>
      <c r="B246" s="48"/>
      <c r="C246" s="138" t="s">
        <v>6706</v>
      </c>
      <c r="D246" s="1094"/>
      <c r="E246" s="52"/>
      <c r="F246" s="52"/>
      <c r="G246" s="1095"/>
      <c r="H246" s="1089">
        <v>9.9</v>
      </c>
      <c r="I246" s="54"/>
      <c r="J246" s="61">
        <v>4172.2900000000018</v>
      </c>
      <c r="K246" s="66"/>
      <c r="L246" s="18">
        <v>4172.2900000000018</v>
      </c>
      <c r="M246" s="66"/>
      <c r="O246" s="65"/>
    </row>
    <row r="247" spans="1:15" s="64" customFormat="1" ht="13.5" customHeight="1" x14ac:dyDescent="0.2">
      <c r="A247" s="47"/>
      <c r="B247" s="48"/>
      <c r="C247" s="138" t="s">
        <v>6707</v>
      </c>
      <c r="D247" s="1094"/>
      <c r="E247" s="52"/>
      <c r="F247" s="52"/>
      <c r="G247" s="1095"/>
      <c r="H247" s="1089">
        <v>200</v>
      </c>
      <c r="I247" s="54"/>
      <c r="J247" s="1057">
        <v>3972.2900000000018</v>
      </c>
      <c r="K247" s="66"/>
      <c r="L247" s="18">
        <v>3972.2900000000018</v>
      </c>
      <c r="M247" s="66"/>
      <c r="O247" s="65"/>
    </row>
    <row r="248" spans="1:15" ht="13.5" customHeight="1" thickBot="1" x14ac:dyDescent="0.25">
      <c r="A248" s="207"/>
      <c r="B248" s="207"/>
      <c r="C248" s="208"/>
      <c r="D248" s="208"/>
      <c r="E248" s="208"/>
      <c r="F248" s="208"/>
      <c r="G248" s="1058"/>
      <c r="H248" s="211"/>
      <c r="I248" s="211"/>
      <c r="J248" s="1059"/>
    </row>
    <row r="249" spans="1:15" ht="13.5" customHeight="1" thickBot="1" x14ac:dyDescent="0.25">
      <c r="A249" s="213"/>
      <c r="B249" s="214"/>
      <c r="C249" s="215" t="s">
        <v>539</v>
      </c>
      <c r="D249" s="216"/>
      <c r="E249" s="187"/>
      <c r="F249" s="187"/>
      <c r="G249" s="217" t="s">
        <v>7</v>
      </c>
      <c r="H249" s="187"/>
      <c r="I249" s="187"/>
      <c r="J249" s="189"/>
    </row>
    <row r="250" spans="1:15" ht="13.5" customHeight="1" x14ac:dyDescent="0.2">
      <c r="A250" s="74" t="s">
        <v>540</v>
      </c>
      <c r="B250" s="74"/>
      <c r="C250" s="1096" t="s">
        <v>6708</v>
      </c>
      <c r="D250" s="219"/>
      <c r="E250" s="220"/>
      <c r="F250" s="220"/>
      <c r="G250" s="75">
        <v>16266.71</v>
      </c>
      <c r="H250" s="220"/>
      <c r="I250" s="220"/>
      <c r="J250" s="220"/>
    </row>
    <row r="251" spans="1:15" ht="13.5" customHeight="1" x14ac:dyDescent="0.2">
      <c r="A251" s="74" t="s">
        <v>540</v>
      </c>
      <c r="B251" s="70"/>
      <c r="C251" s="63" t="s">
        <v>542</v>
      </c>
      <c r="D251" s="50"/>
      <c r="E251" s="13"/>
      <c r="F251" s="13"/>
      <c r="G251" s="75">
        <v>7271.62</v>
      </c>
      <c r="H251" s="13"/>
      <c r="I251" s="13"/>
      <c r="J251" s="13"/>
    </row>
    <row r="252" spans="1:15" ht="13.5" customHeight="1" x14ac:dyDescent="0.2">
      <c r="A252" s="70"/>
      <c r="B252" s="70"/>
      <c r="C252" s="222" t="s">
        <v>543</v>
      </c>
      <c r="D252" s="50"/>
      <c r="E252" s="13"/>
      <c r="F252" s="13"/>
      <c r="G252" s="14">
        <v>23538.329999999998</v>
      </c>
      <c r="H252" s="13"/>
      <c r="I252" s="13"/>
      <c r="J252" s="13"/>
    </row>
    <row r="253" spans="1:15" ht="13.5" customHeight="1" x14ac:dyDescent="0.2">
      <c r="A253" s="70"/>
      <c r="B253" s="70"/>
      <c r="C253" s="63"/>
      <c r="D253" s="50"/>
      <c r="E253" s="13"/>
      <c r="F253" s="13"/>
      <c r="G253" s="14"/>
      <c r="H253" s="13"/>
      <c r="I253" s="13"/>
      <c r="J253" s="13"/>
      <c r="L253" s="18"/>
    </row>
    <row r="254" spans="1:15" ht="13.5" customHeight="1" x14ac:dyDescent="0.2">
      <c r="A254" s="70"/>
      <c r="B254" s="70"/>
      <c r="C254" s="222" t="s">
        <v>544</v>
      </c>
      <c r="D254" s="50"/>
      <c r="E254" s="13"/>
      <c r="F254" s="13"/>
      <c r="G254" s="14">
        <v>6642.7600000000093</v>
      </c>
      <c r="H254" s="13"/>
      <c r="I254" s="13"/>
      <c r="J254" s="13"/>
    </row>
    <row r="255" spans="1:15" ht="13.5" customHeight="1" x14ac:dyDescent="0.2">
      <c r="A255" s="70"/>
      <c r="B255" s="70"/>
      <c r="C255" s="63"/>
      <c r="D255" s="50"/>
      <c r="E255" s="13"/>
      <c r="F255" s="13"/>
      <c r="G255" s="75"/>
      <c r="H255" s="13"/>
      <c r="I255" s="13"/>
      <c r="J255" s="13"/>
    </row>
    <row r="256" spans="1:15" ht="13.5" customHeight="1" x14ac:dyDescent="0.2">
      <c r="A256" s="76"/>
      <c r="B256" s="76"/>
      <c r="C256" s="222" t="s">
        <v>545</v>
      </c>
      <c r="D256" s="78"/>
      <c r="E256" s="78"/>
      <c r="F256" s="78"/>
      <c r="G256" s="14">
        <v>30181.090000000007</v>
      </c>
      <c r="H256" s="279"/>
      <c r="I256" s="77"/>
      <c r="J256" s="13"/>
    </row>
    <row r="257" spans="1:10" ht="13.5" customHeight="1" thickBot="1" x14ac:dyDescent="0.25">
      <c r="A257" s="76"/>
      <c r="B257" s="76"/>
      <c r="C257" s="78"/>
      <c r="D257" s="78"/>
      <c r="E257" s="78"/>
      <c r="F257" s="78"/>
      <c r="G257" s="75"/>
      <c r="H257" s="279"/>
      <c r="I257" s="77"/>
      <c r="J257" s="13"/>
    </row>
    <row r="258" spans="1:10" ht="13.5" customHeight="1" thickBot="1" x14ac:dyDescent="0.25">
      <c r="A258" s="1060" t="s">
        <v>5829</v>
      </c>
      <c r="B258" s="214"/>
      <c r="C258" s="215" t="s">
        <v>5830</v>
      </c>
      <c r="D258" s="216"/>
      <c r="E258" s="187"/>
      <c r="F258" s="187"/>
      <c r="G258" s="217" t="s">
        <v>7</v>
      </c>
      <c r="H258" s="187"/>
      <c r="I258" s="187"/>
      <c r="J258" s="189"/>
    </row>
    <row r="259" spans="1:10" ht="13.5" customHeight="1" x14ac:dyDescent="0.2">
      <c r="A259" s="70"/>
      <c r="B259" s="70"/>
      <c r="C259" s="63" t="s">
        <v>5831</v>
      </c>
      <c r="D259" s="50"/>
      <c r="E259" s="13"/>
      <c r="F259" s="13"/>
      <c r="G259" s="75">
        <v>37000</v>
      </c>
      <c r="H259" s="13"/>
      <c r="I259" s="13"/>
      <c r="J259" s="13"/>
    </row>
    <row r="260" spans="1:10" ht="13.5" customHeight="1" x14ac:dyDescent="0.2">
      <c r="A260" s="79">
        <v>42145</v>
      </c>
      <c r="B260" s="70"/>
      <c r="C260" s="63" t="s">
        <v>5832</v>
      </c>
      <c r="D260" s="50"/>
      <c r="E260" s="13">
        <v>5000</v>
      </c>
      <c r="F260" s="13"/>
      <c r="G260" s="75">
        <v>32000</v>
      </c>
      <c r="H260" s="13"/>
      <c r="I260" s="13"/>
      <c r="J260" s="13"/>
    </row>
    <row r="261" spans="1:10" ht="13.5" customHeight="1" x14ac:dyDescent="0.2">
      <c r="A261" s="79">
        <v>42216</v>
      </c>
      <c r="B261" s="79"/>
      <c r="C261" s="63" t="s">
        <v>5832</v>
      </c>
      <c r="D261" s="78"/>
      <c r="E261" s="13">
        <v>5000</v>
      </c>
      <c r="F261" s="13"/>
      <c r="G261" s="75">
        <v>27000</v>
      </c>
      <c r="H261" s="279"/>
      <c r="I261" s="77"/>
      <c r="J261" s="13"/>
    </row>
    <row r="262" spans="1:10" ht="13.5" customHeight="1" x14ac:dyDescent="0.2">
      <c r="A262" s="79">
        <v>42311</v>
      </c>
      <c r="B262" s="79"/>
      <c r="C262" s="63" t="s">
        <v>5833</v>
      </c>
      <c r="D262" s="78"/>
      <c r="E262" s="13">
        <v>3000</v>
      </c>
      <c r="F262" s="13"/>
      <c r="G262" s="75">
        <v>24000</v>
      </c>
      <c r="H262" s="279"/>
      <c r="I262" s="77"/>
      <c r="J262" s="13"/>
    </row>
    <row r="263" spans="1:10" ht="13.5" customHeight="1" x14ac:dyDescent="0.2">
      <c r="A263" s="79">
        <v>42349</v>
      </c>
      <c r="B263" s="79"/>
      <c r="C263" s="63" t="s">
        <v>5833</v>
      </c>
      <c r="D263" s="78"/>
      <c r="E263" s="13">
        <v>3000</v>
      </c>
      <c r="F263" s="78"/>
      <c r="G263" s="75">
        <v>21000</v>
      </c>
      <c r="H263" s="279"/>
      <c r="I263" s="77"/>
      <c r="J263" s="13"/>
    </row>
    <row r="264" spans="1:10" ht="13.5" customHeight="1" x14ac:dyDescent="0.2">
      <c r="A264" s="131">
        <v>42390</v>
      </c>
      <c r="B264" s="70"/>
      <c r="C264" s="63" t="s">
        <v>5833</v>
      </c>
      <c r="D264" s="78"/>
      <c r="E264" s="13">
        <v>3000</v>
      </c>
      <c r="F264" s="78"/>
      <c r="G264" s="75">
        <v>18000</v>
      </c>
      <c r="H264" s="279"/>
      <c r="I264" s="77"/>
      <c r="J264" s="13"/>
    </row>
    <row r="265" spans="1:10" ht="13.5" customHeight="1" x14ac:dyDescent="0.2">
      <c r="A265" s="79">
        <v>42432</v>
      </c>
      <c r="B265" s="76"/>
      <c r="C265" s="63" t="s">
        <v>5833</v>
      </c>
      <c r="D265" s="50"/>
      <c r="E265" s="13">
        <v>1500</v>
      </c>
      <c r="F265" s="13"/>
      <c r="G265" s="75">
        <v>16500</v>
      </c>
      <c r="H265" s="279"/>
      <c r="I265" s="77"/>
      <c r="J265" s="13"/>
    </row>
    <row r="266" spans="1:10" ht="13.5" customHeight="1" x14ac:dyDescent="0.2">
      <c r="A266" s="79">
        <v>42509</v>
      </c>
      <c r="B266" s="76"/>
      <c r="C266" s="63" t="s">
        <v>5834</v>
      </c>
      <c r="D266" s="50"/>
      <c r="E266" s="13">
        <v>1500</v>
      </c>
      <c r="F266" s="13"/>
      <c r="G266" s="75">
        <v>15000</v>
      </c>
      <c r="H266" s="279"/>
      <c r="I266" s="77"/>
      <c r="J266" s="13"/>
    </row>
    <row r="267" spans="1:10" ht="13.5" customHeight="1" x14ac:dyDescent="0.2">
      <c r="A267" s="79">
        <v>42537</v>
      </c>
      <c r="B267" s="76"/>
      <c r="C267" s="63" t="s">
        <v>5835</v>
      </c>
      <c r="D267" s="50"/>
      <c r="E267" s="13">
        <v>1500</v>
      </c>
      <c r="F267" s="13"/>
      <c r="G267" s="75">
        <v>13500</v>
      </c>
      <c r="H267" s="279"/>
      <c r="I267" s="77"/>
      <c r="J267" s="13"/>
    </row>
    <row r="268" spans="1:10" ht="13.5" customHeight="1" x14ac:dyDescent="0.2">
      <c r="A268" s="79">
        <v>42566</v>
      </c>
      <c r="B268" s="76"/>
      <c r="C268" s="63" t="s">
        <v>5835</v>
      </c>
      <c r="D268" s="78"/>
      <c r="E268" s="13">
        <v>1500</v>
      </c>
      <c r="F268" s="78"/>
      <c r="G268" s="75">
        <v>12000</v>
      </c>
      <c r="H268" s="279"/>
      <c r="I268" s="77"/>
      <c r="J268" s="13"/>
    </row>
    <row r="269" spans="1:10" ht="13.5" customHeight="1" x14ac:dyDescent="0.2">
      <c r="A269" s="79">
        <v>42590</v>
      </c>
      <c r="B269" s="76"/>
      <c r="C269" s="63" t="s">
        <v>5835</v>
      </c>
      <c r="D269" s="78"/>
      <c r="E269" s="13">
        <v>1500</v>
      </c>
      <c r="F269" s="78"/>
      <c r="G269" s="75">
        <v>10500</v>
      </c>
      <c r="H269" s="279"/>
      <c r="I269" s="77"/>
      <c r="J269" s="13"/>
    </row>
    <row r="270" spans="1:10" ht="13.5" customHeight="1" x14ac:dyDescent="0.2">
      <c r="A270" s="79">
        <v>42612</v>
      </c>
      <c r="B270" s="76"/>
      <c r="C270" s="63" t="s">
        <v>5835</v>
      </c>
      <c r="D270" s="78"/>
      <c r="E270" s="13">
        <v>1500</v>
      </c>
      <c r="F270" s="78"/>
      <c r="G270" s="75">
        <v>9000</v>
      </c>
      <c r="H270" s="279"/>
      <c r="I270" s="77"/>
      <c r="J270" s="13"/>
    </row>
    <row r="271" spans="1:10" ht="13.5" customHeight="1" x14ac:dyDescent="0.2">
      <c r="A271" s="79">
        <v>42634</v>
      </c>
      <c r="B271" s="76"/>
      <c r="C271" s="63" t="s">
        <v>5835</v>
      </c>
      <c r="D271" s="78"/>
      <c r="E271" s="13">
        <v>1500</v>
      </c>
      <c r="F271" s="78"/>
      <c r="G271" s="75">
        <v>7500</v>
      </c>
      <c r="H271" s="279"/>
      <c r="I271" s="77"/>
      <c r="J271" s="13"/>
    </row>
    <row r="272" spans="1:10" ht="13.5" customHeight="1" x14ac:dyDescent="0.2">
      <c r="A272" s="79">
        <v>42683</v>
      </c>
      <c r="B272" s="70"/>
      <c r="C272" s="63" t="s">
        <v>5836</v>
      </c>
      <c r="D272" s="50"/>
      <c r="E272" s="13">
        <v>2000</v>
      </c>
      <c r="F272" s="13"/>
      <c r="G272" s="75">
        <v>5500</v>
      </c>
      <c r="H272" s="13"/>
      <c r="I272" s="13"/>
      <c r="J272" s="13"/>
    </row>
    <row r="273" spans="1:15" ht="13.5" customHeight="1" x14ac:dyDescent="0.2">
      <c r="A273" s="79">
        <v>42719</v>
      </c>
      <c r="B273" s="70"/>
      <c r="C273" s="63" t="s">
        <v>5837</v>
      </c>
      <c r="D273" s="50"/>
      <c r="E273" s="13">
        <v>500</v>
      </c>
      <c r="F273" s="13"/>
      <c r="G273" s="75">
        <v>5000</v>
      </c>
      <c r="H273" s="13"/>
      <c r="I273" s="13"/>
      <c r="J273" s="13"/>
    </row>
    <row r="274" spans="1:15" ht="13.5" customHeight="1" x14ac:dyDescent="0.2">
      <c r="A274" s="79">
        <v>42775</v>
      </c>
      <c r="B274" s="70"/>
      <c r="C274" s="63" t="s">
        <v>5838</v>
      </c>
      <c r="D274" s="50"/>
      <c r="E274" s="13">
        <v>500</v>
      </c>
      <c r="F274" s="13"/>
      <c r="G274" s="75">
        <v>4500</v>
      </c>
      <c r="H274" s="13"/>
      <c r="I274" s="13"/>
      <c r="J274" s="13"/>
    </row>
    <row r="275" spans="1:15" ht="13.5" customHeight="1" x14ac:dyDescent="0.2">
      <c r="A275" s="79">
        <v>42836</v>
      </c>
      <c r="B275" s="70"/>
      <c r="C275" s="63" t="s">
        <v>5839</v>
      </c>
      <c r="D275" s="50"/>
      <c r="E275" s="13">
        <v>500</v>
      </c>
      <c r="F275" s="13"/>
      <c r="G275" s="75">
        <v>4000</v>
      </c>
      <c r="H275" s="13"/>
      <c r="I275" s="13"/>
      <c r="J275" s="13"/>
    </row>
    <row r="276" spans="1:15" ht="13.5" customHeight="1" x14ac:dyDescent="0.2">
      <c r="A276" s="79">
        <v>42870</v>
      </c>
      <c r="B276" s="70"/>
      <c r="C276" s="63" t="s">
        <v>5840</v>
      </c>
      <c r="D276" s="50"/>
      <c r="E276" s="13">
        <v>500</v>
      </c>
      <c r="F276" s="13"/>
      <c r="G276" s="75">
        <v>3500</v>
      </c>
      <c r="H276" s="13"/>
      <c r="I276" s="13"/>
      <c r="J276" s="13"/>
    </row>
    <row r="277" spans="1:15" ht="13.5" customHeight="1" x14ac:dyDescent="0.2">
      <c r="A277" s="79">
        <v>42902</v>
      </c>
      <c r="B277" s="70"/>
      <c r="C277" s="63" t="s">
        <v>5841</v>
      </c>
      <c r="D277" s="50"/>
      <c r="E277" s="13">
        <v>500</v>
      </c>
      <c r="F277" s="13"/>
      <c r="G277" s="75">
        <v>3000</v>
      </c>
      <c r="H277" s="13"/>
      <c r="I277" s="13"/>
      <c r="J277" s="13"/>
    </row>
    <row r="278" spans="1:15" ht="13.5" customHeight="1" x14ac:dyDescent="0.2">
      <c r="A278" s="79">
        <v>42933</v>
      </c>
      <c r="B278" s="70"/>
      <c r="C278" s="63" t="s">
        <v>5842</v>
      </c>
      <c r="D278" s="50"/>
      <c r="E278" s="13">
        <v>500</v>
      </c>
      <c r="F278" s="13"/>
      <c r="G278" s="1061">
        <v>2500</v>
      </c>
      <c r="H278" s="13"/>
      <c r="I278" s="13"/>
      <c r="J278" s="13"/>
    </row>
    <row r="279" spans="1:15" ht="13.5" customHeight="1" x14ac:dyDescent="0.2">
      <c r="A279" s="79">
        <v>42963</v>
      </c>
      <c r="B279" s="70"/>
      <c r="C279" s="32" t="s">
        <v>5704</v>
      </c>
      <c r="D279" s="50"/>
      <c r="E279" s="13">
        <v>500</v>
      </c>
      <c r="F279" s="13"/>
      <c r="G279" s="75">
        <v>2000</v>
      </c>
      <c r="H279" s="13"/>
      <c r="I279" s="13"/>
      <c r="J279" s="13"/>
      <c r="O279" s="1"/>
    </row>
    <row r="280" spans="1:15" ht="13.5" customHeight="1" x14ac:dyDescent="0.2">
      <c r="A280" s="79">
        <v>43005</v>
      </c>
      <c r="B280" s="70"/>
      <c r="C280" s="63" t="s">
        <v>5704</v>
      </c>
      <c r="D280" s="50"/>
      <c r="E280" s="13">
        <v>500</v>
      </c>
      <c r="F280" s="13"/>
      <c r="G280" s="1061">
        <v>1500</v>
      </c>
      <c r="H280" s="13"/>
      <c r="I280" s="13"/>
      <c r="J280" s="13"/>
      <c r="O280" s="1"/>
    </row>
    <row r="281" spans="1:15" ht="13.5" customHeight="1" x14ac:dyDescent="0.2">
      <c r="A281" s="79">
        <v>43018</v>
      </c>
      <c r="B281" s="70"/>
      <c r="C281" s="32" t="s">
        <v>6328</v>
      </c>
      <c r="D281" s="50"/>
      <c r="E281" s="13">
        <v>0</v>
      </c>
      <c r="F281" s="13"/>
      <c r="G281" s="1061">
        <v>1500</v>
      </c>
      <c r="H281" s="13"/>
      <c r="I281" s="13"/>
      <c r="J281" s="13"/>
      <c r="O281" s="1"/>
    </row>
    <row r="282" spans="1:15" ht="13.5" customHeight="1" x14ac:dyDescent="0.2">
      <c r="A282" s="79">
        <v>43076</v>
      </c>
      <c r="B282" s="70"/>
      <c r="C282" s="32" t="s">
        <v>6692</v>
      </c>
      <c r="D282" s="50"/>
      <c r="E282" s="13">
        <v>1500</v>
      </c>
      <c r="F282" s="13"/>
      <c r="G282" s="14">
        <v>0</v>
      </c>
      <c r="H282" s="13"/>
      <c r="I282" s="13"/>
      <c r="J282" s="13"/>
      <c r="O282" s="1"/>
    </row>
    <row r="283" spans="1:15" ht="13.5" customHeight="1" thickBot="1" x14ac:dyDescent="0.25">
      <c r="A283" s="76"/>
      <c r="B283" s="76"/>
      <c r="C283" s="78"/>
      <c r="D283" s="78"/>
      <c r="E283" s="78"/>
      <c r="F283" s="78"/>
      <c r="G283" s="75"/>
      <c r="H283" s="279"/>
      <c r="I283" s="77"/>
      <c r="J283" s="13"/>
    </row>
    <row r="284" spans="1:15" ht="13.5" customHeight="1" thickBot="1" x14ac:dyDescent="0.25">
      <c r="A284" s="1060" t="s">
        <v>5829</v>
      </c>
      <c r="B284" s="214"/>
      <c r="C284" s="215" t="s">
        <v>5843</v>
      </c>
      <c r="D284" s="216"/>
      <c r="E284" s="187"/>
      <c r="F284" s="187"/>
      <c r="G284" s="217" t="s">
        <v>7</v>
      </c>
      <c r="H284" s="187"/>
      <c r="I284" s="187"/>
      <c r="J284" s="189"/>
    </row>
    <row r="285" spans="1:15" ht="13.5" customHeight="1" x14ac:dyDescent="0.2">
      <c r="A285" s="70"/>
      <c r="B285" s="70"/>
      <c r="C285" s="63" t="s">
        <v>5831</v>
      </c>
      <c r="D285" s="50"/>
      <c r="E285" s="13"/>
      <c r="F285" s="13"/>
      <c r="G285" s="75">
        <v>6000</v>
      </c>
      <c r="H285" s="13"/>
      <c r="I285" s="13"/>
      <c r="J285" s="13"/>
    </row>
    <row r="286" spans="1:15" ht="13.5" customHeight="1" x14ac:dyDescent="0.2">
      <c r="A286" s="79">
        <v>42594</v>
      </c>
      <c r="B286" s="70"/>
      <c r="C286" s="63" t="s">
        <v>5844</v>
      </c>
      <c r="D286" s="50"/>
      <c r="E286" s="13">
        <v>2000</v>
      </c>
      <c r="F286" s="13"/>
      <c r="G286" s="75">
        <v>4000</v>
      </c>
      <c r="H286" s="13"/>
      <c r="I286" s="13"/>
      <c r="J286" s="13"/>
    </row>
    <row r="287" spans="1:15" ht="13.5" customHeight="1" x14ac:dyDescent="0.2">
      <c r="A287" s="79">
        <v>42682</v>
      </c>
      <c r="B287" s="79"/>
      <c r="C287" s="63" t="s">
        <v>5845</v>
      </c>
      <c r="D287" s="78"/>
      <c r="E287" s="13">
        <v>3500</v>
      </c>
      <c r="F287" s="13"/>
      <c r="G287" s="75">
        <v>500</v>
      </c>
      <c r="H287" s="279"/>
      <c r="I287" s="77"/>
      <c r="J287" s="13"/>
    </row>
    <row r="288" spans="1:15" ht="13.5" customHeight="1" x14ac:dyDescent="0.2">
      <c r="A288" s="79"/>
      <c r="B288" s="79"/>
      <c r="C288" s="78"/>
      <c r="D288" s="78"/>
      <c r="E288" s="78"/>
      <c r="F288" s="78"/>
      <c r="G288" s="75"/>
      <c r="H288" s="279"/>
      <c r="I288" s="77"/>
      <c r="J288" s="13"/>
    </row>
    <row r="289" spans="1:10" ht="13.5" customHeight="1" thickBot="1" x14ac:dyDescent="0.25">
      <c r="A289" s="79"/>
      <c r="B289" s="79"/>
      <c r="C289" s="78"/>
      <c r="D289" s="78"/>
      <c r="E289" s="78"/>
      <c r="F289" s="78"/>
      <c r="G289" s="75"/>
      <c r="H289" s="279"/>
      <c r="I289" s="77"/>
      <c r="J289" s="13"/>
    </row>
    <row r="290" spans="1:10" ht="13.5" customHeight="1" thickBot="1" x14ac:dyDescent="0.25">
      <c r="A290" s="1060" t="s">
        <v>5829</v>
      </c>
      <c r="B290" s="214"/>
      <c r="C290" s="215" t="s">
        <v>5846</v>
      </c>
      <c r="D290" s="216"/>
      <c r="E290" s="187"/>
      <c r="F290" s="187"/>
      <c r="G290" s="217" t="s">
        <v>7</v>
      </c>
      <c r="H290" s="279"/>
      <c r="I290" s="77"/>
      <c r="J290" s="13"/>
    </row>
    <row r="291" spans="1:10" ht="13.5" customHeight="1" x14ac:dyDescent="0.2">
      <c r="A291" s="79"/>
      <c r="B291" s="70"/>
      <c r="C291" s="63" t="s">
        <v>5831</v>
      </c>
      <c r="D291" s="50"/>
      <c r="E291" s="13"/>
      <c r="F291" s="13"/>
      <c r="G291" s="75">
        <v>1400</v>
      </c>
      <c r="H291" s="279"/>
      <c r="I291" s="77"/>
      <c r="J291" s="13"/>
    </row>
    <row r="292" spans="1:10" ht="13.5" customHeight="1" x14ac:dyDescent="0.2">
      <c r="A292" s="79">
        <v>42465</v>
      </c>
      <c r="B292" s="70"/>
      <c r="C292" s="63" t="s">
        <v>5847</v>
      </c>
      <c r="D292" s="50"/>
      <c r="E292" s="13">
        <v>123.9</v>
      </c>
      <c r="F292" s="13"/>
      <c r="G292" s="75">
        <v>1276.0999999999999</v>
      </c>
      <c r="H292" s="279"/>
      <c r="I292" s="77"/>
      <c r="J292" s="13"/>
    </row>
    <row r="293" spans="1:10" ht="13.5" customHeight="1" x14ac:dyDescent="0.2">
      <c r="A293" s="79"/>
      <c r="B293" s="70"/>
      <c r="C293" s="63" t="s">
        <v>5848</v>
      </c>
      <c r="D293" s="50"/>
      <c r="E293" s="13">
        <v>150</v>
      </c>
      <c r="F293" s="13"/>
      <c r="G293" s="75">
        <v>1126.0999999999999</v>
      </c>
      <c r="H293" s="279"/>
      <c r="I293" s="77"/>
      <c r="J293" s="13"/>
    </row>
    <row r="294" spans="1:10" ht="13.5" customHeight="1" x14ac:dyDescent="0.2">
      <c r="A294" s="79">
        <v>42543</v>
      </c>
      <c r="B294" s="70"/>
      <c r="C294" s="63" t="s">
        <v>5849</v>
      </c>
      <c r="D294" s="50"/>
      <c r="E294" s="13">
        <v>176.9</v>
      </c>
      <c r="F294" s="13"/>
      <c r="G294" s="75">
        <v>949.19999999999993</v>
      </c>
      <c r="H294" s="13"/>
      <c r="I294" s="13"/>
      <c r="J294" s="13"/>
    </row>
    <row r="295" spans="1:10" ht="13.5" customHeight="1" x14ac:dyDescent="0.2">
      <c r="A295" s="79"/>
      <c r="B295" s="79"/>
      <c r="C295" s="63" t="s">
        <v>5850</v>
      </c>
      <c r="D295" s="78"/>
      <c r="E295" s="13">
        <v>105.5</v>
      </c>
      <c r="F295" s="13"/>
      <c r="G295" s="75">
        <v>843.69999999999993</v>
      </c>
      <c r="H295" s="13"/>
      <c r="I295" s="13"/>
      <c r="J295" s="13"/>
    </row>
    <row r="296" spans="1:10" ht="13.5" customHeight="1" x14ac:dyDescent="0.2">
      <c r="A296" s="79"/>
      <c r="B296" s="79"/>
      <c r="C296" s="78" t="s">
        <v>5851</v>
      </c>
      <c r="D296" s="78"/>
      <c r="E296" s="13">
        <v>37.5</v>
      </c>
      <c r="F296" s="13"/>
      <c r="G296" s="75">
        <v>806.19999999999993</v>
      </c>
      <c r="H296" s="279"/>
      <c r="I296" s="77"/>
      <c r="J296" s="13"/>
    </row>
    <row r="297" spans="1:10" ht="13.5" customHeight="1" x14ac:dyDescent="0.2">
      <c r="A297" s="79">
        <v>42576</v>
      </c>
      <c r="B297" s="79"/>
      <c r="C297" s="78" t="s">
        <v>5852</v>
      </c>
      <c r="D297" s="78"/>
      <c r="E297" s="13">
        <v>39.9</v>
      </c>
      <c r="F297" s="13"/>
      <c r="G297" s="75">
        <v>766.3</v>
      </c>
      <c r="H297" s="279"/>
      <c r="I297" s="77"/>
      <c r="J297" s="13"/>
    </row>
    <row r="298" spans="1:10" ht="13.5" customHeight="1" x14ac:dyDescent="0.2">
      <c r="A298" s="79">
        <v>42600</v>
      </c>
      <c r="B298" s="79"/>
      <c r="C298" s="850" t="s">
        <v>5853</v>
      </c>
      <c r="D298" s="78"/>
      <c r="E298" s="13">
        <v>11.8</v>
      </c>
      <c r="F298" s="13"/>
      <c r="G298" s="75">
        <v>754.5</v>
      </c>
      <c r="H298" s="279"/>
      <c r="I298" s="77"/>
      <c r="J298" s="13"/>
    </row>
    <row r="299" spans="1:10" ht="13.5" customHeight="1" x14ac:dyDescent="0.2">
      <c r="A299" s="79">
        <v>42611</v>
      </c>
      <c r="B299" s="79"/>
      <c r="C299" s="63" t="s">
        <v>5854</v>
      </c>
      <c r="D299" s="78"/>
      <c r="E299" s="13">
        <v>176.9</v>
      </c>
      <c r="F299" s="13"/>
      <c r="G299" s="75">
        <v>577.6</v>
      </c>
      <c r="H299" s="279"/>
      <c r="I299" s="77"/>
      <c r="J299" s="13"/>
    </row>
    <row r="300" spans="1:10" ht="13.5" customHeight="1" x14ac:dyDescent="0.2">
      <c r="A300" s="79">
        <v>42633</v>
      </c>
      <c r="B300" s="70"/>
      <c r="C300" s="63" t="s">
        <v>5855</v>
      </c>
      <c r="D300" s="50"/>
      <c r="E300" s="13">
        <v>5</v>
      </c>
      <c r="F300" s="13"/>
      <c r="G300" s="75">
        <v>572.6</v>
      </c>
      <c r="H300" s="13"/>
      <c r="I300" s="13"/>
      <c r="J300" s="13"/>
    </row>
    <row r="301" spans="1:10" ht="13.5" customHeight="1" x14ac:dyDescent="0.2">
      <c r="A301" s="79">
        <v>42664</v>
      </c>
      <c r="B301" s="80"/>
      <c r="C301" s="81" t="s">
        <v>5856</v>
      </c>
      <c r="D301" s="50"/>
      <c r="E301" s="13">
        <v>95</v>
      </c>
      <c r="F301" s="13"/>
      <c r="G301" s="75">
        <v>477.6</v>
      </c>
      <c r="H301" s="13"/>
      <c r="I301" s="13"/>
      <c r="J301" s="13"/>
    </row>
    <row r="302" spans="1:10" ht="13.5" customHeight="1" x14ac:dyDescent="0.2">
      <c r="A302" s="79">
        <v>42704</v>
      </c>
      <c r="B302" s="79"/>
      <c r="C302" s="78" t="s">
        <v>5857</v>
      </c>
      <c r="D302" s="78"/>
      <c r="E302" s="13">
        <v>31.7</v>
      </c>
      <c r="F302" s="13"/>
      <c r="G302" s="75">
        <v>445.90000000000003</v>
      </c>
      <c r="H302" s="279"/>
      <c r="I302" s="77"/>
      <c r="J302" s="13"/>
    </row>
    <row r="303" spans="1:10" ht="13.5" customHeight="1" x14ac:dyDescent="0.2">
      <c r="A303" s="79">
        <v>42705</v>
      </c>
      <c r="B303" s="79"/>
      <c r="C303" s="78" t="s">
        <v>5858</v>
      </c>
      <c r="D303" s="50"/>
      <c r="E303" s="13">
        <v>14.4</v>
      </c>
      <c r="F303" s="13"/>
      <c r="G303" s="75">
        <v>431.50000000000006</v>
      </c>
      <c r="H303" s="279"/>
      <c r="I303" s="77"/>
      <c r="J303" s="13"/>
    </row>
    <row r="304" spans="1:10" ht="13.5" customHeight="1" x14ac:dyDescent="0.2">
      <c r="A304" s="79">
        <v>42716</v>
      </c>
      <c r="B304" s="79"/>
      <c r="C304" s="78" t="s">
        <v>5847</v>
      </c>
      <c r="D304" s="78"/>
      <c r="E304" s="13">
        <v>120</v>
      </c>
      <c r="F304" s="13"/>
      <c r="G304" s="75">
        <v>311.50000000000006</v>
      </c>
      <c r="H304" s="279"/>
      <c r="I304" s="77"/>
      <c r="J304" s="13"/>
    </row>
    <row r="305" spans="1:10" ht="13.5" customHeight="1" x14ac:dyDescent="0.2">
      <c r="A305" s="79">
        <v>42718</v>
      </c>
      <c r="B305" s="79"/>
      <c r="C305" s="78" t="s">
        <v>5859</v>
      </c>
      <c r="D305" s="50"/>
      <c r="E305" s="13">
        <v>23.7</v>
      </c>
      <c r="F305" s="13"/>
      <c r="G305" s="75">
        <v>287.80000000000007</v>
      </c>
      <c r="H305" s="279"/>
      <c r="I305" s="77"/>
      <c r="J305" s="13"/>
    </row>
    <row r="306" spans="1:10" ht="13.5" customHeight="1" x14ac:dyDescent="0.2">
      <c r="A306" s="79">
        <v>42759</v>
      </c>
      <c r="B306" s="80"/>
      <c r="C306" s="1062" t="s">
        <v>5860</v>
      </c>
      <c r="D306" s="78"/>
      <c r="E306" s="13">
        <v>1</v>
      </c>
      <c r="F306" s="13"/>
      <c r="G306" s="75">
        <v>286.80000000000007</v>
      </c>
      <c r="H306" s="13"/>
      <c r="I306" s="13"/>
      <c r="J306" s="13"/>
    </row>
    <row r="307" spans="1:10" ht="13.5" customHeight="1" x14ac:dyDescent="0.2">
      <c r="A307" s="79">
        <v>42765</v>
      </c>
      <c r="B307" s="79"/>
      <c r="C307" s="78" t="s">
        <v>5861</v>
      </c>
      <c r="D307" s="50"/>
      <c r="E307" s="13">
        <v>45</v>
      </c>
      <c r="F307" s="13"/>
      <c r="G307" s="75">
        <v>241.80000000000007</v>
      </c>
      <c r="H307" s="279"/>
      <c r="I307" s="77"/>
      <c r="J307" s="13"/>
    </row>
    <row r="308" spans="1:10" ht="13.5" customHeight="1" x14ac:dyDescent="0.2">
      <c r="A308" s="79">
        <v>42899</v>
      </c>
      <c r="B308" s="79"/>
      <c r="C308" s="78" t="s">
        <v>5862</v>
      </c>
      <c r="D308" s="78"/>
      <c r="E308" s="13">
        <v>130</v>
      </c>
      <c r="F308" s="13"/>
      <c r="G308" s="75">
        <v>111.80000000000007</v>
      </c>
      <c r="H308" s="279"/>
      <c r="I308" s="77"/>
      <c r="J308" s="13"/>
    </row>
    <row r="309" spans="1:10" ht="13.5" customHeight="1" x14ac:dyDescent="0.2">
      <c r="A309" s="79"/>
      <c r="B309" s="79"/>
      <c r="C309" s="78"/>
      <c r="D309" s="78"/>
      <c r="E309" s="13"/>
      <c r="F309" s="13"/>
      <c r="G309" s="75"/>
      <c r="H309" s="279"/>
      <c r="I309" s="77"/>
      <c r="J309" s="13"/>
    </row>
    <row r="310" spans="1:10" ht="13.5" customHeight="1" x14ac:dyDescent="0.2">
      <c r="A310" s="74"/>
      <c r="B310" s="80"/>
      <c r="C310" s="81"/>
      <c r="D310" s="50"/>
      <c r="E310" s="13"/>
      <c r="F310" s="13"/>
      <c r="G310" s="75"/>
      <c r="H310" s="13"/>
      <c r="I310" s="13"/>
      <c r="J310" s="13"/>
    </row>
    <row r="311" spans="1:10" ht="13.5" customHeight="1" x14ac:dyDescent="0.2">
      <c r="A311" s="79"/>
      <c r="B311" s="79"/>
      <c r="C311" s="78"/>
      <c r="D311" s="78"/>
      <c r="E311" s="13"/>
      <c r="F311" s="13"/>
      <c r="G311" s="75"/>
      <c r="H311" s="279"/>
      <c r="I311" s="77"/>
      <c r="J311" s="13"/>
    </row>
    <row r="312" spans="1:10" ht="13.5" customHeight="1" x14ac:dyDescent="0.2">
      <c r="A312" s="79"/>
      <c r="B312" s="79"/>
      <c r="C312" s="78"/>
      <c r="D312" s="78"/>
      <c r="E312" s="13"/>
      <c r="F312" s="13"/>
      <c r="G312" s="75"/>
      <c r="H312" s="279"/>
      <c r="I312" s="77"/>
      <c r="J312" s="13"/>
    </row>
    <row r="313" spans="1:10" ht="13.5" customHeight="1" x14ac:dyDescent="0.2">
      <c r="A313" s="79"/>
      <c r="B313" s="79"/>
      <c r="C313" s="78"/>
      <c r="D313" s="78"/>
      <c r="E313" s="78"/>
      <c r="F313" s="78"/>
      <c r="G313" s="75"/>
      <c r="H313" s="279"/>
      <c r="I313" s="77"/>
      <c r="J313" s="13"/>
    </row>
    <row r="314" spans="1:10" ht="13.5" customHeight="1" x14ac:dyDescent="0.2">
      <c r="A314" s="79"/>
      <c r="B314" s="79"/>
      <c r="C314" s="78"/>
      <c r="D314" s="78"/>
      <c r="E314" s="78"/>
      <c r="F314" s="78"/>
      <c r="G314" s="75"/>
      <c r="H314" s="279"/>
      <c r="I314" s="77"/>
      <c r="J314" s="13"/>
    </row>
    <row r="315" spans="1:10" ht="13.5" customHeight="1" x14ac:dyDescent="0.2">
      <c r="A315" s="79"/>
      <c r="B315" s="79"/>
      <c r="C315" s="78"/>
      <c r="D315" s="78"/>
      <c r="E315" s="78"/>
      <c r="F315" s="78"/>
      <c r="G315" s="75"/>
      <c r="H315" s="279"/>
      <c r="I315" s="77"/>
      <c r="J315" s="13"/>
    </row>
    <row r="316" spans="1:10" ht="13.5" customHeight="1" x14ac:dyDescent="0.2">
      <c r="A316" s="79"/>
      <c r="B316" s="79"/>
      <c r="C316" s="78"/>
      <c r="D316" s="78"/>
      <c r="E316" s="78"/>
      <c r="F316" s="78"/>
      <c r="G316" s="75"/>
      <c r="H316" s="279"/>
      <c r="I316" s="77"/>
      <c r="J316" s="13"/>
    </row>
    <row r="317" spans="1:10" ht="13.5" customHeight="1" x14ac:dyDescent="0.2">
      <c r="A317" s="79"/>
      <c r="B317" s="79"/>
      <c r="C317" s="78"/>
      <c r="D317" s="78"/>
      <c r="E317" s="78"/>
      <c r="F317" s="78"/>
      <c r="G317" s="75"/>
      <c r="H317" s="279"/>
      <c r="I317" s="77"/>
      <c r="J317" s="13"/>
    </row>
    <row r="318" spans="1:10" ht="13.5" customHeight="1" x14ac:dyDescent="0.2">
      <c r="A318" s="79"/>
      <c r="B318" s="79"/>
      <c r="C318" s="78"/>
      <c r="D318" s="78"/>
      <c r="E318" s="78"/>
      <c r="F318" s="78"/>
      <c r="G318" s="14"/>
      <c r="H318" s="279"/>
      <c r="I318" s="77"/>
      <c r="J318" s="130"/>
    </row>
    <row r="319" spans="1:10" ht="13.5" customHeight="1" x14ac:dyDescent="0.2">
      <c r="A319" s="70"/>
      <c r="B319" s="70"/>
      <c r="C319" s="63"/>
      <c r="D319" s="50"/>
      <c r="E319" s="13"/>
      <c r="F319" s="13"/>
      <c r="G319" s="75"/>
      <c r="H319" s="82"/>
      <c r="I319" s="13"/>
      <c r="J319" s="13"/>
    </row>
    <row r="320" spans="1:10" ht="13.5" customHeight="1" x14ac:dyDescent="0.2">
      <c r="A320" s="70"/>
      <c r="B320" s="70"/>
      <c r="C320" s="63"/>
      <c r="D320" s="50"/>
      <c r="E320" s="13"/>
      <c r="F320" s="13"/>
      <c r="G320" s="75"/>
      <c r="H320" s="82"/>
      <c r="I320" s="13"/>
      <c r="J320" s="13"/>
    </row>
    <row r="321" spans="1:10" ht="13.5" customHeight="1" x14ac:dyDescent="0.2">
      <c r="A321" s="70"/>
      <c r="B321" s="70"/>
      <c r="C321" s="63"/>
      <c r="D321" s="50"/>
      <c r="E321" s="13"/>
      <c r="F321" s="13"/>
      <c r="G321" s="75"/>
      <c r="H321" s="82"/>
      <c r="I321" s="13"/>
      <c r="J321" s="13"/>
    </row>
    <row r="322" spans="1:10" ht="13.5" customHeight="1" x14ac:dyDescent="0.2">
      <c r="A322" s="70"/>
      <c r="B322" s="70"/>
      <c r="C322" s="63"/>
      <c r="D322" s="50"/>
      <c r="E322" s="13"/>
      <c r="F322" s="13"/>
      <c r="G322" s="75"/>
      <c r="H322" s="82"/>
      <c r="I322" s="13"/>
      <c r="J322" s="13"/>
    </row>
    <row r="323" spans="1:10" ht="13.5" customHeight="1" x14ac:dyDescent="0.2">
      <c r="A323" s="70"/>
      <c r="B323" s="70"/>
      <c r="C323" s="63"/>
      <c r="D323" s="50"/>
      <c r="E323" s="13"/>
      <c r="F323" s="13"/>
      <c r="G323" s="75"/>
      <c r="H323" s="82"/>
      <c r="I323" s="13"/>
      <c r="J323" s="13"/>
    </row>
    <row r="324" spans="1:10" ht="13.5" customHeight="1" x14ac:dyDescent="0.2">
      <c r="A324" s="70"/>
      <c r="B324" s="70"/>
      <c r="C324" s="63"/>
      <c r="D324" s="50"/>
      <c r="E324" s="13"/>
      <c r="F324" s="13"/>
      <c r="G324" s="75"/>
      <c r="H324" s="82"/>
      <c r="I324" s="13"/>
      <c r="J324" s="13"/>
    </row>
    <row r="325" spans="1:10" ht="13.5" customHeight="1" x14ac:dyDescent="0.2">
      <c r="A325" s="70"/>
      <c r="B325" s="70"/>
      <c r="C325" s="63"/>
      <c r="D325" s="50"/>
      <c r="E325" s="13"/>
      <c r="F325" s="13"/>
      <c r="G325" s="75"/>
      <c r="H325" s="82"/>
      <c r="I325" s="13"/>
      <c r="J325" s="13"/>
    </row>
    <row r="326" spans="1:10" ht="13.5" customHeight="1" x14ac:dyDescent="0.2">
      <c r="A326" s="70"/>
      <c r="B326" s="70"/>
      <c r="C326" s="63"/>
      <c r="D326" s="50"/>
      <c r="E326" s="13"/>
      <c r="F326" s="13"/>
      <c r="G326" s="75"/>
      <c r="H326" s="82"/>
      <c r="I326" s="13"/>
      <c r="J326" s="13"/>
    </row>
    <row r="327" spans="1:10" ht="13.5" customHeight="1" x14ac:dyDescent="0.2">
      <c r="A327" s="70"/>
      <c r="B327" s="70"/>
      <c r="C327" s="63"/>
      <c r="D327" s="50"/>
      <c r="E327" s="13"/>
      <c r="F327" s="13"/>
      <c r="G327" s="75"/>
      <c r="H327" s="82"/>
      <c r="I327" s="13"/>
      <c r="J327" s="13"/>
    </row>
    <row r="328" spans="1:10" ht="13.5" customHeight="1" x14ac:dyDescent="0.2">
      <c r="A328" s="70"/>
      <c r="B328" s="70"/>
      <c r="C328" s="63"/>
      <c r="D328" s="50"/>
      <c r="E328" s="13"/>
      <c r="F328" s="13"/>
      <c r="G328" s="75"/>
      <c r="H328" s="82"/>
      <c r="I328" s="13"/>
      <c r="J328" s="13"/>
    </row>
    <row r="329" spans="1:10" ht="13.5" customHeight="1" x14ac:dyDescent="0.2">
      <c r="A329" s="70"/>
      <c r="B329" s="70"/>
      <c r="C329" s="63"/>
      <c r="D329" s="50"/>
      <c r="E329" s="13"/>
      <c r="F329" s="13"/>
      <c r="G329" s="75"/>
      <c r="H329" s="82"/>
      <c r="I329" s="13"/>
      <c r="J329" s="13"/>
    </row>
    <row r="330" spans="1:10" ht="13.5" customHeight="1" x14ac:dyDescent="0.2">
      <c r="A330" s="70"/>
      <c r="B330" s="70"/>
      <c r="C330" s="63"/>
      <c r="D330" s="50"/>
      <c r="E330" s="13"/>
      <c r="F330" s="13"/>
      <c r="G330" s="75"/>
      <c r="H330" s="82"/>
      <c r="I330" s="13"/>
      <c r="J330" s="13"/>
    </row>
    <row r="331" spans="1:10" ht="13.5" customHeight="1" x14ac:dyDescent="0.2">
      <c r="A331" s="70"/>
      <c r="B331" s="70"/>
      <c r="C331" s="63"/>
      <c r="D331" s="50"/>
      <c r="E331" s="13"/>
      <c r="F331" s="13"/>
      <c r="G331" s="75"/>
      <c r="H331" s="82"/>
      <c r="I331" s="13"/>
      <c r="J331" s="13"/>
    </row>
    <row r="332" spans="1:10" ht="13.5" customHeight="1" x14ac:dyDescent="0.2">
      <c r="A332" s="70"/>
      <c r="B332" s="70"/>
      <c r="C332" s="63"/>
      <c r="D332" s="50"/>
      <c r="E332" s="13"/>
      <c r="F332" s="13"/>
      <c r="G332" s="75"/>
      <c r="H332" s="82"/>
      <c r="I332" s="13"/>
      <c r="J332" s="13"/>
    </row>
    <row r="333" spans="1:10" ht="13.5" customHeight="1" x14ac:dyDescent="0.2">
      <c r="A333" s="70"/>
      <c r="B333" s="70"/>
      <c r="C333" s="63"/>
      <c r="D333" s="50"/>
      <c r="E333" s="13"/>
      <c r="F333" s="13"/>
      <c r="G333" s="75"/>
      <c r="H333" s="82"/>
      <c r="I333" s="13"/>
      <c r="J333" s="13"/>
    </row>
    <row r="334" spans="1:10" ht="13.5" customHeight="1" x14ac:dyDescent="0.2">
      <c r="A334" s="70"/>
      <c r="B334" s="70"/>
      <c r="C334" s="63"/>
      <c r="D334" s="50"/>
      <c r="E334" s="13"/>
      <c r="F334" s="13"/>
      <c r="G334" s="75"/>
      <c r="H334" s="82"/>
      <c r="I334" s="13"/>
      <c r="J334" s="13"/>
    </row>
    <row r="335" spans="1:10" ht="13.5" customHeight="1" x14ac:dyDescent="0.2">
      <c r="A335" s="70"/>
      <c r="B335" s="70"/>
      <c r="C335" s="63"/>
      <c r="D335" s="50"/>
      <c r="E335" s="13"/>
      <c r="F335" s="13"/>
      <c r="G335" s="75"/>
      <c r="H335" s="82"/>
      <c r="I335" s="13"/>
      <c r="J335" s="13"/>
    </row>
    <row r="336" spans="1:10" ht="13.5" customHeight="1" x14ac:dyDescent="0.2">
      <c r="A336" s="70"/>
      <c r="B336" s="70"/>
      <c r="C336" s="63"/>
      <c r="D336" s="50"/>
      <c r="E336" s="13"/>
      <c r="F336" s="13"/>
      <c r="G336" s="75"/>
      <c r="H336" s="82"/>
      <c r="I336" s="13"/>
      <c r="J336" s="13"/>
    </row>
    <row r="337" spans="1:10" ht="13.5" customHeight="1" x14ac:dyDescent="0.2">
      <c r="A337" s="70"/>
      <c r="B337" s="70"/>
      <c r="C337" s="63"/>
      <c r="D337" s="50"/>
      <c r="E337" s="13"/>
      <c r="F337" s="13"/>
      <c r="G337" s="75"/>
      <c r="H337" s="82"/>
      <c r="I337" s="13"/>
      <c r="J337" s="13"/>
    </row>
    <row r="338" spans="1:10" ht="13.5" customHeight="1" x14ac:dyDescent="0.2">
      <c r="A338" s="70"/>
      <c r="B338" s="70"/>
      <c r="C338" s="63"/>
      <c r="D338" s="50"/>
      <c r="E338" s="13"/>
      <c r="F338" s="13"/>
      <c r="G338" s="75"/>
      <c r="H338" s="82"/>
      <c r="I338" s="13"/>
      <c r="J338" s="13"/>
    </row>
    <row r="339" spans="1:10" ht="13.5" customHeight="1" x14ac:dyDescent="0.2">
      <c r="A339" s="70"/>
      <c r="B339" s="70"/>
      <c r="C339" s="63"/>
      <c r="D339" s="50"/>
      <c r="E339" s="13"/>
      <c r="F339" s="13"/>
      <c r="G339" s="75"/>
      <c r="H339" s="82"/>
      <c r="I339" s="13"/>
      <c r="J339" s="13"/>
    </row>
    <row r="340" spans="1:10" ht="13.5" customHeight="1" x14ac:dyDescent="0.2">
      <c r="A340" s="70"/>
      <c r="B340" s="70"/>
      <c r="C340" s="63"/>
      <c r="D340" s="50"/>
      <c r="E340" s="13"/>
      <c r="F340" s="13"/>
      <c r="G340" s="75"/>
      <c r="H340" s="82"/>
      <c r="I340" s="13"/>
      <c r="J340" s="13"/>
    </row>
    <row r="341" spans="1:10" ht="13.5" customHeight="1" x14ac:dyDescent="0.2">
      <c r="A341" s="70"/>
      <c r="B341" s="70"/>
      <c r="C341" s="63"/>
      <c r="D341" s="50"/>
      <c r="E341" s="13"/>
      <c r="F341" s="13"/>
      <c r="G341" s="75"/>
      <c r="H341" s="82"/>
      <c r="I341" s="13"/>
      <c r="J341" s="13"/>
    </row>
    <row r="342" spans="1:10" ht="13.5" customHeight="1" x14ac:dyDescent="0.2">
      <c r="A342" s="70"/>
      <c r="B342" s="70"/>
      <c r="C342" s="63"/>
      <c r="D342" s="50"/>
      <c r="E342" s="13"/>
      <c r="F342" s="13"/>
      <c r="G342" s="75"/>
      <c r="H342" s="82"/>
      <c r="I342" s="13"/>
      <c r="J342" s="13"/>
    </row>
    <row r="343" spans="1:10" ht="13.5" customHeight="1" x14ac:dyDescent="0.2">
      <c r="A343" s="70"/>
      <c r="B343" s="70"/>
      <c r="C343" s="63"/>
      <c r="D343" s="50"/>
      <c r="E343" s="13"/>
      <c r="F343" s="13"/>
      <c r="G343" s="75"/>
      <c r="H343" s="82"/>
      <c r="I343" s="13"/>
      <c r="J343" s="13"/>
    </row>
    <row r="344" spans="1:10" ht="13.5" customHeight="1" x14ac:dyDescent="0.2">
      <c r="A344" s="70"/>
      <c r="B344" s="70"/>
      <c r="C344" s="63"/>
      <c r="D344" s="50"/>
      <c r="E344" s="13"/>
      <c r="F344" s="13"/>
      <c r="G344" s="75"/>
      <c r="H344" s="82"/>
      <c r="I344" s="13"/>
      <c r="J344" s="13"/>
    </row>
    <row r="345" spans="1:10" ht="13.5" customHeight="1" x14ac:dyDescent="0.2">
      <c r="A345" s="70"/>
      <c r="B345" s="70"/>
      <c r="C345" s="63"/>
      <c r="D345" s="50"/>
      <c r="E345" s="13"/>
      <c r="F345" s="13"/>
      <c r="G345" s="75"/>
      <c r="H345" s="82"/>
      <c r="I345" s="13"/>
      <c r="J345" s="13"/>
    </row>
    <row r="346" spans="1:10" ht="13.5" customHeight="1" x14ac:dyDescent="0.2">
      <c r="A346" s="70"/>
      <c r="B346" s="70"/>
      <c r="C346" s="63"/>
      <c r="D346" s="50"/>
      <c r="E346" s="13"/>
      <c r="F346" s="13"/>
      <c r="G346" s="75"/>
      <c r="H346" s="82"/>
      <c r="I346" s="13"/>
      <c r="J346" s="13"/>
    </row>
    <row r="347" spans="1:10" ht="13.5" customHeight="1" x14ac:dyDescent="0.2">
      <c r="A347" s="70"/>
      <c r="B347" s="70"/>
      <c r="C347" s="63"/>
      <c r="D347" s="50"/>
      <c r="E347" s="13"/>
      <c r="F347" s="13"/>
      <c r="G347" s="75"/>
      <c r="H347" s="82"/>
      <c r="I347" s="13"/>
      <c r="J347" s="13"/>
    </row>
    <row r="348" spans="1:10" ht="13.5" customHeight="1" x14ac:dyDescent="0.2">
      <c r="A348" s="70"/>
      <c r="B348" s="70"/>
      <c r="C348" s="63"/>
      <c r="D348" s="50"/>
      <c r="E348" s="13"/>
      <c r="F348" s="13"/>
      <c r="G348" s="75"/>
      <c r="H348" s="82"/>
      <c r="I348" s="13"/>
      <c r="J348" s="13"/>
    </row>
    <row r="349" spans="1:10" ht="13.5" customHeight="1" x14ac:dyDescent="0.2">
      <c r="A349" s="70"/>
      <c r="B349" s="70"/>
      <c r="C349" s="63"/>
      <c r="D349" s="50"/>
      <c r="E349" s="13"/>
      <c r="F349" s="13"/>
      <c r="G349" s="75"/>
      <c r="H349" s="82"/>
      <c r="I349" s="13"/>
      <c r="J349" s="13"/>
    </row>
    <row r="350" spans="1:10" ht="13.5" customHeight="1" x14ac:dyDescent="0.2">
      <c r="A350" s="70"/>
      <c r="B350" s="70"/>
      <c r="C350" s="63"/>
      <c r="D350" s="50"/>
      <c r="E350" s="13"/>
      <c r="F350" s="13"/>
      <c r="G350" s="75"/>
      <c r="H350" s="82"/>
      <c r="I350" s="13"/>
      <c r="J350" s="13"/>
    </row>
    <row r="351" spans="1:10" ht="13.5" customHeight="1" x14ac:dyDescent="0.2">
      <c r="A351" s="70"/>
      <c r="B351" s="70"/>
      <c r="C351" s="63"/>
      <c r="D351" s="50"/>
      <c r="E351" s="13"/>
      <c r="F351" s="13"/>
      <c r="G351" s="75"/>
      <c r="H351" s="82"/>
      <c r="I351" s="13"/>
      <c r="J351" s="13"/>
    </row>
    <row r="352" spans="1:10" ht="13.5" customHeight="1" x14ac:dyDescent="0.2">
      <c r="A352" s="70"/>
      <c r="B352" s="70"/>
      <c r="C352" s="63"/>
      <c r="D352" s="50"/>
      <c r="E352" s="13"/>
      <c r="F352" s="13"/>
      <c r="G352" s="75"/>
      <c r="H352" s="82"/>
      <c r="I352" s="13"/>
      <c r="J352" s="13"/>
    </row>
    <row r="353" spans="1:10" ht="13.5" customHeight="1" x14ac:dyDescent="0.2">
      <c r="A353" s="70"/>
      <c r="B353" s="70"/>
      <c r="C353" s="63"/>
      <c r="D353" s="50"/>
      <c r="E353" s="13"/>
      <c r="F353" s="13"/>
      <c r="G353" s="75"/>
      <c r="H353" s="82"/>
      <c r="I353" s="13"/>
      <c r="J353" s="13"/>
    </row>
    <row r="354" spans="1:10" ht="13.5" customHeight="1" x14ac:dyDescent="0.2">
      <c r="A354" s="70"/>
      <c r="B354" s="70"/>
      <c r="C354" s="63"/>
      <c r="D354" s="50"/>
      <c r="E354" s="13"/>
      <c r="F354" s="13"/>
      <c r="G354" s="75"/>
      <c r="H354" s="82"/>
      <c r="I354" s="13"/>
      <c r="J354" s="13"/>
    </row>
    <row r="355" spans="1:10" ht="13.5" customHeight="1" x14ac:dyDescent="0.2">
      <c r="A355" s="70"/>
      <c r="B355" s="70"/>
      <c r="C355" s="63"/>
      <c r="D355" s="50"/>
      <c r="E355" s="13"/>
      <c r="F355" s="13"/>
      <c r="G355" s="75"/>
      <c r="H355" s="82"/>
      <c r="I355" s="13"/>
      <c r="J355" s="13"/>
    </row>
    <row r="356" spans="1:10" ht="13.5" customHeight="1" x14ac:dyDescent="0.2">
      <c r="A356" s="70"/>
      <c r="B356" s="70"/>
      <c r="C356" s="63"/>
      <c r="D356" s="50"/>
      <c r="E356" s="13"/>
      <c r="F356" s="13"/>
      <c r="G356" s="75"/>
      <c r="H356" s="82"/>
      <c r="I356" s="13"/>
      <c r="J356" s="13"/>
    </row>
    <row r="357" spans="1:10" ht="13.5" customHeight="1" x14ac:dyDescent="0.2">
      <c r="A357" s="70"/>
      <c r="B357" s="70"/>
      <c r="C357" s="63"/>
      <c r="D357" s="50"/>
      <c r="E357" s="13"/>
      <c r="F357" s="13"/>
      <c r="G357" s="75"/>
      <c r="H357" s="82"/>
      <c r="I357" s="13"/>
      <c r="J357" s="13"/>
    </row>
    <row r="358" spans="1:10" ht="13.5" customHeight="1" x14ac:dyDescent="0.2">
      <c r="A358" s="70"/>
      <c r="B358" s="70"/>
      <c r="C358" s="63"/>
      <c r="D358" s="50"/>
      <c r="E358" s="13"/>
      <c r="F358" s="13"/>
      <c r="G358" s="75"/>
      <c r="H358" s="82"/>
      <c r="I358" s="13"/>
      <c r="J358" s="13"/>
    </row>
    <row r="359" spans="1:10" ht="13.5" customHeight="1" x14ac:dyDescent="0.2">
      <c r="A359" s="70"/>
      <c r="B359" s="70"/>
      <c r="C359" s="63"/>
      <c r="D359" s="50"/>
      <c r="E359" s="13"/>
      <c r="F359" s="13"/>
      <c r="G359" s="75"/>
      <c r="H359" s="82"/>
      <c r="I359" s="13"/>
      <c r="J359" s="13"/>
    </row>
    <row r="360" spans="1:10" ht="13.5" customHeight="1" x14ac:dyDescent="0.2">
      <c r="A360" s="70"/>
      <c r="B360" s="70"/>
      <c r="C360" s="63"/>
      <c r="D360" s="50"/>
      <c r="E360" s="13"/>
      <c r="F360" s="13"/>
      <c r="G360" s="75"/>
      <c r="H360" s="82"/>
      <c r="I360" s="13"/>
      <c r="J360" s="13"/>
    </row>
    <row r="361" spans="1:10" ht="13.5" customHeight="1" x14ac:dyDescent="0.2">
      <c r="A361" s="131"/>
      <c r="B361" s="70"/>
      <c r="C361" s="64"/>
      <c r="D361" s="50"/>
      <c r="E361" s="13"/>
      <c r="F361" s="13"/>
      <c r="G361" s="75"/>
      <c r="H361" s="280"/>
      <c r="I361" s="13"/>
      <c r="J361" s="13"/>
    </row>
    <row r="362" spans="1:10" ht="13.5" customHeight="1" x14ac:dyDescent="0.2">
      <c r="A362" s="70"/>
      <c r="B362" s="70"/>
      <c r="C362" s="63"/>
      <c r="D362" s="50"/>
      <c r="E362" s="13"/>
      <c r="F362" s="13"/>
      <c r="G362" s="75"/>
      <c r="H362" s="82"/>
      <c r="I362" s="13"/>
      <c r="J362" s="13"/>
    </row>
    <row r="363" spans="1:10" ht="13.5" customHeight="1" x14ac:dyDescent="0.2">
      <c r="A363" s="70"/>
      <c r="B363" s="70"/>
      <c r="C363" s="63"/>
      <c r="D363" s="50"/>
      <c r="E363" s="13"/>
      <c r="F363" s="13"/>
      <c r="G363" s="75"/>
      <c r="H363" s="82"/>
      <c r="I363" s="13"/>
      <c r="J363" s="13"/>
    </row>
    <row r="364" spans="1:10" ht="13.5" customHeight="1" x14ac:dyDescent="0.2">
      <c r="A364" s="131"/>
      <c r="B364" s="70"/>
      <c r="C364" s="85"/>
      <c r="D364" s="50"/>
      <c r="E364" s="13"/>
      <c r="F364" s="13"/>
      <c r="G364" s="75"/>
      <c r="H364" s="82"/>
      <c r="I364" s="13"/>
      <c r="J364" s="13"/>
    </row>
    <row r="365" spans="1:10" ht="13.5" customHeight="1" x14ac:dyDescent="0.2">
      <c r="A365" s="131"/>
      <c r="B365" s="70"/>
      <c r="C365" s="63"/>
      <c r="D365" s="50"/>
      <c r="E365" s="13"/>
      <c r="F365" s="13"/>
      <c r="G365" s="75"/>
      <c r="H365" s="82"/>
      <c r="I365" s="13"/>
      <c r="J365" s="13"/>
    </row>
    <row r="366" spans="1:10" ht="13.5" customHeight="1" x14ac:dyDescent="0.2">
      <c r="A366" s="131"/>
      <c r="B366" s="70"/>
      <c r="C366" s="63"/>
      <c r="D366" s="50"/>
      <c r="E366" s="13"/>
      <c r="F366" s="13"/>
      <c r="G366" s="75"/>
      <c r="H366" s="280"/>
      <c r="I366" s="13"/>
      <c r="J366" s="13"/>
    </row>
    <row r="367" spans="1:10" ht="13.5" customHeight="1" x14ac:dyDescent="0.2">
      <c r="A367" s="131"/>
      <c r="B367" s="70"/>
      <c r="C367" s="64"/>
      <c r="D367" s="50"/>
      <c r="E367" s="13"/>
      <c r="F367" s="13"/>
      <c r="G367" s="75"/>
      <c r="H367" s="82"/>
      <c r="I367" s="13"/>
      <c r="J367" s="13"/>
    </row>
    <row r="368" spans="1:10" ht="13.5" customHeight="1" x14ac:dyDescent="0.2">
      <c r="A368" s="70"/>
      <c r="B368" s="70"/>
      <c r="C368" s="63"/>
      <c r="D368" s="50"/>
      <c r="E368" s="13"/>
      <c r="F368" s="13"/>
      <c r="G368" s="75"/>
      <c r="H368" s="82"/>
      <c r="I368" s="13"/>
      <c r="J368" s="13"/>
    </row>
    <row r="369" spans="1:10" ht="13.5" customHeight="1" x14ac:dyDescent="0.2">
      <c r="A369" s="131"/>
      <c r="B369" s="70"/>
      <c r="C369" s="63"/>
      <c r="D369" s="50"/>
      <c r="E369" s="13"/>
      <c r="F369" s="13"/>
      <c r="G369" s="75"/>
      <c r="H369" s="280"/>
      <c r="I369" s="13"/>
      <c r="J369" s="13"/>
    </row>
    <row r="370" spans="1:10" ht="13.5" customHeight="1" x14ac:dyDescent="0.2">
      <c r="A370" s="131"/>
      <c r="B370" s="70"/>
      <c r="C370" s="64"/>
      <c r="D370" s="50"/>
      <c r="E370" s="13"/>
      <c r="F370" s="13"/>
      <c r="G370" s="75"/>
      <c r="H370" s="280"/>
      <c r="I370" s="13"/>
      <c r="J370" s="13"/>
    </row>
    <row r="371" spans="1:10" ht="13.5" customHeight="1" x14ac:dyDescent="0.2">
      <c r="A371" s="70"/>
      <c r="B371" s="70"/>
      <c r="C371" s="63"/>
      <c r="D371" s="50"/>
      <c r="E371" s="13"/>
      <c r="F371" s="13"/>
      <c r="G371" s="75"/>
      <c r="H371" s="82"/>
      <c r="I371" s="13"/>
      <c r="J371" s="13"/>
    </row>
    <row r="372" spans="1:10" ht="13.5" customHeight="1" x14ac:dyDescent="0.2">
      <c r="A372" s="131"/>
      <c r="B372" s="70"/>
      <c r="C372" s="63"/>
      <c r="D372" s="50"/>
      <c r="E372" s="13"/>
      <c r="F372" s="13"/>
      <c r="G372" s="75"/>
      <c r="H372" s="280"/>
      <c r="I372" s="13"/>
      <c r="J372" s="13"/>
    </row>
    <row r="373" spans="1:10" ht="13.5" customHeight="1" x14ac:dyDescent="0.2">
      <c r="A373" s="131"/>
      <c r="B373" s="70"/>
      <c r="C373" s="64"/>
      <c r="D373" s="50"/>
      <c r="E373" s="13"/>
      <c r="F373" s="13"/>
      <c r="G373" s="75"/>
      <c r="H373" s="280"/>
      <c r="I373" s="13"/>
      <c r="J373" s="13"/>
    </row>
    <row r="374" spans="1:10" ht="13.5" customHeight="1" x14ac:dyDescent="0.2">
      <c r="A374" s="70"/>
      <c r="B374" s="70"/>
      <c r="C374" s="63"/>
      <c r="D374" s="50"/>
      <c r="E374" s="13"/>
      <c r="F374" s="13"/>
      <c r="G374" s="75"/>
      <c r="H374" s="82"/>
      <c r="I374" s="13"/>
      <c r="J374" s="13"/>
    </row>
    <row r="375" spans="1:10" ht="13.5" customHeight="1" x14ac:dyDescent="0.2">
      <c r="A375" s="70"/>
      <c r="B375" s="70"/>
      <c r="C375" s="63"/>
      <c r="D375" s="50"/>
      <c r="E375" s="13"/>
      <c r="F375" s="13"/>
      <c r="G375" s="75"/>
      <c r="H375" s="82"/>
      <c r="I375" s="13"/>
      <c r="J375" s="13"/>
    </row>
    <row r="376" spans="1:10" ht="13.5" customHeight="1" x14ac:dyDescent="0.2">
      <c r="A376" s="70"/>
      <c r="B376" s="70"/>
      <c r="C376" s="63"/>
      <c r="D376" s="50"/>
      <c r="E376" s="13"/>
      <c r="F376" s="13"/>
      <c r="G376" s="75"/>
      <c r="H376" s="82"/>
      <c r="I376" s="13"/>
      <c r="J376" s="13"/>
    </row>
    <row r="377" spans="1:10" ht="13.5" customHeight="1" x14ac:dyDescent="0.2">
      <c r="A377" s="131"/>
      <c r="B377" s="70"/>
      <c r="C377" s="86"/>
      <c r="D377" s="50"/>
      <c r="E377" s="13"/>
      <c r="F377" s="13"/>
      <c r="G377" s="75"/>
      <c r="H377" s="82"/>
      <c r="I377" s="13"/>
      <c r="J377" s="13"/>
    </row>
    <row r="378" spans="1:10" ht="13.5" customHeight="1" x14ac:dyDescent="0.2">
      <c r="A378" s="131"/>
      <c r="B378" s="70"/>
      <c r="C378" s="85"/>
      <c r="D378" s="50"/>
      <c r="E378" s="13"/>
      <c r="F378" s="13"/>
      <c r="G378" s="75"/>
      <c r="H378" s="82"/>
      <c r="I378" s="13"/>
      <c r="J378" s="13"/>
    </row>
    <row r="379" spans="1:10" ht="13.5" customHeight="1" x14ac:dyDescent="0.2">
      <c r="A379" s="131"/>
      <c r="B379" s="70"/>
      <c r="C379" s="87"/>
      <c r="D379" s="50"/>
      <c r="E379" s="13"/>
      <c r="F379" s="13"/>
      <c r="G379" s="75"/>
      <c r="H379" s="82"/>
      <c r="I379" s="13"/>
      <c r="J379" s="13"/>
    </row>
    <row r="380" spans="1:10" ht="13.5" customHeight="1" x14ac:dyDescent="0.2">
      <c r="A380" s="131"/>
      <c r="B380" s="70"/>
      <c r="C380" s="88"/>
      <c r="D380" s="50"/>
      <c r="E380" s="13"/>
      <c r="F380" s="13"/>
      <c r="G380" s="75"/>
      <c r="H380" s="82"/>
      <c r="I380" s="13"/>
      <c r="J380" s="13"/>
    </row>
    <row r="381" spans="1:10" ht="13.5" customHeight="1" x14ac:dyDescent="0.2">
      <c r="A381" s="91"/>
      <c r="B381" s="9"/>
      <c r="C381" s="56"/>
      <c r="D381" s="11"/>
      <c r="E381" s="12"/>
      <c r="F381" s="12"/>
      <c r="G381" s="23"/>
      <c r="H381" s="89"/>
      <c r="I381" s="12"/>
      <c r="J381" s="13"/>
    </row>
    <row r="382" spans="1:10" ht="13.5" customHeight="1" x14ac:dyDescent="0.2">
      <c r="A382" s="9"/>
      <c r="B382" s="9"/>
      <c r="C382" s="56"/>
      <c r="D382" s="11"/>
      <c r="E382" s="12"/>
      <c r="F382" s="12"/>
      <c r="G382" s="23"/>
      <c r="H382" s="89"/>
      <c r="I382" s="12"/>
      <c r="J382" s="13"/>
    </row>
    <row r="383" spans="1:10" ht="13.5" customHeight="1" x14ac:dyDescent="0.2">
      <c r="A383" s="9"/>
      <c r="B383" s="9"/>
      <c r="C383" s="56"/>
      <c r="D383" s="11"/>
      <c r="E383" s="12"/>
      <c r="F383" s="12"/>
      <c r="G383" s="23"/>
      <c r="H383" s="89"/>
      <c r="I383" s="12"/>
      <c r="J383" s="13"/>
    </row>
    <row r="384" spans="1:10" ht="13.5" customHeight="1" x14ac:dyDescent="0.2">
      <c r="A384" s="91"/>
      <c r="B384" s="9"/>
      <c r="D384" s="11"/>
      <c r="E384" s="12"/>
      <c r="F384" s="12"/>
      <c r="G384" s="23"/>
      <c r="H384" s="89"/>
      <c r="I384" s="12"/>
      <c r="J384" s="13"/>
    </row>
    <row r="385" spans="1:10" ht="13.5" customHeight="1" x14ac:dyDescent="0.2">
      <c r="A385" s="9"/>
      <c r="B385" s="9"/>
      <c r="C385" s="56"/>
      <c r="D385" s="11"/>
      <c r="E385" s="12"/>
      <c r="F385" s="12"/>
      <c r="G385" s="23"/>
      <c r="H385" s="89"/>
      <c r="I385" s="12"/>
      <c r="J385" s="13"/>
    </row>
    <row r="386" spans="1:10" ht="13.5" customHeight="1" x14ac:dyDescent="0.2">
      <c r="A386" s="9"/>
      <c r="B386" s="9"/>
      <c r="C386" s="56"/>
      <c r="D386" s="11"/>
      <c r="E386" s="12"/>
      <c r="F386" s="12"/>
      <c r="G386" s="23"/>
      <c r="H386" s="89"/>
      <c r="I386" s="12"/>
      <c r="J386" s="13"/>
    </row>
    <row r="387" spans="1:10" ht="13.5" customHeight="1" x14ac:dyDescent="0.2">
      <c r="A387" s="9"/>
      <c r="B387" s="9"/>
      <c r="C387" s="56"/>
      <c r="D387" s="11"/>
      <c r="E387" s="12"/>
      <c r="F387" s="12"/>
      <c r="G387" s="23"/>
      <c r="H387" s="89"/>
      <c r="I387" s="12"/>
      <c r="J387" s="13"/>
    </row>
    <row r="388" spans="1:10" ht="13.5" customHeight="1" x14ac:dyDescent="0.2">
      <c r="A388" s="91"/>
      <c r="B388" s="9"/>
      <c r="C388" s="27"/>
      <c r="D388" s="11"/>
      <c r="E388" s="12"/>
      <c r="F388" s="12"/>
      <c r="G388" s="23"/>
      <c r="H388" s="281"/>
      <c r="I388" s="12"/>
      <c r="J388" s="13"/>
    </row>
    <row r="389" spans="1:10" ht="13.5" customHeight="1" x14ac:dyDescent="0.2">
      <c r="A389" s="91"/>
      <c r="B389" s="9"/>
      <c r="C389" s="27"/>
      <c r="D389" s="11"/>
      <c r="E389" s="12"/>
      <c r="F389" s="12"/>
      <c r="G389" s="23"/>
      <c r="H389" s="89"/>
      <c r="I389" s="12"/>
      <c r="J389" s="13"/>
    </row>
    <row r="390" spans="1:10" ht="13.5" customHeight="1" x14ac:dyDescent="0.2">
      <c r="A390" s="91"/>
      <c r="B390" s="9"/>
      <c r="D390" s="11"/>
      <c r="E390" s="12"/>
      <c r="F390" s="12"/>
      <c r="G390" s="23"/>
      <c r="H390" s="281"/>
      <c r="I390" s="12"/>
      <c r="J390" s="13"/>
    </row>
    <row r="391" spans="1:10" ht="13.5" customHeight="1" x14ac:dyDescent="0.2">
      <c r="A391" s="9"/>
      <c r="B391" s="9"/>
      <c r="C391" s="56"/>
      <c r="D391" s="11"/>
      <c r="E391" s="12"/>
      <c r="F391" s="12"/>
      <c r="G391" s="23"/>
      <c r="H391" s="89"/>
      <c r="I391" s="12"/>
      <c r="J391" s="13"/>
    </row>
    <row r="392" spans="1:10" ht="13.5" customHeight="1" x14ac:dyDescent="0.2">
      <c r="A392" s="9"/>
      <c r="B392" s="9"/>
      <c r="C392" s="56"/>
      <c r="D392" s="11"/>
      <c r="E392" s="12"/>
      <c r="F392" s="12"/>
      <c r="G392" s="23"/>
      <c r="H392" s="89"/>
      <c r="I392" s="12"/>
      <c r="J392" s="13"/>
    </row>
    <row r="393" spans="1:10" ht="13.5" customHeight="1" x14ac:dyDescent="0.2">
      <c r="A393" s="9"/>
      <c r="B393" s="9"/>
      <c r="C393" s="56"/>
      <c r="D393" s="11"/>
      <c r="E393" s="12"/>
      <c r="F393" s="12"/>
      <c r="G393" s="23"/>
      <c r="H393" s="89"/>
      <c r="I393" s="12"/>
      <c r="J393" s="13"/>
    </row>
    <row r="394" spans="1:10" ht="13.5" customHeight="1" x14ac:dyDescent="0.2">
      <c r="A394" s="9"/>
      <c r="B394" s="9"/>
      <c r="C394" s="56"/>
      <c r="D394" s="11"/>
      <c r="E394" s="12"/>
      <c r="F394" s="12"/>
      <c r="G394" s="23"/>
      <c r="H394" s="89"/>
      <c r="I394" s="12"/>
      <c r="J394" s="13"/>
    </row>
    <row r="395" spans="1:10" x14ac:dyDescent="0.2">
      <c r="A395" s="132"/>
      <c r="B395" s="93"/>
      <c r="C395" s="94"/>
      <c r="D395" s="27"/>
      <c r="E395" s="27"/>
      <c r="F395" s="27"/>
      <c r="G395" s="27"/>
      <c r="H395" s="282"/>
      <c r="I395" s="30"/>
      <c r="J395" s="51"/>
    </row>
  </sheetData>
  <mergeCells count="4">
    <mergeCell ref="A1:C1"/>
    <mergeCell ref="D1:G1"/>
    <mergeCell ref="H1:J1"/>
    <mergeCell ref="H139:J139"/>
  </mergeCells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331"/>
  <sheetViews>
    <sheetView topLeftCell="A193" zoomScale="85" zoomScaleNormal="85" workbookViewId="0">
      <selection activeCell="B200" sqref="B200"/>
    </sheetView>
  </sheetViews>
  <sheetFormatPr defaultColWidth="9" defaultRowHeight="12.75" x14ac:dyDescent="0.2"/>
  <cols>
    <col min="1" max="1" width="10.875" style="96" bestFit="1" customWidth="1"/>
    <col min="2" max="2" width="89.875" style="1" bestFit="1" customWidth="1"/>
    <col min="3" max="3" width="10.75" style="283" customWidth="1"/>
    <col min="4" max="4" width="10.75" style="18" customWidth="1"/>
    <col min="5" max="5" width="10.875" style="40" bestFit="1" customWidth="1"/>
    <col min="6" max="6" width="10.625" style="1" customWidth="1"/>
    <col min="7" max="7" width="9" style="1"/>
    <col min="8" max="8" width="9.5" style="1" bestFit="1" customWidth="1"/>
    <col min="9" max="9" width="9" style="1"/>
    <col min="10" max="10" width="10.875" style="1" bestFit="1" customWidth="1"/>
    <col min="11" max="16384" width="9" style="1"/>
  </cols>
  <sheetData>
    <row r="1" spans="1:16" x14ac:dyDescent="0.2">
      <c r="F1" s="97" t="s">
        <v>218</v>
      </c>
      <c r="G1" s="97" t="s">
        <v>219</v>
      </c>
      <c r="H1" s="97" t="s">
        <v>220</v>
      </c>
      <c r="I1" s="97" t="s">
        <v>221</v>
      </c>
      <c r="J1" s="97" t="s">
        <v>222</v>
      </c>
    </row>
    <row r="2" spans="1:16" ht="13.5" customHeight="1" x14ac:dyDescent="0.2">
      <c r="A2" s="137" t="s">
        <v>3762</v>
      </c>
      <c r="B2" s="21" t="s">
        <v>6540</v>
      </c>
      <c r="C2" s="1097"/>
      <c r="D2" s="60">
        <v>940</v>
      </c>
      <c r="F2" s="100">
        <v>1020</v>
      </c>
      <c r="G2" s="402">
        <v>80</v>
      </c>
      <c r="H2" s="402"/>
      <c r="I2" s="402"/>
      <c r="J2" s="618">
        <v>940</v>
      </c>
    </row>
    <row r="3" spans="1:16" ht="13.5" customHeight="1" x14ac:dyDescent="0.2">
      <c r="A3" s="137" t="s">
        <v>3762</v>
      </c>
      <c r="B3" s="138" t="s">
        <v>6544</v>
      </c>
      <c r="C3" s="22"/>
      <c r="D3" s="60">
        <v>860</v>
      </c>
      <c r="F3" s="100">
        <v>940</v>
      </c>
      <c r="G3" s="402">
        <v>80</v>
      </c>
      <c r="H3" s="402"/>
      <c r="I3" s="402"/>
      <c r="J3" s="618">
        <f t="shared" ref="J3:J8" si="0">F3-G3-H3-I3</f>
        <v>860</v>
      </c>
    </row>
    <row r="4" spans="1:16" ht="13.5" customHeight="1" x14ac:dyDescent="0.2">
      <c r="A4" s="137" t="s">
        <v>3762</v>
      </c>
      <c r="B4" s="34" t="s">
        <v>6538</v>
      </c>
      <c r="C4" s="22"/>
      <c r="D4" s="60">
        <v>940</v>
      </c>
      <c r="F4" s="100">
        <v>1020</v>
      </c>
      <c r="G4" s="402">
        <v>80</v>
      </c>
      <c r="H4" s="402"/>
      <c r="I4" s="402"/>
      <c r="J4" s="618">
        <f t="shared" si="0"/>
        <v>940</v>
      </c>
    </row>
    <row r="5" spans="1:16" ht="13.5" customHeight="1" x14ac:dyDescent="0.2">
      <c r="A5" s="137" t="s">
        <v>3762</v>
      </c>
      <c r="B5" s="34" t="s">
        <v>6563</v>
      </c>
      <c r="C5" s="22"/>
      <c r="D5" s="60">
        <v>862</v>
      </c>
      <c r="F5" s="100">
        <v>942</v>
      </c>
      <c r="G5" s="402">
        <v>80</v>
      </c>
      <c r="H5" s="402"/>
      <c r="I5" s="402"/>
      <c r="J5" s="618">
        <f t="shared" si="0"/>
        <v>862</v>
      </c>
    </row>
    <row r="6" spans="1:16" ht="13.5" customHeight="1" x14ac:dyDescent="0.2">
      <c r="A6" s="137" t="s">
        <v>3762</v>
      </c>
      <c r="B6" s="357" t="s">
        <v>6590</v>
      </c>
      <c r="C6" s="22"/>
      <c r="D6" s="60">
        <v>1500</v>
      </c>
      <c r="F6" s="100">
        <v>2790</v>
      </c>
      <c r="G6" s="402">
        <v>80</v>
      </c>
      <c r="H6" s="402">
        <v>1210</v>
      </c>
      <c r="I6" s="402"/>
      <c r="J6" s="618">
        <f t="shared" si="0"/>
        <v>1500</v>
      </c>
      <c r="O6" s="64"/>
      <c r="P6" s="64"/>
    </row>
    <row r="7" spans="1:16" ht="13.5" customHeight="1" x14ac:dyDescent="0.2">
      <c r="A7" s="137" t="s">
        <v>3762</v>
      </c>
      <c r="B7" s="34" t="s">
        <v>6546</v>
      </c>
      <c r="C7" s="22"/>
      <c r="D7" s="60">
        <v>1500</v>
      </c>
      <c r="F7" s="100">
        <v>1580</v>
      </c>
      <c r="G7" s="402">
        <v>80</v>
      </c>
      <c r="H7" s="402"/>
      <c r="I7" s="402"/>
      <c r="J7" s="618">
        <f t="shared" si="0"/>
        <v>1500</v>
      </c>
    </row>
    <row r="8" spans="1:16" ht="13.5" customHeight="1" x14ac:dyDescent="0.2">
      <c r="A8" s="137" t="s">
        <v>3762</v>
      </c>
      <c r="B8" s="34" t="s">
        <v>6557</v>
      </c>
      <c r="C8" s="22"/>
      <c r="D8" s="60">
        <v>1430</v>
      </c>
      <c r="F8" s="100">
        <v>1430</v>
      </c>
      <c r="G8" s="402"/>
      <c r="H8" s="402"/>
      <c r="I8" s="402"/>
      <c r="J8" s="618">
        <f t="shared" si="0"/>
        <v>1430</v>
      </c>
    </row>
    <row r="9" spans="1:16" ht="13.5" customHeight="1" x14ac:dyDescent="0.2">
      <c r="A9" s="137" t="s">
        <v>3762</v>
      </c>
      <c r="B9" s="34" t="s">
        <v>6585</v>
      </c>
      <c r="C9" s="22"/>
      <c r="D9" s="60">
        <v>1200</v>
      </c>
      <c r="F9" s="100">
        <v>1306.4100000000001</v>
      </c>
      <c r="G9" s="402">
        <v>80</v>
      </c>
      <c r="H9" s="402">
        <v>26.41</v>
      </c>
      <c r="I9" s="402"/>
      <c r="J9" s="618">
        <f>F9-G9-H9-I9</f>
        <v>1200</v>
      </c>
    </row>
    <row r="10" spans="1:16" ht="13.5" customHeight="1" x14ac:dyDescent="0.2">
      <c r="A10" s="137" t="s">
        <v>3762</v>
      </c>
      <c r="B10" s="357" t="s">
        <v>6611</v>
      </c>
      <c r="C10" s="22"/>
      <c r="D10" s="60">
        <v>950</v>
      </c>
      <c r="F10" s="100">
        <v>1030</v>
      </c>
      <c r="G10" s="403">
        <v>80</v>
      </c>
      <c r="H10" s="403"/>
      <c r="I10" s="403"/>
      <c r="J10" s="618">
        <f>F10-G10-H10-I10</f>
        <v>950</v>
      </c>
    </row>
    <row r="11" spans="1:16" ht="13.5" customHeight="1" x14ac:dyDescent="0.2">
      <c r="A11" s="137" t="s">
        <v>3762</v>
      </c>
      <c r="B11" s="138" t="s">
        <v>4091</v>
      </c>
      <c r="C11" s="22"/>
      <c r="D11" s="60">
        <v>900</v>
      </c>
      <c r="F11" s="100">
        <v>900</v>
      </c>
      <c r="G11" s="403"/>
      <c r="H11" s="403"/>
      <c r="I11" s="403"/>
      <c r="J11" s="1066"/>
    </row>
    <row r="12" spans="1:16" ht="13.5" customHeight="1" x14ac:dyDescent="0.2">
      <c r="A12" s="137" t="s">
        <v>3762</v>
      </c>
      <c r="B12" s="138" t="s">
        <v>10</v>
      </c>
      <c r="C12" s="22"/>
      <c r="D12" s="60">
        <v>640</v>
      </c>
      <c r="F12" s="24"/>
      <c r="G12" s="24"/>
      <c r="H12" s="24"/>
      <c r="I12" s="24"/>
      <c r="J12" s="24"/>
    </row>
    <row r="13" spans="1:16" ht="13.5" customHeight="1" x14ac:dyDescent="0.2">
      <c r="A13" s="137" t="s">
        <v>3762</v>
      </c>
      <c r="B13" s="21" t="s">
        <v>6543</v>
      </c>
      <c r="C13" s="22"/>
      <c r="D13" s="60">
        <v>1971.4</v>
      </c>
      <c r="F13" s="100">
        <v>1971.4</v>
      </c>
      <c r="G13" s="101"/>
      <c r="H13" s="102"/>
      <c r="I13" s="24"/>
      <c r="J13" s="618">
        <f>F13-G13-H13-I13</f>
        <v>1971.4</v>
      </c>
      <c r="O13" s="64"/>
      <c r="P13" s="64"/>
    </row>
    <row r="14" spans="1:16" ht="13.5" customHeight="1" x14ac:dyDescent="0.2">
      <c r="A14" s="137" t="s">
        <v>3762</v>
      </c>
      <c r="B14" s="34" t="s">
        <v>6573</v>
      </c>
      <c r="C14" s="22"/>
      <c r="D14" s="60">
        <v>3500</v>
      </c>
      <c r="F14" s="100">
        <v>3500</v>
      </c>
      <c r="G14" s="101"/>
      <c r="H14" s="102"/>
      <c r="I14" s="24"/>
      <c r="J14" s="618">
        <f>F14-G14-H14-I14</f>
        <v>3500</v>
      </c>
      <c r="O14" s="64"/>
      <c r="P14" s="64"/>
    </row>
    <row r="15" spans="1:16" ht="13.5" customHeight="1" x14ac:dyDescent="0.2">
      <c r="A15" s="137" t="s">
        <v>3762</v>
      </c>
      <c r="B15" s="357" t="s">
        <v>6600</v>
      </c>
      <c r="C15" s="22"/>
      <c r="D15" s="60">
        <v>2050</v>
      </c>
      <c r="F15" s="100">
        <v>2050</v>
      </c>
      <c r="G15" s="101"/>
      <c r="H15" s="102"/>
      <c r="I15" s="24"/>
      <c r="J15" s="618">
        <f>F15-G15-H15-I15</f>
        <v>2050</v>
      </c>
      <c r="O15" s="64"/>
      <c r="P15" s="64"/>
    </row>
    <row r="16" spans="1:16" ht="13.5" customHeight="1" x14ac:dyDescent="0.2">
      <c r="A16" s="137" t="s">
        <v>3762</v>
      </c>
      <c r="B16" s="21" t="s">
        <v>6541</v>
      </c>
      <c r="C16" s="22"/>
      <c r="D16" s="60">
        <v>5000</v>
      </c>
      <c r="F16" s="100">
        <v>5000</v>
      </c>
      <c r="G16" s="101"/>
      <c r="H16" s="102"/>
      <c r="I16" s="24"/>
      <c r="J16" s="618">
        <f>F16-G16-H16-I16</f>
        <v>5000</v>
      </c>
      <c r="O16" s="64"/>
      <c r="P16" s="64"/>
    </row>
    <row r="17" spans="1:16" ht="13.5" customHeight="1" x14ac:dyDescent="0.2">
      <c r="A17" s="137" t="s">
        <v>3762</v>
      </c>
      <c r="B17" s="34" t="s">
        <v>6548</v>
      </c>
      <c r="C17" s="22"/>
      <c r="D17" s="60">
        <v>1200</v>
      </c>
      <c r="F17" s="100">
        <v>1200</v>
      </c>
      <c r="G17" s="101"/>
      <c r="H17" s="102"/>
      <c r="I17" s="24"/>
      <c r="J17" s="618">
        <f>F17-G17-H17-I17</f>
        <v>1200</v>
      </c>
    </row>
    <row r="18" spans="1:16" ht="13.5" customHeight="1" x14ac:dyDescent="0.2">
      <c r="A18" s="137" t="s">
        <v>3762</v>
      </c>
      <c r="B18" s="357" t="s">
        <v>6599</v>
      </c>
      <c r="C18" s="22"/>
      <c r="D18" s="1098">
        <v>190</v>
      </c>
      <c r="F18" s="100"/>
      <c r="G18" s="101"/>
      <c r="H18" s="102"/>
      <c r="I18" s="24"/>
      <c r="J18" s="618"/>
    </row>
    <row r="19" spans="1:16" ht="13.5" customHeight="1" x14ac:dyDescent="0.2">
      <c r="A19" s="137" t="s">
        <v>3762</v>
      </c>
      <c r="B19" s="34" t="s">
        <v>6564</v>
      </c>
      <c r="C19" s="22"/>
      <c r="D19" s="1098">
        <v>185</v>
      </c>
      <c r="G19" s="879">
        <f>SUM(G2:G16)</f>
        <v>640</v>
      </c>
    </row>
    <row r="20" spans="1:16" ht="13.5" customHeight="1" x14ac:dyDescent="0.2">
      <c r="A20" s="137" t="s">
        <v>3762</v>
      </c>
      <c r="B20" s="357" t="s">
        <v>6601</v>
      </c>
      <c r="C20" s="22"/>
      <c r="D20" s="1098">
        <v>209</v>
      </c>
      <c r="O20" s="64"/>
      <c r="P20" s="64"/>
    </row>
    <row r="21" spans="1:16" ht="13.5" customHeight="1" x14ac:dyDescent="0.2">
      <c r="A21" s="137" t="s">
        <v>3762</v>
      </c>
      <c r="B21" s="34" t="s">
        <v>6578</v>
      </c>
      <c r="C21" s="22"/>
      <c r="D21" s="1098">
        <v>190</v>
      </c>
    </row>
    <row r="22" spans="1:16" ht="13.5" customHeight="1" x14ac:dyDescent="0.2">
      <c r="A22" s="137" t="s">
        <v>3762</v>
      </c>
      <c r="B22" s="34" t="s">
        <v>6579</v>
      </c>
      <c r="C22" s="22"/>
      <c r="D22" s="1098">
        <v>185</v>
      </c>
    </row>
    <row r="23" spans="1:16" ht="13.5" customHeight="1" x14ac:dyDescent="0.2">
      <c r="A23" s="137" t="s">
        <v>3762</v>
      </c>
      <c r="B23" s="357" t="s">
        <v>6602</v>
      </c>
      <c r="C23" s="22"/>
      <c r="D23" s="1098">
        <v>190</v>
      </c>
    </row>
    <row r="24" spans="1:16" ht="13.5" customHeight="1" x14ac:dyDescent="0.2">
      <c r="A24" s="137" t="s">
        <v>3762</v>
      </c>
      <c r="B24" s="21" t="s">
        <v>6358</v>
      </c>
      <c r="C24" s="22"/>
      <c r="D24" s="1098">
        <v>150</v>
      </c>
    </row>
    <row r="25" spans="1:16" ht="13.5" customHeight="1" x14ac:dyDescent="0.2">
      <c r="A25" s="137" t="s">
        <v>3762</v>
      </c>
      <c r="B25" s="21" t="s">
        <v>6533</v>
      </c>
      <c r="C25" s="22"/>
      <c r="D25" s="1098">
        <v>220</v>
      </c>
    </row>
    <row r="26" spans="1:16" ht="13.5" customHeight="1" x14ac:dyDescent="0.2">
      <c r="A26" s="137" t="s">
        <v>3762</v>
      </c>
      <c r="B26" s="34" t="s">
        <v>6547</v>
      </c>
      <c r="C26" s="22"/>
      <c r="D26" s="1098">
        <v>60</v>
      </c>
    </row>
    <row r="27" spans="1:16" ht="13.5" customHeight="1" x14ac:dyDescent="0.2">
      <c r="A27" s="137" t="s">
        <v>3762</v>
      </c>
      <c r="B27" s="34" t="s">
        <v>6577</v>
      </c>
      <c r="C27" s="22"/>
      <c r="D27" s="1098">
        <v>50</v>
      </c>
    </row>
    <row r="28" spans="1:16" ht="13.5" customHeight="1" x14ac:dyDescent="0.2">
      <c r="A28" s="137" t="s">
        <v>3762</v>
      </c>
      <c r="B28" s="357" t="s">
        <v>6608</v>
      </c>
      <c r="C28" s="22"/>
      <c r="D28" s="1098">
        <v>88</v>
      </c>
      <c r="E28" s="1099">
        <f>SUM(D18:D28)</f>
        <v>1717</v>
      </c>
    </row>
    <row r="29" spans="1:16" ht="13.5" customHeight="1" x14ac:dyDescent="0.2">
      <c r="A29" s="137"/>
      <c r="B29" s="357"/>
      <c r="C29" s="22"/>
      <c r="D29" s="621">
        <f>SUM(D2:D28)</f>
        <v>27160.400000000001</v>
      </c>
    </row>
    <row r="30" spans="1:16" ht="13.5" customHeight="1" x14ac:dyDescent="0.2">
      <c r="A30" s="137"/>
      <c r="B30" s="357"/>
      <c r="C30" s="22"/>
      <c r="D30" s="60"/>
    </row>
    <row r="31" spans="1:16" ht="13.5" customHeight="1" x14ac:dyDescent="0.2">
      <c r="A31" s="137" t="s">
        <v>3762</v>
      </c>
      <c r="B31" s="63" t="s">
        <v>6625</v>
      </c>
      <c r="C31" s="22"/>
      <c r="D31" s="60">
        <v>323</v>
      </c>
      <c r="F31" s="100">
        <v>323</v>
      </c>
      <c r="G31" s="109"/>
      <c r="H31" s="109"/>
      <c r="I31" s="109"/>
      <c r="J31" s="618">
        <f t="shared" ref="J31:J36" si="1">F31-G31-H31-I31</f>
        <v>323</v>
      </c>
    </row>
    <row r="32" spans="1:16" ht="13.5" customHeight="1" x14ac:dyDescent="0.2">
      <c r="A32" s="137" t="s">
        <v>3762</v>
      </c>
      <c r="B32" s="21" t="s">
        <v>6532</v>
      </c>
      <c r="C32" s="22"/>
      <c r="D32" s="60">
        <v>355</v>
      </c>
      <c r="F32" s="100">
        <v>355</v>
      </c>
      <c r="G32" s="109"/>
      <c r="H32" s="109"/>
      <c r="I32" s="109"/>
      <c r="J32" s="618">
        <f t="shared" si="1"/>
        <v>355</v>
      </c>
    </row>
    <row r="33" spans="1:16" ht="13.5" customHeight="1" x14ac:dyDescent="0.2">
      <c r="A33" s="137" t="s">
        <v>3762</v>
      </c>
      <c r="B33" s="34" t="s">
        <v>6709</v>
      </c>
      <c r="C33" s="22"/>
      <c r="D33" s="60">
        <v>2250</v>
      </c>
      <c r="F33" s="100">
        <v>2296.13</v>
      </c>
      <c r="G33" s="109"/>
      <c r="H33" s="109"/>
      <c r="I33" s="109">
        <v>46.13</v>
      </c>
      <c r="J33" s="618">
        <f t="shared" si="1"/>
        <v>2250</v>
      </c>
      <c r="O33" s="64"/>
      <c r="P33" s="64"/>
    </row>
    <row r="34" spans="1:16" ht="13.5" customHeight="1" x14ac:dyDescent="0.2">
      <c r="A34" s="137" t="s">
        <v>3762</v>
      </c>
      <c r="B34" s="34" t="s">
        <v>6586</v>
      </c>
      <c r="C34" s="22"/>
      <c r="D34" s="60">
        <v>7500</v>
      </c>
      <c r="F34" s="100">
        <v>7500</v>
      </c>
      <c r="G34" s="109"/>
      <c r="H34" s="109"/>
      <c r="I34" s="109"/>
      <c r="J34" s="618">
        <f t="shared" si="1"/>
        <v>7500</v>
      </c>
      <c r="O34" s="64"/>
      <c r="P34" s="64"/>
    </row>
    <row r="35" spans="1:16" ht="13.5" customHeight="1" x14ac:dyDescent="0.2">
      <c r="A35" s="137" t="s">
        <v>3762</v>
      </c>
      <c r="B35" s="34" t="s">
        <v>6587</v>
      </c>
      <c r="C35" s="22"/>
      <c r="D35" s="60">
        <v>500</v>
      </c>
      <c r="F35" s="100">
        <v>500</v>
      </c>
      <c r="G35" s="109"/>
      <c r="H35" s="109"/>
      <c r="I35" s="109"/>
      <c r="J35" s="618">
        <f t="shared" si="1"/>
        <v>500</v>
      </c>
    </row>
    <row r="36" spans="1:16" ht="13.5" customHeight="1" x14ac:dyDescent="0.2">
      <c r="A36" s="137" t="s">
        <v>3762</v>
      </c>
      <c r="B36" s="138" t="s">
        <v>6651</v>
      </c>
      <c r="C36" s="284"/>
      <c r="D36" s="60">
        <v>19731.47</v>
      </c>
      <c r="F36" s="100">
        <v>19731.47</v>
      </c>
      <c r="G36" s="109"/>
      <c r="H36" s="109"/>
      <c r="I36" s="109"/>
      <c r="J36" s="618">
        <f t="shared" si="1"/>
        <v>19731.47</v>
      </c>
    </row>
    <row r="37" spans="1:16" ht="13.5" customHeight="1" x14ac:dyDescent="0.2">
      <c r="A37" s="137" t="s">
        <v>3762</v>
      </c>
      <c r="B37" s="138" t="s">
        <v>3542</v>
      </c>
      <c r="C37" s="284"/>
      <c r="D37" s="25">
        <v>46.13</v>
      </c>
      <c r="F37" s="668"/>
      <c r="G37" s="642"/>
      <c r="H37" s="642"/>
      <c r="I37" s="642"/>
      <c r="J37" s="405"/>
    </row>
    <row r="38" spans="1:16" ht="13.5" customHeight="1" x14ac:dyDescent="0.2">
      <c r="A38" s="137"/>
      <c r="B38" s="138"/>
      <c r="C38" s="284"/>
      <c r="D38" s="134">
        <f>SUM(D31:D37)</f>
        <v>30705.600000000002</v>
      </c>
      <c r="F38" s="1069"/>
      <c r="G38" s="883"/>
      <c r="H38" s="883"/>
      <c r="I38" s="883"/>
      <c r="J38" s="884"/>
    </row>
    <row r="39" spans="1:16" ht="13.5" customHeight="1" x14ac:dyDescent="0.2">
      <c r="A39" s="137"/>
      <c r="B39" s="138"/>
      <c r="C39" s="284"/>
      <c r="D39" s="25"/>
      <c r="F39" s="885"/>
      <c r="G39" s="1044">
        <f>SUM(G34,G18)</f>
        <v>0</v>
      </c>
      <c r="H39" s="1044">
        <f>SUM(H27:H34)</f>
        <v>0</v>
      </c>
      <c r="I39" s="1045">
        <f>SUM(I27:I34)</f>
        <v>46.13</v>
      </c>
      <c r="J39" s="887"/>
    </row>
    <row r="40" spans="1:16" ht="13.5" customHeight="1" x14ac:dyDescent="0.2">
      <c r="A40" s="137" t="s">
        <v>223</v>
      </c>
      <c r="B40" s="34" t="s">
        <v>189</v>
      </c>
      <c r="C40" s="284">
        <v>19622.93</v>
      </c>
      <c r="D40" s="25"/>
    </row>
    <row r="41" spans="1:16" ht="13.5" customHeight="1" x14ac:dyDescent="0.2">
      <c r="A41" s="137" t="s">
        <v>223</v>
      </c>
      <c r="B41" s="34" t="s">
        <v>189</v>
      </c>
      <c r="C41" s="284">
        <v>7568.55</v>
      </c>
      <c r="D41" s="25"/>
    </row>
    <row r="42" spans="1:16" ht="13.5" customHeight="1" x14ac:dyDescent="0.2">
      <c r="A42" s="137" t="s">
        <v>223</v>
      </c>
      <c r="B42" s="34" t="s">
        <v>189</v>
      </c>
      <c r="C42" s="284">
        <v>2296.13</v>
      </c>
      <c r="D42" s="25"/>
    </row>
    <row r="43" spans="1:16" ht="13.5" customHeight="1" x14ac:dyDescent="0.2">
      <c r="A43" s="137" t="s">
        <v>223</v>
      </c>
      <c r="B43" s="34" t="s">
        <v>189</v>
      </c>
      <c r="C43" s="284">
        <v>670.71</v>
      </c>
      <c r="D43" s="25"/>
    </row>
    <row r="44" spans="1:16" ht="13.5" customHeight="1" x14ac:dyDescent="0.2">
      <c r="A44" s="137" t="s">
        <v>223</v>
      </c>
      <c r="B44" s="34" t="s">
        <v>189</v>
      </c>
      <c r="C44" s="284">
        <v>360.8</v>
      </c>
      <c r="D44" s="25"/>
    </row>
    <row r="45" spans="1:16" ht="13.5" customHeight="1" x14ac:dyDescent="0.2">
      <c r="A45" s="137" t="s">
        <v>223</v>
      </c>
      <c r="B45" s="34" t="s">
        <v>769</v>
      </c>
      <c r="C45" s="284">
        <v>-2000</v>
      </c>
      <c r="D45" s="25"/>
    </row>
    <row r="46" spans="1:16" ht="13.5" customHeight="1" x14ac:dyDescent="0.2">
      <c r="A46" s="137" t="s">
        <v>223</v>
      </c>
      <c r="B46" s="34" t="s">
        <v>769</v>
      </c>
      <c r="C46" s="284">
        <v>-6000</v>
      </c>
      <c r="D46" s="25"/>
    </row>
    <row r="47" spans="1:16" ht="13.5" customHeight="1" x14ac:dyDescent="0.2">
      <c r="A47" s="137" t="s">
        <v>223</v>
      </c>
      <c r="B47" s="34" t="s">
        <v>174</v>
      </c>
      <c r="C47" s="284">
        <v>-16.41</v>
      </c>
      <c r="D47" s="25"/>
    </row>
    <row r="48" spans="1:16" ht="13.5" customHeight="1" x14ac:dyDescent="0.2">
      <c r="A48" s="137" t="s">
        <v>223</v>
      </c>
      <c r="B48" s="34" t="s">
        <v>174</v>
      </c>
      <c r="C48" s="284">
        <v>-113.76</v>
      </c>
      <c r="D48" s="25"/>
    </row>
    <row r="49" spans="1:14" ht="13.5" customHeight="1" x14ac:dyDescent="0.2">
      <c r="A49" s="137" t="s">
        <v>223</v>
      </c>
      <c r="B49" s="34" t="s">
        <v>174</v>
      </c>
      <c r="C49" s="284">
        <v>-190.7</v>
      </c>
      <c r="D49" s="25"/>
    </row>
    <row r="50" spans="1:14" ht="13.5" customHeight="1" x14ac:dyDescent="0.2">
      <c r="A50" s="137" t="s">
        <v>223</v>
      </c>
      <c r="B50" s="34" t="s">
        <v>174</v>
      </c>
      <c r="C50" s="284">
        <v>-351.58</v>
      </c>
      <c r="D50" s="25"/>
    </row>
    <row r="51" spans="1:14" ht="13.5" customHeight="1" x14ac:dyDescent="0.2">
      <c r="A51" s="137" t="s">
        <v>223</v>
      </c>
      <c r="B51" s="34" t="s">
        <v>174</v>
      </c>
      <c r="C51" s="284">
        <v>-431.15</v>
      </c>
      <c r="D51" s="25"/>
    </row>
    <row r="52" spans="1:14" ht="13.5" customHeight="1" x14ac:dyDescent="0.2">
      <c r="A52" s="137" t="s">
        <v>223</v>
      </c>
      <c r="B52" s="34" t="s">
        <v>174</v>
      </c>
      <c r="C52" s="284">
        <v>-492.83</v>
      </c>
      <c r="D52" s="25"/>
    </row>
    <row r="53" spans="1:14" ht="13.5" customHeight="1" x14ac:dyDescent="0.2">
      <c r="A53" s="137" t="s">
        <v>223</v>
      </c>
      <c r="B53" s="34" t="s">
        <v>174</v>
      </c>
      <c r="C53" s="284">
        <v>-616.41</v>
      </c>
      <c r="D53" s="16"/>
      <c r="E53" s="65"/>
      <c r="K53" s="64"/>
      <c r="L53" s="64"/>
      <c r="M53" s="64"/>
      <c r="N53" s="64"/>
    </row>
    <row r="54" spans="1:14" ht="13.5" customHeight="1" x14ac:dyDescent="0.2">
      <c r="A54" s="137" t="s">
        <v>223</v>
      </c>
      <c r="B54" s="36" t="s">
        <v>174</v>
      </c>
      <c r="C54" s="284">
        <v>-2757.49</v>
      </c>
      <c r="D54" s="25"/>
    </row>
    <row r="55" spans="1:14" ht="13.5" customHeight="1" x14ac:dyDescent="0.2">
      <c r="A55" s="137" t="s">
        <v>223</v>
      </c>
      <c r="B55" s="34" t="s">
        <v>174</v>
      </c>
      <c r="C55" s="284">
        <v>-4386.72</v>
      </c>
      <c r="D55" s="25"/>
      <c r="F55" s="64"/>
      <c r="G55" s="64"/>
      <c r="H55" s="64"/>
      <c r="I55" s="64"/>
      <c r="J55" s="64"/>
    </row>
    <row r="56" spans="1:14" ht="13.5" customHeight="1" x14ac:dyDescent="0.2">
      <c r="A56" s="137" t="s">
        <v>223</v>
      </c>
      <c r="B56" s="34" t="s">
        <v>174</v>
      </c>
      <c r="C56" s="284">
        <v>-5405.66</v>
      </c>
      <c r="D56" s="25"/>
    </row>
    <row r="57" spans="1:14" ht="13.5" customHeight="1" x14ac:dyDescent="0.2">
      <c r="A57" s="137"/>
      <c r="B57" s="34"/>
      <c r="C57" s="285">
        <f>SUM(C40:C56)</f>
        <v>7756.4099999999926</v>
      </c>
      <c r="D57" s="25"/>
    </row>
    <row r="58" spans="1:14" ht="13.5" customHeight="1" x14ac:dyDescent="0.2">
      <c r="A58" s="137"/>
      <c r="B58" s="34"/>
      <c r="C58" s="284"/>
      <c r="D58" s="25"/>
    </row>
    <row r="59" spans="1:14" ht="13.5" customHeight="1" x14ac:dyDescent="0.2">
      <c r="A59" s="137" t="s">
        <v>224</v>
      </c>
      <c r="B59" s="138" t="s">
        <v>128</v>
      </c>
      <c r="C59" s="284">
        <v>29.38</v>
      </c>
      <c r="D59" s="25"/>
    </row>
    <row r="60" spans="1:14" ht="13.5" customHeight="1" x14ac:dyDescent="0.2">
      <c r="A60" s="137" t="s">
        <v>224</v>
      </c>
      <c r="B60" s="34" t="s">
        <v>6595</v>
      </c>
      <c r="C60" s="284">
        <v>125.4</v>
      </c>
      <c r="D60" s="25"/>
    </row>
    <row r="61" spans="1:14" ht="13.5" customHeight="1" x14ac:dyDescent="0.2">
      <c r="A61" s="137" t="s">
        <v>224</v>
      </c>
      <c r="B61" s="34" t="s">
        <v>62</v>
      </c>
      <c r="C61" s="284">
        <v>502.78</v>
      </c>
      <c r="D61" s="25"/>
    </row>
    <row r="62" spans="1:14" ht="13.5" customHeight="1" x14ac:dyDescent="0.2">
      <c r="A62" s="137" t="s">
        <v>224</v>
      </c>
      <c r="B62" s="34" t="s">
        <v>6696</v>
      </c>
      <c r="C62" s="284">
        <v>28.18</v>
      </c>
      <c r="D62" s="1071"/>
    </row>
    <row r="63" spans="1:14" ht="13.5" customHeight="1" x14ac:dyDescent="0.2">
      <c r="A63" s="137" t="s">
        <v>224</v>
      </c>
      <c r="B63" s="34" t="s">
        <v>6694</v>
      </c>
      <c r="C63" s="284">
        <v>6.88</v>
      </c>
      <c r="D63" s="1071"/>
    </row>
    <row r="64" spans="1:14" ht="13.5" customHeight="1" x14ac:dyDescent="0.2">
      <c r="A64" s="137" t="s">
        <v>224</v>
      </c>
      <c r="B64" s="34" t="s">
        <v>6710</v>
      </c>
      <c r="C64" s="25">
        <v>373.33</v>
      </c>
      <c r="D64" s="25"/>
    </row>
    <row r="65" spans="1:7" ht="13.5" customHeight="1" x14ac:dyDescent="0.2">
      <c r="A65" s="137"/>
      <c r="B65" s="34"/>
      <c r="C65" s="285">
        <f>SUM(C59:C64)</f>
        <v>1065.9499999999998</v>
      </c>
      <c r="D65" s="25"/>
    </row>
    <row r="66" spans="1:7" ht="13.5" customHeight="1" x14ac:dyDescent="0.2">
      <c r="A66" s="137"/>
      <c r="B66" s="34"/>
      <c r="C66" s="284"/>
      <c r="D66" s="25"/>
    </row>
    <row r="67" spans="1:7" ht="13.5" customHeight="1" x14ac:dyDescent="0.2">
      <c r="A67" s="137" t="s">
        <v>224</v>
      </c>
      <c r="B67" s="21" t="s">
        <v>5977</v>
      </c>
      <c r="C67" s="22">
        <v>70</v>
      </c>
      <c r="D67" s="25"/>
    </row>
    <row r="68" spans="1:7" ht="13.5" customHeight="1" x14ac:dyDescent="0.2">
      <c r="A68" s="137" t="s">
        <v>224</v>
      </c>
      <c r="B68" s="34" t="s">
        <v>5977</v>
      </c>
      <c r="C68" s="22">
        <v>70</v>
      </c>
      <c r="D68" s="25"/>
    </row>
    <row r="69" spans="1:7" ht="13.5" customHeight="1" x14ac:dyDescent="0.2">
      <c r="A69" s="137" t="s">
        <v>224</v>
      </c>
      <c r="B69" s="34" t="s">
        <v>5977</v>
      </c>
      <c r="C69" s="22">
        <v>70</v>
      </c>
      <c r="D69" s="25"/>
    </row>
    <row r="70" spans="1:7" ht="13.5" customHeight="1" x14ac:dyDescent="0.2">
      <c r="A70" s="137" t="s">
        <v>224</v>
      </c>
      <c r="B70" s="357" t="s">
        <v>5977</v>
      </c>
      <c r="C70" s="22">
        <v>70</v>
      </c>
      <c r="D70" s="25"/>
    </row>
    <row r="71" spans="1:7" ht="13.5" customHeight="1" x14ac:dyDescent="0.2">
      <c r="A71" s="137" t="s">
        <v>224</v>
      </c>
      <c r="B71" s="21" t="s">
        <v>6409</v>
      </c>
      <c r="C71" s="22">
        <v>70</v>
      </c>
      <c r="D71" s="25"/>
    </row>
    <row r="72" spans="1:7" ht="13.5" customHeight="1" x14ac:dyDescent="0.2">
      <c r="A72" s="137" t="s">
        <v>224</v>
      </c>
      <c r="B72" s="34" t="s">
        <v>6409</v>
      </c>
      <c r="C72" s="22">
        <v>70</v>
      </c>
      <c r="D72" s="25"/>
    </row>
    <row r="73" spans="1:7" ht="13.5" customHeight="1" x14ac:dyDescent="0.2">
      <c r="A73" s="137" t="s">
        <v>224</v>
      </c>
      <c r="B73" s="34" t="s">
        <v>6409</v>
      </c>
      <c r="C73" s="22">
        <v>70</v>
      </c>
      <c r="D73" s="25"/>
    </row>
    <row r="74" spans="1:7" ht="13.5" customHeight="1" x14ac:dyDescent="0.2">
      <c r="A74" s="137" t="s">
        <v>224</v>
      </c>
      <c r="B74" s="357" t="s">
        <v>6409</v>
      </c>
      <c r="C74" s="22">
        <v>70</v>
      </c>
      <c r="D74" s="25">
        <f>C75-D75</f>
        <v>373.33333333333337</v>
      </c>
    </row>
    <row r="75" spans="1:7" ht="13.5" customHeight="1" x14ac:dyDescent="0.2">
      <c r="A75" s="137"/>
      <c r="B75" s="34"/>
      <c r="C75" s="1100">
        <f>SUM(C67:C74)</f>
        <v>560</v>
      </c>
      <c r="D75" s="25">
        <f>C75/3</f>
        <v>186.66666666666666</v>
      </c>
    </row>
    <row r="76" spans="1:7" ht="13.5" customHeight="1" x14ac:dyDescent="0.2">
      <c r="A76" s="137"/>
      <c r="B76" s="34"/>
      <c r="C76" s="284"/>
      <c r="D76" s="25"/>
    </row>
    <row r="77" spans="1:7" ht="13.5" customHeight="1" x14ac:dyDescent="0.2">
      <c r="A77" s="137" t="s">
        <v>225</v>
      </c>
      <c r="B77" s="34" t="s">
        <v>6653</v>
      </c>
      <c r="C77" s="285">
        <v>1416</v>
      </c>
      <c r="D77" s="25"/>
    </row>
    <row r="78" spans="1:7" ht="13.5" customHeight="1" x14ac:dyDescent="0.2">
      <c r="A78" s="137"/>
      <c r="B78" s="34"/>
      <c r="C78" s="284"/>
      <c r="D78" s="25"/>
    </row>
    <row r="79" spans="1:7" ht="13.5" customHeight="1" x14ac:dyDescent="0.2">
      <c r="A79" s="137"/>
      <c r="B79" s="34"/>
      <c r="C79" s="284"/>
      <c r="D79" s="25"/>
    </row>
    <row r="80" spans="1:7" ht="13.5" customHeight="1" x14ac:dyDescent="0.2">
      <c r="A80" s="137" t="s">
        <v>226</v>
      </c>
      <c r="B80" s="138" t="s">
        <v>127</v>
      </c>
      <c r="C80" s="284">
        <v>-26.41</v>
      </c>
      <c r="D80" s="25"/>
      <c r="F80" s="138"/>
      <c r="G80" s="22"/>
    </row>
    <row r="81" spans="1:16" ht="13.5" customHeight="1" x14ac:dyDescent="0.2">
      <c r="A81" s="137" t="s">
        <v>226</v>
      </c>
      <c r="B81" s="138" t="s">
        <v>127</v>
      </c>
      <c r="C81" s="284">
        <v>26.41</v>
      </c>
      <c r="D81" s="25"/>
      <c r="F81" s="138" t="s">
        <v>6711</v>
      </c>
      <c r="G81" s="22">
        <v>100</v>
      </c>
    </row>
    <row r="82" spans="1:16" ht="13.5" customHeight="1" x14ac:dyDescent="0.2">
      <c r="A82" s="137" t="s">
        <v>226</v>
      </c>
      <c r="B82" s="138" t="s">
        <v>6712</v>
      </c>
      <c r="C82" s="284">
        <v>-1210</v>
      </c>
      <c r="D82" s="25"/>
      <c r="F82" s="138"/>
      <c r="G82" s="22"/>
    </row>
    <row r="83" spans="1:16" ht="13.5" customHeight="1" x14ac:dyDescent="0.2">
      <c r="A83" s="137" t="s">
        <v>226</v>
      </c>
      <c r="B83" s="34" t="s">
        <v>558</v>
      </c>
      <c r="C83" s="284">
        <v>90.05</v>
      </c>
      <c r="D83" s="25"/>
      <c r="F83" s="357" t="s">
        <v>6610</v>
      </c>
      <c r="G83" s="22">
        <v>-14.75</v>
      </c>
    </row>
    <row r="84" spans="1:16" ht="13.5" customHeight="1" x14ac:dyDescent="0.2">
      <c r="A84" s="137" t="s">
        <v>226</v>
      </c>
      <c r="B84" s="34" t="s">
        <v>6572</v>
      </c>
      <c r="C84" s="22">
        <v>-45</v>
      </c>
      <c r="D84" s="25"/>
      <c r="F84" s="34" t="s">
        <v>6704</v>
      </c>
      <c r="G84" s="1101">
        <v>8.98</v>
      </c>
    </row>
    <row r="85" spans="1:16" ht="13.5" customHeight="1" x14ac:dyDescent="0.2">
      <c r="A85" s="137" t="s">
        <v>226</v>
      </c>
      <c r="B85" s="34" t="s">
        <v>6332</v>
      </c>
      <c r="C85" s="1101">
        <v>469.75</v>
      </c>
      <c r="D85" s="1075"/>
      <c r="F85" s="34" t="s">
        <v>6698</v>
      </c>
      <c r="G85" s="284">
        <v>310</v>
      </c>
    </row>
    <row r="86" spans="1:16" ht="13.5" customHeight="1" x14ac:dyDescent="0.2">
      <c r="A86" s="137"/>
      <c r="B86" s="34"/>
      <c r="C86" s="285">
        <f>SUM(C80:C85)</f>
        <v>-695.2</v>
      </c>
      <c r="D86" s="1075"/>
      <c r="E86" s="65"/>
      <c r="F86" s="34" t="s">
        <v>6669</v>
      </c>
      <c r="G86" s="284">
        <v>431.45</v>
      </c>
      <c r="K86" s="64"/>
      <c r="L86" s="64"/>
      <c r="M86" s="64"/>
      <c r="N86" s="64"/>
      <c r="O86"/>
      <c r="P86"/>
    </row>
    <row r="87" spans="1:16" ht="13.5" customHeight="1" x14ac:dyDescent="0.2">
      <c r="A87" s="137"/>
      <c r="B87" s="34"/>
      <c r="C87" s="1101"/>
      <c r="D87" s="1075"/>
      <c r="F87" s="34" t="s">
        <v>6700</v>
      </c>
      <c r="G87" s="1101">
        <v>5.99</v>
      </c>
    </row>
    <row r="88" spans="1:16" ht="13.5" customHeight="1" x14ac:dyDescent="0.2">
      <c r="A88" s="137" t="s">
        <v>226</v>
      </c>
      <c r="B88" s="34" t="s">
        <v>6556</v>
      </c>
      <c r="C88" s="22">
        <v>6</v>
      </c>
      <c r="D88" s="25"/>
      <c r="F88" s="34" t="s">
        <v>6596</v>
      </c>
      <c r="G88" s="284">
        <v>51.92</v>
      </c>
      <c r="H88" s="64"/>
      <c r="I88" s="64"/>
      <c r="J88" s="64"/>
    </row>
    <row r="89" spans="1:16" ht="13.5" customHeight="1" x14ac:dyDescent="0.2">
      <c r="A89" s="137" t="s">
        <v>226</v>
      </c>
      <c r="B89" s="34" t="s">
        <v>6674</v>
      </c>
      <c r="C89" s="284">
        <v>920</v>
      </c>
      <c r="D89" s="25"/>
      <c r="E89" s="65"/>
      <c r="F89" s="34" t="s">
        <v>6701</v>
      </c>
      <c r="G89" s="1101">
        <v>45.91</v>
      </c>
      <c r="K89" s="64"/>
      <c r="L89" s="64"/>
      <c r="M89" s="64"/>
      <c r="N89" s="64"/>
    </row>
    <row r="90" spans="1:16" ht="13.5" customHeight="1" x14ac:dyDescent="0.2">
      <c r="A90" s="137" t="s">
        <v>226</v>
      </c>
      <c r="B90" s="357" t="s">
        <v>6604</v>
      </c>
      <c r="C90" s="22">
        <v>28.27</v>
      </c>
      <c r="D90" s="25"/>
    </row>
    <row r="91" spans="1:16" ht="13.5" customHeight="1" x14ac:dyDescent="0.2">
      <c r="A91" s="137" t="s">
        <v>6713</v>
      </c>
      <c r="B91" s="63" t="s">
        <v>6607</v>
      </c>
      <c r="C91" s="675">
        <v>7.6</v>
      </c>
      <c r="D91" s="60"/>
    </row>
    <row r="92" spans="1:16" ht="13.5" customHeight="1" x14ac:dyDescent="0.2">
      <c r="A92" s="137" t="s">
        <v>226</v>
      </c>
      <c r="B92" s="357" t="s">
        <v>6613</v>
      </c>
      <c r="C92" s="22">
        <v>32</v>
      </c>
      <c r="D92" s="25"/>
      <c r="E92" s="65"/>
      <c r="H92" s="64"/>
      <c r="I92" s="64"/>
      <c r="J92" s="64"/>
      <c r="K92" s="64"/>
      <c r="L92" s="64"/>
      <c r="M92" s="64"/>
      <c r="N92" s="64"/>
    </row>
    <row r="93" spans="1:16" ht="13.5" customHeight="1" x14ac:dyDescent="0.2">
      <c r="A93" s="137" t="s">
        <v>226</v>
      </c>
      <c r="B93" s="21" t="s">
        <v>6552</v>
      </c>
      <c r="C93" s="22">
        <v>19.39</v>
      </c>
      <c r="D93" s="25"/>
      <c r="E93" s="65"/>
      <c r="H93" s="64"/>
      <c r="I93" s="64"/>
      <c r="J93" s="64"/>
      <c r="K93" s="64"/>
      <c r="L93" s="64"/>
      <c r="M93" s="64"/>
      <c r="N93" s="64"/>
    </row>
    <row r="94" spans="1:16" ht="13.5" customHeight="1" x14ac:dyDescent="0.2">
      <c r="A94" s="137" t="s">
        <v>226</v>
      </c>
      <c r="B94" s="34" t="s">
        <v>6554</v>
      </c>
      <c r="C94" s="22">
        <v>9.9499999999999993</v>
      </c>
      <c r="D94" s="25"/>
      <c r="E94" s="65"/>
      <c r="H94" s="64"/>
      <c r="I94" s="64"/>
      <c r="J94" s="64"/>
      <c r="K94" s="64"/>
      <c r="L94" s="64"/>
      <c r="M94" s="64"/>
      <c r="N94" s="64"/>
    </row>
    <row r="95" spans="1:16" ht="13.5" customHeight="1" x14ac:dyDescent="0.2">
      <c r="A95" s="386" t="s">
        <v>226</v>
      </c>
      <c r="B95" s="21" t="s">
        <v>6553</v>
      </c>
      <c r="C95" s="22">
        <v>23.86</v>
      </c>
      <c r="D95" s="25"/>
      <c r="E95" s="65"/>
      <c r="H95" s="64"/>
      <c r="I95" s="64"/>
      <c r="J95" s="64"/>
      <c r="K95" s="64"/>
      <c r="L95" s="64"/>
      <c r="M95" s="64"/>
      <c r="N95" s="64"/>
    </row>
    <row r="96" spans="1:16" ht="13.5" customHeight="1" x14ac:dyDescent="0.2">
      <c r="A96" s="137" t="s">
        <v>226</v>
      </c>
      <c r="B96" s="34" t="s">
        <v>6332</v>
      </c>
      <c r="C96" s="1101">
        <v>469.75</v>
      </c>
      <c r="D96" s="1075"/>
    </row>
    <row r="97" spans="1:16" ht="13.5" customHeight="1" x14ac:dyDescent="0.2">
      <c r="A97" s="386"/>
      <c r="B97" s="21"/>
      <c r="C97" s="1102">
        <f>SUM(C88:C96)</f>
        <v>1516.82</v>
      </c>
      <c r="D97" s="25"/>
    </row>
    <row r="98" spans="1:16" ht="13.5" customHeight="1" x14ac:dyDescent="0.2">
      <c r="A98" s="386"/>
      <c r="B98" s="21"/>
      <c r="C98" s="22"/>
      <c r="D98" s="25"/>
      <c r="H98" s="64"/>
      <c r="I98" s="64"/>
      <c r="J98" s="64"/>
    </row>
    <row r="99" spans="1:16" ht="13.5" customHeight="1" x14ac:dyDescent="0.2">
      <c r="A99" s="137" t="s">
        <v>229</v>
      </c>
      <c r="B99" s="34" t="s">
        <v>6710</v>
      </c>
      <c r="C99" s="25">
        <v>186.67</v>
      </c>
      <c r="D99" s="25"/>
      <c r="O99"/>
      <c r="P99"/>
    </row>
    <row r="100" spans="1:16" ht="13.5" customHeight="1" x14ac:dyDescent="0.2">
      <c r="A100" s="137" t="s">
        <v>229</v>
      </c>
      <c r="B100" s="34" t="s">
        <v>6714</v>
      </c>
      <c r="C100" s="314">
        <v>900</v>
      </c>
      <c r="D100" s="25"/>
      <c r="O100"/>
      <c r="P100"/>
    </row>
    <row r="101" spans="1:16" ht="13.5" customHeight="1" x14ac:dyDescent="0.2">
      <c r="A101" s="137" t="s">
        <v>229</v>
      </c>
      <c r="B101" s="138" t="s">
        <v>199</v>
      </c>
      <c r="C101" s="284">
        <v>113.76</v>
      </c>
      <c r="D101" s="1073" t="s">
        <v>6523</v>
      </c>
    </row>
    <row r="102" spans="1:16" ht="13.5" customHeight="1" x14ac:dyDescent="0.2">
      <c r="A102" s="137" t="s">
        <v>229</v>
      </c>
      <c r="B102" s="34" t="s">
        <v>180</v>
      </c>
      <c r="C102" s="284">
        <v>183.09</v>
      </c>
      <c r="D102" s="1073" t="s">
        <v>6523</v>
      </c>
    </row>
    <row r="103" spans="1:16" ht="13.5" customHeight="1" x14ac:dyDescent="0.2">
      <c r="A103" s="137" t="s">
        <v>229</v>
      </c>
      <c r="B103" s="34" t="s">
        <v>5732</v>
      </c>
      <c r="C103" s="284">
        <v>42.63</v>
      </c>
      <c r="D103" s="25"/>
    </row>
    <row r="104" spans="1:16" ht="13.5" customHeight="1" x14ac:dyDescent="0.2">
      <c r="A104" s="137" t="s">
        <v>229</v>
      </c>
      <c r="B104" s="34" t="s">
        <v>6699</v>
      </c>
      <c r="C104" s="284">
        <v>33.94</v>
      </c>
      <c r="D104" s="1071"/>
    </row>
    <row r="105" spans="1:16" ht="13.5" customHeight="1" x14ac:dyDescent="0.2">
      <c r="A105" s="137" t="s">
        <v>229</v>
      </c>
      <c r="B105" s="21" t="s">
        <v>6549</v>
      </c>
      <c r="C105" s="22">
        <v>28.8</v>
      </c>
      <c r="D105" s="25"/>
    </row>
    <row r="106" spans="1:16" ht="13.5" customHeight="1" x14ac:dyDescent="0.2">
      <c r="A106" s="137" t="s">
        <v>229</v>
      </c>
      <c r="B106" s="21" t="s">
        <v>6534</v>
      </c>
      <c r="C106" s="22">
        <v>10.26</v>
      </c>
      <c r="D106" s="25"/>
    </row>
    <row r="107" spans="1:16" ht="13.5" customHeight="1" x14ac:dyDescent="0.2">
      <c r="A107" s="137" t="s">
        <v>229</v>
      </c>
      <c r="B107" s="34" t="s">
        <v>6695</v>
      </c>
      <c r="C107" s="284">
        <v>90.76</v>
      </c>
      <c r="D107" s="1071"/>
    </row>
    <row r="108" spans="1:16" ht="13.5" customHeight="1" x14ac:dyDescent="0.2">
      <c r="A108" s="137" t="s">
        <v>229</v>
      </c>
      <c r="B108" s="34" t="s">
        <v>6695</v>
      </c>
      <c r="C108" s="284">
        <v>157.28</v>
      </c>
      <c r="D108" s="1071"/>
    </row>
    <row r="109" spans="1:16" ht="13.5" customHeight="1" x14ac:dyDescent="0.2">
      <c r="A109" s="137" t="s">
        <v>229</v>
      </c>
      <c r="B109" s="1103" t="s">
        <v>6593</v>
      </c>
      <c r="C109" s="22">
        <v>40</v>
      </c>
      <c r="D109" s="25"/>
    </row>
    <row r="110" spans="1:16" ht="13.5" customHeight="1" x14ac:dyDescent="0.2">
      <c r="A110" s="137" t="s">
        <v>229</v>
      </c>
      <c r="B110" s="34" t="s">
        <v>6569</v>
      </c>
      <c r="C110" s="22">
        <v>14.05</v>
      </c>
      <c r="D110" s="25"/>
    </row>
    <row r="111" spans="1:16" customFormat="1" x14ac:dyDescent="0.2">
      <c r="A111" s="137" t="s">
        <v>229</v>
      </c>
      <c r="B111" s="21" t="s">
        <v>6535</v>
      </c>
      <c r="C111" s="22">
        <v>18.100000000000001</v>
      </c>
      <c r="D111" s="25"/>
      <c r="E111" s="40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</row>
    <row r="112" spans="1:16" ht="13.5" customHeight="1" x14ac:dyDescent="0.2">
      <c r="A112" s="137" t="s">
        <v>229</v>
      </c>
      <c r="B112" s="34" t="s">
        <v>5660</v>
      </c>
      <c r="C112" s="22">
        <v>14.46</v>
      </c>
      <c r="D112" s="25"/>
    </row>
    <row r="113" spans="1:16" ht="13.5" customHeight="1" x14ac:dyDescent="0.2">
      <c r="A113" s="137" t="s">
        <v>229</v>
      </c>
      <c r="B113" s="34" t="s">
        <v>6559</v>
      </c>
      <c r="C113" s="22">
        <v>80</v>
      </c>
      <c r="D113" s="25"/>
    </row>
    <row r="114" spans="1:16" ht="13.5" customHeight="1" x14ac:dyDescent="0.2">
      <c r="A114" s="137" t="s">
        <v>229</v>
      </c>
      <c r="B114" s="34" t="s">
        <v>1013</v>
      </c>
      <c r="C114" s="284">
        <v>825</v>
      </c>
      <c r="D114" s="25"/>
    </row>
    <row r="115" spans="1:16" ht="13.5" customHeight="1" x14ac:dyDescent="0.2">
      <c r="A115" s="137" t="s">
        <v>229</v>
      </c>
      <c r="B115" s="34" t="s">
        <v>6693</v>
      </c>
      <c r="C115" s="284">
        <v>40.590000000000003</v>
      </c>
      <c r="D115" s="1071"/>
    </row>
    <row r="116" spans="1:16" ht="13.5" customHeight="1" x14ac:dyDescent="0.2">
      <c r="A116" s="137" t="s">
        <v>229</v>
      </c>
      <c r="B116" s="357" t="s">
        <v>6621</v>
      </c>
      <c r="C116" s="22">
        <v>800</v>
      </c>
      <c r="D116" s="25"/>
    </row>
    <row r="117" spans="1:16" customFormat="1" x14ac:dyDescent="0.2">
      <c r="A117" s="137" t="s">
        <v>229</v>
      </c>
      <c r="B117" s="34" t="s">
        <v>6558</v>
      </c>
      <c r="C117" s="22">
        <v>100</v>
      </c>
      <c r="D117" s="25"/>
      <c r="E117" s="40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</row>
    <row r="118" spans="1:16" ht="13.5" customHeight="1" x14ac:dyDescent="0.2">
      <c r="A118" s="137" t="s">
        <v>229</v>
      </c>
      <c r="B118" s="34" t="s">
        <v>5933</v>
      </c>
      <c r="C118" s="22">
        <v>1000</v>
      </c>
      <c r="D118" s="25"/>
    </row>
    <row r="119" spans="1:16" ht="13.5" customHeight="1" x14ac:dyDescent="0.2">
      <c r="A119" s="137" t="s">
        <v>229</v>
      </c>
      <c r="B119" s="34" t="s">
        <v>6661</v>
      </c>
      <c r="C119" s="284">
        <v>634.27</v>
      </c>
      <c r="D119" s="25"/>
    </row>
    <row r="120" spans="1:16" ht="13.5" customHeight="1" x14ac:dyDescent="0.2">
      <c r="A120" s="137" t="s">
        <v>229</v>
      </c>
      <c r="B120" s="63" t="s">
        <v>6258</v>
      </c>
      <c r="C120" s="1097">
        <v>1.25</v>
      </c>
      <c r="D120" s="25"/>
    </row>
    <row r="121" spans="1:16" ht="13.5" customHeight="1" x14ac:dyDescent="0.2">
      <c r="A121" s="137" t="s">
        <v>229</v>
      </c>
      <c r="B121" s="63" t="s">
        <v>6598</v>
      </c>
      <c r="C121" s="1097">
        <v>78.760000000000005</v>
      </c>
      <c r="D121" s="25"/>
    </row>
    <row r="122" spans="1:16" ht="13.5" customHeight="1" x14ac:dyDescent="0.2">
      <c r="A122" s="137" t="s">
        <v>229</v>
      </c>
      <c r="B122" s="63" t="s">
        <v>6618</v>
      </c>
      <c r="C122" s="1097">
        <v>3.54</v>
      </c>
      <c r="D122" s="25"/>
    </row>
    <row r="123" spans="1:16" ht="13.5" customHeight="1" x14ac:dyDescent="0.2">
      <c r="A123" s="137"/>
      <c r="B123" s="63"/>
      <c r="C123" s="1104">
        <f>SUM(C99:C122)</f>
        <v>5397.21</v>
      </c>
      <c r="D123" s="134">
        <f>C123/2</f>
        <v>2698.605</v>
      </c>
    </row>
    <row r="124" spans="1:16" ht="13.5" customHeight="1" x14ac:dyDescent="0.2">
      <c r="A124" s="137"/>
      <c r="B124" s="63"/>
      <c r="C124" s="1097"/>
      <c r="D124" s="25"/>
    </row>
    <row r="125" spans="1:16" ht="13.5" customHeight="1" x14ac:dyDescent="0.2">
      <c r="A125" s="137" t="s">
        <v>418</v>
      </c>
      <c r="B125" s="36" t="s">
        <v>382</v>
      </c>
      <c r="C125" s="763">
        <v>342.88</v>
      </c>
      <c r="D125" s="25"/>
    </row>
    <row r="126" spans="1:16" ht="13.5" customHeight="1" x14ac:dyDescent="0.2">
      <c r="A126" s="137"/>
      <c r="B126" s="36"/>
      <c r="C126" s="12"/>
      <c r="D126" s="25"/>
    </row>
    <row r="127" spans="1:16" ht="13.5" customHeight="1" x14ac:dyDescent="0.2">
      <c r="A127" s="137" t="s">
        <v>419</v>
      </c>
      <c r="B127" s="36" t="s">
        <v>394</v>
      </c>
      <c r="C127" s="763">
        <v>1241.43</v>
      </c>
      <c r="D127" s="25"/>
    </row>
    <row r="128" spans="1:16" ht="13.5" customHeight="1" x14ac:dyDescent="0.2">
      <c r="A128" s="137"/>
      <c r="B128" s="34"/>
      <c r="C128" s="1100"/>
      <c r="D128" s="25"/>
    </row>
    <row r="129" spans="1:16" ht="13.5" customHeight="1" x14ac:dyDescent="0.2">
      <c r="A129" s="137" t="s">
        <v>419</v>
      </c>
      <c r="B129" s="34" t="s">
        <v>6672</v>
      </c>
      <c r="C129" s="285">
        <v>1013.1</v>
      </c>
      <c r="D129" s="25"/>
    </row>
    <row r="130" spans="1:16" ht="13.5" customHeight="1" x14ac:dyDescent="0.2">
      <c r="A130" s="137"/>
      <c r="B130" s="34"/>
      <c r="C130" s="284"/>
      <c r="D130" s="25"/>
    </row>
    <row r="131" spans="1:16" ht="13.5" customHeight="1" x14ac:dyDescent="0.2">
      <c r="A131" s="137" t="s">
        <v>232</v>
      </c>
      <c r="B131" s="34" t="s">
        <v>749</v>
      </c>
      <c r="C131" s="284">
        <v>950.84</v>
      </c>
      <c r="D131" s="25"/>
    </row>
    <row r="132" spans="1:16" ht="13.5" customHeight="1" x14ac:dyDescent="0.2">
      <c r="A132" s="137" t="s">
        <v>232</v>
      </c>
      <c r="B132" s="34" t="s">
        <v>751</v>
      </c>
      <c r="C132" s="284">
        <v>568.61</v>
      </c>
      <c r="D132" s="25"/>
      <c r="F132" t="s">
        <v>232</v>
      </c>
    </row>
    <row r="133" spans="1:16" ht="13.5" customHeight="1" x14ac:dyDescent="0.2">
      <c r="A133" s="137" t="s">
        <v>232</v>
      </c>
      <c r="B133" s="34" t="s">
        <v>6715</v>
      </c>
      <c r="C133" s="284">
        <v>3659.4199999999996</v>
      </c>
      <c r="D133" s="25"/>
      <c r="F133" s="1105" t="s">
        <v>6716</v>
      </c>
      <c r="G133" s="1106">
        <v>3117.09</v>
      </c>
    </row>
    <row r="134" spans="1:16" ht="13.5" customHeight="1" x14ac:dyDescent="0.2">
      <c r="A134" s="137"/>
      <c r="B134" s="34"/>
      <c r="C134" s="285">
        <f>SUM(C131:C133)</f>
        <v>5178.87</v>
      </c>
      <c r="D134" s="25"/>
      <c r="F134" s="1105" t="s">
        <v>6717</v>
      </c>
      <c r="G134" s="1106">
        <v>1654.3</v>
      </c>
    </row>
    <row r="135" spans="1:16" ht="13.5" customHeight="1" x14ac:dyDescent="0.2">
      <c r="A135" s="137"/>
      <c r="B135" s="34"/>
      <c r="C135" s="284"/>
      <c r="D135" s="25"/>
      <c r="F135" s="1107" t="s">
        <v>6718</v>
      </c>
      <c r="G135" s="1108">
        <v>9.5</v>
      </c>
    </row>
    <row r="136" spans="1:16" customFormat="1" x14ac:dyDescent="0.2">
      <c r="A136" s="137" t="s">
        <v>232</v>
      </c>
      <c r="B136" s="34" t="s">
        <v>6719</v>
      </c>
      <c r="C136" s="285">
        <v>3659.4199999999996</v>
      </c>
      <c r="D136" s="25"/>
      <c r="E136" s="40"/>
      <c r="F136" s="1105" t="s">
        <v>6720</v>
      </c>
      <c r="G136" s="1108">
        <v>8.4</v>
      </c>
      <c r="H136" s="1"/>
      <c r="I136" s="1"/>
      <c r="J136" s="1"/>
      <c r="K136" s="1"/>
      <c r="L136" s="1"/>
      <c r="M136" s="1"/>
      <c r="N136" s="1"/>
      <c r="O136" s="1"/>
      <c r="P136" s="1"/>
    </row>
    <row r="137" spans="1:16" customFormat="1" x14ac:dyDescent="0.2">
      <c r="A137" s="137"/>
      <c r="B137" s="36"/>
      <c r="C137" s="89"/>
      <c r="D137" s="1109"/>
      <c r="E137" s="40"/>
      <c r="F137" s="1107" t="s">
        <v>6721</v>
      </c>
      <c r="G137" s="1108">
        <v>20.45</v>
      </c>
      <c r="H137" s="1"/>
      <c r="I137" s="1"/>
      <c r="J137" s="1"/>
      <c r="K137" s="1"/>
      <c r="L137" s="1"/>
      <c r="M137" s="1"/>
      <c r="N137" s="1"/>
      <c r="O137" s="1"/>
      <c r="P137" s="1"/>
    </row>
    <row r="138" spans="1:16" ht="13.5" customHeight="1" x14ac:dyDescent="0.2">
      <c r="A138" s="386"/>
      <c r="B138" s="36"/>
      <c r="C138" s="675"/>
      <c r="D138" s="1109"/>
      <c r="F138" s="1107" t="s">
        <v>6722</v>
      </c>
      <c r="G138" s="1108">
        <v>9.4</v>
      </c>
    </row>
    <row r="139" spans="1:16" ht="13.5" customHeight="1" x14ac:dyDescent="0.2">
      <c r="A139" s="137" t="s">
        <v>234</v>
      </c>
      <c r="B139" s="36" t="s">
        <v>6582</v>
      </c>
      <c r="C139" s="675">
        <v>3.5</v>
      </c>
      <c r="D139" s="1109"/>
      <c r="F139" s="1105" t="s">
        <v>6723</v>
      </c>
      <c r="G139" s="1108">
        <v>9.6999999999999993</v>
      </c>
    </row>
    <row r="140" spans="1:16" ht="13.5" customHeight="1" x14ac:dyDescent="0.2">
      <c r="A140" s="137" t="s">
        <v>234</v>
      </c>
      <c r="B140" s="36" t="s">
        <v>6542</v>
      </c>
      <c r="C140" s="675">
        <v>46</v>
      </c>
      <c r="D140" s="1109"/>
      <c r="F140" s="1107" t="s">
        <v>6724</v>
      </c>
      <c r="G140" s="1108">
        <v>200</v>
      </c>
    </row>
    <row r="141" spans="1:16" ht="13.5" customHeight="1" x14ac:dyDescent="0.2">
      <c r="A141" s="137" t="s">
        <v>234</v>
      </c>
      <c r="B141" s="63" t="s">
        <v>6612</v>
      </c>
      <c r="C141" s="675">
        <v>29</v>
      </c>
      <c r="D141" s="1109"/>
      <c r="F141" s="1105" t="s">
        <v>6725</v>
      </c>
      <c r="G141" s="1110">
        <v>200</v>
      </c>
    </row>
    <row r="142" spans="1:16" ht="13.5" customHeight="1" x14ac:dyDescent="0.2">
      <c r="A142" s="137" t="s">
        <v>234</v>
      </c>
      <c r="B142" s="36" t="s">
        <v>6584</v>
      </c>
      <c r="C142" s="675">
        <v>20</v>
      </c>
      <c r="D142" s="1109"/>
      <c r="F142" s="1107" t="s">
        <v>6726</v>
      </c>
      <c r="G142" s="1108">
        <v>240</v>
      </c>
    </row>
    <row r="143" spans="1:16" ht="13.5" customHeight="1" x14ac:dyDescent="0.2">
      <c r="A143" s="137" t="s">
        <v>234</v>
      </c>
      <c r="B143" s="36" t="s">
        <v>6581</v>
      </c>
      <c r="C143" s="675">
        <v>2.5</v>
      </c>
      <c r="D143" s="1109"/>
      <c r="F143" s="1107" t="s">
        <v>6726</v>
      </c>
      <c r="G143" s="1108">
        <v>300</v>
      </c>
    </row>
    <row r="144" spans="1:16" ht="13.5" customHeight="1" x14ac:dyDescent="0.2">
      <c r="A144" s="137" t="s">
        <v>234</v>
      </c>
      <c r="B144" s="36" t="s">
        <v>6684</v>
      </c>
      <c r="C144" s="89">
        <v>606.51</v>
      </c>
      <c r="D144" s="1109"/>
      <c r="F144" s="1086" t="s">
        <v>6726</v>
      </c>
      <c r="G144" s="1108">
        <v>300</v>
      </c>
    </row>
    <row r="145" spans="1:14" ht="13.5" customHeight="1" x14ac:dyDescent="0.2">
      <c r="A145" s="137" t="s">
        <v>234</v>
      </c>
      <c r="B145" s="36" t="s">
        <v>6113</v>
      </c>
      <c r="C145" s="675">
        <v>3.25</v>
      </c>
      <c r="D145" s="1109"/>
      <c r="F145" s="1105" t="s">
        <v>6727</v>
      </c>
      <c r="G145" s="1111">
        <v>200</v>
      </c>
    </row>
    <row r="146" spans="1:14" ht="13.5" customHeight="1" x14ac:dyDescent="0.2">
      <c r="A146" s="137" t="s">
        <v>234</v>
      </c>
      <c r="B146" s="56" t="s">
        <v>6551</v>
      </c>
      <c r="C146" s="675">
        <v>4.5</v>
      </c>
      <c r="D146" s="1109"/>
      <c r="F146" s="750" t="s">
        <v>6728</v>
      </c>
      <c r="G146" s="1112">
        <v>200</v>
      </c>
    </row>
    <row r="147" spans="1:14" ht="13.5" customHeight="1" x14ac:dyDescent="0.2">
      <c r="A147" s="137" t="s">
        <v>234</v>
      </c>
      <c r="B147" s="36" t="s">
        <v>6574</v>
      </c>
      <c r="C147" s="675">
        <v>5.3</v>
      </c>
      <c r="D147" s="1109"/>
      <c r="F147" s="1107" t="s">
        <v>6728</v>
      </c>
      <c r="G147" s="1112">
        <v>250</v>
      </c>
    </row>
    <row r="148" spans="1:14" ht="13.5" customHeight="1" x14ac:dyDescent="0.2">
      <c r="A148" s="137" t="s">
        <v>234</v>
      </c>
      <c r="B148" s="36" t="s">
        <v>6690</v>
      </c>
      <c r="C148" s="89">
        <v>10</v>
      </c>
      <c r="D148" s="1113"/>
      <c r="E148" s="65"/>
      <c r="F148" s="1107" t="s">
        <v>6728</v>
      </c>
      <c r="G148" s="1112">
        <v>250</v>
      </c>
      <c r="K148" s="64"/>
      <c r="L148" s="64"/>
      <c r="M148" s="64"/>
      <c r="N148" s="64"/>
    </row>
    <row r="149" spans="1:14" ht="13.5" customHeight="1" x14ac:dyDescent="0.2">
      <c r="A149" s="137" t="s">
        <v>234</v>
      </c>
      <c r="B149" s="36" t="s">
        <v>6678</v>
      </c>
      <c r="C149" s="89">
        <v>110</v>
      </c>
      <c r="D149" s="1109"/>
      <c r="F149" s="1114" t="s">
        <v>6728</v>
      </c>
      <c r="G149" s="1112">
        <v>250</v>
      </c>
    </row>
    <row r="150" spans="1:14" ht="13.5" customHeight="1" x14ac:dyDescent="0.2">
      <c r="A150" s="137" t="s">
        <v>234</v>
      </c>
      <c r="B150" s="36" t="s">
        <v>6643</v>
      </c>
      <c r="C150" s="89">
        <v>202.65</v>
      </c>
      <c r="D150" s="1109"/>
      <c r="F150" s="750" t="s">
        <v>6729</v>
      </c>
      <c r="G150" s="1115">
        <v>100</v>
      </c>
      <c r="H150" s="64"/>
      <c r="I150" s="64"/>
      <c r="J150" s="64"/>
    </row>
    <row r="151" spans="1:14" ht="13.5" customHeight="1" x14ac:dyDescent="0.2">
      <c r="A151" s="137" t="s">
        <v>234</v>
      </c>
      <c r="B151" s="36" t="s">
        <v>6537</v>
      </c>
      <c r="C151" s="675">
        <v>1.6</v>
      </c>
      <c r="D151" s="1109"/>
    </row>
    <row r="152" spans="1:14" ht="13.5" customHeight="1" x14ac:dyDescent="0.2">
      <c r="A152" s="137" t="s">
        <v>234</v>
      </c>
      <c r="B152" s="36" t="s">
        <v>6583</v>
      </c>
      <c r="C152" s="675">
        <v>21.5</v>
      </c>
      <c r="D152" s="1109"/>
    </row>
    <row r="153" spans="1:14" ht="13.5" customHeight="1" x14ac:dyDescent="0.2">
      <c r="A153" s="137" t="s">
        <v>234</v>
      </c>
      <c r="B153" s="32" t="s">
        <v>6706</v>
      </c>
      <c r="C153" s="82">
        <v>9.9</v>
      </c>
      <c r="D153" s="1116"/>
    </row>
    <row r="154" spans="1:14" ht="13.5" customHeight="1" x14ac:dyDescent="0.2">
      <c r="A154" s="137" t="s">
        <v>234</v>
      </c>
      <c r="B154" s="36" t="s">
        <v>6650</v>
      </c>
      <c r="C154" s="89">
        <v>108.54</v>
      </c>
      <c r="D154" s="1109"/>
    </row>
    <row r="155" spans="1:14" ht="13.5" customHeight="1" x14ac:dyDescent="0.2">
      <c r="A155" s="137" t="s">
        <v>234</v>
      </c>
      <c r="B155" s="36" t="s">
        <v>6634</v>
      </c>
      <c r="C155" s="89">
        <v>79.489999999999995</v>
      </c>
      <c r="D155" s="1109"/>
    </row>
    <row r="156" spans="1:14" ht="13.5" customHeight="1" x14ac:dyDescent="0.2">
      <c r="A156" s="137" t="s">
        <v>234</v>
      </c>
      <c r="B156" s="36" t="s">
        <v>6642</v>
      </c>
      <c r="C156" s="89">
        <v>228.5</v>
      </c>
      <c r="D156" s="1109"/>
    </row>
    <row r="157" spans="1:14" ht="13.5" customHeight="1" x14ac:dyDescent="0.2">
      <c r="A157" s="137" t="s">
        <v>234</v>
      </c>
      <c r="B157" s="56" t="s">
        <v>6250</v>
      </c>
      <c r="C157" s="675">
        <v>2</v>
      </c>
      <c r="D157" s="1109"/>
    </row>
    <row r="158" spans="1:14" ht="13.5" customHeight="1" x14ac:dyDescent="0.2">
      <c r="A158" s="137" t="s">
        <v>234</v>
      </c>
      <c r="B158" s="36" t="s">
        <v>6580</v>
      </c>
      <c r="C158" s="675">
        <v>2.4</v>
      </c>
      <c r="D158" s="1109"/>
    </row>
    <row r="159" spans="1:14" ht="13.5" customHeight="1" x14ac:dyDescent="0.2">
      <c r="A159" s="137" t="s">
        <v>234</v>
      </c>
      <c r="B159" s="36" t="s">
        <v>6656</v>
      </c>
      <c r="C159" s="89">
        <v>259</v>
      </c>
      <c r="D159" s="1109"/>
    </row>
    <row r="160" spans="1:14" ht="13.5" customHeight="1" x14ac:dyDescent="0.2">
      <c r="A160" s="137" t="s">
        <v>234</v>
      </c>
      <c r="B160" s="32" t="s">
        <v>6705</v>
      </c>
      <c r="C160" s="82">
        <v>38.4</v>
      </c>
      <c r="D160" s="1116"/>
    </row>
    <row r="161" spans="1:16" ht="13.5" customHeight="1" x14ac:dyDescent="0.2">
      <c r="A161" s="137" t="s">
        <v>234</v>
      </c>
      <c r="B161" s="21" t="s">
        <v>6550</v>
      </c>
      <c r="C161" s="675">
        <v>6.25</v>
      </c>
      <c r="D161" s="1109"/>
    </row>
    <row r="162" spans="1:16" ht="13.5" customHeight="1" x14ac:dyDescent="0.2">
      <c r="A162" s="137" t="s">
        <v>234</v>
      </c>
      <c r="B162" s="36" t="s">
        <v>6539</v>
      </c>
      <c r="C162" s="675">
        <v>30</v>
      </c>
      <c r="D162" s="1109"/>
    </row>
    <row r="163" spans="1:16" ht="13.5" customHeight="1" x14ac:dyDescent="0.2">
      <c r="A163" s="137" t="s">
        <v>234</v>
      </c>
      <c r="B163" s="63" t="s">
        <v>6620</v>
      </c>
      <c r="C163" s="675">
        <v>59.4</v>
      </c>
      <c r="D163" s="60"/>
    </row>
    <row r="164" spans="1:16" ht="13.5" customHeight="1" x14ac:dyDescent="0.2">
      <c r="A164" s="137"/>
      <c r="B164" s="63"/>
      <c r="C164" s="1117">
        <f>SUM(C139:C163)</f>
        <v>1890.1900000000003</v>
      </c>
      <c r="D164" s="60"/>
    </row>
    <row r="165" spans="1:16" ht="13.5" customHeight="1" x14ac:dyDescent="0.2">
      <c r="A165" s="137"/>
      <c r="B165" s="63"/>
      <c r="C165" s="675"/>
      <c r="D165" s="60"/>
    </row>
    <row r="166" spans="1:16" ht="13.5" customHeight="1" x14ac:dyDescent="0.2">
      <c r="A166" s="137" t="s">
        <v>234</v>
      </c>
      <c r="B166" s="36" t="s">
        <v>6568</v>
      </c>
      <c r="C166" s="675">
        <v>7</v>
      </c>
      <c r="D166" s="60"/>
    </row>
    <row r="167" spans="1:16" ht="13.5" customHeight="1" x14ac:dyDescent="0.2">
      <c r="A167" s="137" t="s">
        <v>234</v>
      </c>
      <c r="B167" s="63" t="s">
        <v>6619</v>
      </c>
      <c r="C167" s="675">
        <v>67.23</v>
      </c>
      <c r="D167" s="60"/>
    </row>
    <row r="168" spans="1:16" ht="13.5" customHeight="1" x14ac:dyDescent="0.2">
      <c r="A168" s="137" t="s">
        <v>234</v>
      </c>
      <c r="B168" s="63" t="s">
        <v>6614</v>
      </c>
      <c r="C168" s="675">
        <v>1.7</v>
      </c>
      <c r="D168" s="60"/>
    </row>
    <row r="169" spans="1:16" ht="13.5" customHeight="1" x14ac:dyDescent="0.2">
      <c r="A169" s="137" t="s">
        <v>234</v>
      </c>
      <c r="B169" s="63" t="s">
        <v>6606</v>
      </c>
      <c r="C169" s="675">
        <v>34</v>
      </c>
      <c r="D169" s="60"/>
    </row>
    <row r="170" spans="1:16" ht="13.5" customHeight="1" x14ac:dyDescent="0.2">
      <c r="A170" s="386" t="s">
        <v>234</v>
      </c>
      <c r="B170" s="63" t="s">
        <v>6605</v>
      </c>
      <c r="C170" s="675">
        <v>14.6</v>
      </c>
      <c r="D170" s="60"/>
    </row>
    <row r="171" spans="1:16" ht="13.5" customHeight="1" x14ac:dyDescent="0.2">
      <c r="A171" s="137" t="s">
        <v>234</v>
      </c>
      <c r="B171" s="36" t="s">
        <v>6555</v>
      </c>
      <c r="C171" s="675">
        <v>5.7</v>
      </c>
      <c r="D171" s="60"/>
    </row>
    <row r="172" spans="1:16" ht="13.5" customHeight="1" x14ac:dyDescent="0.2">
      <c r="A172" s="137" t="s">
        <v>234</v>
      </c>
      <c r="B172" s="32" t="s">
        <v>6702</v>
      </c>
      <c r="C172" s="82">
        <v>15.9</v>
      </c>
      <c r="D172" s="67"/>
    </row>
    <row r="173" spans="1:16" ht="13.5" customHeight="1" x14ac:dyDescent="0.2">
      <c r="A173" s="386" t="s">
        <v>234</v>
      </c>
      <c r="B173" s="36" t="s">
        <v>6655</v>
      </c>
      <c r="C173" s="89">
        <v>1082.49</v>
      </c>
      <c r="D173" s="60"/>
      <c r="O173"/>
      <c r="P173"/>
    </row>
    <row r="174" spans="1:16" ht="13.5" customHeight="1" x14ac:dyDescent="0.2">
      <c r="A174" s="386" t="s">
        <v>234</v>
      </c>
      <c r="B174" s="32" t="s">
        <v>6703</v>
      </c>
      <c r="C174" s="82">
        <v>10</v>
      </c>
      <c r="D174" s="67"/>
    </row>
    <row r="175" spans="1:16" ht="13.5" customHeight="1" x14ac:dyDescent="0.2">
      <c r="A175" s="386"/>
      <c r="B175" s="138"/>
      <c r="C175" s="266">
        <f>SUM(C166:C174)</f>
        <v>1238.6199999999999</v>
      </c>
      <c r="D175" s="67"/>
    </row>
    <row r="176" spans="1:16" ht="13.5" customHeight="1" x14ac:dyDescent="0.2">
      <c r="A176" s="386"/>
      <c r="B176" s="138"/>
      <c r="C176" s="82"/>
      <c r="D176" s="67"/>
    </row>
    <row r="177" spans="1:14" ht="13.5" customHeight="1" x14ac:dyDescent="0.2">
      <c r="A177" s="137" t="s">
        <v>235</v>
      </c>
      <c r="B177" s="34" t="s">
        <v>195</v>
      </c>
      <c r="C177" s="89">
        <v>318.24</v>
      </c>
      <c r="D177" s="60"/>
    </row>
    <row r="178" spans="1:14" ht="13.5" customHeight="1" x14ac:dyDescent="0.2">
      <c r="A178" s="386" t="s">
        <v>235</v>
      </c>
      <c r="B178" s="36" t="s">
        <v>194</v>
      </c>
      <c r="C178" s="89">
        <v>68.95</v>
      </c>
      <c r="D178" s="60"/>
      <c r="E178" s="65"/>
      <c r="K178" s="64"/>
      <c r="L178" s="64"/>
      <c r="M178" s="64"/>
      <c r="N178" s="64"/>
    </row>
    <row r="179" spans="1:14" ht="13.5" customHeight="1" x14ac:dyDescent="0.2">
      <c r="A179" s="386"/>
      <c r="B179" s="36"/>
      <c r="C179" s="266">
        <f>SUM(C177:C178)</f>
        <v>387.19</v>
      </c>
      <c r="D179" s="60"/>
    </row>
    <row r="180" spans="1:14" ht="13.5" customHeight="1" x14ac:dyDescent="0.2">
      <c r="A180" s="386"/>
      <c r="B180" s="36"/>
      <c r="C180" s="89"/>
      <c r="D180" s="60"/>
      <c r="F180" s="64"/>
      <c r="G180" s="64"/>
      <c r="H180" s="64"/>
      <c r="I180" s="64"/>
      <c r="J180" s="64"/>
    </row>
    <row r="181" spans="1:14" ht="13.5" customHeight="1" x14ac:dyDescent="0.2">
      <c r="A181" s="137" t="s">
        <v>3764</v>
      </c>
      <c r="B181" s="32" t="s">
        <v>6692</v>
      </c>
      <c r="C181" s="1118">
        <v>4700</v>
      </c>
      <c r="D181" s="421">
        <f>C181/2</f>
        <v>2350</v>
      </c>
      <c r="F181" s="64"/>
      <c r="G181" s="64"/>
      <c r="H181" s="64"/>
      <c r="I181" s="64"/>
      <c r="J181" s="64"/>
    </row>
    <row r="182" spans="1:14" ht="13.5" customHeight="1" x14ac:dyDescent="0.2">
      <c r="A182" s="137"/>
      <c r="B182" s="32"/>
      <c r="C182" s="89"/>
      <c r="D182" s="61"/>
      <c r="F182" s="64"/>
      <c r="G182" s="64"/>
      <c r="H182" s="64"/>
      <c r="I182" s="64"/>
      <c r="J182" s="64"/>
    </row>
    <row r="183" spans="1:14" ht="13.5" customHeight="1" x14ac:dyDescent="0.2">
      <c r="A183" s="137"/>
      <c r="B183" s="32"/>
      <c r="C183" s="89"/>
      <c r="D183" s="61"/>
    </row>
    <row r="184" spans="1:14" ht="13.5" customHeight="1" x14ac:dyDescent="0.2">
      <c r="A184" s="137" t="s">
        <v>236</v>
      </c>
      <c r="B184" s="32" t="s">
        <v>5730</v>
      </c>
      <c r="C184" s="89">
        <v>137.51</v>
      </c>
      <c r="D184" s="60"/>
    </row>
    <row r="185" spans="1:14" ht="13.5" customHeight="1" x14ac:dyDescent="0.2">
      <c r="A185" s="137" t="s">
        <v>236</v>
      </c>
      <c r="B185" s="750" t="s">
        <v>6603</v>
      </c>
      <c r="C185" s="89">
        <v>1362.05</v>
      </c>
      <c r="D185" s="60"/>
    </row>
    <row r="186" spans="1:14" ht="13.5" customHeight="1" x14ac:dyDescent="0.2">
      <c r="A186" s="137" t="s">
        <v>236</v>
      </c>
      <c r="B186" s="750" t="s">
        <v>6627</v>
      </c>
      <c r="C186" s="89">
        <v>225.6</v>
      </c>
      <c r="D186" s="60"/>
      <c r="E186" s="65"/>
      <c r="K186" s="64"/>
      <c r="L186" s="64"/>
      <c r="M186" s="64"/>
      <c r="N186" s="64"/>
    </row>
    <row r="187" spans="1:14" ht="13.5" customHeight="1" x14ac:dyDescent="0.2">
      <c r="A187" s="137" t="s">
        <v>236</v>
      </c>
      <c r="B187" s="56" t="s">
        <v>6234</v>
      </c>
      <c r="C187" s="89">
        <v>560</v>
      </c>
      <c r="D187" s="60"/>
    </row>
    <row r="188" spans="1:14" ht="13.5" customHeight="1" x14ac:dyDescent="0.2">
      <c r="A188" s="137" t="s">
        <v>236</v>
      </c>
      <c r="B188" s="36" t="s">
        <v>6638</v>
      </c>
      <c r="C188" s="89">
        <v>5000</v>
      </c>
      <c r="D188" s="60"/>
      <c r="F188" s="64"/>
      <c r="G188" s="64"/>
      <c r="H188" s="64"/>
      <c r="I188" s="64"/>
      <c r="J188" s="64"/>
    </row>
    <row r="189" spans="1:14" ht="13.5" customHeight="1" x14ac:dyDescent="0.2">
      <c r="A189" s="137" t="s">
        <v>236</v>
      </c>
      <c r="B189" s="750" t="s">
        <v>6616</v>
      </c>
      <c r="C189" s="89">
        <v>865</v>
      </c>
      <c r="D189" s="60"/>
    </row>
    <row r="190" spans="1:14" ht="13.5" customHeight="1" x14ac:dyDescent="0.2">
      <c r="A190" s="137" t="s">
        <v>236</v>
      </c>
      <c r="B190" s="36" t="s">
        <v>6565</v>
      </c>
      <c r="C190" s="89">
        <v>2500</v>
      </c>
      <c r="D190" s="60"/>
    </row>
    <row r="191" spans="1:14" ht="13.5" customHeight="1" x14ac:dyDescent="0.2">
      <c r="A191" s="137"/>
      <c r="B191" s="36"/>
      <c r="C191" s="1118">
        <f>SUM(C184:C190)</f>
        <v>10650.16</v>
      </c>
      <c r="D191" s="621">
        <f>C191-5124.08-6131.89-342.04-781.81</f>
        <v>-1729.6600000000003</v>
      </c>
    </row>
    <row r="192" spans="1:14" ht="13.5" customHeight="1" x14ac:dyDescent="0.2">
      <c r="A192" s="137"/>
      <c r="B192" s="36"/>
      <c r="C192" s="89"/>
      <c r="D192" s="60"/>
    </row>
    <row r="193" spans="1:14" ht="13.5" customHeight="1" x14ac:dyDescent="0.2">
      <c r="A193" s="137" t="s">
        <v>236</v>
      </c>
      <c r="B193" s="36" t="s">
        <v>1553</v>
      </c>
      <c r="C193" s="1118">
        <v>3000</v>
      </c>
      <c r="D193" s="421">
        <f>C193-1124.76-1118.11</f>
        <v>757.13000000000011</v>
      </c>
    </row>
    <row r="194" spans="1:14" ht="13.5" customHeight="1" x14ac:dyDescent="0.2">
      <c r="A194" s="137"/>
      <c r="B194" s="36"/>
      <c r="C194" s="89"/>
      <c r="D194" s="61"/>
    </row>
    <row r="195" spans="1:14" ht="13.5" customHeight="1" x14ac:dyDescent="0.2">
      <c r="A195" s="137"/>
      <c r="B195" s="36"/>
      <c r="C195" s="89"/>
      <c r="D195" s="61"/>
    </row>
    <row r="196" spans="1:14" ht="13.5" customHeight="1" x14ac:dyDescent="0.2">
      <c r="A196" s="137" t="s">
        <v>237</v>
      </c>
      <c r="B196" s="36" t="s">
        <v>6697</v>
      </c>
      <c r="C196" s="89">
        <v>250</v>
      </c>
      <c r="D196" s="61"/>
    </row>
    <row r="197" spans="1:14" ht="13.5" customHeight="1" x14ac:dyDescent="0.2">
      <c r="A197" s="137" t="s">
        <v>237</v>
      </c>
      <c r="B197" s="63" t="s">
        <v>6594</v>
      </c>
      <c r="C197" s="675">
        <v>450</v>
      </c>
      <c r="D197" s="60"/>
      <c r="E197" s="65"/>
      <c r="K197" s="64"/>
      <c r="L197" s="64"/>
      <c r="M197" s="64"/>
      <c r="N197" s="64"/>
    </row>
    <row r="198" spans="1:14" ht="13.5" customHeight="1" x14ac:dyDescent="0.2">
      <c r="A198" s="137"/>
      <c r="B198" s="357"/>
      <c r="C198" s="1119">
        <f>SUM(C196:C197)</f>
        <v>700</v>
      </c>
      <c r="D198" s="1078">
        <f>C198/2</f>
        <v>350</v>
      </c>
    </row>
    <row r="199" spans="1:14" ht="13.5" customHeight="1" x14ac:dyDescent="0.2">
      <c r="A199" s="137"/>
      <c r="B199" s="357"/>
      <c r="C199" s="675"/>
      <c r="D199" s="71"/>
      <c r="E199" s="65"/>
      <c r="F199" s="64"/>
      <c r="G199" s="64"/>
      <c r="H199" s="64"/>
      <c r="I199" s="64"/>
      <c r="J199" s="64"/>
      <c r="K199" s="64"/>
      <c r="L199" s="64"/>
      <c r="M199" s="64"/>
      <c r="N199" s="64"/>
    </row>
    <row r="200" spans="1:14" ht="13.5" customHeight="1" x14ac:dyDescent="0.2">
      <c r="A200" s="137" t="s">
        <v>238</v>
      </c>
      <c r="B200" s="34" t="s">
        <v>5557</v>
      </c>
      <c r="C200" s="89">
        <v>0.43</v>
      </c>
      <c r="D200" s="71"/>
      <c r="E200" s="65"/>
      <c r="K200" s="64"/>
      <c r="L200" s="64"/>
      <c r="M200" s="64"/>
      <c r="N200" s="64"/>
    </row>
    <row r="201" spans="1:14" ht="13.5" customHeight="1" x14ac:dyDescent="0.2">
      <c r="A201" s="137" t="s">
        <v>238</v>
      </c>
      <c r="B201" s="34" t="s">
        <v>5557</v>
      </c>
      <c r="C201" s="89">
        <v>0.21</v>
      </c>
      <c r="D201" s="71"/>
      <c r="E201" s="65"/>
      <c r="F201" s="64"/>
      <c r="G201" s="64"/>
      <c r="H201" s="64"/>
      <c r="I201" s="64"/>
      <c r="J201" s="64"/>
      <c r="K201" s="64"/>
      <c r="L201" s="64"/>
      <c r="M201" s="64"/>
      <c r="N201" s="64"/>
    </row>
    <row r="202" spans="1:14" ht="13.5" customHeight="1" x14ac:dyDescent="0.2">
      <c r="A202" s="137" t="s">
        <v>238</v>
      </c>
      <c r="B202" s="36" t="s">
        <v>5558</v>
      </c>
      <c r="C202" s="89">
        <v>7.5</v>
      </c>
      <c r="D202" s="71"/>
      <c r="F202" s="64"/>
      <c r="G202" s="64"/>
      <c r="H202" s="64"/>
      <c r="I202" s="64"/>
      <c r="J202" s="64"/>
    </row>
    <row r="203" spans="1:14" ht="13.5" customHeight="1" x14ac:dyDescent="0.2">
      <c r="A203" s="137" t="s">
        <v>238</v>
      </c>
      <c r="B203" s="34" t="s">
        <v>5558</v>
      </c>
      <c r="C203" s="89">
        <v>4.18</v>
      </c>
      <c r="D203" s="71"/>
      <c r="F203" s="64"/>
      <c r="G203" s="64"/>
      <c r="H203" s="64"/>
      <c r="I203" s="64"/>
      <c r="J203" s="64"/>
    </row>
    <row r="204" spans="1:14" ht="13.5" customHeight="1" x14ac:dyDescent="0.2">
      <c r="A204" s="137" t="s">
        <v>238</v>
      </c>
      <c r="B204" s="34" t="s">
        <v>20</v>
      </c>
      <c r="C204" s="675">
        <v>-0.01</v>
      </c>
      <c r="D204" s="71"/>
    </row>
    <row r="205" spans="1:14" ht="13.5" customHeight="1" x14ac:dyDescent="0.2">
      <c r="A205" s="137" t="s">
        <v>238</v>
      </c>
      <c r="B205" s="34" t="s">
        <v>20</v>
      </c>
      <c r="C205" s="675">
        <v>-0.02</v>
      </c>
      <c r="D205" s="71"/>
    </row>
    <row r="206" spans="1:14" ht="13.5" customHeight="1" x14ac:dyDescent="0.2">
      <c r="A206" s="137" t="s">
        <v>238</v>
      </c>
      <c r="B206" s="34" t="s">
        <v>20</v>
      </c>
      <c r="C206" s="675">
        <v>-0.02</v>
      </c>
      <c r="D206" s="71"/>
      <c r="E206" s="1"/>
    </row>
    <row r="207" spans="1:14" ht="13.5" customHeight="1" x14ac:dyDescent="0.2">
      <c r="A207" s="137" t="s">
        <v>238</v>
      </c>
      <c r="B207" s="34" t="s">
        <v>20</v>
      </c>
      <c r="C207" s="675">
        <v>-0.05</v>
      </c>
      <c r="D207" s="71"/>
      <c r="E207" s="1"/>
    </row>
    <row r="208" spans="1:14" ht="13.5" customHeight="1" x14ac:dyDescent="0.2">
      <c r="A208" s="137" t="s">
        <v>238</v>
      </c>
      <c r="B208" s="34" t="s">
        <v>20</v>
      </c>
      <c r="C208" s="675">
        <v>-0.08</v>
      </c>
      <c r="D208" s="71"/>
      <c r="E208" s="1"/>
    </row>
    <row r="209" spans="1:16" ht="13.5" customHeight="1" x14ac:dyDescent="0.2">
      <c r="A209" s="137" t="s">
        <v>238</v>
      </c>
      <c r="B209" s="34" t="s">
        <v>86</v>
      </c>
      <c r="C209" s="89">
        <v>72</v>
      </c>
      <c r="D209" s="71"/>
      <c r="E209" s="1"/>
    </row>
    <row r="210" spans="1:16" ht="13.5" customHeight="1" x14ac:dyDescent="0.2">
      <c r="A210" s="137" t="s">
        <v>238</v>
      </c>
      <c r="B210" s="34" t="s">
        <v>86</v>
      </c>
      <c r="C210" s="89">
        <v>69</v>
      </c>
      <c r="D210" s="71"/>
      <c r="E210" s="1"/>
    </row>
    <row r="211" spans="1:16" ht="13.5" customHeight="1" x14ac:dyDescent="0.2">
      <c r="A211" s="137" t="s">
        <v>238</v>
      </c>
      <c r="B211" s="34" t="s">
        <v>86</v>
      </c>
      <c r="C211" s="89">
        <v>9.9</v>
      </c>
      <c r="D211" s="71"/>
    </row>
    <row r="212" spans="1:16" ht="13.5" customHeight="1" x14ac:dyDescent="0.2">
      <c r="A212" s="137" t="s">
        <v>238</v>
      </c>
      <c r="B212" s="34" t="s">
        <v>5798</v>
      </c>
      <c r="C212" s="89">
        <v>8.6999999999999993</v>
      </c>
      <c r="D212" s="71"/>
      <c r="E212"/>
      <c r="K212"/>
      <c r="L212"/>
      <c r="M212"/>
      <c r="N212"/>
    </row>
    <row r="213" spans="1:16" ht="13.5" customHeight="1" x14ac:dyDescent="0.2">
      <c r="A213" s="137" t="s">
        <v>238</v>
      </c>
      <c r="B213" s="34" t="s">
        <v>86</v>
      </c>
      <c r="C213" s="89">
        <v>8.6999999999999993</v>
      </c>
      <c r="D213" s="71"/>
    </row>
    <row r="214" spans="1:16" ht="13.5" customHeight="1" x14ac:dyDescent="0.2">
      <c r="A214" s="137" t="s">
        <v>238</v>
      </c>
      <c r="B214" s="34" t="s">
        <v>86</v>
      </c>
      <c r="C214" s="89">
        <v>8.6999999999999993</v>
      </c>
      <c r="D214" s="71"/>
      <c r="F214"/>
      <c r="G214"/>
      <c r="H214"/>
      <c r="I214"/>
      <c r="J214"/>
    </row>
    <row r="215" spans="1:16" ht="13.5" customHeight="1" x14ac:dyDescent="0.2">
      <c r="A215" s="137"/>
      <c r="B215" s="34"/>
      <c r="C215" s="1118">
        <f>SUM(C200:C214)</f>
        <v>189.13999999999996</v>
      </c>
      <c r="D215" s="1120">
        <f>C215/2</f>
        <v>94.569999999999979</v>
      </c>
    </row>
    <row r="216" spans="1:16" ht="13.5" customHeight="1" x14ac:dyDescent="0.2">
      <c r="A216" s="137"/>
      <c r="B216" s="34"/>
      <c r="C216" s="1118"/>
      <c r="D216" s="1121"/>
      <c r="E216"/>
      <c r="K216"/>
      <c r="L216"/>
      <c r="M216"/>
      <c r="N216"/>
    </row>
    <row r="217" spans="1:16" x14ac:dyDescent="0.2">
      <c r="A217" s="137" t="s">
        <v>239</v>
      </c>
      <c r="B217" s="138" t="s">
        <v>6622</v>
      </c>
      <c r="C217" s="1118">
        <v>150</v>
      </c>
      <c r="D217" s="1120">
        <f>C217/2</f>
        <v>75</v>
      </c>
    </row>
    <row r="218" spans="1:16" x14ac:dyDescent="0.2">
      <c r="A218" s="137"/>
      <c r="B218" s="138"/>
      <c r="C218" s="89"/>
      <c r="D218" s="1121"/>
      <c r="F218"/>
      <c r="G218"/>
      <c r="H218"/>
      <c r="I218"/>
      <c r="J218"/>
    </row>
    <row r="219" spans="1:16" x14ac:dyDescent="0.2">
      <c r="A219" s="137"/>
      <c r="B219" s="138"/>
      <c r="C219" s="89"/>
      <c r="D219" s="1121"/>
    </row>
    <row r="220" spans="1:16" x14ac:dyDescent="0.2">
      <c r="A220" s="137" t="s">
        <v>421</v>
      </c>
      <c r="B220" s="34" t="s">
        <v>6629</v>
      </c>
      <c r="C220" s="89">
        <v>250</v>
      </c>
      <c r="D220" s="1121"/>
    </row>
    <row r="221" spans="1:16" ht="13.5" customHeight="1" x14ac:dyDescent="0.2">
      <c r="A221" s="137" t="s">
        <v>421</v>
      </c>
      <c r="B221" s="34" t="s">
        <v>6637</v>
      </c>
      <c r="C221" s="89">
        <v>329.29</v>
      </c>
      <c r="D221" s="1121"/>
    </row>
    <row r="222" spans="1:16" s="64" customFormat="1" ht="13.5" customHeight="1" x14ac:dyDescent="0.2">
      <c r="A222" s="137" t="s">
        <v>421</v>
      </c>
      <c r="B222" s="34" t="s">
        <v>6691</v>
      </c>
      <c r="C222" s="89">
        <v>65</v>
      </c>
      <c r="D222" s="657"/>
      <c r="E222" s="40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</row>
    <row r="223" spans="1:16" s="64" customFormat="1" ht="13.5" customHeight="1" x14ac:dyDescent="0.2">
      <c r="A223" s="1122"/>
      <c r="B223" s="49"/>
      <c r="C223" s="1123">
        <f>SUM(C220:C222)</f>
        <v>644.29</v>
      </c>
      <c r="D223" s="1124"/>
      <c r="E223" s="40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</row>
    <row r="224" spans="1:16" s="64" customFormat="1" ht="13.5" customHeight="1" x14ac:dyDescent="0.2">
      <c r="A224" s="96"/>
      <c r="B224" s="78"/>
      <c r="C224" s="279"/>
      <c r="D224" s="77"/>
      <c r="E224" s="40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</row>
    <row r="225" spans="1:16" ht="13.5" customHeight="1" x14ac:dyDescent="0.2">
      <c r="B225" s="78"/>
      <c r="C225" s="279"/>
      <c r="D225" s="77"/>
    </row>
    <row r="226" spans="1:16" ht="13.5" customHeight="1" x14ac:dyDescent="0.2">
      <c r="B226" s="78"/>
      <c r="C226" s="279"/>
      <c r="D226" s="77"/>
    </row>
    <row r="227" spans="1:16" ht="13.5" customHeight="1" x14ac:dyDescent="0.2">
      <c r="B227" s="78"/>
      <c r="C227" s="279"/>
      <c r="D227" s="77"/>
    </row>
    <row r="228" spans="1:16" ht="13.5" customHeight="1" x14ac:dyDescent="0.2">
      <c r="B228" s="78"/>
      <c r="C228" s="279"/>
      <c r="D228" s="77"/>
    </row>
    <row r="229" spans="1:16" ht="13.5" customHeight="1" x14ac:dyDescent="0.2">
      <c r="B229" s="78"/>
      <c r="C229" s="279"/>
      <c r="D229" s="77"/>
      <c r="E229"/>
      <c r="K229"/>
      <c r="L229"/>
      <c r="M229"/>
      <c r="N229"/>
    </row>
    <row r="230" spans="1:16" ht="13.5" customHeight="1" x14ac:dyDescent="0.2">
      <c r="B230" s="78"/>
      <c r="C230" s="279"/>
      <c r="D230" s="77"/>
    </row>
    <row r="231" spans="1:16" ht="13.5" customHeight="1" x14ac:dyDescent="0.2">
      <c r="B231" s="63"/>
      <c r="C231" s="82"/>
      <c r="D231" s="13"/>
      <c r="F231"/>
      <c r="G231"/>
      <c r="H231"/>
      <c r="I231"/>
      <c r="J231"/>
    </row>
    <row r="232" spans="1:16" ht="13.5" customHeight="1" x14ac:dyDescent="0.2">
      <c r="B232" s="63"/>
      <c r="C232" s="82"/>
      <c r="D232" s="13"/>
    </row>
    <row r="233" spans="1:16" ht="13.5" customHeight="1" x14ac:dyDescent="0.2">
      <c r="B233" s="63"/>
      <c r="C233" s="82"/>
      <c r="D233" s="13"/>
    </row>
    <row r="234" spans="1:16" ht="13.5" customHeight="1" x14ac:dyDescent="0.2">
      <c r="B234" s="63"/>
      <c r="C234" s="82"/>
      <c r="D234" s="13"/>
    </row>
    <row r="235" spans="1:16" ht="13.5" customHeight="1" x14ac:dyDescent="0.2">
      <c r="B235" s="63"/>
      <c r="C235" s="82"/>
      <c r="D235" s="13"/>
    </row>
    <row r="236" spans="1:16" ht="13.5" customHeight="1" x14ac:dyDescent="0.2">
      <c r="B236" s="63"/>
      <c r="C236" s="82"/>
      <c r="D236" s="13"/>
    </row>
    <row r="237" spans="1:16" s="64" customFormat="1" ht="13.5" customHeight="1" x14ac:dyDescent="0.2">
      <c r="A237" s="96"/>
      <c r="B237" s="63"/>
      <c r="C237" s="82"/>
      <c r="D237" s="13"/>
      <c r="E237" s="40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</row>
    <row r="238" spans="1:16" s="64" customFormat="1" ht="13.5" customHeight="1" x14ac:dyDescent="0.2">
      <c r="A238" s="96"/>
      <c r="B238" s="63"/>
      <c r="C238" s="82"/>
      <c r="D238" s="13"/>
      <c r="E238" s="40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</row>
    <row r="239" spans="1:16" s="64" customFormat="1" ht="13.5" customHeight="1" x14ac:dyDescent="0.2">
      <c r="A239" s="96"/>
      <c r="B239" s="63"/>
      <c r="C239" s="82"/>
      <c r="D239" s="13"/>
      <c r="E239" s="40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</row>
    <row r="240" spans="1:16" s="64" customFormat="1" ht="13.5" customHeight="1" x14ac:dyDescent="0.2">
      <c r="A240" s="96"/>
      <c r="B240" s="63"/>
      <c r="C240" s="82"/>
      <c r="D240" s="13"/>
      <c r="E240" s="40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</row>
    <row r="241" spans="1:16" s="64" customFormat="1" ht="13.5" customHeight="1" x14ac:dyDescent="0.2">
      <c r="A241" s="96"/>
      <c r="B241" s="63"/>
      <c r="C241" s="82"/>
      <c r="D241" s="13"/>
      <c r="E241" s="40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</row>
    <row r="242" spans="1:16" s="64" customFormat="1" ht="13.5" customHeight="1" x14ac:dyDescent="0.2">
      <c r="A242" s="96"/>
      <c r="B242" s="63"/>
      <c r="C242" s="82"/>
      <c r="D242" s="13"/>
      <c r="E242" s="40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</row>
    <row r="243" spans="1:16" s="64" customFormat="1" ht="13.5" customHeight="1" x14ac:dyDescent="0.2">
      <c r="A243" s="96"/>
      <c r="B243" s="63"/>
      <c r="C243" s="82"/>
      <c r="D243" s="13"/>
      <c r="E243" s="40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</row>
    <row r="244" spans="1:16" s="64" customFormat="1" ht="13.5" customHeight="1" x14ac:dyDescent="0.2">
      <c r="A244" s="96"/>
      <c r="B244" s="63"/>
      <c r="C244" s="82"/>
      <c r="D244" s="13"/>
      <c r="E244" s="40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</row>
    <row r="245" spans="1:16" s="64" customFormat="1" ht="13.5" customHeight="1" x14ac:dyDescent="0.2">
      <c r="A245" s="96"/>
      <c r="B245" s="63"/>
      <c r="C245" s="82"/>
      <c r="D245" s="13"/>
      <c r="E245" s="40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</row>
    <row r="246" spans="1:16" s="64" customFormat="1" ht="13.5" customHeight="1" x14ac:dyDescent="0.2">
      <c r="A246" s="96"/>
      <c r="B246" s="63"/>
      <c r="C246" s="82"/>
      <c r="D246" s="13"/>
      <c r="E246" s="40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</row>
    <row r="247" spans="1:16" s="64" customFormat="1" ht="13.5" customHeight="1" x14ac:dyDescent="0.2">
      <c r="A247" s="96"/>
      <c r="B247" s="63"/>
      <c r="C247" s="82"/>
      <c r="D247" s="13"/>
      <c r="E247" s="40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</row>
    <row r="248" spans="1:16" s="64" customFormat="1" ht="13.5" customHeight="1" x14ac:dyDescent="0.2">
      <c r="A248" s="96"/>
      <c r="B248" s="63"/>
      <c r="C248" s="82"/>
      <c r="D248" s="13"/>
      <c r="E248" s="40"/>
      <c r="F248" s="1"/>
      <c r="G248" s="1"/>
      <c r="H248" s="1"/>
      <c r="I248" s="1"/>
      <c r="J248" s="1"/>
      <c r="K248" s="1"/>
      <c r="L248" s="1"/>
      <c r="M248" s="1"/>
      <c r="N248" s="1"/>
    </row>
    <row r="249" spans="1:16" ht="13.5" customHeight="1" x14ac:dyDescent="0.2">
      <c r="B249" s="63"/>
      <c r="C249" s="82"/>
      <c r="D249" s="13"/>
    </row>
    <row r="250" spans="1:16" ht="13.5" customHeight="1" x14ac:dyDescent="0.2">
      <c r="B250" s="63"/>
      <c r="C250" s="82"/>
      <c r="D250" s="13"/>
    </row>
    <row r="251" spans="1:16" ht="13.5" customHeight="1" x14ac:dyDescent="0.2">
      <c r="B251" s="63"/>
      <c r="C251" s="82"/>
      <c r="D251" s="13"/>
    </row>
    <row r="252" spans="1:16" ht="13.5" customHeight="1" x14ac:dyDescent="0.2">
      <c r="B252" s="63"/>
      <c r="C252" s="82"/>
      <c r="D252" s="13"/>
    </row>
    <row r="253" spans="1:16" ht="13.5" customHeight="1" x14ac:dyDescent="0.2">
      <c r="B253" s="63"/>
      <c r="C253" s="82"/>
      <c r="D253" s="13"/>
    </row>
    <row r="254" spans="1:16" ht="13.5" customHeight="1" x14ac:dyDescent="0.2">
      <c r="B254" s="63"/>
      <c r="C254" s="82"/>
      <c r="D254" s="13"/>
    </row>
    <row r="255" spans="1:16" ht="13.5" customHeight="1" x14ac:dyDescent="0.2">
      <c r="B255" s="63"/>
      <c r="C255" s="82"/>
      <c r="D255" s="13"/>
    </row>
    <row r="256" spans="1:16" ht="13.5" customHeight="1" x14ac:dyDescent="0.2">
      <c r="B256" s="63"/>
      <c r="C256" s="82"/>
      <c r="D256" s="13"/>
    </row>
    <row r="257" spans="2:4" ht="13.5" customHeight="1" x14ac:dyDescent="0.2">
      <c r="B257" s="63"/>
      <c r="C257" s="82"/>
      <c r="D257" s="13"/>
    </row>
    <row r="258" spans="2:4" ht="13.5" customHeight="1" x14ac:dyDescent="0.2">
      <c r="B258" s="63"/>
      <c r="C258" s="82"/>
      <c r="D258" s="13"/>
    </row>
    <row r="259" spans="2:4" ht="13.5" customHeight="1" x14ac:dyDescent="0.2">
      <c r="B259" s="63"/>
      <c r="C259" s="82"/>
      <c r="D259" s="13"/>
    </row>
    <row r="260" spans="2:4" ht="13.5" customHeight="1" x14ac:dyDescent="0.2">
      <c r="B260" s="63"/>
      <c r="C260" s="82"/>
      <c r="D260" s="13"/>
    </row>
    <row r="261" spans="2:4" ht="13.5" customHeight="1" x14ac:dyDescent="0.2">
      <c r="B261" s="63"/>
      <c r="C261" s="82"/>
      <c r="D261" s="13"/>
    </row>
    <row r="262" spans="2:4" ht="13.5" customHeight="1" x14ac:dyDescent="0.2">
      <c r="B262" s="63"/>
      <c r="C262" s="82"/>
      <c r="D262" s="13"/>
    </row>
    <row r="263" spans="2:4" ht="13.5" customHeight="1" x14ac:dyDescent="0.2">
      <c r="B263" s="63"/>
      <c r="C263" s="82"/>
      <c r="D263" s="13"/>
    </row>
    <row r="264" spans="2:4" ht="13.5" customHeight="1" x14ac:dyDescent="0.2">
      <c r="B264" s="63"/>
      <c r="C264" s="82"/>
      <c r="D264" s="13"/>
    </row>
    <row r="265" spans="2:4" ht="13.5" customHeight="1" x14ac:dyDescent="0.2">
      <c r="B265" s="63"/>
      <c r="C265" s="82"/>
      <c r="D265" s="13"/>
    </row>
    <row r="266" spans="2:4" ht="13.5" customHeight="1" x14ac:dyDescent="0.2">
      <c r="B266" s="63"/>
      <c r="C266" s="82"/>
      <c r="D266" s="13"/>
    </row>
    <row r="267" spans="2:4" ht="13.5" customHeight="1" x14ac:dyDescent="0.2">
      <c r="B267" s="63"/>
      <c r="C267" s="82"/>
      <c r="D267" s="13"/>
    </row>
    <row r="268" spans="2:4" ht="13.5" customHeight="1" x14ac:dyDescent="0.2">
      <c r="B268" s="63"/>
      <c r="C268" s="82"/>
      <c r="D268" s="13"/>
    </row>
    <row r="269" spans="2:4" ht="13.5" customHeight="1" x14ac:dyDescent="0.2">
      <c r="B269" s="63"/>
      <c r="C269" s="82"/>
      <c r="D269" s="13"/>
    </row>
    <row r="270" spans="2:4" ht="13.5" customHeight="1" x14ac:dyDescent="0.2">
      <c r="B270" s="63"/>
      <c r="C270" s="82"/>
      <c r="D270" s="13"/>
    </row>
    <row r="271" spans="2:4" ht="13.5" customHeight="1" x14ac:dyDescent="0.2">
      <c r="B271" s="63"/>
      <c r="C271" s="82"/>
      <c r="D271" s="13"/>
    </row>
    <row r="272" spans="2:4" ht="13.5" customHeight="1" x14ac:dyDescent="0.2">
      <c r="B272" s="63"/>
      <c r="C272" s="82"/>
      <c r="D272" s="13"/>
    </row>
    <row r="273" spans="2:4" ht="13.5" customHeight="1" x14ac:dyDescent="0.2">
      <c r="B273" s="64"/>
      <c r="C273" s="280"/>
      <c r="D273" s="13"/>
    </row>
    <row r="274" spans="2:4" ht="13.5" customHeight="1" x14ac:dyDescent="0.2">
      <c r="B274" s="63"/>
      <c r="C274" s="82"/>
      <c r="D274" s="13"/>
    </row>
    <row r="275" spans="2:4" ht="13.5" customHeight="1" x14ac:dyDescent="0.2">
      <c r="B275" s="63"/>
      <c r="C275" s="82"/>
      <c r="D275" s="13"/>
    </row>
    <row r="276" spans="2:4" ht="13.5" customHeight="1" x14ac:dyDescent="0.2">
      <c r="B276" s="85"/>
      <c r="C276" s="82"/>
      <c r="D276" s="13"/>
    </row>
    <row r="277" spans="2:4" ht="13.5" customHeight="1" x14ac:dyDescent="0.2">
      <c r="B277" s="63"/>
      <c r="C277" s="82"/>
      <c r="D277" s="13"/>
    </row>
    <row r="278" spans="2:4" ht="13.5" customHeight="1" x14ac:dyDescent="0.2">
      <c r="B278" s="63"/>
      <c r="C278" s="280"/>
      <c r="D278" s="13"/>
    </row>
    <row r="279" spans="2:4" ht="13.5" customHeight="1" x14ac:dyDescent="0.2">
      <c r="B279" s="64"/>
      <c r="C279" s="82"/>
      <c r="D279" s="13"/>
    </row>
    <row r="280" spans="2:4" ht="13.5" customHeight="1" x14ac:dyDescent="0.2">
      <c r="B280" s="63"/>
      <c r="C280" s="82"/>
      <c r="D280" s="13"/>
    </row>
    <row r="281" spans="2:4" ht="13.5" customHeight="1" x14ac:dyDescent="0.2">
      <c r="B281" s="63"/>
      <c r="C281" s="280"/>
      <c r="D281" s="13"/>
    </row>
    <row r="282" spans="2:4" ht="13.5" customHeight="1" x14ac:dyDescent="0.2">
      <c r="B282" s="64"/>
      <c r="C282" s="280"/>
      <c r="D282" s="13"/>
    </row>
    <row r="283" spans="2:4" ht="13.5" customHeight="1" x14ac:dyDescent="0.2">
      <c r="B283" s="63"/>
      <c r="C283" s="82"/>
      <c r="D283" s="13"/>
    </row>
    <row r="284" spans="2:4" ht="13.5" customHeight="1" x14ac:dyDescent="0.2">
      <c r="B284" s="63"/>
      <c r="C284" s="280"/>
      <c r="D284" s="13"/>
    </row>
    <row r="285" spans="2:4" ht="13.5" customHeight="1" x14ac:dyDescent="0.2">
      <c r="B285" s="64"/>
      <c r="C285" s="280"/>
      <c r="D285" s="13"/>
    </row>
    <row r="286" spans="2:4" ht="13.5" customHeight="1" x14ac:dyDescent="0.2">
      <c r="B286" s="63"/>
      <c r="C286" s="82"/>
      <c r="D286" s="13"/>
    </row>
    <row r="287" spans="2:4" ht="13.5" customHeight="1" x14ac:dyDescent="0.2">
      <c r="B287" s="63"/>
      <c r="C287" s="82"/>
      <c r="D287" s="13"/>
    </row>
    <row r="288" spans="2:4" ht="13.5" customHeight="1" x14ac:dyDescent="0.2">
      <c r="B288" s="63"/>
      <c r="C288" s="82"/>
      <c r="D288" s="13"/>
    </row>
    <row r="289" spans="2:4" ht="13.5" customHeight="1" x14ac:dyDescent="0.2">
      <c r="B289" s="86"/>
      <c r="C289" s="82"/>
      <c r="D289" s="13"/>
    </row>
    <row r="290" spans="2:4" ht="13.5" customHeight="1" x14ac:dyDescent="0.2">
      <c r="B290" s="85"/>
      <c r="C290" s="82"/>
      <c r="D290" s="13"/>
    </row>
    <row r="291" spans="2:4" ht="13.5" customHeight="1" x14ac:dyDescent="0.2">
      <c r="B291" s="87"/>
      <c r="C291" s="82"/>
      <c r="D291" s="13"/>
    </row>
    <row r="292" spans="2:4" ht="13.5" customHeight="1" x14ac:dyDescent="0.2">
      <c r="B292" s="88"/>
      <c r="C292" s="82"/>
      <c r="D292" s="13"/>
    </row>
    <row r="293" spans="2:4" ht="13.5" customHeight="1" x14ac:dyDescent="0.2">
      <c r="B293" s="56"/>
      <c r="C293" s="89"/>
      <c r="D293" s="12"/>
    </row>
    <row r="294" spans="2:4" ht="13.5" customHeight="1" x14ac:dyDescent="0.2">
      <c r="B294" s="56"/>
      <c r="C294" s="89"/>
      <c r="D294" s="12"/>
    </row>
    <row r="295" spans="2:4" ht="13.5" customHeight="1" x14ac:dyDescent="0.2">
      <c r="B295" s="56"/>
      <c r="C295" s="89"/>
      <c r="D295" s="12"/>
    </row>
    <row r="296" spans="2:4" ht="13.5" customHeight="1" x14ac:dyDescent="0.2">
      <c r="C296" s="89"/>
      <c r="D296" s="12"/>
    </row>
    <row r="297" spans="2:4" ht="13.5" customHeight="1" x14ac:dyDescent="0.2">
      <c r="B297" s="56"/>
      <c r="C297" s="89"/>
      <c r="D297" s="12"/>
    </row>
    <row r="298" spans="2:4" ht="13.5" customHeight="1" x14ac:dyDescent="0.2">
      <c r="B298" s="56"/>
      <c r="C298" s="89"/>
      <c r="D298" s="12"/>
    </row>
    <row r="299" spans="2:4" ht="13.5" customHeight="1" x14ac:dyDescent="0.2">
      <c r="B299" s="56"/>
      <c r="C299" s="89"/>
      <c r="D299" s="12"/>
    </row>
    <row r="300" spans="2:4" ht="13.5" customHeight="1" x14ac:dyDescent="0.2">
      <c r="B300" s="27"/>
      <c r="C300" s="281"/>
      <c r="D300" s="12"/>
    </row>
    <row r="301" spans="2:4" ht="13.5" customHeight="1" x14ac:dyDescent="0.2">
      <c r="B301" s="27"/>
      <c r="C301" s="89"/>
      <c r="D301" s="12"/>
    </row>
    <row r="302" spans="2:4" ht="13.5" customHeight="1" x14ac:dyDescent="0.2">
      <c r="C302" s="281"/>
      <c r="D302" s="12"/>
    </row>
    <row r="303" spans="2:4" ht="13.5" customHeight="1" x14ac:dyDescent="0.2">
      <c r="B303" s="56"/>
      <c r="C303" s="89"/>
      <c r="D303" s="12"/>
    </row>
    <row r="304" spans="2:4" ht="13.5" customHeight="1" x14ac:dyDescent="0.2">
      <c r="B304" s="56"/>
      <c r="C304" s="89"/>
      <c r="D304" s="12"/>
    </row>
    <row r="305" spans="2:4" ht="13.5" customHeight="1" x14ac:dyDescent="0.2">
      <c r="B305" s="56"/>
      <c r="C305" s="89"/>
      <c r="D305" s="12"/>
    </row>
    <row r="306" spans="2:4" ht="13.5" customHeight="1" x14ac:dyDescent="0.2">
      <c r="B306" s="56"/>
      <c r="C306" s="89"/>
      <c r="D306" s="12"/>
    </row>
    <row r="307" spans="2:4" ht="13.5" customHeight="1" x14ac:dyDescent="0.2">
      <c r="B307" s="94"/>
      <c r="C307" s="282"/>
      <c r="D307" s="30"/>
    </row>
    <row r="308" spans="2:4" ht="13.5" customHeight="1" x14ac:dyDescent="0.2"/>
    <row r="309" spans="2:4" ht="13.5" customHeight="1" x14ac:dyDescent="0.2"/>
    <row r="310" spans="2:4" ht="13.5" customHeight="1" x14ac:dyDescent="0.2"/>
    <row r="311" spans="2:4" ht="13.5" customHeight="1" x14ac:dyDescent="0.2"/>
    <row r="312" spans="2:4" ht="13.5" customHeight="1" x14ac:dyDescent="0.2"/>
    <row r="313" spans="2:4" ht="13.5" customHeight="1" x14ac:dyDescent="0.2"/>
    <row r="314" spans="2:4" ht="13.5" customHeight="1" x14ac:dyDescent="0.2"/>
    <row r="315" spans="2:4" ht="13.5" customHeight="1" x14ac:dyDescent="0.2"/>
    <row r="316" spans="2:4" ht="13.5" customHeight="1" x14ac:dyDescent="0.2"/>
    <row r="317" spans="2:4" ht="13.5" customHeight="1" x14ac:dyDescent="0.2"/>
    <row r="318" spans="2:4" ht="13.5" customHeight="1" x14ac:dyDescent="0.2"/>
    <row r="319" spans="2:4" ht="13.5" customHeight="1" x14ac:dyDescent="0.2"/>
    <row r="320" spans="2:4" ht="13.5" customHeight="1" x14ac:dyDescent="0.2"/>
    <row r="321" ht="13.5" customHeight="1" x14ac:dyDescent="0.2"/>
    <row r="322" ht="13.5" customHeight="1" x14ac:dyDescent="0.2"/>
    <row r="323" ht="13.5" customHeight="1" x14ac:dyDescent="0.2"/>
    <row r="324" ht="13.5" customHeight="1" x14ac:dyDescent="0.2"/>
    <row r="325" ht="13.5" customHeight="1" x14ac:dyDescent="0.2"/>
    <row r="326" ht="13.5" customHeight="1" x14ac:dyDescent="0.2"/>
    <row r="327" ht="13.5" customHeight="1" x14ac:dyDescent="0.2"/>
    <row r="328" ht="13.5" customHeight="1" x14ac:dyDescent="0.2"/>
    <row r="329" ht="13.5" customHeight="1" x14ac:dyDescent="0.2"/>
    <row r="330" ht="13.5" customHeight="1" x14ac:dyDescent="0.2"/>
    <row r="331" ht="13.5" customHeight="1" x14ac:dyDescent="0.2"/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92"/>
  <sheetViews>
    <sheetView workbookViewId="0">
      <selection activeCell="K2" sqref="K2:K22"/>
    </sheetView>
  </sheetViews>
  <sheetFormatPr defaultRowHeight="12.75" x14ac:dyDescent="0.2"/>
  <cols>
    <col min="1" max="1" width="11.75" bestFit="1" customWidth="1"/>
    <col min="2" max="2" width="16.375" bestFit="1" customWidth="1"/>
  </cols>
  <sheetData>
    <row r="1" spans="1:11" x14ac:dyDescent="0.2">
      <c r="A1" s="72"/>
    </row>
    <row r="2" spans="1:11" ht="15" x14ac:dyDescent="0.2">
      <c r="A2" s="72"/>
      <c r="B2" t="s">
        <v>240</v>
      </c>
      <c r="E2" t="s">
        <v>240</v>
      </c>
      <c r="H2" t="s">
        <v>240</v>
      </c>
      <c r="K2" s="126" t="s">
        <v>240</v>
      </c>
    </row>
    <row r="3" spans="1:11" ht="15" x14ac:dyDescent="0.2">
      <c r="A3" s="72"/>
      <c r="B3" s="72" t="s">
        <v>424</v>
      </c>
      <c r="E3" s="72" t="s">
        <v>424</v>
      </c>
      <c r="H3" s="72" t="s">
        <v>424</v>
      </c>
      <c r="K3" s="126" t="s">
        <v>241</v>
      </c>
    </row>
    <row r="4" spans="1:11" ht="15" x14ac:dyDescent="0.2">
      <c r="A4" s="72"/>
      <c r="B4" t="s">
        <v>425</v>
      </c>
      <c r="E4" t="s">
        <v>426</v>
      </c>
      <c r="H4" t="s">
        <v>224</v>
      </c>
      <c r="K4" s="126" t="s">
        <v>224</v>
      </c>
    </row>
    <row r="5" spans="1:11" ht="15" x14ac:dyDescent="0.2">
      <c r="A5" s="140"/>
      <c r="B5" t="s">
        <v>427</v>
      </c>
      <c r="E5" t="s">
        <v>428</v>
      </c>
      <c r="H5" t="s">
        <v>426</v>
      </c>
      <c r="K5" s="126" t="s">
        <v>225</v>
      </c>
    </row>
    <row r="6" spans="1:11" ht="15" x14ac:dyDescent="0.2">
      <c r="A6" s="72"/>
      <c r="B6" t="s">
        <v>429</v>
      </c>
      <c r="E6" t="s">
        <v>430</v>
      </c>
      <c r="H6" t="s">
        <v>428</v>
      </c>
      <c r="K6" s="126" t="s">
        <v>428</v>
      </c>
    </row>
    <row r="7" spans="1:11" ht="15" x14ac:dyDescent="0.2">
      <c r="B7" t="s">
        <v>431</v>
      </c>
      <c r="E7" t="s">
        <v>432</v>
      </c>
      <c r="H7" t="s">
        <v>242</v>
      </c>
      <c r="K7" s="126" t="s">
        <v>242</v>
      </c>
    </row>
    <row r="8" spans="1:11" ht="15" x14ac:dyDescent="0.2">
      <c r="A8" s="72"/>
      <c r="B8" t="s">
        <v>433</v>
      </c>
      <c r="C8" s="141"/>
      <c r="E8" t="s">
        <v>434</v>
      </c>
      <c r="H8" t="s">
        <v>435</v>
      </c>
      <c r="K8" s="126" t="s">
        <v>243</v>
      </c>
    </row>
    <row r="9" spans="1:11" ht="15" x14ac:dyDescent="0.2">
      <c r="A9" s="72"/>
      <c r="B9" t="s">
        <v>426</v>
      </c>
      <c r="C9" s="141"/>
      <c r="E9" t="s">
        <v>436</v>
      </c>
      <c r="H9" t="s">
        <v>434</v>
      </c>
      <c r="K9" s="126" t="s">
        <v>244</v>
      </c>
    </row>
    <row r="10" spans="1:11" ht="15" x14ac:dyDescent="0.2">
      <c r="A10" s="72"/>
      <c r="B10" t="s">
        <v>437</v>
      </c>
      <c r="C10" s="141"/>
      <c r="E10" t="s">
        <v>438</v>
      </c>
      <c r="H10" t="s">
        <v>436</v>
      </c>
      <c r="K10" s="126" t="s">
        <v>230</v>
      </c>
    </row>
    <row r="11" spans="1:11" ht="15" x14ac:dyDescent="0.2">
      <c r="A11" s="72"/>
      <c r="B11" t="s">
        <v>439</v>
      </c>
      <c r="C11" s="141"/>
      <c r="E11" t="s">
        <v>230</v>
      </c>
      <c r="H11" t="s">
        <v>438</v>
      </c>
      <c r="K11" s="126" t="s">
        <v>231</v>
      </c>
    </row>
    <row r="12" spans="1:11" ht="15" x14ac:dyDescent="0.2">
      <c r="A12" s="72"/>
      <c r="B12" t="s">
        <v>428</v>
      </c>
      <c r="C12" s="141"/>
      <c r="E12" t="s">
        <v>440</v>
      </c>
      <c r="H12" t="s">
        <v>230</v>
      </c>
      <c r="K12" s="126" t="s">
        <v>441</v>
      </c>
    </row>
    <row r="13" spans="1:11" ht="15" x14ac:dyDescent="0.2">
      <c r="A13" s="72"/>
      <c r="B13" t="s">
        <v>442</v>
      </c>
      <c r="C13" s="141"/>
      <c r="E13" t="s">
        <v>441</v>
      </c>
      <c r="H13" t="s">
        <v>440</v>
      </c>
      <c r="K13" s="126" t="s">
        <v>443</v>
      </c>
    </row>
    <row r="14" spans="1:11" ht="15" x14ac:dyDescent="0.2">
      <c r="A14" s="72"/>
      <c r="B14" t="s">
        <v>444</v>
      </c>
      <c r="C14" s="141"/>
      <c r="E14" t="s">
        <v>445</v>
      </c>
      <c r="H14" t="s">
        <v>441</v>
      </c>
      <c r="K14" s="126" t="s">
        <v>232</v>
      </c>
    </row>
    <row r="15" spans="1:11" ht="15" x14ac:dyDescent="0.2">
      <c r="A15" s="72"/>
      <c r="B15" t="s">
        <v>430</v>
      </c>
      <c r="C15" s="141"/>
      <c r="E15" t="s">
        <v>443</v>
      </c>
      <c r="H15" t="s">
        <v>445</v>
      </c>
      <c r="K15" s="126" t="s">
        <v>245</v>
      </c>
    </row>
    <row r="16" spans="1:11" ht="15" x14ac:dyDescent="0.2">
      <c r="A16" s="72"/>
      <c r="B16" t="s">
        <v>432</v>
      </c>
      <c r="C16" s="141"/>
      <c r="E16" t="s">
        <v>446</v>
      </c>
      <c r="H16" t="s">
        <v>443</v>
      </c>
      <c r="K16" s="126" t="s">
        <v>246</v>
      </c>
    </row>
    <row r="17" spans="1:11" ht="15" x14ac:dyDescent="0.2">
      <c r="A17" s="72"/>
      <c r="B17" t="s">
        <v>434</v>
      </c>
      <c r="C17" s="141"/>
      <c r="E17" t="s">
        <v>447</v>
      </c>
      <c r="H17" t="s">
        <v>417</v>
      </c>
      <c r="K17" s="126" t="s">
        <v>247</v>
      </c>
    </row>
    <row r="18" spans="1:11" ht="15" x14ac:dyDescent="0.2">
      <c r="A18" s="72"/>
      <c r="B18" t="s">
        <v>436</v>
      </c>
      <c r="C18" s="142"/>
      <c r="E18" t="s">
        <v>448</v>
      </c>
      <c r="H18" t="s">
        <v>448</v>
      </c>
      <c r="K18" s="126" t="s">
        <v>248</v>
      </c>
    </row>
    <row r="19" spans="1:11" ht="15" x14ac:dyDescent="0.2">
      <c r="A19" s="72"/>
      <c r="B19" t="s">
        <v>438</v>
      </c>
      <c r="C19" s="141"/>
      <c r="E19" t="s">
        <v>246</v>
      </c>
      <c r="H19" t="s">
        <v>246</v>
      </c>
      <c r="K19" s="126" t="s">
        <v>249</v>
      </c>
    </row>
    <row r="20" spans="1:11" ht="15" x14ac:dyDescent="0.2">
      <c r="A20" s="72"/>
      <c r="B20" t="s">
        <v>230</v>
      </c>
      <c r="C20" s="141"/>
      <c r="E20" t="s">
        <v>247</v>
      </c>
      <c r="H20" t="s">
        <v>247</v>
      </c>
      <c r="K20" s="126" t="s">
        <v>250</v>
      </c>
    </row>
    <row r="21" spans="1:11" ht="15" x14ac:dyDescent="0.2">
      <c r="A21" s="72"/>
      <c r="B21" t="s">
        <v>449</v>
      </c>
      <c r="C21" s="141"/>
      <c r="E21" t="s">
        <v>248</v>
      </c>
      <c r="H21" t="s">
        <v>248</v>
      </c>
      <c r="K21" s="126" t="s">
        <v>251</v>
      </c>
    </row>
    <row r="22" spans="1:11" ht="15" x14ac:dyDescent="0.2">
      <c r="A22" s="72"/>
      <c r="B22" t="s">
        <v>440</v>
      </c>
      <c r="C22" s="141"/>
      <c r="E22" t="s">
        <v>249</v>
      </c>
      <c r="H22" t="s">
        <v>249</v>
      </c>
      <c r="K22" s="126" t="s">
        <v>421</v>
      </c>
    </row>
    <row r="23" spans="1:11" x14ac:dyDescent="0.2">
      <c r="A23" s="72"/>
      <c r="B23" t="s">
        <v>450</v>
      </c>
      <c r="E23" t="s">
        <v>250</v>
      </c>
      <c r="H23" t="s">
        <v>250</v>
      </c>
    </row>
    <row r="24" spans="1:11" x14ac:dyDescent="0.2">
      <c r="A24" s="72"/>
      <c r="B24" t="s">
        <v>441</v>
      </c>
      <c r="E24" t="s">
        <v>251</v>
      </c>
      <c r="H24" t="s">
        <v>251</v>
      </c>
    </row>
    <row r="25" spans="1:11" x14ac:dyDescent="0.2">
      <c r="A25" s="72"/>
      <c r="B25" t="s">
        <v>445</v>
      </c>
    </row>
    <row r="26" spans="1:11" x14ac:dyDescent="0.2">
      <c r="A26" s="72"/>
      <c r="B26" t="s">
        <v>443</v>
      </c>
    </row>
    <row r="27" spans="1:11" x14ac:dyDescent="0.2">
      <c r="A27" s="72"/>
      <c r="B27" t="s">
        <v>446</v>
      </c>
      <c r="C27" s="141"/>
    </row>
    <row r="28" spans="1:11" x14ac:dyDescent="0.2">
      <c r="A28" s="72"/>
      <c r="B28" t="s">
        <v>447</v>
      </c>
    </row>
    <row r="29" spans="1:11" x14ac:dyDescent="0.2">
      <c r="A29" s="72"/>
      <c r="B29" t="s">
        <v>448</v>
      </c>
    </row>
    <row r="30" spans="1:11" x14ac:dyDescent="0.2">
      <c r="A30" s="72"/>
      <c r="B30" t="s">
        <v>451</v>
      </c>
    </row>
    <row r="31" spans="1:11" x14ac:dyDescent="0.2">
      <c r="A31" s="72"/>
      <c r="B31" t="s">
        <v>246</v>
      </c>
    </row>
    <row r="32" spans="1:11" x14ac:dyDescent="0.2">
      <c r="A32" s="72"/>
      <c r="B32" t="s">
        <v>247</v>
      </c>
    </row>
    <row r="33" spans="1:3" x14ac:dyDescent="0.2">
      <c r="A33" s="72"/>
      <c r="B33" t="s">
        <v>452</v>
      </c>
    </row>
    <row r="34" spans="1:3" x14ac:dyDescent="0.2">
      <c r="A34" s="72"/>
      <c r="B34" t="s">
        <v>453</v>
      </c>
    </row>
    <row r="35" spans="1:3" x14ac:dyDescent="0.2">
      <c r="A35" s="72"/>
      <c r="B35" t="s">
        <v>249</v>
      </c>
    </row>
    <row r="36" spans="1:3" x14ac:dyDescent="0.2">
      <c r="A36" s="72"/>
      <c r="B36" t="s">
        <v>454</v>
      </c>
    </row>
    <row r="37" spans="1:3" x14ac:dyDescent="0.2">
      <c r="A37" s="72"/>
      <c r="B37" t="s">
        <v>250</v>
      </c>
    </row>
    <row r="38" spans="1:3" x14ac:dyDescent="0.2">
      <c r="A38" s="72"/>
      <c r="B38" t="s">
        <v>455</v>
      </c>
    </row>
    <row r="39" spans="1:3" x14ac:dyDescent="0.2">
      <c r="A39" s="72"/>
      <c r="B39" t="s">
        <v>251</v>
      </c>
    </row>
    <row r="40" spans="1:3" x14ac:dyDescent="0.2">
      <c r="A40" s="72"/>
      <c r="C40" s="72"/>
    </row>
    <row r="41" spans="1:3" x14ac:dyDescent="0.2">
      <c r="A41" s="72"/>
    </row>
    <row r="42" spans="1:3" x14ac:dyDescent="0.2">
      <c r="A42" s="72"/>
      <c r="C42" s="141"/>
    </row>
    <row r="43" spans="1:3" x14ac:dyDescent="0.2">
      <c r="A43" s="72"/>
      <c r="C43" s="142"/>
    </row>
    <row r="44" spans="1:3" x14ac:dyDescent="0.2">
      <c r="A44" s="72"/>
    </row>
    <row r="45" spans="1:3" x14ac:dyDescent="0.2">
      <c r="A45" s="72"/>
    </row>
    <row r="46" spans="1:3" x14ac:dyDescent="0.2">
      <c r="A46" s="72"/>
    </row>
    <row r="47" spans="1:3" x14ac:dyDescent="0.2">
      <c r="A47" s="72"/>
    </row>
    <row r="48" spans="1:3" x14ac:dyDescent="0.2">
      <c r="A48" s="72"/>
    </row>
    <row r="49" spans="1:3" x14ac:dyDescent="0.2">
      <c r="A49" s="72"/>
    </row>
    <row r="50" spans="1:3" x14ac:dyDescent="0.2">
      <c r="A50" s="72"/>
    </row>
    <row r="51" spans="1:3" x14ac:dyDescent="0.2">
      <c r="A51" s="72"/>
    </row>
    <row r="52" spans="1:3" x14ac:dyDescent="0.2">
      <c r="A52" s="72"/>
    </row>
    <row r="53" spans="1:3" x14ac:dyDescent="0.2">
      <c r="A53" s="72"/>
    </row>
    <row r="54" spans="1:3" x14ac:dyDescent="0.2">
      <c r="A54" s="72"/>
    </row>
    <row r="55" spans="1:3" x14ac:dyDescent="0.2">
      <c r="A55" s="72"/>
    </row>
    <row r="56" spans="1:3" x14ac:dyDescent="0.2">
      <c r="A56" s="143"/>
    </row>
    <row r="57" spans="1:3" x14ac:dyDescent="0.2">
      <c r="A57" s="144"/>
    </row>
    <row r="58" spans="1:3" x14ac:dyDescent="0.2">
      <c r="A58" s="72"/>
    </row>
    <row r="59" spans="1:3" x14ac:dyDescent="0.2">
      <c r="A59" s="72"/>
    </row>
    <row r="60" spans="1:3" x14ac:dyDescent="0.2">
      <c r="A60" s="72"/>
    </row>
    <row r="61" spans="1:3" x14ac:dyDescent="0.2">
      <c r="A61" s="72"/>
    </row>
    <row r="62" spans="1:3" ht="15" x14ac:dyDescent="0.2">
      <c r="A62" s="145"/>
      <c r="C62" s="146"/>
    </row>
    <row r="63" spans="1:3" x14ac:dyDescent="0.2">
      <c r="A63" s="72"/>
    </row>
    <row r="64" spans="1:3" x14ac:dyDescent="0.2">
      <c r="A64" s="72"/>
    </row>
    <row r="65" spans="1:3" x14ac:dyDescent="0.2">
      <c r="A65" s="147"/>
    </row>
    <row r="66" spans="1:3" x14ac:dyDescent="0.2">
      <c r="A66" s="72"/>
    </row>
    <row r="67" spans="1:3" x14ac:dyDescent="0.2">
      <c r="A67" s="72"/>
    </row>
    <row r="68" spans="1:3" ht="15" x14ac:dyDescent="0.2">
      <c r="A68" s="145"/>
      <c r="C68" s="146"/>
    </row>
    <row r="69" spans="1:3" x14ac:dyDescent="0.2">
      <c r="A69" s="72"/>
    </row>
    <row r="70" spans="1:3" ht="15" x14ac:dyDescent="0.2">
      <c r="A70" s="145"/>
      <c r="C70" s="146"/>
    </row>
    <row r="71" spans="1:3" x14ac:dyDescent="0.2">
      <c r="A71" s="72"/>
    </row>
    <row r="72" spans="1:3" ht="18" x14ac:dyDescent="0.25">
      <c r="A72" s="148"/>
      <c r="C72" s="149"/>
    </row>
    <row r="73" spans="1:3" ht="15" x14ac:dyDescent="0.2">
      <c r="A73" s="150"/>
      <c r="C73" s="151"/>
    </row>
    <row r="74" spans="1:3" ht="15" x14ac:dyDescent="0.2">
      <c r="A74" s="150"/>
      <c r="C74" s="151"/>
    </row>
    <row r="75" spans="1:3" ht="15" x14ac:dyDescent="0.2">
      <c r="A75" s="150"/>
      <c r="C75" s="151"/>
    </row>
    <row r="76" spans="1:3" ht="15" x14ac:dyDescent="0.2">
      <c r="A76" s="150"/>
      <c r="C76" s="151"/>
    </row>
    <row r="77" spans="1:3" ht="15" x14ac:dyDescent="0.2">
      <c r="A77" s="150"/>
      <c r="C77" s="151"/>
    </row>
    <row r="78" spans="1:3" x14ac:dyDescent="0.2">
      <c r="A78" s="72"/>
    </row>
    <row r="79" spans="1:3" x14ac:dyDescent="0.2">
      <c r="A79" s="72"/>
    </row>
    <row r="80" spans="1:3" x14ac:dyDescent="0.2">
      <c r="A80" s="72"/>
    </row>
    <row r="81" spans="1:3" x14ac:dyDescent="0.2">
      <c r="A81" s="72"/>
    </row>
    <row r="82" spans="1:3" x14ac:dyDescent="0.2">
      <c r="A82" s="72"/>
    </row>
    <row r="83" spans="1:3" ht="15" x14ac:dyDescent="0.2">
      <c r="A83" s="150"/>
      <c r="C83" s="151"/>
    </row>
    <row r="84" spans="1:3" ht="15" x14ac:dyDescent="0.2">
      <c r="A84" s="150"/>
      <c r="C84" s="151"/>
    </row>
    <row r="85" spans="1:3" ht="15" x14ac:dyDescent="0.2">
      <c r="A85" s="150"/>
      <c r="C85" s="151"/>
    </row>
    <row r="86" spans="1:3" x14ac:dyDescent="0.2">
      <c r="A86" s="152"/>
      <c r="C86" s="153"/>
    </row>
    <row r="87" spans="1:3" x14ac:dyDescent="0.2">
      <c r="A87" s="152"/>
      <c r="C87" s="153"/>
    </row>
    <row r="88" spans="1:3" x14ac:dyDescent="0.2">
      <c r="A88" s="152"/>
      <c r="C88" s="153"/>
    </row>
    <row r="89" spans="1:3" x14ac:dyDescent="0.2">
      <c r="A89" s="152"/>
      <c r="C89" s="153"/>
    </row>
    <row r="90" spans="1:3" ht="18" x14ac:dyDescent="0.25">
      <c r="A90" s="154"/>
      <c r="C90" s="155"/>
    </row>
    <row r="91" spans="1:3" x14ac:dyDescent="0.2">
      <c r="A91" s="156"/>
      <c r="B91" s="157"/>
      <c r="C91" s="157"/>
    </row>
    <row r="92" spans="1:3" x14ac:dyDescent="0.2">
      <c r="A92" s="156"/>
      <c r="B92" s="157"/>
      <c r="C92" s="157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P345"/>
  <sheetViews>
    <sheetView topLeftCell="A307" zoomScale="70" zoomScaleNormal="70" workbookViewId="0">
      <selection activeCell="C12" sqref="C12"/>
    </sheetView>
  </sheetViews>
  <sheetFormatPr defaultColWidth="9" defaultRowHeight="12.75" x14ac:dyDescent="0.2"/>
  <cols>
    <col min="1" max="1" width="14" style="1" customWidth="1"/>
    <col min="2" max="2" width="1.875" style="1" customWidth="1"/>
    <col min="3" max="3" width="95.875" style="1" customWidth="1"/>
    <col min="4" max="4" width="12" style="1" customWidth="1"/>
    <col min="5" max="5" width="12.375" style="1" customWidth="1"/>
    <col min="6" max="6" width="10.75" style="1" customWidth="1"/>
    <col min="7" max="7" width="11.875" style="1" customWidth="1"/>
    <col min="8" max="9" width="10.75" style="18" customWidth="1"/>
    <col min="10" max="10" width="10.875" style="66" customWidth="1"/>
    <col min="11" max="11" width="9" style="1"/>
    <col min="12" max="12" width="10.375" style="1" customWidth="1"/>
    <col min="13" max="16384" width="9" style="1"/>
  </cols>
  <sheetData>
    <row r="1" spans="1:14" ht="13.5" customHeight="1" thickBot="1" x14ac:dyDescent="0.25">
      <c r="A1" s="1418" t="s">
        <v>6730</v>
      </c>
      <c r="B1" s="1418"/>
      <c r="C1" s="1419"/>
      <c r="D1" s="1420" t="s">
        <v>0</v>
      </c>
      <c r="E1" s="1421"/>
      <c r="F1" s="1421"/>
      <c r="G1" s="1422"/>
      <c r="H1" s="1423" t="s">
        <v>1</v>
      </c>
      <c r="I1" s="1423"/>
      <c r="J1" s="1424"/>
      <c r="N1" t="s">
        <v>549</v>
      </c>
    </row>
    <row r="2" spans="1:14" ht="13.5" customHeight="1" thickBot="1" x14ac:dyDescent="0.25">
      <c r="A2" s="2" t="s">
        <v>2</v>
      </c>
      <c r="B2" s="3"/>
      <c r="C2" s="3" t="s">
        <v>3</v>
      </c>
      <c r="D2" s="3" t="s">
        <v>4</v>
      </c>
      <c r="E2" s="3" t="s">
        <v>5</v>
      </c>
      <c r="F2" s="3" t="s">
        <v>6</v>
      </c>
      <c r="G2" s="5" t="s">
        <v>7</v>
      </c>
      <c r="H2" s="6" t="s">
        <v>5</v>
      </c>
      <c r="I2" s="4" t="s">
        <v>6</v>
      </c>
      <c r="J2" s="7" t="s">
        <v>7</v>
      </c>
    </row>
    <row r="3" spans="1:14" ht="13.5" customHeight="1" x14ac:dyDescent="0.2">
      <c r="A3" s="8">
        <v>43101</v>
      </c>
      <c r="B3" s="9"/>
      <c r="C3" s="10" t="s">
        <v>8</v>
      </c>
      <c r="D3" s="11"/>
      <c r="E3" s="12"/>
      <c r="F3" s="13"/>
      <c r="G3" s="14">
        <v>272.86</v>
      </c>
      <c r="H3" s="15"/>
      <c r="I3" s="16"/>
      <c r="J3" s="17">
        <v>6369.7300000000096</v>
      </c>
      <c r="K3" s="18">
        <f>J3</f>
        <v>6369.7300000000096</v>
      </c>
      <c r="L3" s="12"/>
    </row>
    <row r="4" spans="1:14" customFormat="1" ht="13.5" customHeight="1" x14ac:dyDescent="0.2">
      <c r="A4" s="19"/>
      <c r="B4" s="172"/>
      <c r="C4" s="34" t="s">
        <v>6731</v>
      </c>
      <c r="D4" s="42"/>
      <c r="E4" s="43"/>
      <c r="F4" s="1125"/>
      <c r="G4" s="1061"/>
      <c r="H4" s="1126"/>
      <c r="I4" s="16">
        <v>0.03</v>
      </c>
      <c r="J4" s="1127"/>
      <c r="K4" s="72">
        <f>K3+I4-H4</f>
        <v>6369.7600000000093</v>
      </c>
      <c r="L4" s="43"/>
    </row>
    <row r="5" spans="1:14" ht="13.5" customHeight="1" x14ac:dyDescent="0.2">
      <c r="A5" s="19">
        <v>43102</v>
      </c>
      <c r="B5" s="20"/>
      <c r="C5" s="34" t="s">
        <v>339</v>
      </c>
      <c r="D5" s="11"/>
      <c r="E5" s="12"/>
      <c r="F5" s="22"/>
      <c r="G5" s="23"/>
      <c r="H5" s="24">
        <v>4.49</v>
      </c>
      <c r="I5" s="25"/>
      <c r="J5" s="26"/>
      <c r="K5" s="72">
        <f t="shared" ref="K5:K68" si="0">K4+I5-H5</f>
        <v>6365.2700000000095</v>
      </c>
      <c r="L5" s="43"/>
    </row>
    <row r="6" spans="1:14" ht="13.5" customHeight="1" x14ac:dyDescent="0.2">
      <c r="A6" s="19"/>
      <c r="B6" s="20"/>
      <c r="C6" s="34" t="s">
        <v>6732</v>
      </c>
      <c r="D6" s="11"/>
      <c r="E6" s="12"/>
      <c r="F6" s="22"/>
      <c r="G6" s="23"/>
      <c r="H6" s="24">
        <v>9.8000000000000007</v>
      </c>
      <c r="I6" s="25"/>
      <c r="J6" s="26"/>
      <c r="K6" s="72">
        <f t="shared" si="0"/>
        <v>6355.4700000000093</v>
      </c>
      <c r="L6" s="43"/>
    </row>
    <row r="7" spans="1:14" ht="13.5" customHeight="1" x14ac:dyDescent="0.2">
      <c r="A7" s="19"/>
      <c r="B7" s="20"/>
      <c r="C7" s="34" t="s">
        <v>6159</v>
      </c>
      <c r="D7" s="11"/>
      <c r="E7" s="12"/>
      <c r="F7" s="22"/>
      <c r="G7" s="23"/>
      <c r="H7" s="24">
        <v>300</v>
      </c>
      <c r="I7" s="25"/>
      <c r="J7" s="26"/>
      <c r="K7" s="72">
        <f t="shared" si="0"/>
        <v>6055.4700000000093</v>
      </c>
      <c r="L7" s="43"/>
    </row>
    <row r="8" spans="1:14" ht="13.5" customHeight="1" x14ac:dyDescent="0.2">
      <c r="A8" s="19"/>
      <c r="B8" s="20"/>
      <c r="C8" s="34" t="s">
        <v>6733</v>
      </c>
      <c r="D8" s="11"/>
      <c r="E8" s="12"/>
      <c r="F8" s="22"/>
      <c r="G8" s="23"/>
      <c r="H8" s="24"/>
      <c r="I8" s="25">
        <v>5000</v>
      </c>
      <c r="J8" s="26"/>
      <c r="K8" s="72">
        <f t="shared" si="0"/>
        <v>11055.470000000008</v>
      </c>
      <c r="L8" s="43"/>
    </row>
    <row r="9" spans="1:14" ht="13.5" customHeight="1" x14ac:dyDescent="0.2">
      <c r="A9" s="19"/>
      <c r="B9" s="20"/>
      <c r="C9" s="21" t="s">
        <v>6734</v>
      </c>
      <c r="D9" s="11"/>
      <c r="E9" s="12"/>
      <c r="F9" s="22"/>
      <c r="G9" s="23"/>
      <c r="H9" s="24">
        <v>11.9</v>
      </c>
      <c r="I9" s="25"/>
      <c r="J9" s="26"/>
      <c r="K9" s="72">
        <f t="shared" si="0"/>
        <v>11043.570000000009</v>
      </c>
      <c r="L9" s="43"/>
    </row>
    <row r="10" spans="1:14" ht="13.5" customHeight="1" x14ac:dyDescent="0.2">
      <c r="A10" s="19"/>
      <c r="B10" s="20"/>
      <c r="C10" s="34" t="s">
        <v>6735</v>
      </c>
      <c r="D10" s="11"/>
      <c r="E10" s="12"/>
      <c r="F10" s="22"/>
      <c r="G10" s="23"/>
      <c r="H10" s="24">
        <v>13.95</v>
      </c>
      <c r="I10" s="25"/>
      <c r="J10" s="26">
        <v>11029.59</v>
      </c>
      <c r="K10" s="72">
        <f t="shared" si="0"/>
        <v>11029.620000000008</v>
      </c>
      <c r="L10" s="43"/>
    </row>
    <row r="11" spans="1:14" ht="13.5" customHeight="1" x14ac:dyDescent="0.2">
      <c r="A11" s="19"/>
      <c r="B11" s="20"/>
      <c r="C11" s="34" t="s">
        <v>5557</v>
      </c>
      <c r="D11" s="11">
        <v>0</v>
      </c>
      <c r="E11" s="12">
        <v>-0.01</v>
      </c>
      <c r="F11" s="22"/>
      <c r="G11" s="23"/>
      <c r="H11" s="24"/>
      <c r="I11" s="25"/>
      <c r="J11" s="26"/>
      <c r="K11" s="72">
        <f t="shared" si="0"/>
        <v>11029.620000000008</v>
      </c>
      <c r="L11" s="43"/>
    </row>
    <row r="12" spans="1:14" ht="13.5" customHeight="1" x14ac:dyDescent="0.2">
      <c r="A12" s="19"/>
      <c r="B12" s="20"/>
      <c r="C12" s="34" t="s">
        <v>5558</v>
      </c>
      <c r="D12" s="11">
        <v>0</v>
      </c>
      <c r="E12" s="12">
        <v>-0.15</v>
      </c>
      <c r="F12" s="22"/>
      <c r="G12" s="23">
        <v>272.7</v>
      </c>
      <c r="H12" s="24"/>
      <c r="I12" s="25"/>
      <c r="J12" s="26"/>
      <c r="K12" s="72">
        <f t="shared" si="0"/>
        <v>11029.620000000008</v>
      </c>
      <c r="L12" s="43"/>
    </row>
    <row r="13" spans="1:14" ht="13.5" customHeight="1" x14ac:dyDescent="0.2">
      <c r="A13" s="19">
        <v>43103</v>
      </c>
      <c r="B13" s="20"/>
      <c r="C13" s="34" t="s">
        <v>6736</v>
      </c>
      <c r="D13" s="11"/>
      <c r="E13" s="12"/>
      <c r="F13" s="22"/>
      <c r="G13" s="23"/>
      <c r="H13" s="24"/>
      <c r="I13" s="25">
        <v>220</v>
      </c>
      <c r="J13" s="26"/>
      <c r="K13" s="72">
        <f t="shared" si="0"/>
        <v>11249.620000000008</v>
      </c>
      <c r="L13" s="43"/>
    </row>
    <row r="14" spans="1:14" ht="13.5" customHeight="1" x14ac:dyDescent="0.2">
      <c r="A14" s="19"/>
      <c r="B14" s="20"/>
      <c r="C14" s="21" t="s">
        <v>470</v>
      </c>
      <c r="D14" s="11"/>
      <c r="E14" s="12"/>
      <c r="F14" s="22"/>
      <c r="G14" s="23"/>
      <c r="H14" s="174">
        <v>1500</v>
      </c>
      <c r="I14" s="25"/>
      <c r="J14" s="26"/>
      <c r="K14" s="72">
        <f t="shared" si="0"/>
        <v>9749.6200000000081</v>
      </c>
      <c r="L14" s="43"/>
    </row>
    <row r="15" spans="1:14" ht="13.5" customHeight="1" x14ac:dyDescent="0.2">
      <c r="A15" s="19"/>
      <c r="B15" s="20"/>
      <c r="C15" s="21" t="s">
        <v>6737</v>
      </c>
      <c r="D15" s="11"/>
      <c r="E15" s="12"/>
      <c r="F15" s="22"/>
      <c r="G15" s="23"/>
      <c r="H15" s="24">
        <v>28.5</v>
      </c>
      <c r="I15" s="25"/>
      <c r="J15" s="26"/>
      <c r="K15" s="72">
        <f t="shared" si="0"/>
        <v>9721.1200000000081</v>
      </c>
      <c r="L15" s="43"/>
    </row>
    <row r="16" spans="1:14" ht="13.5" customHeight="1" x14ac:dyDescent="0.2">
      <c r="A16" s="19"/>
      <c r="B16" s="20"/>
      <c r="C16" s="36" t="s">
        <v>6738</v>
      </c>
      <c r="D16" s="11"/>
      <c r="E16" s="12"/>
      <c r="F16" s="22"/>
      <c r="G16" s="23"/>
      <c r="H16" s="24">
        <v>16.149999999999999</v>
      </c>
      <c r="I16" s="25"/>
      <c r="J16" s="26"/>
      <c r="K16" s="72">
        <f t="shared" si="0"/>
        <v>9704.9700000000084</v>
      </c>
      <c r="L16" s="43"/>
    </row>
    <row r="17" spans="1:12" ht="13.5" customHeight="1" x14ac:dyDescent="0.2">
      <c r="A17" s="19"/>
      <c r="B17" s="20"/>
      <c r="C17" s="21" t="s">
        <v>6739</v>
      </c>
      <c r="D17" s="11"/>
      <c r="E17" s="12"/>
      <c r="F17" s="22"/>
      <c r="G17" s="23"/>
      <c r="H17" s="24">
        <v>40.4</v>
      </c>
      <c r="I17" s="25"/>
      <c r="J17" s="26"/>
      <c r="K17" s="72">
        <f t="shared" si="0"/>
        <v>9664.5700000000088</v>
      </c>
      <c r="L17" s="43"/>
    </row>
    <row r="18" spans="1:12" ht="13.5" customHeight="1" x14ac:dyDescent="0.2">
      <c r="A18" s="19"/>
      <c r="B18" s="20"/>
      <c r="C18" s="21" t="s">
        <v>6740</v>
      </c>
      <c r="D18" s="11"/>
      <c r="E18" s="12"/>
      <c r="F18" s="22"/>
      <c r="G18" s="23"/>
      <c r="H18" s="24">
        <v>30.64</v>
      </c>
      <c r="I18" s="25"/>
      <c r="J18" s="26"/>
      <c r="K18" s="72">
        <f t="shared" si="0"/>
        <v>9633.9300000000094</v>
      </c>
      <c r="L18" s="43"/>
    </row>
    <row r="19" spans="1:12" ht="13.5" customHeight="1" x14ac:dyDescent="0.2">
      <c r="A19" s="19"/>
      <c r="B19" s="20"/>
      <c r="C19" s="34" t="s">
        <v>77</v>
      </c>
      <c r="D19" s="11"/>
      <c r="E19" s="12"/>
      <c r="F19" s="22"/>
      <c r="G19" s="23"/>
      <c r="H19" s="44">
        <v>3000</v>
      </c>
      <c r="I19" s="25"/>
      <c r="J19" s="26"/>
      <c r="K19" s="72">
        <f t="shared" si="0"/>
        <v>6633.9300000000094</v>
      </c>
      <c r="L19" s="43"/>
    </row>
    <row r="20" spans="1:12" ht="13.5" customHeight="1" x14ac:dyDescent="0.2">
      <c r="A20" s="19"/>
      <c r="B20" s="20"/>
      <c r="C20" s="34" t="s">
        <v>6741</v>
      </c>
      <c r="D20" s="11"/>
      <c r="E20" s="12"/>
      <c r="F20" s="22"/>
      <c r="G20" s="23"/>
      <c r="H20" s="24">
        <v>5000</v>
      </c>
      <c r="I20" s="25"/>
      <c r="J20" s="26"/>
      <c r="K20" s="72">
        <f t="shared" si="0"/>
        <v>1633.9300000000094</v>
      </c>
      <c r="L20" s="43"/>
    </row>
    <row r="21" spans="1:12" ht="13.5" customHeight="1" x14ac:dyDescent="0.2">
      <c r="A21" s="19"/>
      <c r="B21" s="20"/>
      <c r="C21" s="21" t="s">
        <v>6742</v>
      </c>
      <c r="D21" s="11"/>
      <c r="E21" s="12"/>
      <c r="F21" s="22"/>
      <c r="G21" s="23"/>
      <c r="H21" s="24"/>
      <c r="I21" s="25">
        <v>1360</v>
      </c>
      <c r="J21" s="26">
        <v>2993.9</v>
      </c>
      <c r="K21" s="72">
        <f t="shared" si="0"/>
        <v>2993.9300000000094</v>
      </c>
      <c r="L21" s="43"/>
    </row>
    <row r="22" spans="1:12" ht="13.5" customHeight="1" x14ac:dyDescent="0.2">
      <c r="A22" s="19"/>
      <c r="B22" s="20" t="s">
        <v>591</v>
      </c>
      <c r="C22" s="21" t="s">
        <v>470</v>
      </c>
      <c r="D22" s="11">
        <v>572170</v>
      </c>
      <c r="E22" s="12"/>
      <c r="F22" s="162">
        <v>1500</v>
      </c>
      <c r="G22" s="23">
        <v>1772.7</v>
      </c>
      <c r="H22" s="24"/>
      <c r="I22" s="25"/>
      <c r="J22" s="26"/>
      <c r="K22" s="72">
        <f t="shared" si="0"/>
        <v>2993.9300000000094</v>
      </c>
      <c r="L22" s="43"/>
    </row>
    <row r="23" spans="1:12" ht="13.5" customHeight="1" x14ac:dyDescent="0.2">
      <c r="A23" s="19">
        <v>43104</v>
      </c>
      <c r="B23" s="20"/>
      <c r="C23" s="21" t="s">
        <v>6743</v>
      </c>
      <c r="D23" s="11"/>
      <c r="E23" s="12"/>
      <c r="F23" s="22"/>
      <c r="G23" s="23"/>
      <c r="H23" s="24"/>
      <c r="I23" s="25">
        <v>990</v>
      </c>
      <c r="J23" s="26"/>
      <c r="K23" s="72">
        <f t="shared" si="0"/>
        <v>3983.9300000000094</v>
      </c>
      <c r="L23" s="43"/>
    </row>
    <row r="24" spans="1:12" ht="13.5" customHeight="1" x14ac:dyDescent="0.2">
      <c r="A24" s="19"/>
      <c r="B24" s="20"/>
      <c r="C24" s="21" t="s">
        <v>6409</v>
      </c>
      <c r="D24" s="11"/>
      <c r="E24" s="12"/>
      <c r="F24" s="22"/>
      <c r="G24" s="23"/>
      <c r="H24" s="24">
        <v>70</v>
      </c>
      <c r="I24" s="25"/>
      <c r="J24" s="26"/>
      <c r="K24" s="72">
        <f t="shared" si="0"/>
        <v>3913.9300000000094</v>
      </c>
      <c r="L24" s="43"/>
    </row>
    <row r="25" spans="1:12" ht="13.5" customHeight="1" x14ac:dyDescent="0.2">
      <c r="A25" s="19"/>
      <c r="B25" s="20"/>
      <c r="C25" s="34" t="s">
        <v>6409</v>
      </c>
      <c r="D25" s="11"/>
      <c r="E25" s="12"/>
      <c r="F25" s="22"/>
      <c r="G25" s="23"/>
      <c r="H25" s="24">
        <v>70</v>
      </c>
      <c r="I25" s="25"/>
      <c r="J25" s="26"/>
      <c r="K25" s="72">
        <f t="shared" si="0"/>
        <v>3843.9300000000094</v>
      </c>
      <c r="L25" s="43"/>
    </row>
    <row r="26" spans="1:12" ht="13.5" customHeight="1" x14ac:dyDescent="0.2">
      <c r="A26" s="19"/>
      <c r="B26" s="20"/>
      <c r="C26" s="34" t="s">
        <v>5977</v>
      </c>
      <c r="D26" s="11"/>
      <c r="E26" s="12"/>
      <c r="F26" s="22"/>
      <c r="G26" s="23"/>
      <c r="H26" s="24">
        <v>70</v>
      </c>
      <c r="I26" s="25"/>
      <c r="J26" s="26"/>
      <c r="K26" s="72">
        <f t="shared" si="0"/>
        <v>3773.9300000000094</v>
      </c>
      <c r="L26" s="43"/>
    </row>
    <row r="27" spans="1:12" ht="13.5" customHeight="1" x14ac:dyDescent="0.2">
      <c r="A27" s="19"/>
      <c r="B27" s="20"/>
      <c r="C27" s="34" t="s">
        <v>5977</v>
      </c>
      <c r="D27" s="11"/>
      <c r="E27" s="12"/>
      <c r="F27" s="22"/>
      <c r="G27" s="23"/>
      <c r="H27" s="24">
        <v>70</v>
      </c>
      <c r="I27" s="25"/>
      <c r="J27" s="26">
        <v>3703.9</v>
      </c>
      <c r="K27" s="72">
        <f t="shared" si="0"/>
        <v>3703.9300000000094</v>
      </c>
      <c r="L27" s="43"/>
    </row>
    <row r="28" spans="1:12" ht="13.5" customHeight="1" x14ac:dyDescent="0.2">
      <c r="A28" s="19">
        <v>43105</v>
      </c>
      <c r="B28" s="20"/>
      <c r="C28" s="21" t="s">
        <v>6744</v>
      </c>
      <c r="D28" s="11"/>
      <c r="E28" s="12"/>
      <c r="F28" s="22"/>
      <c r="G28" s="23"/>
      <c r="H28" s="174">
        <v>2790</v>
      </c>
      <c r="I28" s="25"/>
      <c r="J28" s="26"/>
      <c r="K28" s="72">
        <f t="shared" si="0"/>
        <v>913.93000000000939</v>
      </c>
      <c r="L28" s="43"/>
    </row>
    <row r="29" spans="1:12" ht="13.5" customHeight="1" x14ac:dyDescent="0.2">
      <c r="A29" s="19"/>
      <c r="B29" s="20"/>
      <c r="C29" s="34" t="s">
        <v>6745</v>
      </c>
      <c r="D29" s="11"/>
      <c r="E29" s="12"/>
      <c r="F29" s="22"/>
      <c r="G29" s="23"/>
      <c r="H29" s="24"/>
      <c r="I29" s="637">
        <v>300</v>
      </c>
      <c r="J29" s="26">
        <v>1213.9000000000001</v>
      </c>
      <c r="K29" s="72">
        <f t="shared" si="0"/>
        <v>1213.9300000000094</v>
      </c>
      <c r="L29" s="43"/>
    </row>
    <row r="30" spans="1:12" ht="13.5" customHeight="1" x14ac:dyDescent="0.2">
      <c r="A30" s="19"/>
      <c r="B30" s="20"/>
      <c r="C30" s="34" t="s">
        <v>6746</v>
      </c>
      <c r="D30" s="11"/>
      <c r="E30" s="12">
        <v>-1500</v>
      </c>
      <c r="F30" s="22"/>
      <c r="G30" s="23"/>
      <c r="H30" s="24"/>
      <c r="I30" s="25"/>
      <c r="J30" s="26"/>
      <c r="K30" s="72">
        <f t="shared" si="0"/>
        <v>1213.9300000000094</v>
      </c>
      <c r="L30" s="43"/>
    </row>
    <row r="31" spans="1:12" ht="13.5" customHeight="1" x14ac:dyDescent="0.2">
      <c r="A31" s="19"/>
      <c r="B31" s="20"/>
      <c r="C31" s="34" t="s">
        <v>20</v>
      </c>
      <c r="D31" s="11">
        <v>0</v>
      </c>
      <c r="E31" s="12"/>
      <c r="F31" s="22">
        <v>0.04</v>
      </c>
      <c r="G31" s="23">
        <v>272.74</v>
      </c>
      <c r="H31" s="24"/>
      <c r="I31" s="25"/>
      <c r="J31" s="26"/>
      <c r="K31" s="72">
        <f t="shared" si="0"/>
        <v>1213.9300000000094</v>
      </c>
      <c r="L31" s="43"/>
    </row>
    <row r="32" spans="1:12" ht="13.5" customHeight="1" x14ac:dyDescent="0.2">
      <c r="A32" s="19">
        <v>43108</v>
      </c>
      <c r="B32" s="20"/>
      <c r="C32" s="34" t="s">
        <v>6747</v>
      </c>
      <c r="D32" s="11"/>
      <c r="E32" s="12"/>
      <c r="F32" s="22"/>
      <c r="G32" s="23"/>
      <c r="H32" s="24"/>
      <c r="I32" s="25">
        <v>1971.45</v>
      </c>
      <c r="J32" s="26"/>
      <c r="K32" s="72">
        <f t="shared" si="0"/>
        <v>3185.3800000000092</v>
      </c>
      <c r="L32" s="43"/>
    </row>
    <row r="33" spans="1:12" ht="13.5" customHeight="1" x14ac:dyDescent="0.2">
      <c r="A33" s="19"/>
      <c r="B33" s="20"/>
      <c r="C33" s="34" t="s">
        <v>6748</v>
      </c>
      <c r="D33" s="11"/>
      <c r="E33" s="12"/>
      <c r="F33" s="22"/>
      <c r="G33" s="23"/>
      <c r="H33" s="24"/>
      <c r="I33" s="25">
        <v>1144</v>
      </c>
      <c r="J33" s="26"/>
      <c r="K33" s="72">
        <f t="shared" si="0"/>
        <v>4329.3800000000092</v>
      </c>
      <c r="L33" s="43"/>
    </row>
    <row r="34" spans="1:12" ht="13.5" customHeight="1" x14ac:dyDescent="0.2">
      <c r="A34" s="19"/>
      <c r="B34" s="20"/>
      <c r="C34" s="21" t="s">
        <v>6749</v>
      </c>
      <c r="D34" s="11"/>
      <c r="E34" s="12"/>
      <c r="F34" s="22"/>
      <c r="G34" s="23"/>
      <c r="H34" s="24"/>
      <c r="I34" s="25">
        <v>1020</v>
      </c>
      <c r="J34" s="26"/>
      <c r="K34" s="72">
        <f t="shared" si="0"/>
        <v>5349.3800000000092</v>
      </c>
      <c r="L34" s="43"/>
    </row>
    <row r="35" spans="1:12" ht="13.5" customHeight="1" x14ac:dyDescent="0.2">
      <c r="A35" s="19"/>
      <c r="B35" s="20"/>
      <c r="C35" s="56" t="s">
        <v>6750</v>
      </c>
      <c r="D35" s="11"/>
      <c r="E35" s="12"/>
      <c r="F35" s="22"/>
      <c r="G35" s="23"/>
      <c r="H35" s="24"/>
      <c r="I35" s="25">
        <v>190</v>
      </c>
      <c r="J35" s="26"/>
      <c r="K35" s="72">
        <f t="shared" si="0"/>
        <v>5539.3800000000092</v>
      </c>
      <c r="L35" s="43"/>
    </row>
    <row r="36" spans="1:12" ht="13.5" customHeight="1" x14ac:dyDescent="0.2">
      <c r="A36" s="19"/>
      <c r="B36" s="20"/>
      <c r="C36" s="21" t="s">
        <v>6751</v>
      </c>
      <c r="D36" s="11"/>
      <c r="E36" s="12"/>
      <c r="F36" s="22"/>
      <c r="G36" s="23"/>
      <c r="H36" s="24"/>
      <c r="I36" s="25">
        <v>190</v>
      </c>
      <c r="J36" s="26"/>
      <c r="K36" s="72">
        <f t="shared" si="0"/>
        <v>5729.3800000000092</v>
      </c>
      <c r="L36" s="43"/>
    </row>
    <row r="37" spans="1:12" ht="13.5" customHeight="1" x14ac:dyDescent="0.2">
      <c r="A37" s="19"/>
      <c r="B37" s="20"/>
      <c r="C37" s="21" t="s">
        <v>6752</v>
      </c>
      <c r="D37" s="11"/>
      <c r="E37" s="12"/>
      <c r="F37" s="22"/>
      <c r="G37" s="23"/>
      <c r="H37" s="24"/>
      <c r="I37" s="25">
        <v>190</v>
      </c>
      <c r="J37" s="26"/>
      <c r="K37" s="72">
        <f t="shared" si="0"/>
        <v>5919.3800000000092</v>
      </c>
      <c r="L37" s="43"/>
    </row>
    <row r="38" spans="1:12" ht="13.5" customHeight="1" x14ac:dyDescent="0.2">
      <c r="A38" s="19"/>
      <c r="B38" s="20"/>
      <c r="C38" s="21" t="s">
        <v>6753</v>
      </c>
      <c r="D38" s="11"/>
      <c r="E38" s="12"/>
      <c r="F38" s="22"/>
      <c r="G38" s="23"/>
      <c r="H38" s="174">
        <v>300</v>
      </c>
      <c r="I38" s="25"/>
      <c r="J38" s="26"/>
      <c r="K38" s="72">
        <f t="shared" si="0"/>
        <v>5619.3800000000092</v>
      </c>
      <c r="L38" s="43"/>
    </row>
    <row r="39" spans="1:12" ht="13.5" customHeight="1" x14ac:dyDescent="0.2">
      <c r="A39" s="19"/>
      <c r="B39" s="20"/>
      <c r="C39" s="21" t="s">
        <v>6754</v>
      </c>
      <c r="D39" s="11"/>
      <c r="E39" s="12"/>
      <c r="F39" s="22"/>
      <c r="G39" s="23"/>
      <c r="H39" s="24"/>
      <c r="I39" s="25">
        <v>1232.7</v>
      </c>
      <c r="J39" s="26"/>
      <c r="K39" s="72">
        <f t="shared" si="0"/>
        <v>6852.080000000009</v>
      </c>
      <c r="L39" s="43"/>
    </row>
    <row r="40" spans="1:12" ht="13.5" customHeight="1" x14ac:dyDescent="0.2">
      <c r="A40" s="19"/>
      <c r="B40" s="20"/>
      <c r="C40" s="34" t="s">
        <v>6755</v>
      </c>
      <c r="D40" s="11"/>
      <c r="E40" s="12"/>
      <c r="F40" s="22"/>
      <c r="G40" s="23"/>
      <c r="H40" s="24"/>
      <c r="I40" s="25">
        <v>150</v>
      </c>
      <c r="J40" s="26"/>
      <c r="K40" s="72">
        <f t="shared" si="0"/>
        <v>7002.080000000009</v>
      </c>
      <c r="L40" s="43"/>
    </row>
    <row r="41" spans="1:12" ht="13.5" customHeight="1" x14ac:dyDescent="0.2">
      <c r="A41" s="19"/>
      <c r="B41" s="20"/>
      <c r="C41" s="34" t="s">
        <v>6756</v>
      </c>
      <c r="D41" s="11"/>
      <c r="E41" s="12"/>
      <c r="F41" s="22"/>
      <c r="G41" s="23"/>
      <c r="H41" s="24">
        <v>170</v>
      </c>
      <c r="I41" s="25"/>
      <c r="J41" s="26"/>
      <c r="K41" s="72">
        <f t="shared" si="0"/>
        <v>6832.080000000009</v>
      </c>
      <c r="L41" s="43"/>
    </row>
    <row r="42" spans="1:12" ht="13.5" customHeight="1" x14ac:dyDescent="0.2">
      <c r="A42" s="19"/>
      <c r="B42" s="20"/>
      <c r="C42" s="34" t="s">
        <v>6757</v>
      </c>
      <c r="D42" s="11"/>
      <c r="E42" s="12"/>
      <c r="F42" s="22"/>
      <c r="G42" s="23"/>
      <c r="H42" s="24">
        <v>240</v>
      </c>
      <c r="I42" s="25"/>
      <c r="J42" s="26"/>
      <c r="K42" s="72">
        <f t="shared" si="0"/>
        <v>6592.080000000009</v>
      </c>
      <c r="L42" s="43"/>
    </row>
    <row r="43" spans="1:12" ht="13.5" customHeight="1" x14ac:dyDescent="0.2">
      <c r="A43" s="19"/>
      <c r="B43" s="20"/>
      <c r="C43" s="34" t="s">
        <v>6758</v>
      </c>
      <c r="D43" s="11"/>
      <c r="E43" s="12"/>
      <c r="F43" s="22"/>
      <c r="G43" s="23"/>
      <c r="H43" s="24"/>
      <c r="I43" s="25">
        <v>83.9</v>
      </c>
      <c r="J43" s="26"/>
      <c r="K43" s="72">
        <f t="shared" si="0"/>
        <v>6675.9800000000087</v>
      </c>
      <c r="L43" s="43"/>
    </row>
    <row r="44" spans="1:12" ht="13.5" customHeight="1" x14ac:dyDescent="0.2">
      <c r="A44" s="19"/>
      <c r="B44" s="20"/>
      <c r="C44" s="34" t="s">
        <v>6759</v>
      </c>
      <c r="D44" s="11"/>
      <c r="E44" s="12"/>
      <c r="F44" s="22"/>
      <c r="G44" s="23"/>
      <c r="H44" s="24"/>
      <c r="I44" s="25">
        <v>1430</v>
      </c>
      <c r="J44" s="26">
        <v>8105.9500000000062</v>
      </c>
      <c r="K44" s="72">
        <f t="shared" si="0"/>
        <v>8105.9800000000087</v>
      </c>
      <c r="L44" s="43"/>
    </row>
    <row r="45" spans="1:12" ht="13.5" customHeight="1" x14ac:dyDescent="0.2">
      <c r="A45" s="19"/>
      <c r="B45" s="20" t="s">
        <v>591</v>
      </c>
      <c r="C45" s="21" t="s">
        <v>6744</v>
      </c>
      <c r="D45" s="11">
        <v>572192</v>
      </c>
      <c r="E45" s="12"/>
      <c r="F45" s="162">
        <v>2790</v>
      </c>
      <c r="G45" s="23">
        <v>3062.74</v>
      </c>
      <c r="H45" s="24"/>
      <c r="I45" s="25"/>
      <c r="J45" s="26"/>
      <c r="K45" s="72">
        <f t="shared" si="0"/>
        <v>8105.9800000000087</v>
      </c>
      <c r="L45" s="43"/>
    </row>
    <row r="46" spans="1:12" ht="13.5" customHeight="1" x14ac:dyDescent="0.2">
      <c r="A46" s="19">
        <v>43109</v>
      </c>
      <c r="B46" s="20"/>
      <c r="C46" s="357" t="s">
        <v>6760</v>
      </c>
      <c r="D46" s="11"/>
      <c r="E46" s="12"/>
      <c r="F46" s="22"/>
      <c r="G46" s="23"/>
      <c r="H46" s="24"/>
      <c r="I46" s="25">
        <v>2050</v>
      </c>
      <c r="J46" s="26"/>
      <c r="K46" s="72">
        <f t="shared" si="0"/>
        <v>10155.980000000009</v>
      </c>
      <c r="L46" s="43"/>
    </row>
    <row r="47" spans="1:12" ht="13.5" customHeight="1" x14ac:dyDescent="0.2">
      <c r="A47" s="19"/>
      <c r="B47" s="20"/>
      <c r="C47" s="357" t="s">
        <v>6761</v>
      </c>
      <c r="D47" s="11"/>
      <c r="E47" s="12"/>
      <c r="F47" s="22"/>
      <c r="G47" s="23"/>
      <c r="H47" s="24">
        <v>7.6</v>
      </c>
      <c r="I47" s="25"/>
      <c r="J47" s="26"/>
      <c r="K47" s="72">
        <f t="shared" si="0"/>
        <v>10148.380000000008</v>
      </c>
      <c r="L47" s="43"/>
    </row>
    <row r="48" spans="1:12" ht="13.5" customHeight="1" x14ac:dyDescent="0.2">
      <c r="A48" s="19"/>
      <c r="B48" s="20"/>
      <c r="C48" s="357" t="s">
        <v>6762</v>
      </c>
      <c r="D48" s="11"/>
      <c r="E48" s="12"/>
      <c r="F48" s="22"/>
      <c r="G48" s="23"/>
      <c r="H48" s="24">
        <v>6.55</v>
      </c>
      <c r="I48" s="25"/>
      <c r="J48" s="26"/>
      <c r="K48" s="72">
        <f t="shared" si="0"/>
        <v>10141.830000000009</v>
      </c>
      <c r="L48" s="43"/>
    </row>
    <row r="49" spans="1:12" ht="13.5" customHeight="1" x14ac:dyDescent="0.2">
      <c r="A49" s="19"/>
      <c r="B49" s="20"/>
      <c r="C49" s="21" t="s">
        <v>6763</v>
      </c>
      <c r="D49" s="11"/>
      <c r="E49" s="12"/>
      <c r="F49" s="22"/>
      <c r="G49" s="23"/>
      <c r="H49" s="24">
        <v>6.98</v>
      </c>
      <c r="I49" s="25"/>
      <c r="J49" s="26"/>
      <c r="K49" s="72">
        <f t="shared" si="0"/>
        <v>10134.850000000009</v>
      </c>
      <c r="L49" s="43"/>
    </row>
    <row r="50" spans="1:12" ht="13.5" customHeight="1" x14ac:dyDescent="0.2">
      <c r="A50" s="19"/>
      <c r="B50" s="20"/>
      <c r="C50" s="21" t="s">
        <v>6764</v>
      </c>
      <c r="D50" s="11"/>
      <c r="E50" s="12"/>
      <c r="F50" s="22"/>
      <c r="G50" s="23"/>
      <c r="H50" s="24">
        <v>29.42</v>
      </c>
      <c r="I50" s="25"/>
      <c r="J50" s="26"/>
      <c r="K50" s="72">
        <f t="shared" si="0"/>
        <v>10105.430000000009</v>
      </c>
      <c r="L50" s="43"/>
    </row>
    <row r="51" spans="1:12" ht="13.5" customHeight="1" x14ac:dyDescent="0.2">
      <c r="A51" s="19"/>
      <c r="B51" s="20"/>
      <c r="C51" s="21" t="s">
        <v>6765</v>
      </c>
      <c r="D51" s="11"/>
      <c r="E51" s="12"/>
      <c r="F51" s="22"/>
      <c r="G51" s="23"/>
      <c r="H51" s="24"/>
      <c r="I51" s="25">
        <v>190</v>
      </c>
      <c r="J51" s="26"/>
      <c r="K51" s="72">
        <f t="shared" si="0"/>
        <v>10295.430000000009</v>
      </c>
      <c r="L51" s="43"/>
    </row>
    <row r="52" spans="1:12" ht="13.5" customHeight="1" x14ac:dyDescent="0.2">
      <c r="A52" s="19"/>
      <c r="B52" s="20"/>
      <c r="C52" s="21" t="s">
        <v>6766</v>
      </c>
      <c r="D52" s="11"/>
      <c r="E52" s="12"/>
      <c r="F52" s="22"/>
      <c r="G52" s="23"/>
      <c r="H52" s="174">
        <v>1430</v>
      </c>
      <c r="I52" s="25"/>
      <c r="J52" s="26">
        <v>8865.4000000000069</v>
      </c>
      <c r="K52" s="72">
        <f t="shared" si="0"/>
        <v>8865.4300000000094</v>
      </c>
      <c r="L52" s="43"/>
    </row>
    <row r="53" spans="1:12" ht="13.5" customHeight="1" x14ac:dyDescent="0.2">
      <c r="A53" s="19" t="s">
        <v>6767</v>
      </c>
      <c r="B53" s="20"/>
      <c r="C53" s="34" t="s">
        <v>558</v>
      </c>
      <c r="D53" s="11">
        <v>0</v>
      </c>
      <c r="E53" s="12">
        <v>-65.37</v>
      </c>
      <c r="F53" s="22"/>
      <c r="G53" s="23"/>
      <c r="H53" s="24"/>
      <c r="I53" s="25"/>
      <c r="J53" s="26"/>
      <c r="K53" s="72">
        <f t="shared" si="0"/>
        <v>8865.4300000000094</v>
      </c>
      <c r="L53" s="43"/>
    </row>
    <row r="54" spans="1:12" ht="13.5" customHeight="1" x14ac:dyDescent="0.2">
      <c r="A54" s="19"/>
      <c r="B54" s="20"/>
      <c r="C54" s="34" t="s">
        <v>62</v>
      </c>
      <c r="D54" s="11">
        <v>0</v>
      </c>
      <c r="E54" s="12">
        <v>-481.34</v>
      </c>
      <c r="F54" s="22"/>
      <c r="G54" s="23"/>
      <c r="H54" s="24"/>
      <c r="I54" s="25"/>
      <c r="J54" s="26"/>
      <c r="K54" s="72">
        <f t="shared" si="0"/>
        <v>8865.4300000000094</v>
      </c>
      <c r="L54" s="43"/>
    </row>
    <row r="55" spans="1:12" ht="13.5" customHeight="1" x14ac:dyDescent="0.2">
      <c r="A55" s="19"/>
      <c r="B55" s="20" t="s">
        <v>591</v>
      </c>
      <c r="C55" s="21" t="s">
        <v>6766</v>
      </c>
      <c r="D55" s="11">
        <v>572203</v>
      </c>
      <c r="E55" s="12"/>
      <c r="F55" s="162">
        <v>1430</v>
      </c>
      <c r="G55" s="23">
        <v>3946.03</v>
      </c>
      <c r="H55" s="24"/>
      <c r="I55" s="25"/>
      <c r="J55" s="26"/>
      <c r="K55" s="72">
        <f t="shared" si="0"/>
        <v>8865.4300000000094</v>
      </c>
      <c r="L55" s="43"/>
    </row>
    <row r="56" spans="1:12" ht="13.5" customHeight="1" x14ac:dyDescent="0.2">
      <c r="A56" s="19">
        <v>43110</v>
      </c>
      <c r="B56" s="20"/>
      <c r="C56" s="21" t="s">
        <v>1284</v>
      </c>
      <c r="D56" s="11"/>
      <c r="E56" s="12"/>
      <c r="F56" s="22"/>
      <c r="G56" s="23"/>
      <c r="H56" s="24"/>
      <c r="I56" s="25">
        <v>185</v>
      </c>
      <c r="J56" s="26"/>
      <c r="K56" s="72">
        <f t="shared" si="0"/>
        <v>9050.4300000000094</v>
      </c>
      <c r="L56" s="43"/>
    </row>
    <row r="57" spans="1:12" ht="13.5" customHeight="1" x14ac:dyDescent="0.2">
      <c r="A57" s="19"/>
      <c r="B57" s="20"/>
      <c r="C57" s="21" t="s">
        <v>6768</v>
      </c>
      <c r="D57" s="11"/>
      <c r="E57" s="12"/>
      <c r="F57" s="22"/>
      <c r="G57" s="23"/>
      <c r="H57" s="24"/>
      <c r="I57" s="25">
        <v>2296.13</v>
      </c>
      <c r="J57" s="26"/>
      <c r="K57" s="72">
        <f t="shared" si="0"/>
        <v>11346.560000000009</v>
      </c>
      <c r="L57" s="43"/>
    </row>
    <row r="58" spans="1:12" ht="13.5" customHeight="1" x14ac:dyDescent="0.2">
      <c r="A58" s="19"/>
      <c r="B58" s="20"/>
      <c r="C58" s="21" t="s">
        <v>567</v>
      </c>
      <c r="D58" s="11"/>
      <c r="E58" s="12"/>
      <c r="F58" s="22"/>
      <c r="G58" s="23"/>
      <c r="H58" s="174">
        <v>185</v>
      </c>
      <c r="I58" s="25"/>
      <c r="J58" s="26"/>
      <c r="K58" s="72">
        <f t="shared" si="0"/>
        <v>11161.560000000009</v>
      </c>
      <c r="L58" s="43"/>
    </row>
    <row r="59" spans="1:12" ht="13.5" customHeight="1" x14ac:dyDescent="0.2">
      <c r="A59" s="19"/>
      <c r="B59" s="20"/>
      <c r="C59" s="21" t="s">
        <v>5995</v>
      </c>
      <c r="D59" s="11"/>
      <c r="E59" s="12"/>
      <c r="F59" s="22"/>
      <c r="G59" s="23"/>
      <c r="H59" s="174">
        <v>2296.13</v>
      </c>
      <c r="I59" s="25"/>
      <c r="J59" s="26"/>
      <c r="K59" s="72">
        <f t="shared" si="0"/>
        <v>8865.4300000000076</v>
      </c>
      <c r="L59" s="43"/>
    </row>
    <row r="60" spans="1:12" ht="13.5" customHeight="1" x14ac:dyDescent="0.2">
      <c r="A60" s="19"/>
      <c r="B60" s="20"/>
      <c r="C60" s="21" t="s">
        <v>6769</v>
      </c>
      <c r="D60" s="11"/>
      <c r="E60" s="12"/>
      <c r="F60" s="22"/>
      <c r="G60" s="23"/>
      <c r="H60" s="24">
        <v>21.5</v>
      </c>
      <c r="I60" s="25"/>
      <c r="J60" s="26"/>
      <c r="K60" s="72">
        <f t="shared" si="0"/>
        <v>8843.9300000000076</v>
      </c>
      <c r="L60" s="43"/>
    </row>
    <row r="61" spans="1:12" ht="13.5" customHeight="1" x14ac:dyDescent="0.2">
      <c r="A61" s="19"/>
      <c r="B61" s="20"/>
      <c r="C61" s="21" t="s">
        <v>6770</v>
      </c>
      <c r="D61" s="11"/>
      <c r="E61" s="12"/>
      <c r="F61" s="22"/>
      <c r="G61" s="23"/>
      <c r="H61" s="24">
        <v>6.98</v>
      </c>
      <c r="I61" s="25"/>
      <c r="J61" s="26"/>
      <c r="K61" s="72">
        <f t="shared" si="0"/>
        <v>8836.950000000008</v>
      </c>
      <c r="L61" s="43"/>
    </row>
    <row r="62" spans="1:12" ht="13.5" customHeight="1" x14ac:dyDescent="0.2">
      <c r="A62" s="19"/>
      <c r="B62" s="20"/>
      <c r="C62" s="21" t="s">
        <v>6771</v>
      </c>
      <c r="D62" s="11"/>
      <c r="E62" s="12"/>
      <c r="F62" s="22"/>
      <c r="G62" s="23"/>
      <c r="H62" s="24">
        <v>72</v>
      </c>
      <c r="I62" s="25"/>
      <c r="J62" s="26"/>
      <c r="K62" s="72">
        <f t="shared" si="0"/>
        <v>8764.950000000008</v>
      </c>
      <c r="L62" s="43"/>
    </row>
    <row r="63" spans="1:12" ht="13.5" customHeight="1" x14ac:dyDescent="0.2">
      <c r="A63" s="19"/>
      <c r="B63" s="20"/>
      <c r="C63" s="21" t="s">
        <v>6772</v>
      </c>
      <c r="D63" s="11"/>
      <c r="E63" s="12"/>
      <c r="F63" s="22"/>
      <c r="G63" s="23"/>
      <c r="H63" s="24">
        <v>25.5</v>
      </c>
      <c r="I63" s="25"/>
      <c r="J63" s="26">
        <v>8739.4200000000055</v>
      </c>
      <c r="K63" s="72">
        <f t="shared" si="0"/>
        <v>8739.450000000008</v>
      </c>
      <c r="L63" s="43"/>
    </row>
    <row r="64" spans="1:12" ht="13.5" customHeight="1" x14ac:dyDescent="0.2">
      <c r="A64" s="19"/>
      <c r="B64" s="20"/>
      <c r="C64" s="34" t="s">
        <v>6410</v>
      </c>
      <c r="D64" s="11">
        <v>954000</v>
      </c>
      <c r="E64" s="12">
        <v>-1250</v>
      </c>
      <c r="F64" s="22"/>
      <c r="G64" s="23"/>
      <c r="H64" s="24"/>
      <c r="I64" s="25"/>
      <c r="J64" s="26"/>
      <c r="K64" s="72">
        <f t="shared" si="0"/>
        <v>8739.450000000008</v>
      </c>
      <c r="L64" s="43"/>
    </row>
    <row r="65" spans="1:12" ht="13.5" customHeight="1" x14ac:dyDescent="0.2">
      <c r="A65" s="19"/>
      <c r="B65" s="20"/>
      <c r="C65" s="34" t="s">
        <v>6773</v>
      </c>
      <c r="D65" s="11">
        <v>0</v>
      </c>
      <c r="E65" s="12">
        <v>-2500</v>
      </c>
      <c r="F65" s="22"/>
      <c r="G65" s="23"/>
      <c r="H65" s="24"/>
      <c r="I65" s="25"/>
      <c r="J65" s="26"/>
      <c r="K65" s="72">
        <f t="shared" si="0"/>
        <v>8739.450000000008</v>
      </c>
      <c r="L65" s="43"/>
    </row>
    <row r="66" spans="1:12" ht="13.5" customHeight="1" x14ac:dyDescent="0.2">
      <c r="A66" s="19"/>
      <c r="B66" s="20"/>
      <c r="C66" s="34" t="s">
        <v>6774</v>
      </c>
      <c r="D66" s="11">
        <v>127</v>
      </c>
      <c r="E66" s="12">
        <v>-75</v>
      </c>
      <c r="F66" s="22"/>
      <c r="G66" s="23"/>
      <c r="H66" s="24"/>
      <c r="I66" s="25"/>
      <c r="J66" s="26"/>
      <c r="K66" s="72">
        <f t="shared" si="0"/>
        <v>8739.450000000008</v>
      </c>
      <c r="L66" s="43"/>
    </row>
    <row r="67" spans="1:12" ht="13.5" customHeight="1" x14ac:dyDescent="0.2">
      <c r="A67" s="19"/>
      <c r="B67" s="20" t="s">
        <v>591</v>
      </c>
      <c r="C67" s="21" t="s">
        <v>567</v>
      </c>
      <c r="D67" s="11">
        <v>572225</v>
      </c>
      <c r="E67" s="12"/>
      <c r="F67" s="162">
        <v>185</v>
      </c>
      <c r="G67" s="23"/>
      <c r="H67" s="24"/>
      <c r="I67" s="25"/>
      <c r="J67" s="26"/>
      <c r="K67" s="72">
        <f t="shared" si="0"/>
        <v>8739.450000000008</v>
      </c>
      <c r="L67" s="43"/>
    </row>
    <row r="68" spans="1:12" ht="13.5" customHeight="1" x14ac:dyDescent="0.2">
      <c r="A68" s="19"/>
      <c r="B68" s="20"/>
      <c r="C68" s="34" t="s">
        <v>20</v>
      </c>
      <c r="D68" s="11">
        <v>0</v>
      </c>
      <c r="E68" s="12"/>
      <c r="F68" s="22">
        <v>0.03</v>
      </c>
      <c r="G68" s="23">
        <v>306.06</v>
      </c>
      <c r="H68" s="24"/>
      <c r="I68" s="25"/>
      <c r="J68" s="26"/>
      <c r="K68" s="72">
        <f t="shared" si="0"/>
        <v>8739.450000000008</v>
      </c>
      <c r="L68" s="43"/>
    </row>
    <row r="69" spans="1:12" ht="13.5" customHeight="1" x14ac:dyDescent="0.2">
      <c r="A69" s="19">
        <v>43111</v>
      </c>
      <c r="B69" s="20"/>
      <c r="C69" s="21" t="s">
        <v>6775</v>
      </c>
      <c r="D69" s="11"/>
      <c r="E69" s="12"/>
      <c r="F69" s="22"/>
      <c r="G69" s="23"/>
      <c r="H69" s="24">
        <v>90</v>
      </c>
      <c r="I69" s="25"/>
      <c r="J69" s="26"/>
      <c r="K69" s="72">
        <f t="shared" ref="K69:K132" si="1">K68+I69-H69</f>
        <v>8649.450000000008</v>
      </c>
      <c r="L69" s="43"/>
    </row>
    <row r="70" spans="1:12" ht="13.5" customHeight="1" x14ac:dyDescent="0.2">
      <c r="A70" s="19"/>
      <c r="B70" s="20"/>
      <c r="C70" s="21" t="s">
        <v>6776</v>
      </c>
      <c r="D70" s="11"/>
      <c r="E70" s="12"/>
      <c r="F70" s="22"/>
      <c r="G70" s="23"/>
      <c r="H70" s="24">
        <v>5</v>
      </c>
      <c r="I70" s="25"/>
      <c r="J70" s="26"/>
      <c r="K70" s="72">
        <f t="shared" si="1"/>
        <v>8644.450000000008</v>
      </c>
      <c r="L70" s="43"/>
    </row>
    <row r="71" spans="1:12" ht="13.5" customHeight="1" x14ac:dyDescent="0.2">
      <c r="A71" s="19"/>
      <c r="B71" s="20"/>
      <c r="C71" s="34" t="s">
        <v>6777</v>
      </c>
      <c r="D71" s="11"/>
      <c r="E71" s="12"/>
      <c r="F71" s="22"/>
      <c r="G71" s="23"/>
      <c r="H71" s="24">
        <v>180</v>
      </c>
      <c r="I71" s="25"/>
      <c r="J71" s="26"/>
      <c r="K71" s="72">
        <f t="shared" si="1"/>
        <v>8464.450000000008</v>
      </c>
      <c r="L71" s="43"/>
    </row>
    <row r="72" spans="1:12" ht="13.5" customHeight="1" x14ac:dyDescent="0.2">
      <c r="A72" s="19"/>
      <c r="B72" s="20"/>
      <c r="C72" s="21" t="s">
        <v>6778</v>
      </c>
      <c r="D72" s="11"/>
      <c r="E72" s="12"/>
      <c r="F72" s="22"/>
      <c r="G72" s="23"/>
      <c r="H72" s="24">
        <v>49.9</v>
      </c>
      <c r="I72" s="25"/>
      <c r="J72" s="26"/>
      <c r="K72" s="72">
        <f t="shared" si="1"/>
        <v>8414.5500000000084</v>
      </c>
      <c r="L72" s="43"/>
    </row>
    <row r="73" spans="1:12" ht="13.5" customHeight="1" x14ac:dyDescent="0.2">
      <c r="A73" s="19"/>
      <c r="B73" s="20"/>
      <c r="C73" s="21" t="s">
        <v>6779</v>
      </c>
      <c r="D73" s="11"/>
      <c r="E73" s="12"/>
      <c r="F73" s="22"/>
      <c r="G73" s="23"/>
      <c r="H73" s="24">
        <v>6.5</v>
      </c>
      <c r="I73" s="25"/>
      <c r="J73" s="26"/>
      <c r="K73" s="72">
        <f t="shared" si="1"/>
        <v>8408.0500000000084</v>
      </c>
      <c r="L73" s="43"/>
    </row>
    <row r="74" spans="1:12" ht="13.5" customHeight="1" x14ac:dyDescent="0.2">
      <c r="A74" s="19"/>
      <c r="B74" s="20"/>
      <c r="C74" s="21" t="s">
        <v>6780</v>
      </c>
      <c r="D74" s="11"/>
      <c r="E74" s="12"/>
      <c r="F74" s="22"/>
      <c r="G74" s="23"/>
      <c r="H74" s="24">
        <v>3.9</v>
      </c>
      <c r="I74" s="25"/>
      <c r="J74" s="26">
        <v>8404.1200000000063</v>
      </c>
      <c r="K74" s="72">
        <f t="shared" si="1"/>
        <v>8404.1500000000087</v>
      </c>
      <c r="L74" s="43"/>
    </row>
    <row r="75" spans="1:12" ht="13.5" customHeight="1" x14ac:dyDescent="0.2">
      <c r="A75" s="19">
        <v>43112</v>
      </c>
      <c r="B75" s="20"/>
      <c r="C75" s="21" t="s">
        <v>6781</v>
      </c>
      <c r="D75" s="11"/>
      <c r="E75" s="12"/>
      <c r="F75" s="22"/>
      <c r="G75" s="23"/>
      <c r="H75" s="24"/>
      <c r="I75" s="25">
        <v>50</v>
      </c>
      <c r="J75" s="26"/>
      <c r="K75" s="72">
        <f t="shared" si="1"/>
        <v>8454.1500000000087</v>
      </c>
      <c r="L75" s="43"/>
    </row>
    <row r="76" spans="1:12" ht="13.5" customHeight="1" x14ac:dyDescent="0.2">
      <c r="A76" s="19"/>
      <c r="B76" s="20"/>
      <c r="C76" s="21" t="s">
        <v>6409</v>
      </c>
      <c r="D76" s="11"/>
      <c r="E76" s="12"/>
      <c r="F76" s="22"/>
      <c r="G76" s="23"/>
      <c r="H76" s="24">
        <v>70</v>
      </c>
      <c r="I76" s="25"/>
      <c r="J76" s="26"/>
      <c r="K76" s="72">
        <f t="shared" si="1"/>
        <v>8384.1500000000087</v>
      </c>
      <c r="L76" s="43"/>
    </row>
    <row r="77" spans="1:12" ht="13.5" customHeight="1" x14ac:dyDescent="0.2">
      <c r="A77" s="19"/>
      <c r="B77" s="20"/>
      <c r="C77" s="21" t="s">
        <v>5977</v>
      </c>
      <c r="D77" s="11"/>
      <c r="E77" s="12"/>
      <c r="F77" s="22"/>
      <c r="G77" s="23"/>
      <c r="H77" s="24">
        <v>70</v>
      </c>
      <c r="I77" s="25"/>
      <c r="J77" s="26"/>
      <c r="K77" s="72">
        <f t="shared" si="1"/>
        <v>8314.1500000000087</v>
      </c>
      <c r="L77" s="43"/>
    </row>
    <row r="78" spans="1:12" ht="13.5" customHeight="1" x14ac:dyDescent="0.2">
      <c r="A78" s="19"/>
      <c r="B78" s="20"/>
      <c r="C78" s="21" t="s">
        <v>6158</v>
      </c>
      <c r="D78" s="11"/>
      <c r="E78" s="12"/>
      <c r="F78" s="22"/>
      <c r="G78" s="23"/>
      <c r="H78" s="24">
        <v>250</v>
      </c>
      <c r="I78" s="25"/>
      <c r="J78" s="26"/>
      <c r="K78" s="72">
        <f t="shared" si="1"/>
        <v>8064.1500000000087</v>
      </c>
      <c r="L78" s="43"/>
    </row>
    <row r="79" spans="1:12" ht="13.5" customHeight="1" x14ac:dyDescent="0.2">
      <c r="A79" s="19"/>
      <c r="B79" s="20"/>
      <c r="C79" s="34" t="s">
        <v>1332</v>
      </c>
      <c r="D79" s="11"/>
      <c r="E79" s="12"/>
      <c r="F79" s="22"/>
      <c r="G79" s="23"/>
      <c r="H79" s="44">
        <v>500</v>
      </c>
      <c r="I79" s="25"/>
      <c r="J79" s="26"/>
      <c r="K79" s="72">
        <f t="shared" si="1"/>
        <v>7564.1500000000087</v>
      </c>
      <c r="L79" s="43"/>
    </row>
    <row r="80" spans="1:12" ht="13.5" customHeight="1" x14ac:dyDescent="0.2">
      <c r="A80" s="19"/>
      <c r="B80" s="20"/>
      <c r="C80" s="21" t="s">
        <v>6782</v>
      </c>
      <c r="D80" s="11"/>
      <c r="E80" s="12"/>
      <c r="F80" s="22"/>
      <c r="G80" s="23"/>
      <c r="H80" s="174">
        <v>990</v>
      </c>
      <c r="I80" s="25"/>
      <c r="J80" s="26"/>
      <c r="K80" s="72">
        <f t="shared" si="1"/>
        <v>6574.1500000000087</v>
      </c>
      <c r="L80" s="43"/>
    </row>
    <row r="81" spans="1:12" ht="13.5" customHeight="1" x14ac:dyDescent="0.2">
      <c r="A81" s="19"/>
      <c r="B81" s="20"/>
      <c r="C81" s="21" t="s">
        <v>6783</v>
      </c>
      <c r="D81" s="11"/>
      <c r="E81" s="12"/>
      <c r="F81" s="22"/>
      <c r="G81" s="23"/>
      <c r="H81" s="24"/>
      <c r="I81" s="25">
        <v>3500</v>
      </c>
      <c r="J81" s="26"/>
      <c r="K81" s="72">
        <f t="shared" si="1"/>
        <v>10074.150000000009</v>
      </c>
      <c r="L81" s="43"/>
    </row>
    <row r="82" spans="1:12" ht="13.5" customHeight="1" x14ac:dyDescent="0.2">
      <c r="A82" s="19"/>
      <c r="B82" s="20"/>
      <c r="C82" s="21" t="s">
        <v>6784</v>
      </c>
      <c r="D82" s="11"/>
      <c r="E82" s="12"/>
      <c r="F82" s="22"/>
      <c r="G82" s="23"/>
      <c r="H82" s="24">
        <v>8</v>
      </c>
      <c r="I82" s="25"/>
      <c r="J82" s="26"/>
      <c r="K82" s="72">
        <f t="shared" si="1"/>
        <v>10066.150000000009</v>
      </c>
      <c r="L82" s="43"/>
    </row>
    <row r="83" spans="1:12" ht="13.5" customHeight="1" x14ac:dyDescent="0.2">
      <c r="A83" s="19"/>
      <c r="B83" s="20"/>
      <c r="C83" s="21" t="s">
        <v>6785</v>
      </c>
      <c r="D83" s="11"/>
      <c r="E83" s="12"/>
      <c r="F83" s="22"/>
      <c r="G83" s="23"/>
      <c r="H83" s="24"/>
      <c r="I83" s="25">
        <v>190</v>
      </c>
      <c r="J83" s="26"/>
      <c r="K83" s="72">
        <f t="shared" si="1"/>
        <v>10256.150000000009</v>
      </c>
      <c r="L83" s="43"/>
    </row>
    <row r="84" spans="1:12" ht="13.5" customHeight="1" x14ac:dyDescent="0.2">
      <c r="A84" s="19"/>
      <c r="B84" s="20"/>
      <c r="C84" s="21" t="s">
        <v>6159</v>
      </c>
      <c r="D84" s="11"/>
      <c r="E84" s="12"/>
      <c r="F84" s="22"/>
      <c r="G84" s="23"/>
      <c r="H84" s="24">
        <v>150</v>
      </c>
      <c r="I84" s="25"/>
      <c r="J84" s="26"/>
      <c r="K84" s="72">
        <f t="shared" si="1"/>
        <v>10106.150000000009</v>
      </c>
      <c r="L84" s="43"/>
    </row>
    <row r="85" spans="1:12" ht="13.5" customHeight="1" x14ac:dyDescent="0.2">
      <c r="A85" s="19"/>
      <c r="B85" s="20"/>
      <c r="C85" s="21" t="s">
        <v>6786</v>
      </c>
      <c r="D85" s="11"/>
      <c r="E85" s="12"/>
      <c r="F85" s="22"/>
      <c r="G85" s="23"/>
      <c r="H85" s="24">
        <v>12.95</v>
      </c>
      <c r="I85" s="25"/>
      <c r="J85" s="26"/>
      <c r="K85" s="72">
        <f t="shared" si="1"/>
        <v>10093.200000000008</v>
      </c>
      <c r="L85" s="43"/>
    </row>
    <row r="86" spans="1:12" ht="13.5" customHeight="1" x14ac:dyDescent="0.2">
      <c r="A86" s="19"/>
      <c r="B86" s="20"/>
      <c r="C86" s="21" t="s">
        <v>6787</v>
      </c>
      <c r="D86" s="11"/>
      <c r="E86" s="12"/>
      <c r="F86" s="22"/>
      <c r="G86" s="23"/>
      <c r="H86" s="24">
        <v>34</v>
      </c>
      <c r="I86" s="25"/>
      <c r="J86" s="26"/>
      <c r="K86" s="72">
        <f t="shared" si="1"/>
        <v>10059.200000000008</v>
      </c>
      <c r="L86" s="43"/>
    </row>
    <row r="87" spans="1:12" ht="13.5" customHeight="1" x14ac:dyDescent="0.2">
      <c r="A87" s="19"/>
      <c r="B87" s="20"/>
      <c r="C87" s="34" t="s">
        <v>1332</v>
      </c>
      <c r="D87" s="11"/>
      <c r="E87" s="12"/>
      <c r="F87" s="22"/>
      <c r="G87" s="23"/>
      <c r="H87" s="44">
        <v>400</v>
      </c>
      <c r="I87" s="25"/>
      <c r="J87" s="26">
        <v>9659.1700000000055</v>
      </c>
      <c r="K87" s="72">
        <f t="shared" si="1"/>
        <v>9659.200000000008</v>
      </c>
      <c r="L87" s="43"/>
    </row>
    <row r="88" spans="1:12" ht="13.5" customHeight="1" x14ac:dyDescent="0.2">
      <c r="A88" s="19"/>
      <c r="B88" s="20"/>
      <c r="C88" s="36" t="s">
        <v>6788</v>
      </c>
      <c r="D88" s="11">
        <v>364548</v>
      </c>
      <c r="E88" s="12"/>
      <c r="F88" s="162">
        <v>5000</v>
      </c>
      <c r="G88" s="23"/>
      <c r="H88" s="24"/>
      <c r="I88" s="25"/>
      <c r="J88" s="26"/>
      <c r="K88" s="72">
        <f t="shared" si="1"/>
        <v>9659.200000000008</v>
      </c>
      <c r="L88" s="43"/>
    </row>
    <row r="89" spans="1:12" ht="13.5" customHeight="1" x14ac:dyDescent="0.2">
      <c r="A89" s="19"/>
      <c r="B89" s="20"/>
      <c r="C89" s="34" t="s">
        <v>6789</v>
      </c>
      <c r="D89" s="11">
        <v>0</v>
      </c>
      <c r="E89" s="12">
        <v>-1200</v>
      </c>
      <c r="F89" s="22"/>
      <c r="G89" s="23"/>
      <c r="H89" s="24"/>
      <c r="I89" s="25"/>
      <c r="J89" s="26"/>
      <c r="K89" s="72">
        <f t="shared" si="1"/>
        <v>9659.200000000008</v>
      </c>
      <c r="L89" s="43"/>
    </row>
    <row r="90" spans="1:12" ht="13.5" customHeight="1" x14ac:dyDescent="0.2">
      <c r="A90" s="19"/>
      <c r="B90" s="20"/>
      <c r="C90" s="34" t="s">
        <v>6790</v>
      </c>
      <c r="D90" s="11">
        <v>0</v>
      </c>
      <c r="E90" s="12">
        <v>-3000</v>
      </c>
      <c r="F90" s="22"/>
      <c r="G90" s="23">
        <v>1106.06</v>
      </c>
      <c r="H90" s="24"/>
      <c r="I90" s="25"/>
      <c r="J90" s="26"/>
      <c r="K90" s="72">
        <f t="shared" si="1"/>
        <v>9659.200000000008</v>
      </c>
      <c r="L90" s="43"/>
    </row>
    <row r="91" spans="1:12" ht="13.5" customHeight="1" x14ac:dyDescent="0.2">
      <c r="A91" s="19"/>
      <c r="B91" s="20" t="s">
        <v>591</v>
      </c>
      <c r="C91" s="21" t="s">
        <v>6782</v>
      </c>
      <c r="D91" s="11">
        <v>572181</v>
      </c>
      <c r="E91" s="12"/>
      <c r="F91" s="162">
        <v>990</v>
      </c>
      <c r="G91" s="23">
        <v>2096.06</v>
      </c>
      <c r="H91" s="24"/>
      <c r="I91" s="25"/>
      <c r="J91" s="26"/>
      <c r="K91" s="72">
        <f t="shared" si="1"/>
        <v>9659.200000000008</v>
      </c>
      <c r="L91" s="43"/>
    </row>
    <row r="92" spans="1:12" ht="13.5" customHeight="1" x14ac:dyDescent="0.2">
      <c r="A92" s="19">
        <v>43115</v>
      </c>
      <c r="B92" s="20"/>
      <c r="C92" s="21" t="s">
        <v>6791</v>
      </c>
      <c r="D92" s="11"/>
      <c r="E92" s="12"/>
      <c r="F92" s="22"/>
      <c r="G92" s="23"/>
      <c r="H92" s="24">
        <v>3550</v>
      </c>
      <c r="I92" s="25"/>
      <c r="J92" s="26"/>
      <c r="K92" s="72">
        <f t="shared" si="1"/>
        <v>6109.200000000008</v>
      </c>
      <c r="L92" s="43"/>
    </row>
    <row r="93" spans="1:12" ht="13.5" customHeight="1" x14ac:dyDescent="0.2">
      <c r="A93" s="19"/>
      <c r="B93" s="20"/>
      <c r="C93" s="21" t="s">
        <v>6792</v>
      </c>
      <c r="D93" s="11"/>
      <c r="E93" s="12"/>
      <c r="F93" s="22"/>
      <c r="G93" s="23"/>
      <c r="H93" s="24">
        <v>8.0500000000000007</v>
      </c>
      <c r="I93" s="25"/>
      <c r="J93" s="26"/>
      <c r="K93" s="72">
        <f t="shared" si="1"/>
        <v>6101.1500000000078</v>
      </c>
      <c r="L93" s="43"/>
    </row>
    <row r="94" spans="1:12" ht="13.5" customHeight="1" x14ac:dyDescent="0.2">
      <c r="A94" s="19"/>
      <c r="B94" s="20"/>
      <c r="C94" s="21" t="s">
        <v>6793</v>
      </c>
      <c r="D94" s="11"/>
      <c r="E94" s="12"/>
      <c r="F94" s="22"/>
      <c r="G94" s="23"/>
      <c r="H94" s="24">
        <v>7.7</v>
      </c>
      <c r="I94" s="25"/>
      <c r="J94" s="26"/>
      <c r="K94" s="72">
        <f t="shared" si="1"/>
        <v>6093.450000000008</v>
      </c>
      <c r="L94" s="43"/>
    </row>
    <row r="95" spans="1:12" ht="13.5" customHeight="1" x14ac:dyDescent="0.2">
      <c r="A95" s="19"/>
      <c r="B95" s="20"/>
      <c r="C95" s="21" t="s">
        <v>6794</v>
      </c>
      <c r="D95" s="11"/>
      <c r="E95" s="12"/>
      <c r="F95" s="22"/>
      <c r="G95" s="23"/>
      <c r="H95" s="24"/>
      <c r="I95" s="25">
        <v>185</v>
      </c>
      <c r="J95" s="26"/>
      <c r="K95" s="72">
        <f t="shared" si="1"/>
        <v>6278.450000000008</v>
      </c>
      <c r="L95" s="43"/>
    </row>
    <row r="96" spans="1:12" ht="13.5" customHeight="1" x14ac:dyDescent="0.2">
      <c r="A96" s="19"/>
      <c r="B96" s="20"/>
      <c r="C96" s="21" t="s">
        <v>6795</v>
      </c>
      <c r="D96" s="11"/>
      <c r="E96" s="12"/>
      <c r="F96" s="22"/>
      <c r="G96" s="23"/>
      <c r="H96" s="24"/>
      <c r="I96" s="25">
        <v>80</v>
      </c>
      <c r="J96" s="26"/>
      <c r="K96" s="72">
        <f t="shared" si="1"/>
        <v>6358.450000000008</v>
      </c>
      <c r="L96" s="43"/>
    </row>
    <row r="97" spans="1:13" ht="13.5" customHeight="1" x14ac:dyDescent="0.2">
      <c r="A97" s="19"/>
      <c r="B97" s="20"/>
      <c r="C97" s="21" t="s">
        <v>6796</v>
      </c>
      <c r="D97" s="11"/>
      <c r="E97" s="12"/>
      <c r="F97" s="22"/>
      <c r="G97" s="23"/>
      <c r="H97" s="24"/>
      <c r="I97" s="25">
        <v>190</v>
      </c>
      <c r="J97" s="26"/>
      <c r="K97" s="72">
        <f t="shared" si="1"/>
        <v>6548.450000000008</v>
      </c>
      <c r="L97" s="43"/>
    </row>
    <row r="98" spans="1:13" ht="13.5" customHeight="1" x14ac:dyDescent="0.2">
      <c r="A98" s="19"/>
      <c r="B98" s="20"/>
      <c r="C98" s="21" t="s">
        <v>5933</v>
      </c>
      <c r="D98" s="11"/>
      <c r="E98" s="12"/>
      <c r="F98" s="22"/>
      <c r="G98" s="23"/>
      <c r="H98" s="24">
        <v>970</v>
      </c>
      <c r="I98" s="25"/>
      <c r="J98" s="26"/>
      <c r="K98" s="72">
        <f t="shared" si="1"/>
        <v>5578.450000000008</v>
      </c>
      <c r="L98" s="43"/>
    </row>
    <row r="99" spans="1:13" ht="13.5" customHeight="1" x14ac:dyDescent="0.2">
      <c r="A99" s="19"/>
      <c r="B99" s="20"/>
      <c r="C99" s="34" t="s">
        <v>1332</v>
      </c>
      <c r="D99" s="11"/>
      <c r="E99" s="12"/>
      <c r="F99" s="22"/>
      <c r="G99" s="23"/>
      <c r="H99" s="44">
        <v>500</v>
      </c>
      <c r="I99" s="25"/>
      <c r="J99" s="26">
        <v>5078.4200000000055</v>
      </c>
      <c r="K99" s="72">
        <f t="shared" si="1"/>
        <v>5078.450000000008</v>
      </c>
      <c r="L99" s="43"/>
    </row>
    <row r="100" spans="1:13" ht="13.5" customHeight="1" x14ac:dyDescent="0.2">
      <c r="A100" s="19"/>
      <c r="B100" s="20"/>
      <c r="C100" s="36" t="s">
        <v>86</v>
      </c>
      <c r="D100" s="11">
        <v>0</v>
      </c>
      <c r="E100" s="12">
        <v>-69</v>
      </c>
      <c r="F100" s="22"/>
      <c r="G100" s="23"/>
      <c r="H100" s="24"/>
      <c r="I100" s="25"/>
      <c r="J100" s="26"/>
      <c r="K100" s="72">
        <f t="shared" si="1"/>
        <v>5078.450000000008</v>
      </c>
      <c r="L100" s="43"/>
    </row>
    <row r="101" spans="1:13" ht="13.5" customHeight="1" x14ac:dyDescent="0.2">
      <c r="A101" s="19"/>
      <c r="B101" s="20"/>
      <c r="C101" s="36" t="s">
        <v>86</v>
      </c>
      <c r="D101" s="11">
        <v>0</v>
      </c>
      <c r="E101" s="12">
        <v>-9.4</v>
      </c>
      <c r="F101" s="22"/>
      <c r="G101" s="23"/>
      <c r="H101" s="24"/>
      <c r="I101" s="25"/>
      <c r="J101" s="26"/>
      <c r="K101" s="72">
        <f t="shared" si="1"/>
        <v>5078.450000000008</v>
      </c>
      <c r="L101" s="43"/>
    </row>
    <row r="102" spans="1:13" ht="13.5" customHeight="1" x14ac:dyDescent="0.2">
      <c r="A102" s="19"/>
      <c r="B102" s="20"/>
      <c r="C102" s="34" t="s">
        <v>6797</v>
      </c>
      <c r="D102" s="11">
        <v>0</v>
      </c>
      <c r="E102" s="12">
        <v>-153.84</v>
      </c>
      <c r="F102" s="22"/>
      <c r="G102" s="23"/>
      <c r="H102" s="24"/>
      <c r="I102" s="25"/>
      <c r="J102" s="26"/>
      <c r="K102" s="72">
        <f t="shared" si="1"/>
        <v>5078.450000000008</v>
      </c>
      <c r="L102" s="43"/>
    </row>
    <row r="103" spans="1:13" ht="13.5" customHeight="1" x14ac:dyDescent="0.2">
      <c r="A103" s="19"/>
      <c r="B103" s="20"/>
      <c r="C103" s="34" t="s">
        <v>6798</v>
      </c>
      <c r="D103" s="11">
        <v>0</v>
      </c>
      <c r="E103" s="12">
        <v>-92.66</v>
      </c>
      <c r="F103" s="22"/>
      <c r="G103" s="23"/>
      <c r="H103" s="24"/>
      <c r="I103" s="25"/>
      <c r="J103" s="26"/>
      <c r="K103" s="72">
        <f t="shared" si="1"/>
        <v>5078.450000000008</v>
      </c>
      <c r="L103" s="43"/>
    </row>
    <row r="104" spans="1:13" ht="13.5" customHeight="1" x14ac:dyDescent="0.2">
      <c r="A104" s="19"/>
      <c r="B104" s="20"/>
      <c r="C104" s="34" t="s">
        <v>6799</v>
      </c>
      <c r="D104" s="11">
        <v>0</v>
      </c>
      <c r="E104" s="12">
        <v>-92.66</v>
      </c>
      <c r="F104" s="22"/>
      <c r="G104" s="23"/>
      <c r="H104" s="24"/>
      <c r="I104" s="25"/>
      <c r="J104" s="26"/>
      <c r="K104" s="72">
        <f t="shared" si="1"/>
        <v>5078.450000000008</v>
      </c>
      <c r="L104" s="43"/>
    </row>
    <row r="105" spans="1:13" ht="13.5" customHeight="1" x14ac:dyDescent="0.2">
      <c r="A105" s="19"/>
      <c r="B105" s="20"/>
      <c r="C105" s="21" t="s">
        <v>6234</v>
      </c>
      <c r="D105" s="11">
        <v>119</v>
      </c>
      <c r="E105" s="12">
        <v>-560</v>
      </c>
      <c r="F105" s="22"/>
      <c r="G105" s="23"/>
      <c r="H105" s="24"/>
      <c r="I105" s="25"/>
      <c r="J105" s="26"/>
      <c r="K105" s="72">
        <f t="shared" si="1"/>
        <v>5078.450000000008</v>
      </c>
      <c r="L105" s="43"/>
    </row>
    <row r="106" spans="1:13" ht="13.5" customHeight="1" x14ac:dyDescent="0.2">
      <c r="A106" s="19"/>
      <c r="B106" s="20"/>
      <c r="C106" s="34" t="s">
        <v>20</v>
      </c>
      <c r="D106" s="11"/>
      <c r="E106" s="12"/>
      <c r="F106" s="22">
        <v>0.01</v>
      </c>
      <c r="G106" s="23">
        <v>1118.51</v>
      </c>
      <c r="H106" s="24"/>
      <c r="I106" s="25"/>
      <c r="J106" s="26"/>
      <c r="K106" s="72">
        <f t="shared" si="1"/>
        <v>5078.450000000008</v>
      </c>
      <c r="L106" s="43"/>
    </row>
    <row r="107" spans="1:13" ht="13.5" customHeight="1" x14ac:dyDescent="0.2">
      <c r="A107" s="19">
        <v>43116</v>
      </c>
      <c r="B107" s="27"/>
      <c r="C107" s="32" t="s">
        <v>6800</v>
      </c>
      <c r="D107" s="27"/>
      <c r="E107" s="27"/>
      <c r="F107" s="27"/>
      <c r="G107" s="23"/>
      <c r="H107" s="31"/>
      <c r="I107" s="31">
        <v>60</v>
      </c>
      <c r="J107" s="159"/>
      <c r="K107" s="72">
        <f t="shared" si="1"/>
        <v>5138.450000000008</v>
      </c>
      <c r="L107" s="43"/>
      <c r="M107"/>
    </row>
    <row r="108" spans="1:13" ht="13.5" customHeight="1" x14ac:dyDescent="0.2">
      <c r="A108" s="27"/>
      <c r="B108" s="27"/>
      <c r="C108" s="32" t="s">
        <v>6801</v>
      </c>
      <c r="D108" s="27"/>
      <c r="E108" s="27"/>
      <c r="F108" s="27"/>
      <c r="G108" s="23"/>
      <c r="H108" s="31"/>
      <c r="I108" s="31">
        <v>1303.8</v>
      </c>
      <c r="J108" s="159">
        <v>6442.2200000000057</v>
      </c>
      <c r="K108" s="72">
        <f t="shared" si="1"/>
        <v>6442.2500000000082</v>
      </c>
      <c r="L108" s="43"/>
      <c r="M108"/>
    </row>
    <row r="109" spans="1:13" ht="13.5" customHeight="1" x14ac:dyDescent="0.2">
      <c r="A109" s="19"/>
      <c r="B109" s="20"/>
      <c r="C109" s="34" t="s">
        <v>6802</v>
      </c>
      <c r="D109" s="11">
        <v>324000</v>
      </c>
      <c r="E109" s="12">
        <v>-185.5</v>
      </c>
      <c r="F109" s="22"/>
      <c r="G109" s="23"/>
      <c r="H109" s="24"/>
      <c r="I109" s="25"/>
      <c r="J109" s="26"/>
      <c r="K109" s="72">
        <f t="shared" si="1"/>
        <v>6442.2500000000082</v>
      </c>
      <c r="L109" s="43"/>
    </row>
    <row r="110" spans="1:13" ht="13.5" customHeight="1" x14ac:dyDescent="0.2">
      <c r="A110" s="19"/>
      <c r="B110" s="20"/>
      <c r="C110" s="34" t="s">
        <v>3715</v>
      </c>
      <c r="D110" s="11">
        <v>164000</v>
      </c>
      <c r="E110" s="12">
        <v>-347.25</v>
      </c>
      <c r="F110" s="22"/>
      <c r="G110" s="23">
        <v>585.76</v>
      </c>
      <c r="H110" s="24"/>
      <c r="I110" s="25"/>
      <c r="J110" s="26"/>
      <c r="K110" s="72">
        <f t="shared" si="1"/>
        <v>6442.2500000000082</v>
      </c>
      <c r="L110" s="43"/>
    </row>
    <row r="111" spans="1:13" ht="13.5" customHeight="1" x14ac:dyDescent="0.2">
      <c r="A111" s="19">
        <v>43117</v>
      </c>
      <c r="B111" s="27"/>
      <c r="C111" s="33" t="s">
        <v>6803</v>
      </c>
      <c r="D111" s="27"/>
      <c r="E111" s="27"/>
      <c r="F111" s="27"/>
      <c r="G111" s="23"/>
      <c r="H111" s="31">
        <v>16.18</v>
      </c>
      <c r="I111" s="31"/>
      <c r="J111" s="159"/>
      <c r="K111" s="72">
        <f t="shared" si="1"/>
        <v>6426.0700000000079</v>
      </c>
      <c r="L111" s="43"/>
      <c r="M111"/>
    </row>
    <row r="112" spans="1:13" ht="13.5" customHeight="1" x14ac:dyDescent="0.2">
      <c r="A112" s="19"/>
      <c r="B112" s="27"/>
      <c r="C112" s="32" t="s">
        <v>6804</v>
      </c>
      <c r="D112" s="27"/>
      <c r="E112" s="27"/>
      <c r="F112" s="27"/>
      <c r="G112" s="23"/>
      <c r="H112" s="31"/>
      <c r="I112" s="31">
        <v>7500</v>
      </c>
      <c r="J112" s="159"/>
      <c r="K112" s="72">
        <f t="shared" si="1"/>
        <v>13926.070000000007</v>
      </c>
      <c r="L112" s="43"/>
      <c r="M112"/>
    </row>
    <row r="113" spans="1:13" ht="13.5" customHeight="1" x14ac:dyDescent="0.2">
      <c r="A113" s="19"/>
      <c r="B113" s="27"/>
      <c r="C113" s="32" t="s">
        <v>6805</v>
      </c>
      <c r="D113" s="27"/>
      <c r="E113" s="27"/>
      <c r="F113" s="27"/>
      <c r="G113" s="23"/>
      <c r="H113" s="31"/>
      <c r="I113" s="31">
        <v>500</v>
      </c>
      <c r="J113" s="159"/>
      <c r="K113" s="72">
        <f t="shared" si="1"/>
        <v>14426.070000000007</v>
      </c>
      <c r="L113" s="43"/>
      <c r="M113"/>
    </row>
    <row r="114" spans="1:13" ht="13.5" customHeight="1" x14ac:dyDescent="0.2">
      <c r="A114" s="19"/>
      <c r="B114" s="27"/>
      <c r="C114" s="32" t="s">
        <v>6806</v>
      </c>
      <c r="D114" s="27"/>
      <c r="E114" s="27"/>
      <c r="F114" s="27"/>
      <c r="G114" s="23"/>
      <c r="H114" s="31"/>
      <c r="I114" s="31">
        <v>942</v>
      </c>
      <c r="J114" s="159"/>
      <c r="K114" s="72">
        <f t="shared" si="1"/>
        <v>15368.070000000007</v>
      </c>
      <c r="L114" s="43"/>
      <c r="M114"/>
    </row>
    <row r="115" spans="1:13" ht="13.5" customHeight="1" x14ac:dyDescent="0.2">
      <c r="A115" s="19"/>
      <c r="B115" s="27"/>
      <c r="C115" s="32" t="s">
        <v>6807</v>
      </c>
      <c r="D115" s="27"/>
      <c r="E115" s="27"/>
      <c r="F115" s="27"/>
      <c r="G115" s="23"/>
      <c r="H115" s="31"/>
      <c r="I115" s="31">
        <v>1040</v>
      </c>
      <c r="J115" s="159">
        <v>16408.040000000005</v>
      </c>
      <c r="K115" s="72">
        <f t="shared" si="1"/>
        <v>16408.070000000007</v>
      </c>
      <c r="L115" s="43"/>
      <c r="M115"/>
    </row>
    <row r="116" spans="1:13" ht="13.5" customHeight="1" x14ac:dyDescent="0.2">
      <c r="A116" s="19"/>
      <c r="B116" s="20"/>
      <c r="C116" s="34" t="s">
        <v>6199</v>
      </c>
      <c r="D116" s="11">
        <v>984000</v>
      </c>
      <c r="E116" s="12">
        <v>-125.4</v>
      </c>
      <c r="F116" s="22"/>
      <c r="G116" s="23"/>
      <c r="H116" s="24"/>
      <c r="I116" s="25"/>
      <c r="J116" s="26"/>
      <c r="K116" s="72">
        <f t="shared" si="1"/>
        <v>16408.070000000007</v>
      </c>
      <c r="L116" s="43"/>
    </row>
    <row r="117" spans="1:13" ht="13.5" customHeight="1" x14ac:dyDescent="0.2">
      <c r="A117" s="19"/>
      <c r="B117" s="20"/>
      <c r="C117" s="34" t="s">
        <v>6808</v>
      </c>
      <c r="D117" s="11">
        <v>544000</v>
      </c>
      <c r="E117" s="12">
        <v>-351.7</v>
      </c>
      <c r="F117" s="22"/>
      <c r="G117" s="23"/>
      <c r="H117" s="24"/>
      <c r="I117" s="25"/>
      <c r="J117" s="26"/>
      <c r="K117" s="72">
        <f t="shared" si="1"/>
        <v>16408.070000000007</v>
      </c>
      <c r="L117" s="43"/>
    </row>
    <row r="118" spans="1:13" ht="13.5" customHeight="1" x14ac:dyDescent="0.2">
      <c r="A118" s="19"/>
      <c r="B118" s="20"/>
      <c r="C118" s="34" t="s">
        <v>20</v>
      </c>
      <c r="D118" s="11">
        <v>0</v>
      </c>
      <c r="E118" s="12"/>
      <c r="F118" s="22">
        <v>0.01</v>
      </c>
      <c r="G118" s="23">
        <v>108.67</v>
      </c>
      <c r="H118" s="24"/>
      <c r="I118" s="25"/>
      <c r="J118" s="26"/>
      <c r="K118" s="72">
        <f t="shared" si="1"/>
        <v>16408.070000000007</v>
      </c>
      <c r="L118" s="43"/>
    </row>
    <row r="119" spans="1:13" ht="13.5" customHeight="1" x14ac:dyDescent="0.2">
      <c r="A119" s="19">
        <v>43119</v>
      </c>
      <c r="B119" s="27"/>
      <c r="C119" s="32" t="s">
        <v>471</v>
      </c>
      <c r="D119" s="27"/>
      <c r="E119" s="27"/>
      <c r="F119" s="27"/>
      <c r="G119" s="23"/>
      <c r="H119" s="161">
        <v>8000</v>
      </c>
      <c r="I119" s="31"/>
      <c r="J119" s="159"/>
      <c r="K119" s="72">
        <f t="shared" si="1"/>
        <v>8408.070000000007</v>
      </c>
      <c r="L119" s="43"/>
      <c r="M119"/>
    </row>
    <row r="120" spans="1:13" ht="13.5" customHeight="1" x14ac:dyDescent="0.2">
      <c r="A120" s="19"/>
      <c r="B120" s="27"/>
      <c r="C120" s="32" t="s">
        <v>470</v>
      </c>
      <c r="D120" s="27"/>
      <c r="E120" s="27"/>
      <c r="F120" s="27"/>
      <c r="G120" s="23"/>
      <c r="H120" s="161">
        <v>2000</v>
      </c>
      <c r="I120" s="31"/>
      <c r="J120" s="159"/>
      <c r="K120" s="72">
        <f t="shared" si="1"/>
        <v>6408.070000000007</v>
      </c>
      <c r="L120" s="43"/>
      <c r="M120"/>
    </row>
    <row r="121" spans="1:13" ht="13.5" customHeight="1" x14ac:dyDescent="0.2">
      <c r="A121" s="19"/>
      <c r="B121" s="27"/>
      <c r="C121" s="33" t="s">
        <v>77</v>
      </c>
      <c r="D121" s="27"/>
      <c r="E121" s="27"/>
      <c r="F121" s="27"/>
      <c r="G121" s="23"/>
      <c r="H121" s="1128">
        <v>500</v>
      </c>
      <c r="I121" s="31"/>
      <c r="J121" s="159"/>
      <c r="K121" s="72">
        <f t="shared" si="1"/>
        <v>5908.070000000007</v>
      </c>
      <c r="L121" s="43"/>
      <c r="M121"/>
    </row>
    <row r="122" spans="1:13" ht="13.5" customHeight="1" x14ac:dyDescent="0.2">
      <c r="A122" s="19"/>
      <c r="B122" s="27"/>
      <c r="C122" s="33" t="s">
        <v>6777</v>
      </c>
      <c r="D122" s="27"/>
      <c r="E122" s="27"/>
      <c r="F122" s="27"/>
      <c r="G122" s="23"/>
      <c r="H122" s="31">
        <v>180</v>
      </c>
      <c r="I122" s="31"/>
      <c r="J122" s="159"/>
      <c r="K122" s="72">
        <f t="shared" si="1"/>
        <v>5728.070000000007</v>
      </c>
      <c r="L122" s="43"/>
      <c r="M122"/>
    </row>
    <row r="123" spans="1:13" ht="13.5" customHeight="1" x14ac:dyDescent="0.2">
      <c r="A123" s="19"/>
      <c r="B123" s="27"/>
      <c r="C123" s="32" t="s">
        <v>6809</v>
      </c>
      <c r="D123" s="27"/>
      <c r="E123" s="27"/>
      <c r="F123" s="27"/>
      <c r="G123" s="23"/>
      <c r="H123" s="31">
        <v>300</v>
      </c>
      <c r="I123" s="31"/>
      <c r="J123" s="159"/>
      <c r="K123" s="72">
        <f t="shared" si="1"/>
        <v>5428.070000000007</v>
      </c>
      <c r="L123" s="43"/>
    </row>
    <row r="124" spans="1:13" ht="13.5" customHeight="1" x14ac:dyDescent="0.2">
      <c r="A124" s="19"/>
      <c r="B124" s="27"/>
      <c r="C124" s="33" t="s">
        <v>6810</v>
      </c>
      <c r="D124" s="27"/>
      <c r="E124" s="27"/>
      <c r="F124" s="27"/>
      <c r="G124" s="23"/>
      <c r="H124" s="31">
        <v>240</v>
      </c>
      <c r="I124" s="31"/>
      <c r="J124" s="159"/>
      <c r="K124" s="72">
        <f t="shared" si="1"/>
        <v>5188.070000000007</v>
      </c>
      <c r="L124" s="43"/>
    </row>
    <row r="125" spans="1:13" ht="13.5" customHeight="1" x14ac:dyDescent="0.2">
      <c r="A125" s="19"/>
      <c r="B125" s="27"/>
      <c r="C125" s="33" t="s">
        <v>6811</v>
      </c>
      <c r="D125" s="27"/>
      <c r="E125" s="27"/>
      <c r="F125" s="27"/>
      <c r="G125" s="23"/>
      <c r="H125" s="31">
        <v>300</v>
      </c>
      <c r="I125" s="31"/>
      <c r="J125" s="159"/>
      <c r="K125" s="72">
        <f t="shared" si="1"/>
        <v>4888.070000000007</v>
      </c>
      <c r="L125" s="43"/>
    </row>
    <row r="126" spans="1:13" ht="13.5" customHeight="1" x14ac:dyDescent="0.2">
      <c r="A126" s="19"/>
      <c r="B126" s="27"/>
      <c r="C126" s="33" t="s">
        <v>6812</v>
      </c>
      <c r="D126" s="27"/>
      <c r="E126" s="27"/>
      <c r="F126" s="27"/>
      <c r="G126" s="23"/>
      <c r="H126" s="31">
        <v>300</v>
      </c>
      <c r="I126" s="31"/>
      <c r="J126" s="159"/>
      <c r="K126" s="72">
        <f t="shared" si="1"/>
        <v>4588.070000000007</v>
      </c>
      <c r="L126" s="43"/>
      <c r="M126"/>
    </row>
    <row r="127" spans="1:13" ht="13.5" customHeight="1" x14ac:dyDescent="0.2">
      <c r="A127" s="19"/>
      <c r="B127" s="27"/>
      <c r="C127" s="33" t="s">
        <v>6813</v>
      </c>
      <c r="D127" s="27"/>
      <c r="E127" s="27"/>
      <c r="F127" s="27"/>
      <c r="G127" s="23"/>
      <c r="H127" s="31">
        <v>10</v>
      </c>
      <c r="I127" s="31"/>
      <c r="J127" s="159"/>
      <c r="K127" s="72">
        <f t="shared" si="1"/>
        <v>4578.070000000007</v>
      </c>
      <c r="L127" s="43"/>
    </row>
    <row r="128" spans="1:13" ht="13.5" customHeight="1" x14ac:dyDescent="0.2">
      <c r="A128" s="19"/>
      <c r="B128" s="27"/>
      <c r="C128" s="33" t="s">
        <v>6814</v>
      </c>
      <c r="D128" s="27"/>
      <c r="E128" s="27"/>
      <c r="F128" s="27"/>
      <c r="G128" s="23"/>
      <c r="H128" s="31">
        <v>4.7</v>
      </c>
      <c r="I128" s="31"/>
      <c r="J128" s="159"/>
      <c r="K128" s="72">
        <f t="shared" si="1"/>
        <v>4573.3700000000072</v>
      </c>
      <c r="L128" s="43"/>
      <c r="M128"/>
    </row>
    <row r="129" spans="1:13" ht="13.5" customHeight="1" x14ac:dyDescent="0.2">
      <c r="A129" s="19"/>
      <c r="B129" s="27"/>
      <c r="C129" s="33" t="s">
        <v>6815</v>
      </c>
      <c r="D129" s="27"/>
      <c r="E129" s="27"/>
      <c r="F129" s="27"/>
      <c r="G129" s="23"/>
      <c r="H129" s="31">
        <v>5.35</v>
      </c>
      <c r="I129" s="31"/>
      <c r="J129" s="159"/>
      <c r="K129" s="72">
        <f t="shared" si="1"/>
        <v>4568.0200000000068</v>
      </c>
      <c r="L129" s="43"/>
      <c r="M129"/>
    </row>
    <row r="130" spans="1:13" ht="13.5" customHeight="1" x14ac:dyDescent="0.2">
      <c r="A130" s="19"/>
      <c r="B130" s="27"/>
      <c r="C130" s="33" t="s">
        <v>6816</v>
      </c>
      <c r="D130" s="27"/>
      <c r="E130" s="27"/>
      <c r="F130" s="27"/>
      <c r="G130" s="23"/>
      <c r="H130" s="31">
        <v>3.9</v>
      </c>
      <c r="I130" s="31"/>
      <c r="J130" s="159"/>
      <c r="K130" s="72">
        <f t="shared" si="1"/>
        <v>4564.1200000000072</v>
      </c>
      <c r="L130" s="43"/>
      <c r="M130"/>
    </row>
    <row r="131" spans="1:13" ht="13.5" customHeight="1" x14ac:dyDescent="0.2">
      <c r="A131" s="19"/>
      <c r="B131" s="27"/>
      <c r="C131" s="33" t="s">
        <v>6817</v>
      </c>
      <c r="D131" s="27"/>
      <c r="E131" s="27"/>
      <c r="F131" s="27"/>
      <c r="G131" s="23"/>
      <c r="H131" s="31">
        <v>3.9</v>
      </c>
      <c r="I131" s="31"/>
      <c r="J131" s="159"/>
      <c r="K131" s="72">
        <f t="shared" si="1"/>
        <v>4560.2200000000075</v>
      </c>
      <c r="L131" s="43"/>
      <c r="M131"/>
    </row>
    <row r="132" spans="1:13" ht="13.5" customHeight="1" x14ac:dyDescent="0.2">
      <c r="A132" s="19"/>
      <c r="B132" s="27"/>
      <c r="C132" s="32" t="s">
        <v>6159</v>
      </c>
      <c r="D132" s="27"/>
      <c r="E132" s="27"/>
      <c r="F132" s="27"/>
      <c r="G132" s="23"/>
      <c r="H132" s="31">
        <v>300</v>
      </c>
      <c r="I132" s="31"/>
      <c r="J132" s="159">
        <v>4260.1900000000051</v>
      </c>
      <c r="K132" s="72">
        <f t="shared" si="1"/>
        <v>4260.2200000000075</v>
      </c>
      <c r="L132" s="43"/>
      <c r="M132"/>
    </row>
    <row r="133" spans="1:13" ht="13.5" customHeight="1" x14ac:dyDescent="0.2">
      <c r="A133" s="19"/>
      <c r="B133" s="20" t="s">
        <v>591</v>
      </c>
      <c r="C133" s="32" t="s">
        <v>470</v>
      </c>
      <c r="D133" s="11">
        <v>572258</v>
      </c>
      <c r="E133" s="12"/>
      <c r="F133" s="162">
        <v>2000</v>
      </c>
      <c r="G133" s="23">
        <v>2108.67</v>
      </c>
      <c r="H133" s="24"/>
      <c r="I133" s="25"/>
      <c r="J133" s="26"/>
      <c r="K133" s="72">
        <f t="shared" ref="K133:K196" si="2">K132+I133-H133</f>
        <v>4260.2200000000075</v>
      </c>
      <c r="L133" s="43"/>
    </row>
    <row r="134" spans="1:13" ht="13.5" customHeight="1" x14ac:dyDescent="0.2">
      <c r="A134" s="19">
        <v>43122</v>
      </c>
      <c r="B134" s="27"/>
      <c r="C134" s="33" t="s">
        <v>6818</v>
      </c>
      <c r="D134" s="27"/>
      <c r="E134" s="27"/>
      <c r="F134" s="27"/>
      <c r="G134" s="23"/>
      <c r="H134" s="31">
        <v>122.6</v>
      </c>
      <c r="I134" s="31"/>
      <c r="J134" s="159"/>
      <c r="K134" s="72">
        <f t="shared" si="2"/>
        <v>4137.6200000000072</v>
      </c>
      <c r="L134" s="43"/>
      <c r="M134"/>
    </row>
    <row r="135" spans="1:13" ht="13.5" customHeight="1" x14ac:dyDescent="0.2">
      <c r="A135" s="19"/>
      <c r="B135" s="27"/>
      <c r="C135" s="32" t="s">
        <v>6732</v>
      </c>
      <c r="D135" s="27"/>
      <c r="E135" s="27"/>
      <c r="F135" s="27"/>
      <c r="G135" s="23"/>
      <c r="H135" s="31">
        <v>8.98</v>
      </c>
      <c r="I135" s="31"/>
      <c r="J135" s="159"/>
      <c r="K135" s="72">
        <f t="shared" si="2"/>
        <v>4128.6400000000076</v>
      </c>
      <c r="L135" s="43"/>
      <c r="M135"/>
    </row>
    <row r="136" spans="1:13" ht="13.5" customHeight="1" x14ac:dyDescent="0.2">
      <c r="A136" s="19"/>
      <c r="B136" s="27"/>
      <c r="C136" s="33" t="s">
        <v>6819</v>
      </c>
      <c r="D136" s="27"/>
      <c r="E136" s="27"/>
      <c r="F136" s="27"/>
      <c r="G136" s="23"/>
      <c r="H136" s="31">
        <v>13.6</v>
      </c>
      <c r="I136" s="31"/>
      <c r="J136" s="159"/>
      <c r="K136" s="72">
        <f t="shared" si="2"/>
        <v>4115.0400000000072</v>
      </c>
      <c r="L136" s="43"/>
      <c r="M136"/>
    </row>
    <row r="137" spans="1:13" ht="13.5" customHeight="1" x14ac:dyDescent="0.2">
      <c r="A137" s="19"/>
      <c r="B137" s="27"/>
      <c r="C137" s="32" t="s">
        <v>6792</v>
      </c>
      <c r="D137" s="27"/>
      <c r="E137" s="27"/>
      <c r="F137" s="27"/>
      <c r="G137" s="23"/>
      <c r="H137" s="31">
        <v>16.100000000000001</v>
      </c>
      <c r="I137" s="31"/>
      <c r="J137" s="159"/>
      <c r="K137" s="72">
        <f t="shared" si="2"/>
        <v>4098.9400000000069</v>
      </c>
      <c r="L137" s="43"/>
      <c r="M137"/>
    </row>
    <row r="138" spans="1:13" ht="13.5" customHeight="1" x14ac:dyDescent="0.2">
      <c r="A138" s="19"/>
      <c r="B138" s="27"/>
      <c r="C138" s="32" t="s">
        <v>6793</v>
      </c>
      <c r="D138" s="27"/>
      <c r="E138" s="27"/>
      <c r="F138" s="27"/>
      <c r="G138" s="23"/>
      <c r="H138" s="31">
        <v>10.5</v>
      </c>
      <c r="I138" s="31"/>
      <c r="J138" s="159"/>
      <c r="K138" s="72">
        <f t="shared" si="2"/>
        <v>4088.4400000000069</v>
      </c>
      <c r="L138" s="43"/>
    </row>
    <row r="139" spans="1:13" ht="13.5" customHeight="1" x14ac:dyDescent="0.2">
      <c r="A139" s="19"/>
      <c r="B139" s="27"/>
      <c r="C139" s="33" t="s">
        <v>1062</v>
      </c>
      <c r="D139" s="27"/>
      <c r="E139" s="27"/>
      <c r="F139" s="27"/>
      <c r="G139" s="23"/>
      <c r="H139" s="31">
        <v>12</v>
      </c>
      <c r="I139" s="31"/>
      <c r="J139" s="159"/>
      <c r="K139" s="72">
        <f t="shared" si="2"/>
        <v>4076.4400000000069</v>
      </c>
      <c r="L139" s="43"/>
    </row>
    <row r="140" spans="1:13" ht="13.5" customHeight="1" x14ac:dyDescent="0.2">
      <c r="A140" s="19"/>
      <c r="B140" s="27"/>
      <c r="C140" s="33" t="s">
        <v>6820</v>
      </c>
      <c r="D140" s="27"/>
      <c r="E140" s="27"/>
      <c r="F140" s="27"/>
      <c r="G140" s="23"/>
      <c r="H140" s="31">
        <v>11.25</v>
      </c>
      <c r="I140" s="31"/>
      <c r="J140" s="159"/>
      <c r="K140" s="72">
        <f t="shared" si="2"/>
        <v>4065.1900000000069</v>
      </c>
      <c r="L140" s="43"/>
    </row>
    <row r="141" spans="1:13" ht="13.5" customHeight="1" x14ac:dyDescent="0.2">
      <c r="A141" s="19"/>
      <c r="B141" s="27"/>
      <c r="C141" s="33" t="s">
        <v>6821</v>
      </c>
      <c r="D141" s="27"/>
      <c r="E141" s="27"/>
      <c r="F141" s="27"/>
      <c r="G141" s="23"/>
      <c r="H141" s="31">
        <v>2</v>
      </c>
      <c r="I141" s="31"/>
      <c r="J141" s="159"/>
      <c r="K141" s="72">
        <f t="shared" si="2"/>
        <v>4063.1900000000069</v>
      </c>
      <c r="L141" s="43"/>
    </row>
    <row r="142" spans="1:13" ht="13.5" customHeight="1" x14ac:dyDescent="0.2">
      <c r="A142" s="19"/>
      <c r="B142" s="27"/>
      <c r="C142" s="33" t="s">
        <v>6822</v>
      </c>
      <c r="D142" s="27"/>
      <c r="E142" s="27"/>
      <c r="F142" s="27"/>
      <c r="G142" s="23"/>
      <c r="H142" s="31">
        <v>15</v>
      </c>
      <c r="I142" s="31"/>
      <c r="J142" s="159"/>
      <c r="K142" s="72">
        <f t="shared" si="2"/>
        <v>4048.1900000000069</v>
      </c>
      <c r="L142" s="43"/>
    </row>
    <row r="143" spans="1:13" ht="13.5" customHeight="1" x14ac:dyDescent="0.2">
      <c r="A143" s="19"/>
      <c r="B143" s="27"/>
      <c r="C143" s="33" t="s">
        <v>77</v>
      </c>
      <c r="D143" s="27"/>
      <c r="E143" s="27"/>
      <c r="F143" s="27"/>
      <c r="G143" s="23"/>
      <c r="H143" s="1128">
        <v>1000</v>
      </c>
      <c r="I143" s="31"/>
      <c r="J143" s="159">
        <v>3048.1600000000044</v>
      </c>
      <c r="K143" s="72">
        <f t="shared" si="2"/>
        <v>3048.1900000000069</v>
      </c>
      <c r="L143" s="43"/>
    </row>
    <row r="144" spans="1:13" ht="13.5" customHeight="1" x14ac:dyDescent="0.2">
      <c r="A144" s="19"/>
      <c r="B144" s="20"/>
      <c r="C144" s="34" t="s">
        <v>127</v>
      </c>
      <c r="D144" s="11">
        <v>0</v>
      </c>
      <c r="E144" s="12">
        <v>-23.78</v>
      </c>
      <c r="F144" s="22"/>
      <c r="G144" s="23"/>
      <c r="H144" s="24"/>
      <c r="I144" s="25"/>
      <c r="J144" s="26"/>
      <c r="K144" s="72">
        <f t="shared" si="2"/>
        <v>3048.1900000000069</v>
      </c>
      <c r="L144" s="43"/>
    </row>
    <row r="145" spans="1:12" ht="13.5" customHeight="1" x14ac:dyDescent="0.2">
      <c r="A145" s="19"/>
      <c r="B145" s="20"/>
      <c r="C145" s="34" t="s">
        <v>128</v>
      </c>
      <c r="D145" s="11">
        <v>0</v>
      </c>
      <c r="E145" s="12">
        <v>-31.69</v>
      </c>
      <c r="F145" s="22"/>
      <c r="G145" s="23"/>
      <c r="H145" s="24"/>
      <c r="I145" s="25"/>
      <c r="J145" s="26"/>
      <c r="K145" s="72">
        <f t="shared" si="2"/>
        <v>3048.1900000000069</v>
      </c>
      <c r="L145" s="43"/>
    </row>
    <row r="146" spans="1:12" ht="13.5" customHeight="1" x14ac:dyDescent="0.2">
      <c r="A146" s="19"/>
      <c r="B146" s="20"/>
      <c r="C146" s="34" t="s">
        <v>5732</v>
      </c>
      <c r="D146" s="11">
        <v>0</v>
      </c>
      <c r="E146" s="12">
        <v>-39.659999999999997</v>
      </c>
      <c r="F146" s="22"/>
      <c r="G146" s="23"/>
      <c r="H146" s="24"/>
      <c r="I146" s="25"/>
      <c r="J146" s="26"/>
      <c r="K146" s="72">
        <f t="shared" si="2"/>
        <v>3048.1900000000069</v>
      </c>
      <c r="L146" s="43"/>
    </row>
    <row r="147" spans="1:12" ht="13.5" customHeight="1" x14ac:dyDescent="0.2">
      <c r="A147" s="19"/>
      <c r="B147" s="20"/>
      <c r="C147" s="34" t="s">
        <v>130</v>
      </c>
      <c r="D147" s="11">
        <v>0</v>
      </c>
      <c r="E147" s="12">
        <v>-132.96</v>
      </c>
      <c r="F147" s="22"/>
      <c r="G147" s="23"/>
      <c r="H147" s="24"/>
      <c r="I147" s="25"/>
      <c r="J147" s="26"/>
      <c r="K147" s="72">
        <f t="shared" si="2"/>
        <v>3048.1900000000069</v>
      </c>
      <c r="L147" s="43"/>
    </row>
    <row r="148" spans="1:12" ht="13.5" customHeight="1" x14ac:dyDescent="0.2">
      <c r="A148" s="19"/>
      <c r="B148" s="20"/>
      <c r="C148" s="34" t="s">
        <v>1309</v>
      </c>
      <c r="D148" s="11">
        <v>614000</v>
      </c>
      <c r="E148" s="12">
        <v>-1267.95</v>
      </c>
      <c r="F148" s="22"/>
      <c r="G148" s="23"/>
      <c r="H148" s="24"/>
      <c r="I148" s="25"/>
      <c r="J148" s="26"/>
      <c r="K148" s="72">
        <f t="shared" si="2"/>
        <v>3048.1900000000069</v>
      </c>
      <c r="L148" s="43"/>
    </row>
    <row r="149" spans="1:12" ht="13.5" customHeight="1" x14ac:dyDescent="0.2">
      <c r="A149" s="19"/>
      <c r="B149" s="20"/>
      <c r="C149" s="34" t="s">
        <v>133</v>
      </c>
      <c r="D149" s="11">
        <v>64000</v>
      </c>
      <c r="E149" s="12">
        <v>-685.17</v>
      </c>
      <c r="F149" s="22"/>
      <c r="G149" s="23"/>
      <c r="H149" s="24"/>
      <c r="I149" s="25"/>
      <c r="J149" s="26"/>
      <c r="K149" s="72">
        <f t="shared" si="2"/>
        <v>3048.1900000000069</v>
      </c>
      <c r="L149" s="43"/>
    </row>
    <row r="150" spans="1:12" ht="13.5" customHeight="1" x14ac:dyDescent="0.2">
      <c r="A150" s="19"/>
      <c r="B150" s="20" t="s">
        <v>591</v>
      </c>
      <c r="C150" s="34" t="s">
        <v>6823</v>
      </c>
      <c r="D150" s="11">
        <v>334640</v>
      </c>
      <c r="E150" s="12"/>
      <c r="F150" s="22">
        <v>940</v>
      </c>
      <c r="G150" s="23"/>
      <c r="H150" s="24"/>
      <c r="I150" s="25"/>
      <c r="J150" s="26"/>
      <c r="K150" s="72">
        <f t="shared" si="2"/>
        <v>3048.1900000000069</v>
      </c>
      <c r="L150" s="43"/>
    </row>
    <row r="151" spans="1:12" ht="13.5" customHeight="1" x14ac:dyDescent="0.2">
      <c r="A151" s="19"/>
      <c r="B151" s="20"/>
      <c r="C151" s="34" t="s">
        <v>20</v>
      </c>
      <c r="D151" s="11"/>
      <c r="E151" s="12"/>
      <c r="F151" s="22">
        <v>0.01</v>
      </c>
      <c r="G151" s="23">
        <v>867.47</v>
      </c>
      <c r="H151" s="24"/>
      <c r="I151" s="25"/>
      <c r="J151" s="26"/>
      <c r="K151" s="72">
        <f t="shared" si="2"/>
        <v>3048.1900000000069</v>
      </c>
      <c r="L151" s="43"/>
    </row>
    <row r="152" spans="1:12" ht="13.5" customHeight="1" x14ac:dyDescent="0.2">
      <c r="A152" s="19">
        <v>43123</v>
      </c>
      <c r="B152" s="27"/>
      <c r="C152" s="33" t="s">
        <v>6824</v>
      </c>
      <c r="D152" s="27"/>
      <c r="E152" s="27"/>
      <c r="F152" s="27"/>
      <c r="G152" s="23"/>
      <c r="H152" s="1129">
        <v>5</v>
      </c>
      <c r="I152" s="31"/>
      <c r="J152" s="159"/>
      <c r="K152" s="72">
        <f t="shared" si="2"/>
        <v>3043.1900000000069</v>
      </c>
      <c r="L152" s="43"/>
    </row>
    <row r="153" spans="1:12" ht="13.5" customHeight="1" x14ac:dyDescent="0.2">
      <c r="A153" s="19"/>
      <c r="B153" s="27"/>
      <c r="C153" s="33" t="s">
        <v>6825</v>
      </c>
      <c r="D153" s="27"/>
      <c r="E153" s="27"/>
      <c r="F153" s="27"/>
      <c r="G153" s="23"/>
      <c r="H153" s="1129">
        <v>400</v>
      </c>
      <c r="I153" s="31"/>
      <c r="J153" s="159">
        <v>2643.1600000000044</v>
      </c>
      <c r="K153" s="72">
        <f t="shared" si="2"/>
        <v>2643.1900000000069</v>
      </c>
      <c r="L153" s="43"/>
    </row>
    <row r="154" spans="1:12" ht="13.5" customHeight="1" x14ac:dyDescent="0.2">
      <c r="A154" s="19">
        <v>43124</v>
      </c>
      <c r="B154" s="20"/>
      <c r="C154" s="34" t="s">
        <v>6826</v>
      </c>
      <c r="D154" s="11"/>
      <c r="E154" s="12"/>
      <c r="F154" s="22"/>
      <c r="G154" s="23"/>
      <c r="H154" s="24">
        <v>4.5</v>
      </c>
      <c r="I154" s="25"/>
      <c r="J154" s="26"/>
      <c r="K154" s="72">
        <f t="shared" si="2"/>
        <v>2638.6900000000069</v>
      </c>
      <c r="L154" s="43"/>
    </row>
    <row r="155" spans="1:12" ht="13.5" customHeight="1" x14ac:dyDescent="0.2">
      <c r="A155" s="19"/>
      <c r="B155" s="20"/>
      <c r="C155" s="34" t="s">
        <v>6827</v>
      </c>
      <c r="D155" s="11"/>
      <c r="E155" s="12"/>
      <c r="F155" s="22"/>
      <c r="G155" s="23"/>
      <c r="H155" s="24">
        <v>35</v>
      </c>
      <c r="I155" s="25"/>
      <c r="J155" s="26"/>
      <c r="K155" s="72">
        <f t="shared" si="2"/>
        <v>2603.6900000000069</v>
      </c>
      <c r="L155" s="43"/>
    </row>
    <row r="156" spans="1:12" ht="13.5" customHeight="1" x14ac:dyDescent="0.2">
      <c r="A156" s="19"/>
      <c r="B156" s="20"/>
      <c r="C156" s="34" t="s">
        <v>6828</v>
      </c>
      <c r="D156" s="11"/>
      <c r="E156" s="12"/>
      <c r="F156" s="22"/>
      <c r="G156" s="23"/>
      <c r="H156" s="24">
        <v>22</v>
      </c>
      <c r="I156" s="25"/>
      <c r="J156" s="26">
        <v>2581.6600000000044</v>
      </c>
      <c r="K156" s="72">
        <f t="shared" si="2"/>
        <v>2581.6900000000069</v>
      </c>
      <c r="L156" s="43"/>
    </row>
    <row r="157" spans="1:12" ht="13.5" customHeight="1" x14ac:dyDescent="0.2">
      <c r="A157" s="19"/>
      <c r="B157" s="20"/>
      <c r="C157" s="34" t="s">
        <v>6829</v>
      </c>
      <c r="D157" s="11">
        <v>0</v>
      </c>
      <c r="E157" s="12">
        <v>-92.66</v>
      </c>
      <c r="F157" s="22"/>
      <c r="G157" s="23"/>
      <c r="H157" s="24"/>
      <c r="I157" s="25"/>
      <c r="J157" s="26"/>
      <c r="K157" s="72">
        <f t="shared" si="2"/>
        <v>2581.6900000000069</v>
      </c>
      <c r="L157" s="43"/>
    </row>
    <row r="158" spans="1:12" ht="13.5" customHeight="1" x14ac:dyDescent="0.2">
      <c r="A158" s="19"/>
      <c r="B158" s="20"/>
      <c r="C158" s="34" t="s">
        <v>6830</v>
      </c>
      <c r="D158" s="11">
        <v>0</v>
      </c>
      <c r="E158" s="12">
        <v>-68.37</v>
      </c>
      <c r="F158" s="22"/>
      <c r="G158" s="23">
        <v>706.44</v>
      </c>
      <c r="H158" s="24"/>
      <c r="I158" s="25"/>
      <c r="J158" s="26"/>
      <c r="K158" s="72">
        <f t="shared" si="2"/>
        <v>2581.6900000000069</v>
      </c>
      <c r="L158" s="43"/>
    </row>
    <row r="159" spans="1:12" ht="13.5" customHeight="1" x14ac:dyDescent="0.2">
      <c r="A159" s="19">
        <v>43125</v>
      </c>
      <c r="B159" s="20"/>
      <c r="C159" s="34" t="s">
        <v>6831</v>
      </c>
      <c r="D159" s="11"/>
      <c r="E159" s="12"/>
      <c r="F159" s="22"/>
      <c r="G159" s="23"/>
      <c r="H159" s="24"/>
      <c r="I159" s="25">
        <v>323</v>
      </c>
      <c r="J159" s="26"/>
      <c r="K159" s="72">
        <f t="shared" si="2"/>
        <v>2904.6900000000069</v>
      </c>
      <c r="L159" s="43"/>
    </row>
    <row r="160" spans="1:12" ht="13.5" customHeight="1" x14ac:dyDescent="0.2">
      <c r="A160" s="19"/>
      <c r="B160" s="20"/>
      <c r="C160" s="34" t="s">
        <v>6832</v>
      </c>
      <c r="D160" s="11"/>
      <c r="E160" s="12"/>
      <c r="F160" s="22"/>
      <c r="G160" s="23"/>
      <c r="H160" s="24">
        <v>0.8</v>
      </c>
      <c r="I160" s="25"/>
      <c r="J160" s="26"/>
      <c r="K160" s="72">
        <f t="shared" si="2"/>
        <v>2903.8900000000067</v>
      </c>
      <c r="L160" s="43"/>
    </row>
    <row r="161" spans="1:12" ht="13.5" customHeight="1" x14ac:dyDescent="0.2">
      <c r="A161" s="19"/>
      <c r="B161" s="20"/>
      <c r="C161" s="34" t="s">
        <v>6833</v>
      </c>
      <c r="D161" s="11"/>
      <c r="E161" s="12"/>
      <c r="F161" s="22"/>
      <c r="G161" s="23"/>
      <c r="H161" s="24">
        <v>11.25</v>
      </c>
      <c r="I161" s="25"/>
      <c r="J161" s="26"/>
      <c r="K161" s="72">
        <f t="shared" si="2"/>
        <v>2892.6400000000067</v>
      </c>
      <c r="L161" s="43"/>
    </row>
    <row r="162" spans="1:12" ht="13.5" customHeight="1" x14ac:dyDescent="0.2">
      <c r="A162" s="19"/>
      <c r="B162" s="20"/>
      <c r="C162" s="34" t="s">
        <v>6834</v>
      </c>
      <c r="D162" s="11"/>
      <c r="E162" s="12"/>
      <c r="F162" s="22"/>
      <c r="G162" s="23"/>
      <c r="H162" s="24">
        <v>8.3000000000000007</v>
      </c>
      <c r="I162" s="25"/>
      <c r="J162" s="26"/>
      <c r="K162" s="72">
        <f t="shared" si="2"/>
        <v>2884.3400000000065</v>
      </c>
      <c r="L162" s="43"/>
    </row>
    <row r="163" spans="1:12" ht="13.5" customHeight="1" x14ac:dyDescent="0.2">
      <c r="A163" s="19"/>
      <c r="B163" s="20"/>
      <c r="C163" s="34" t="s">
        <v>6835</v>
      </c>
      <c r="D163" s="11"/>
      <c r="E163" s="12"/>
      <c r="F163" s="22"/>
      <c r="G163" s="23"/>
      <c r="H163" s="24">
        <v>6.25</v>
      </c>
      <c r="I163" s="25"/>
      <c r="J163" s="26"/>
      <c r="K163" s="72">
        <f t="shared" si="2"/>
        <v>2878.0900000000065</v>
      </c>
      <c r="L163" s="43"/>
    </row>
    <row r="164" spans="1:12" ht="13.5" customHeight="1" x14ac:dyDescent="0.2">
      <c r="A164" s="19"/>
      <c r="B164" s="20"/>
      <c r="C164" s="34" t="s">
        <v>6836</v>
      </c>
      <c r="D164" s="11"/>
      <c r="E164" s="12"/>
      <c r="F164" s="22"/>
      <c r="G164" s="23"/>
      <c r="H164" s="24">
        <v>1.25</v>
      </c>
      <c r="I164" s="25"/>
      <c r="J164" s="26"/>
      <c r="K164" s="72">
        <f t="shared" si="2"/>
        <v>2876.8400000000065</v>
      </c>
      <c r="L164" s="43"/>
    </row>
    <row r="165" spans="1:12" ht="13.5" customHeight="1" x14ac:dyDescent="0.2">
      <c r="A165" s="19"/>
      <c r="B165" s="20"/>
      <c r="C165" s="34" t="s">
        <v>6837</v>
      </c>
      <c r="D165" s="11"/>
      <c r="E165" s="12"/>
      <c r="F165" s="22"/>
      <c r="G165" s="23"/>
      <c r="H165" s="24">
        <v>10</v>
      </c>
      <c r="I165" s="25"/>
      <c r="J165" s="26"/>
      <c r="K165" s="72">
        <f t="shared" si="2"/>
        <v>2866.8400000000065</v>
      </c>
      <c r="L165" s="43"/>
    </row>
    <row r="166" spans="1:12" ht="13.5" customHeight="1" x14ac:dyDescent="0.2">
      <c r="A166" s="19"/>
      <c r="B166" s="20"/>
      <c r="C166" s="34" t="s">
        <v>6838</v>
      </c>
      <c r="D166" s="11"/>
      <c r="E166" s="12"/>
      <c r="F166" s="22"/>
      <c r="G166" s="23"/>
      <c r="H166" s="24">
        <v>37.4</v>
      </c>
      <c r="I166" s="25"/>
      <c r="J166" s="26"/>
      <c r="K166" s="72">
        <f t="shared" si="2"/>
        <v>2829.4400000000064</v>
      </c>
      <c r="L166" s="43"/>
    </row>
    <row r="167" spans="1:12" ht="13.5" customHeight="1" x14ac:dyDescent="0.2">
      <c r="A167" s="19"/>
      <c r="B167" s="20"/>
      <c r="C167" s="34" t="s">
        <v>6839</v>
      </c>
      <c r="D167" s="11"/>
      <c r="E167" s="12"/>
      <c r="F167" s="22"/>
      <c r="G167" s="23"/>
      <c r="H167" s="24">
        <v>75</v>
      </c>
      <c r="I167" s="25"/>
      <c r="J167" s="26"/>
      <c r="K167" s="72">
        <f t="shared" si="2"/>
        <v>2754.4400000000064</v>
      </c>
      <c r="L167" s="43"/>
    </row>
    <row r="168" spans="1:12" ht="13.5" customHeight="1" x14ac:dyDescent="0.2">
      <c r="A168" s="19"/>
      <c r="B168" s="20"/>
      <c r="C168" s="34" t="s">
        <v>6840</v>
      </c>
      <c r="D168" s="11"/>
      <c r="E168" s="12"/>
      <c r="F168" s="22"/>
      <c r="G168" s="23"/>
      <c r="H168" s="24">
        <v>75</v>
      </c>
      <c r="I168" s="25"/>
      <c r="J168" s="26"/>
      <c r="K168" s="72">
        <f t="shared" si="2"/>
        <v>2679.4400000000064</v>
      </c>
      <c r="L168" s="43"/>
    </row>
    <row r="169" spans="1:12" ht="13.5" customHeight="1" x14ac:dyDescent="0.2">
      <c r="A169" s="19"/>
      <c r="B169" s="20"/>
      <c r="C169" s="34" t="s">
        <v>6839</v>
      </c>
      <c r="D169" s="11"/>
      <c r="E169" s="12"/>
      <c r="F169" s="22"/>
      <c r="G169" s="23"/>
      <c r="H169" s="24">
        <v>75</v>
      </c>
      <c r="I169" s="25"/>
      <c r="J169" s="26"/>
      <c r="K169" s="72">
        <f t="shared" si="2"/>
        <v>2604.4400000000064</v>
      </c>
      <c r="L169" s="43"/>
    </row>
    <row r="170" spans="1:12" ht="13.5" customHeight="1" x14ac:dyDescent="0.2">
      <c r="A170" s="19"/>
      <c r="B170" s="20"/>
      <c r="C170" s="34" t="s">
        <v>6840</v>
      </c>
      <c r="D170" s="11"/>
      <c r="E170" s="12"/>
      <c r="F170" s="22"/>
      <c r="G170" s="23"/>
      <c r="H170" s="24">
        <v>75</v>
      </c>
      <c r="I170" s="25"/>
      <c r="J170" s="26"/>
      <c r="K170" s="72">
        <f t="shared" si="2"/>
        <v>2529.4400000000064</v>
      </c>
      <c r="L170" s="43"/>
    </row>
    <row r="171" spans="1:12" ht="13.5" customHeight="1" x14ac:dyDescent="0.2">
      <c r="A171" s="19"/>
      <c r="B171" s="20"/>
      <c r="C171" s="34" t="s">
        <v>6841</v>
      </c>
      <c r="D171" s="11"/>
      <c r="E171" s="12"/>
      <c r="F171" s="22"/>
      <c r="G171" s="23"/>
      <c r="H171" s="24">
        <v>24.85</v>
      </c>
      <c r="I171" s="25"/>
      <c r="J171" s="26"/>
      <c r="K171" s="72">
        <f t="shared" si="2"/>
        <v>2504.5900000000065</v>
      </c>
      <c r="L171" s="43"/>
    </row>
    <row r="172" spans="1:12" ht="13.5" customHeight="1" x14ac:dyDescent="0.2">
      <c r="A172" s="19"/>
      <c r="B172" s="20"/>
      <c r="C172" s="357" t="s">
        <v>163</v>
      </c>
      <c r="D172" s="11"/>
      <c r="E172" s="12"/>
      <c r="F172" s="22"/>
      <c r="G172" s="23"/>
      <c r="H172" s="24">
        <v>11.7</v>
      </c>
      <c r="I172" s="25"/>
      <c r="J172" s="26"/>
      <c r="K172" s="72">
        <f t="shared" si="2"/>
        <v>2492.8900000000067</v>
      </c>
      <c r="L172" s="43"/>
    </row>
    <row r="173" spans="1:12" ht="13.5" customHeight="1" x14ac:dyDescent="0.2">
      <c r="A173" s="19"/>
      <c r="B173" s="20"/>
      <c r="C173" s="357" t="s">
        <v>6842</v>
      </c>
      <c r="D173" s="11"/>
      <c r="E173" s="12"/>
      <c r="F173" s="22"/>
      <c r="G173" s="23"/>
      <c r="H173" s="24">
        <v>25</v>
      </c>
      <c r="I173" s="25"/>
      <c r="J173" s="26">
        <v>2467.8600000000042</v>
      </c>
      <c r="K173" s="72">
        <f t="shared" si="2"/>
        <v>2467.8900000000067</v>
      </c>
      <c r="L173" s="43"/>
    </row>
    <row r="174" spans="1:12" ht="13.5" customHeight="1" x14ac:dyDescent="0.2">
      <c r="A174" s="19"/>
      <c r="B174" s="20"/>
      <c r="C174" s="34" t="s">
        <v>6843</v>
      </c>
      <c r="D174" s="11"/>
      <c r="E174" s="12">
        <v>-185.5</v>
      </c>
      <c r="F174" s="22"/>
      <c r="G174" s="23">
        <v>520.94000000000005</v>
      </c>
      <c r="H174" s="24"/>
      <c r="I174" s="25"/>
      <c r="J174" s="26"/>
      <c r="K174" s="72">
        <f t="shared" si="2"/>
        <v>2467.8900000000067</v>
      </c>
      <c r="L174" s="43"/>
    </row>
    <row r="175" spans="1:12" ht="13.5" customHeight="1" x14ac:dyDescent="0.2">
      <c r="A175" s="19">
        <v>43126</v>
      </c>
      <c r="B175" s="20"/>
      <c r="C175" s="34" t="s">
        <v>6844</v>
      </c>
      <c r="D175" s="11"/>
      <c r="E175" s="12"/>
      <c r="F175" s="22"/>
      <c r="G175" s="23"/>
      <c r="H175" s="24">
        <v>300</v>
      </c>
      <c r="I175" s="25"/>
      <c r="J175" s="26"/>
      <c r="K175" s="72">
        <f t="shared" si="2"/>
        <v>2167.8900000000067</v>
      </c>
      <c r="L175" s="43"/>
    </row>
    <row r="176" spans="1:12" ht="13.5" customHeight="1" x14ac:dyDescent="0.2">
      <c r="A176" s="19"/>
      <c r="B176" s="20"/>
      <c r="C176" s="34" t="s">
        <v>6845</v>
      </c>
      <c r="D176" s="11"/>
      <c r="E176" s="12"/>
      <c r="F176" s="22"/>
      <c r="G176" s="23"/>
      <c r="H176" s="24">
        <v>11.2</v>
      </c>
      <c r="I176" s="25"/>
      <c r="J176" s="26"/>
      <c r="K176" s="72">
        <f t="shared" si="2"/>
        <v>2156.6900000000069</v>
      </c>
      <c r="L176" s="43"/>
    </row>
    <row r="177" spans="1:12" ht="13.5" customHeight="1" x14ac:dyDescent="0.2">
      <c r="A177" s="19"/>
      <c r="B177" s="20"/>
      <c r="C177" s="34" t="s">
        <v>6159</v>
      </c>
      <c r="D177" s="11"/>
      <c r="E177" s="12"/>
      <c r="F177" s="22"/>
      <c r="G177" s="23"/>
      <c r="H177" s="24">
        <v>300</v>
      </c>
      <c r="I177" s="25"/>
      <c r="J177" s="26"/>
      <c r="K177" s="72">
        <f t="shared" si="2"/>
        <v>1856.6900000000069</v>
      </c>
      <c r="L177" s="43"/>
    </row>
    <row r="178" spans="1:12" ht="13.5" customHeight="1" x14ac:dyDescent="0.2">
      <c r="A178" s="19"/>
      <c r="B178" s="20"/>
      <c r="C178" s="34" t="s">
        <v>6846</v>
      </c>
      <c r="D178" s="11"/>
      <c r="E178" s="12"/>
      <c r="F178" s="22"/>
      <c r="G178" s="23"/>
      <c r="H178" s="174">
        <v>209.79</v>
      </c>
      <c r="I178" s="25"/>
      <c r="J178" s="26"/>
      <c r="K178" s="72">
        <f t="shared" si="2"/>
        <v>1646.9000000000069</v>
      </c>
      <c r="L178" s="43"/>
    </row>
    <row r="179" spans="1:12" ht="13.5" customHeight="1" x14ac:dyDescent="0.2">
      <c r="A179" s="19"/>
      <c r="B179" s="20"/>
      <c r="C179" s="34" t="s">
        <v>6847</v>
      </c>
      <c r="D179" s="11"/>
      <c r="E179" s="12"/>
      <c r="F179" s="22"/>
      <c r="G179" s="23"/>
      <c r="H179" s="24"/>
      <c r="I179" s="25">
        <v>3.98</v>
      </c>
      <c r="J179" s="26"/>
      <c r="K179" s="72">
        <f t="shared" si="2"/>
        <v>1650.8800000000069</v>
      </c>
      <c r="L179" s="43"/>
    </row>
    <row r="180" spans="1:12" ht="13.5" customHeight="1" x14ac:dyDescent="0.2">
      <c r="A180" s="19"/>
      <c r="B180" s="20"/>
      <c r="C180" s="34" t="s">
        <v>77</v>
      </c>
      <c r="D180" s="11"/>
      <c r="E180" s="12"/>
      <c r="F180" s="22"/>
      <c r="G180" s="23"/>
      <c r="H180" s="44">
        <v>300</v>
      </c>
      <c r="I180" s="25"/>
      <c r="J180" s="26"/>
      <c r="K180" s="72">
        <f t="shared" si="2"/>
        <v>1350.8800000000069</v>
      </c>
      <c r="L180" s="43"/>
    </row>
    <row r="181" spans="1:12" ht="13.5" customHeight="1" x14ac:dyDescent="0.2">
      <c r="A181" s="19"/>
      <c r="B181" s="20"/>
      <c r="C181" s="34" t="s">
        <v>77</v>
      </c>
      <c r="D181" s="11"/>
      <c r="E181" s="12"/>
      <c r="F181" s="22"/>
      <c r="G181" s="23"/>
      <c r="H181" s="44">
        <v>300</v>
      </c>
      <c r="I181" s="25"/>
      <c r="J181" s="26">
        <v>1050.8499999999999</v>
      </c>
      <c r="K181" s="72">
        <f t="shared" si="2"/>
        <v>1050.8800000000069</v>
      </c>
      <c r="L181" s="43"/>
    </row>
    <row r="182" spans="1:12" ht="13.5" customHeight="1" x14ac:dyDescent="0.2">
      <c r="A182" s="19"/>
      <c r="B182" s="20"/>
      <c r="C182" s="34" t="s">
        <v>288</v>
      </c>
      <c r="D182" s="11">
        <v>0</v>
      </c>
      <c r="E182" s="12">
        <v>-36.770000000000003</v>
      </c>
      <c r="F182" s="22"/>
      <c r="G182" s="23"/>
      <c r="H182" s="24"/>
      <c r="I182" s="25"/>
      <c r="J182" s="26"/>
      <c r="K182" s="72">
        <f t="shared" si="2"/>
        <v>1050.8800000000069</v>
      </c>
      <c r="L182" s="43"/>
    </row>
    <row r="183" spans="1:12" ht="13.5" customHeight="1" x14ac:dyDescent="0.2">
      <c r="A183" s="19"/>
      <c r="B183" s="20"/>
      <c r="C183" s="34" t="s">
        <v>5726</v>
      </c>
      <c r="D183" s="11">
        <v>0</v>
      </c>
      <c r="E183" s="12">
        <v>-39.57</v>
      </c>
      <c r="F183" s="22"/>
      <c r="G183" s="23">
        <v>444.6</v>
      </c>
      <c r="H183" s="24"/>
      <c r="I183" s="25"/>
      <c r="J183" s="26"/>
      <c r="K183" s="72">
        <f t="shared" si="2"/>
        <v>1050.8800000000069</v>
      </c>
      <c r="L183" s="43"/>
    </row>
    <row r="184" spans="1:12" ht="13.5" customHeight="1" x14ac:dyDescent="0.2">
      <c r="A184" s="19">
        <v>43129</v>
      </c>
      <c r="B184" s="20"/>
      <c r="C184" s="34" t="s">
        <v>6848</v>
      </c>
      <c r="D184" s="11"/>
      <c r="E184" s="12"/>
      <c r="F184" s="22"/>
      <c r="G184" s="23"/>
      <c r="H184" s="24">
        <v>22</v>
      </c>
      <c r="I184" s="25"/>
      <c r="J184" s="26">
        <v>1028.8500000000045</v>
      </c>
      <c r="K184" s="72">
        <f t="shared" si="2"/>
        <v>1028.8800000000069</v>
      </c>
      <c r="L184" s="43"/>
    </row>
    <row r="185" spans="1:12" ht="13.5" customHeight="1" x14ac:dyDescent="0.2">
      <c r="A185" s="19"/>
      <c r="B185" s="20"/>
      <c r="C185" s="34" t="s">
        <v>6849</v>
      </c>
      <c r="D185" s="11"/>
      <c r="E185" s="12">
        <v>-100</v>
      </c>
      <c r="F185" s="22"/>
      <c r="G185" s="23">
        <v>344.6</v>
      </c>
      <c r="H185" s="24"/>
      <c r="I185" s="25"/>
      <c r="J185" s="26"/>
      <c r="K185" s="72">
        <f t="shared" si="2"/>
        <v>1028.8800000000069</v>
      </c>
      <c r="L185" s="43"/>
    </row>
    <row r="186" spans="1:12" ht="13.5" customHeight="1" x14ac:dyDescent="0.2">
      <c r="A186" s="19">
        <v>43130</v>
      </c>
      <c r="B186" s="20"/>
      <c r="C186" s="34" t="s">
        <v>6846</v>
      </c>
      <c r="D186" s="11"/>
      <c r="E186" s="12"/>
      <c r="F186" s="22"/>
      <c r="G186" s="23"/>
      <c r="H186" s="24"/>
      <c r="I186" s="637">
        <v>209.79</v>
      </c>
      <c r="J186" s="26">
        <v>1238.6400000000044</v>
      </c>
      <c r="K186" s="72">
        <f t="shared" si="2"/>
        <v>1238.6700000000069</v>
      </c>
      <c r="L186" s="43"/>
    </row>
    <row r="187" spans="1:12" ht="13.5" customHeight="1" x14ac:dyDescent="0.2">
      <c r="A187" s="19">
        <v>43131</v>
      </c>
      <c r="B187" s="20"/>
      <c r="C187" s="34" t="s">
        <v>6850</v>
      </c>
      <c r="D187" s="11"/>
      <c r="E187" s="12"/>
      <c r="F187" s="22"/>
      <c r="G187" s="23"/>
      <c r="H187" s="24">
        <v>1.95</v>
      </c>
      <c r="I187" s="25"/>
      <c r="J187" s="26">
        <v>1236.6900000000044</v>
      </c>
      <c r="K187" s="72">
        <f t="shared" si="2"/>
        <v>1236.7200000000068</v>
      </c>
      <c r="L187" s="43"/>
    </row>
    <row r="188" spans="1:12" ht="13.5" customHeight="1" x14ac:dyDescent="0.2">
      <c r="A188" s="19"/>
      <c r="B188" s="20"/>
      <c r="C188" s="34" t="s">
        <v>339</v>
      </c>
      <c r="D188" s="11"/>
      <c r="E188" s="12"/>
      <c r="F188" s="22"/>
      <c r="G188" s="23"/>
      <c r="H188" s="24">
        <v>8.98</v>
      </c>
      <c r="I188" s="25"/>
      <c r="J188" s="26"/>
      <c r="K188" s="72">
        <f t="shared" si="2"/>
        <v>1227.7400000000068</v>
      </c>
      <c r="L188" s="43"/>
    </row>
    <row r="189" spans="1:12" ht="13.5" customHeight="1" x14ac:dyDescent="0.2">
      <c r="A189" s="19"/>
      <c r="B189" s="20"/>
      <c r="C189" s="34" t="s">
        <v>6851</v>
      </c>
      <c r="D189" s="11"/>
      <c r="E189" s="12"/>
      <c r="F189" s="22"/>
      <c r="G189" s="23"/>
      <c r="H189" s="24">
        <v>5.98</v>
      </c>
      <c r="I189" s="25"/>
      <c r="J189" s="26"/>
      <c r="K189" s="72">
        <f t="shared" si="2"/>
        <v>1221.7600000000068</v>
      </c>
      <c r="L189" s="43"/>
    </row>
    <row r="190" spans="1:12" ht="13.5" customHeight="1" x14ac:dyDescent="0.2">
      <c r="A190" s="19"/>
      <c r="B190" s="20"/>
      <c r="C190" s="34" t="s">
        <v>6852</v>
      </c>
      <c r="D190" s="11"/>
      <c r="E190" s="12"/>
      <c r="F190" s="22"/>
      <c r="G190" s="23"/>
      <c r="H190" s="24">
        <v>2</v>
      </c>
      <c r="I190" s="25"/>
      <c r="J190" s="26"/>
      <c r="K190" s="72">
        <f t="shared" si="2"/>
        <v>1219.7600000000068</v>
      </c>
      <c r="L190" s="43"/>
    </row>
    <row r="191" spans="1:12" ht="13.5" customHeight="1" x14ac:dyDescent="0.2">
      <c r="A191" s="19"/>
      <c r="B191" s="20"/>
      <c r="C191" s="34" t="s">
        <v>872</v>
      </c>
      <c r="D191" s="11"/>
      <c r="E191" s="12"/>
      <c r="F191" s="24"/>
      <c r="G191" s="23"/>
      <c r="H191" s="24">
        <v>9.8000000000000007</v>
      </c>
      <c r="I191" s="25"/>
      <c r="J191" s="26"/>
      <c r="K191" s="72">
        <f t="shared" si="2"/>
        <v>1209.9600000000069</v>
      </c>
      <c r="L191" s="43"/>
    </row>
    <row r="192" spans="1:12" ht="13.5" customHeight="1" x14ac:dyDescent="0.2">
      <c r="A192" s="1130"/>
      <c r="B192" s="20"/>
      <c r="C192" s="34" t="s">
        <v>6853</v>
      </c>
      <c r="D192" s="11"/>
      <c r="E192" s="12"/>
      <c r="F192" s="1131"/>
      <c r="G192" s="23"/>
      <c r="H192" s="1132">
        <v>4.7</v>
      </c>
      <c r="I192" s="1131"/>
      <c r="J192" s="1131"/>
      <c r="K192" s="72">
        <f t="shared" si="2"/>
        <v>1205.2600000000068</v>
      </c>
      <c r="L192" s="43"/>
    </row>
    <row r="193" spans="1:12" ht="13.5" customHeight="1" x14ac:dyDescent="0.2">
      <c r="A193" s="1130"/>
      <c r="B193" s="20"/>
      <c r="C193" s="34" t="s">
        <v>6854</v>
      </c>
      <c r="D193" s="11"/>
      <c r="E193" s="12"/>
      <c r="F193" s="1131"/>
      <c r="G193" s="23"/>
      <c r="H193" s="1132">
        <v>30</v>
      </c>
      <c r="I193" s="1131"/>
      <c r="J193" s="1131"/>
      <c r="K193" s="72">
        <f t="shared" si="2"/>
        <v>1175.2600000000068</v>
      </c>
      <c r="L193" s="43"/>
    </row>
    <row r="194" spans="1:12" ht="13.5" customHeight="1" x14ac:dyDescent="0.2">
      <c r="A194" s="1130"/>
      <c r="B194" s="20"/>
      <c r="C194" s="34" t="s">
        <v>6855</v>
      </c>
      <c r="D194" s="11"/>
      <c r="E194" s="12"/>
      <c r="F194" s="1131"/>
      <c r="G194" s="23"/>
      <c r="H194" s="1132">
        <v>14.5</v>
      </c>
      <c r="I194" s="1131"/>
      <c r="J194" s="1131"/>
      <c r="K194" s="72">
        <f t="shared" si="2"/>
        <v>1160.7600000000068</v>
      </c>
      <c r="L194" s="43"/>
    </row>
    <row r="195" spans="1:12" ht="13.5" customHeight="1" x14ac:dyDescent="0.2">
      <c r="A195" s="1130"/>
      <c r="B195" s="20"/>
      <c r="C195" s="34" t="s">
        <v>6856</v>
      </c>
      <c r="D195" s="11"/>
      <c r="E195" s="12"/>
      <c r="F195" s="1131"/>
      <c r="G195" s="23"/>
      <c r="H195" s="1132">
        <v>180</v>
      </c>
      <c r="I195" s="1131"/>
      <c r="J195" s="1131"/>
      <c r="K195" s="72">
        <f t="shared" si="2"/>
        <v>980.76000000000681</v>
      </c>
      <c r="L195" s="43"/>
    </row>
    <row r="196" spans="1:12" ht="13.5" customHeight="1" x14ac:dyDescent="0.2">
      <c r="A196" s="1130"/>
      <c r="B196" s="20"/>
      <c r="C196" s="34" t="s">
        <v>6857</v>
      </c>
      <c r="D196" s="11"/>
      <c r="E196" s="12"/>
      <c r="F196" s="1131"/>
      <c r="G196" s="23"/>
      <c r="H196" s="1132">
        <v>120</v>
      </c>
      <c r="I196" s="1131"/>
      <c r="J196" s="1131"/>
      <c r="K196" s="72">
        <f t="shared" si="2"/>
        <v>860.76000000000681</v>
      </c>
      <c r="L196" s="43"/>
    </row>
    <row r="197" spans="1:12" ht="13.5" customHeight="1" x14ac:dyDescent="0.2">
      <c r="A197" s="1130"/>
      <c r="B197" s="20"/>
      <c r="C197" s="34" t="s">
        <v>6858</v>
      </c>
      <c r="D197" s="11"/>
      <c r="E197" s="12"/>
      <c r="F197" s="26"/>
      <c r="G197" s="23"/>
      <c r="H197" s="1132"/>
      <c r="I197" s="1131">
        <v>1360</v>
      </c>
      <c r="J197" s="1131"/>
      <c r="K197" s="72">
        <f>K196+I197-H197</f>
        <v>2220.7600000000066</v>
      </c>
      <c r="L197" s="43"/>
    </row>
    <row r="198" spans="1:12" ht="13.5" customHeight="1" x14ac:dyDescent="0.2">
      <c r="A198" s="1130"/>
      <c r="B198" s="20"/>
      <c r="C198" s="34" t="s">
        <v>6859</v>
      </c>
      <c r="D198" s="11"/>
      <c r="E198" s="12"/>
      <c r="F198" s="24"/>
      <c r="G198" s="23"/>
      <c r="H198" s="1132">
        <v>150</v>
      </c>
      <c r="I198" s="1131"/>
      <c r="J198" s="1133">
        <v>2070.7300000000041</v>
      </c>
      <c r="K198" s="72">
        <f>K197+I198-H198</f>
        <v>2070.7600000000066</v>
      </c>
      <c r="L198" s="43"/>
    </row>
    <row r="199" spans="1:12" x14ac:dyDescent="0.2">
      <c r="A199" s="19"/>
      <c r="B199" s="20"/>
      <c r="C199" s="34" t="s">
        <v>6860</v>
      </c>
      <c r="D199" s="11">
        <v>0</v>
      </c>
      <c r="E199" s="12">
        <v>-22.1</v>
      </c>
      <c r="F199" s="1131"/>
      <c r="G199" s="1134">
        <v>322.5</v>
      </c>
      <c r="H199" s="1132"/>
      <c r="I199" s="1131"/>
      <c r="J199" s="1131"/>
      <c r="L199" s="43"/>
    </row>
    <row r="200" spans="1:12" ht="13.5" customHeight="1" thickBot="1" x14ac:dyDescent="0.25">
      <c r="A200" s="47"/>
      <c r="B200" s="48"/>
      <c r="C200" s="49"/>
      <c r="D200" s="50"/>
      <c r="E200" s="51"/>
      <c r="F200" s="52"/>
      <c r="G200" s="53"/>
      <c r="H200" s="54"/>
      <c r="I200" s="55"/>
      <c r="J200" s="52"/>
      <c r="L200" s="12"/>
    </row>
    <row r="201" spans="1:12" ht="13.5" customHeight="1" thickBot="1" x14ac:dyDescent="0.25">
      <c r="A201" s="2" t="s">
        <v>2</v>
      </c>
      <c r="B201" s="3"/>
      <c r="C201" s="3" t="s">
        <v>481</v>
      </c>
      <c r="D201" s="3" t="s">
        <v>4</v>
      </c>
      <c r="E201" s="3" t="s">
        <v>5</v>
      </c>
      <c r="F201" s="3" t="s">
        <v>6</v>
      </c>
      <c r="G201" s="5" t="s">
        <v>7</v>
      </c>
      <c r="H201" s="1415" t="s">
        <v>482</v>
      </c>
      <c r="I201" s="1416"/>
      <c r="J201" s="1417"/>
    </row>
    <row r="202" spans="1:12" ht="13.5" customHeight="1" x14ac:dyDescent="0.2">
      <c r="A202" s="8" t="s">
        <v>6861</v>
      </c>
      <c r="B202" s="56"/>
      <c r="C202" s="10" t="s">
        <v>8</v>
      </c>
      <c r="D202" s="11">
        <v>0</v>
      </c>
      <c r="E202" s="51"/>
      <c r="F202" s="12"/>
      <c r="G202" s="178">
        <v>0</v>
      </c>
      <c r="H202" s="179"/>
      <c r="I202" s="57"/>
      <c r="J202" s="58">
        <v>16266.71</v>
      </c>
      <c r="K202" s="18">
        <f>G202</f>
        <v>0</v>
      </c>
      <c r="L202" s="51"/>
    </row>
    <row r="203" spans="1:12" ht="13.5" customHeight="1" x14ac:dyDescent="0.2">
      <c r="A203" s="180" t="s">
        <v>6862</v>
      </c>
      <c r="B203" s="56" t="s">
        <v>483</v>
      </c>
      <c r="C203" s="34" t="s">
        <v>5557</v>
      </c>
      <c r="D203" s="11" t="s">
        <v>488</v>
      </c>
      <c r="E203" s="1092" t="s">
        <v>6863</v>
      </c>
      <c r="F203" s="12"/>
      <c r="G203" s="23" t="s">
        <v>483</v>
      </c>
      <c r="H203" s="89"/>
      <c r="I203" s="372"/>
      <c r="J203" s="12">
        <v>16266.71</v>
      </c>
      <c r="K203" s="18">
        <f>K202+F204+E204</f>
        <v>-4.8499999999999996</v>
      </c>
      <c r="L203" s="30"/>
    </row>
    <row r="204" spans="1:12" ht="13.5" customHeight="1" x14ac:dyDescent="0.2">
      <c r="A204" s="180"/>
      <c r="B204" s="56" t="s">
        <v>483</v>
      </c>
      <c r="C204" s="34" t="s">
        <v>5558</v>
      </c>
      <c r="D204" s="11" t="s">
        <v>488</v>
      </c>
      <c r="E204" s="1092" t="s">
        <v>6864</v>
      </c>
      <c r="F204" s="12"/>
      <c r="G204" s="23" t="s">
        <v>483</v>
      </c>
      <c r="H204" s="89"/>
      <c r="I204" s="372"/>
      <c r="J204" s="12">
        <v>16266.71</v>
      </c>
      <c r="K204" s="18">
        <f t="shared" ref="K204:K253" si="3">K203+F205+E205</f>
        <v>5.0000000000000711E-2</v>
      </c>
      <c r="L204" s="30"/>
    </row>
    <row r="205" spans="1:12" ht="13.5" customHeight="1" x14ac:dyDescent="0.2">
      <c r="A205" s="180"/>
      <c r="B205" s="56" t="s">
        <v>483</v>
      </c>
      <c r="C205" s="36" t="s">
        <v>174</v>
      </c>
      <c r="D205" s="11" t="s">
        <v>488</v>
      </c>
      <c r="E205" s="225"/>
      <c r="F205" s="183" t="s">
        <v>6865</v>
      </c>
      <c r="G205" s="23" t="s">
        <v>6866</v>
      </c>
      <c r="H205" s="89" t="s">
        <v>6865</v>
      </c>
      <c r="I205" s="372"/>
      <c r="J205" s="12">
        <v>16261.81</v>
      </c>
      <c r="K205" s="18">
        <f t="shared" si="3"/>
        <v>-99.95</v>
      </c>
      <c r="L205" s="30"/>
    </row>
    <row r="206" spans="1:12" ht="13.5" customHeight="1" x14ac:dyDescent="0.2">
      <c r="A206" s="180" t="s">
        <v>6867</v>
      </c>
      <c r="B206" s="56" t="s">
        <v>483</v>
      </c>
      <c r="C206" s="36" t="s">
        <v>1930</v>
      </c>
      <c r="D206" s="11" t="s">
        <v>3912</v>
      </c>
      <c r="E206" s="1092" t="s">
        <v>6868</v>
      </c>
      <c r="F206" s="12"/>
      <c r="G206" s="23" t="s">
        <v>483</v>
      </c>
      <c r="H206" s="89"/>
      <c r="I206" s="372"/>
      <c r="J206" s="12">
        <v>16261.81</v>
      </c>
      <c r="K206" s="18">
        <f t="shared" si="3"/>
        <v>4.9999999999997158E-2</v>
      </c>
      <c r="L206" s="30"/>
    </row>
    <row r="207" spans="1:12" ht="13.5" customHeight="1" x14ac:dyDescent="0.2">
      <c r="A207" s="180"/>
      <c r="B207" s="56" t="s">
        <v>483</v>
      </c>
      <c r="C207" s="36" t="s">
        <v>174</v>
      </c>
      <c r="D207" s="11" t="s">
        <v>488</v>
      </c>
      <c r="E207" s="225"/>
      <c r="F207" s="183" t="s">
        <v>6869</v>
      </c>
      <c r="G207" s="23" t="s">
        <v>6866</v>
      </c>
      <c r="H207" s="89" t="s">
        <v>6869</v>
      </c>
      <c r="I207" s="372"/>
      <c r="J207" s="12">
        <v>16161.81</v>
      </c>
      <c r="K207" s="18">
        <f t="shared" si="3"/>
        <v>15000.05</v>
      </c>
      <c r="L207" s="30"/>
    </row>
    <row r="208" spans="1:12" ht="13.5" customHeight="1" x14ac:dyDescent="0.2">
      <c r="A208" s="180" t="s">
        <v>6870</v>
      </c>
      <c r="B208" s="56" t="s">
        <v>483</v>
      </c>
      <c r="C208" s="32" t="s">
        <v>6871</v>
      </c>
      <c r="D208" s="11" t="s">
        <v>488</v>
      </c>
      <c r="E208" s="225"/>
      <c r="F208" s="183" t="s">
        <v>6872</v>
      </c>
      <c r="G208" s="23" t="s">
        <v>483</v>
      </c>
      <c r="H208" s="89"/>
      <c r="I208" s="372"/>
      <c r="J208" s="12">
        <v>16161.81</v>
      </c>
      <c r="K208" s="18">
        <f t="shared" si="3"/>
        <v>4.9999999999272404E-2</v>
      </c>
      <c r="L208" s="30"/>
    </row>
    <row r="209" spans="1:12" ht="13.5" customHeight="1" x14ac:dyDescent="0.2">
      <c r="A209" s="180"/>
      <c r="B209" s="56" t="s">
        <v>483</v>
      </c>
      <c r="C209" s="36" t="s">
        <v>189</v>
      </c>
      <c r="D209" s="11" t="s">
        <v>488</v>
      </c>
      <c r="E209" s="1092" t="s">
        <v>6873</v>
      </c>
      <c r="F209" s="12"/>
      <c r="G209" s="23" t="s">
        <v>6866</v>
      </c>
      <c r="H209" s="89"/>
      <c r="I209" s="372">
        <v>15000</v>
      </c>
      <c r="J209" s="12">
        <v>31161.809999999998</v>
      </c>
      <c r="K209" s="18">
        <f t="shared" si="3"/>
        <v>-358.07000000000073</v>
      </c>
      <c r="L209" s="30"/>
    </row>
    <row r="210" spans="1:12" ht="13.5" customHeight="1" x14ac:dyDescent="0.2">
      <c r="A210" s="180" t="s">
        <v>6874</v>
      </c>
      <c r="B210" s="56" t="s">
        <v>483</v>
      </c>
      <c r="C210" s="36" t="s">
        <v>382</v>
      </c>
      <c r="D210" s="11" t="s">
        <v>4212</v>
      </c>
      <c r="E210" s="1092" t="s">
        <v>6875</v>
      </c>
      <c r="F210" s="12"/>
      <c r="G210" s="23"/>
      <c r="H210" s="89"/>
      <c r="I210" s="372"/>
      <c r="J210" s="12">
        <v>31161.809999999998</v>
      </c>
      <c r="K210" s="18">
        <f t="shared" si="3"/>
        <v>4.9999999999272404E-2</v>
      </c>
      <c r="L210" s="30"/>
    </row>
    <row r="211" spans="1:12" ht="13.5" customHeight="1" x14ac:dyDescent="0.2">
      <c r="A211" s="180"/>
      <c r="B211" s="56" t="s">
        <v>483</v>
      </c>
      <c r="C211" s="36" t="s">
        <v>174</v>
      </c>
      <c r="D211" s="11" t="s">
        <v>488</v>
      </c>
      <c r="E211" s="225"/>
      <c r="F211" s="183" t="s">
        <v>6876</v>
      </c>
      <c r="G211" s="23" t="s">
        <v>6866</v>
      </c>
      <c r="H211" s="89" t="s">
        <v>6876</v>
      </c>
      <c r="I211" s="372"/>
      <c r="J211" s="12">
        <v>30803.69</v>
      </c>
      <c r="K211" s="18">
        <f t="shared" si="3"/>
        <v>-232.28000000000074</v>
      </c>
      <c r="L211" s="30"/>
    </row>
    <row r="212" spans="1:12" ht="13.5" customHeight="1" x14ac:dyDescent="0.2">
      <c r="A212" s="180" t="s">
        <v>6877</v>
      </c>
      <c r="B212" s="56" t="s">
        <v>483</v>
      </c>
      <c r="C212" s="36" t="s">
        <v>180</v>
      </c>
      <c r="D212" s="11" t="s">
        <v>488</v>
      </c>
      <c r="E212" s="1092" t="s">
        <v>6878</v>
      </c>
      <c r="F212" s="12"/>
      <c r="G212" s="23"/>
      <c r="H212" s="89"/>
      <c r="I212" s="372"/>
      <c r="J212" s="12">
        <v>30803.69</v>
      </c>
      <c r="K212" s="18">
        <f t="shared" si="3"/>
        <v>-1591.6500000000005</v>
      </c>
      <c r="L212" s="30"/>
    </row>
    <row r="213" spans="1:12" ht="13.5" customHeight="1" x14ac:dyDescent="0.2">
      <c r="A213" s="180"/>
      <c r="B213" s="56" t="s">
        <v>483</v>
      </c>
      <c r="C213" s="36" t="s">
        <v>749</v>
      </c>
      <c r="D213" s="11" t="s">
        <v>6879</v>
      </c>
      <c r="E213" s="1092" t="s">
        <v>6880</v>
      </c>
      <c r="F213" s="12"/>
      <c r="G213" s="23" t="s">
        <v>483</v>
      </c>
      <c r="H213" s="89"/>
      <c r="I213" s="372"/>
      <c r="J213" s="12">
        <v>30803.69</v>
      </c>
      <c r="K213" s="18">
        <f t="shared" si="3"/>
        <v>-2373.0200000000004</v>
      </c>
      <c r="L213" s="30"/>
    </row>
    <row r="214" spans="1:12" ht="13.5" customHeight="1" x14ac:dyDescent="0.2">
      <c r="A214" s="180"/>
      <c r="B214" s="56" t="s">
        <v>483</v>
      </c>
      <c r="C214" s="21" t="s">
        <v>751</v>
      </c>
      <c r="D214" s="11" t="s">
        <v>6881</v>
      </c>
      <c r="E214" s="1092" t="s">
        <v>6882</v>
      </c>
      <c r="F214" s="12"/>
      <c r="G214" s="23" t="s">
        <v>483</v>
      </c>
      <c r="H214" s="89"/>
      <c r="I214" s="372"/>
      <c r="J214" s="12">
        <v>30803.69</v>
      </c>
      <c r="K214" s="18">
        <f t="shared" si="3"/>
        <v>4.9999999999727152E-2</v>
      </c>
      <c r="L214" s="30"/>
    </row>
    <row r="215" spans="1:12" ht="13.5" customHeight="1" x14ac:dyDescent="0.2">
      <c r="A215" s="180"/>
      <c r="B215" s="56" t="s">
        <v>483</v>
      </c>
      <c r="C215" s="36" t="s">
        <v>174</v>
      </c>
      <c r="D215" s="11" t="s">
        <v>488</v>
      </c>
      <c r="E215" s="225"/>
      <c r="F215" s="183" t="s">
        <v>6883</v>
      </c>
      <c r="G215" s="23" t="s">
        <v>6866</v>
      </c>
      <c r="H215" s="89" t="s">
        <v>6883</v>
      </c>
      <c r="I215" s="372"/>
      <c r="J215" s="12">
        <v>28430.62</v>
      </c>
      <c r="K215" s="18">
        <f t="shared" si="3"/>
        <v>4731.5200000000004</v>
      </c>
      <c r="L215" s="30"/>
    </row>
    <row r="216" spans="1:12" ht="13.5" customHeight="1" x14ac:dyDescent="0.2">
      <c r="A216" s="180" t="s">
        <v>6884</v>
      </c>
      <c r="B216" s="56" t="s">
        <v>483</v>
      </c>
      <c r="C216" s="32" t="s">
        <v>6885</v>
      </c>
      <c r="D216" s="11" t="s">
        <v>488</v>
      </c>
      <c r="E216" s="225"/>
      <c r="F216" s="183" t="s">
        <v>6886</v>
      </c>
      <c r="G216" s="23" t="s">
        <v>6886</v>
      </c>
      <c r="H216" s="89"/>
      <c r="I216" s="372"/>
      <c r="J216" s="12">
        <v>28430.62</v>
      </c>
      <c r="K216" s="18">
        <f t="shared" si="3"/>
        <v>7027.6500000000005</v>
      </c>
      <c r="L216" s="30"/>
    </row>
    <row r="217" spans="1:12" ht="13.5" customHeight="1" x14ac:dyDescent="0.2">
      <c r="A217" s="180"/>
      <c r="B217" s="56" t="s">
        <v>591</v>
      </c>
      <c r="C217" s="21" t="s">
        <v>5995</v>
      </c>
      <c r="D217" s="11" t="s">
        <v>6887</v>
      </c>
      <c r="E217" s="1092"/>
      <c r="F217" s="168" t="s">
        <v>6888</v>
      </c>
      <c r="G217" s="23" t="s">
        <v>483</v>
      </c>
      <c r="H217" s="89"/>
      <c r="I217" s="372"/>
      <c r="J217" s="12">
        <v>28430.62</v>
      </c>
      <c r="K217" s="18">
        <f t="shared" si="3"/>
        <v>2296.1800000000003</v>
      </c>
      <c r="L217" s="30"/>
    </row>
    <row r="218" spans="1:12" ht="13.5" customHeight="1" x14ac:dyDescent="0.2">
      <c r="A218" s="180"/>
      <c r="B218" s="56" t="s">
        <v>483</v>
      </c>
      <c r="C218" s="36" t="s">
        <v>189</v>
      </c>
      <c r="D218" s="11" t="s">
        <v>488</v>
      </c>
      <c r="E218" s="1092" t="s">
        <v>6889</v>
      </c>
      <c r="F218" s="12"/>
      <c r="G218" s="23" t="s">
        <v>6888</v>
      </c>
      <c r="H218" s="89"/>
      <c r="I218" s="372">
        <v>4731.47</v>
      </c>
      <c r="J218" s="12">
        <v>33162.089999999997</v>
      </c>
      <c r="K218" s="18">
        <f t="shared" si="3"/>
        <v>5.0000000000181899E-2</v>
      </c>
      <c r="L218" s="30"/>
    </row>
    <row r="219" spans="1:12" ht="13.5" customHeight="1" x14ac:dyDescent="0.2">
      <c r="A219" s="180" t="s">
        <v>6890</v>
      </c>
      <c r="B219" s="56" t="s">
        <v>483</v>
      </c>
      <c r="C219" s="21" t="s">
        <v>5995</v>
      </c>
      <c r="D219" s="11" t="s">
        <v>6891</v>
      </c>
      <c r="E219" s="340" t="s">
        <v>6892</v>
      </c>
      <c r="F219" s="12"/>
      <c r="G219" s="23" t="s">
        <v>6866</v>
      </c>
      <c r="H219" s="89"/>
      <c r="I219" s="372"/>
      <c r="J219" s="12">
        <v>33162.089999999997</v>
      </c>
      <c r="K219" s="18">
        <f t="shared" si="3"/>
        <v>-4999.95</v>
      </c>
      <c r="L219" s="30"/>
    </row>
    <row r="220" spans="1:12" ht="13.5" customHeight="1" x14ac:dyDescent="0.2">
      <c r="A220" s="180" t="s">
        <v>6893</v>
      </c>
      <c r="B220" s="56" t="s">
        <v>483</v>
      </c>
      <c r="C220" s="36" t="s">
        <v>6788</v>
      </c>
      <c r="D220" s="11" t="s">
        <v>6894</v>
      </c>
      <c r="E220" s="340" t="s">
        <v>6895</v>
      </c>
      <c r="F220" s="183"/>
      <c r="G220" s="23"/>
      <c r="H220" s="89"/>
      <c r="I220" s="372"/>
      <c r="J220" s="12">
        <v>33162.089999999997</v>
      </c>
      <c r="K220" s="18">
        <f t="shared" si="3"/>
        <v>5.0000000000181899E-2</v>
      </c>
      <c r="L220" s="30"/>
    </row>
    <row r="221" spans="1:12" ht="13.5" customHeight="1" x14ac:dyDescent="0.2">
      <c r="A221" s="180"/>
      <c r="B221" s="56" t="s">
        <v>483</v>
      </c>
      <c r="C221" s="36" t="s">
        <v>174</v>
      </c>
      <c r="D221" s="11" t="s">
        <v>488</v>
      </c>
      <c r="E221" s="30"/>
      <c r="F221" s="183">
        <v>5000</v>
      </c>
      <c r="G221" s="182">
        <v>0</v>
      </c>
      <c r="H221" s="89">
        <v>5000</v>
      </c>
      <c r="I221" s="372"/>
      <c r="J221" s="12">
        <v>28162.089999999997</v>
      </c>
      <c r="K221" s="18">
        <f t="shared" si="3"/>
        <v>-707.94999999999982</v>
      </c>
      <c r="L221" s="30"/>
    </row>
    <row r="222" spans="1:12" ht="13.5" customHeight="1" x14ac:dyDescent="0.2">
      <c r="A222" s="180" t="s">
        <v>6896</v>
      </c>
      <c r="B222" s="56" t="s">
        <v>483</v>
      </c>
      <c r="C222" s="34" t="s">
        <v>6897</v>
      </c>
      <c r="D222" s="11" t="s">
        <v>6464</v>
      </c>
      <c r="E222" s="181">
        <v>-708</v>
      </c>
      <c r="F222" s="12"/>
      <c r="G222" s="182">
        <v>-708</v>
      </c>
      <c r="H222" s="89"/>
      <c r="I222" s="372"/>
      <c r="J222" s="12">
        <v>28162.089999999997</v>
      </c>
      <c r="K222" s="18">
        <f t="shared" si="3"/>
        <v>5.0000000000181899E-2</v>
      </c>
      <c r="L222" s="30"/>
    </row>
    <row r="223" spans="1:12" ht="13.5" customHeight="1" x14ac:dyDescent="0.2">
      <c r="A223" s="180"/>
      <c r="B223" s="56"/>
      <c r="C223" s="36" t="s">
        <v>174</v>
      </c>
      <c r="D223" s="11"/>
      <c r="E223" s="30"/>
      <c r="F223" s="183">
        <v>708</v>
      </c>
      <c r="G223" s="182">
        <v>0</v>
      </c>
      <c r="H223" s="89">
        <v>708</v>
      </c>
      <c r="I223" s="372"/>
      <c r="J223" s="12">
        <v>27454.089999999997</v>
      </c>
      <c r="K223" s="18">
        <f t="shared" si="3"/>
        <v>2296.1800000000003</v>
      </c>
      <c r="L223" s="30"/>
    </row>
    <row r="224" spans="1:12" ht="13.5" customHeight="1" x14ac:dyDescent="0.2">
      <c r="A224" s="180" t="s">
        <v>6898</v>
      </c>
      <c r="B224" s="56" t="s">
        <v>591</v>
      </c>
      <c r="C224" s="21" t="s">
        <v>5995</v>
      </c>
      <c r="D224" s="11" t="s">
        <v>6899</v>
      </c>
      <c r="E224" s="30"/>
      <c r="F224" s="168">
        <v>2296.13</v>
      </c>
      <c r="G224" s="182" t="s">
        <v>483</v>
      </c>
      <c r="H224" s="89"/>
      <c r="I224" s="372"/>
      <c r="J224" s="12">
        <v>27454.089999999997</v>
      </c>
      <c r="K224" s="18">
        <f t="shared" si="3"/>
        <v>897.2800000000002</v>
      </c>
      <c r="L224" s="30"/>
    </row>
    <row r="225" spans="1:13" ht="13.5" customHeight="1" x14ac:dyDescent="0.2">
      <c r="A225" s="180"/>
      <c r="B225" s="56" t="s">
        <v>483</v>
      </c>
      <c r="C225" s="34" t="s">
        <v>6900</v>
      </c>
      <c r="D225" s="11" t="s">
        <v>488</v>
      </c>
      <c r="E225" s="181">
        <v>-1398.9</v>
      </c>
      <c r="F225" s="12"/>
      <c r="G225" s="182" t="s">
        <v>483</v>
      </c>
      <c r="H225" s="89"/>
      <c r="I225" s="372"/>
      <c r="J225" s="12">
        <v>27454.089999999997</v>
      </c>
      <c r="K225" s="18">
        <f t="shared" si="3"/>
        <v>2296.1800000000003</v>
      </c>
      <c r="L225" s="30"/>
    </row>
    <row r="226" spans="1:13" ht="13.5" customHeight="1" x14ac:dyDescent="0.2">
      <c r="A226" s="180"/>
      <c r="B226" s="56" t="s">
        <v>483</v>
      </c>
      <c r="C226" s="36" t="s">
        <v>174</v>
      </c>
      <c r="D226" s="11" t="s">
        <v>488</v>
      </c>
      <c r="E226" s="30"/>
      <c r="F226" s="183">
        <v>1398.9</v>
      </c>
      <c r="G226" s="182">
        <v>2296.13</v>
      </c>
      <c r="H226" s="89">
        <v>1398.9</v>
      </c>
      <c r="I226" s="372"/>
      <c r="J226" s="12">
        <v>26055.189999999995</v>
      </c>
      <c r="K226" s="18">
        <f t="shared" si="3"/>
        <v>646.18000000000029</v>
      </c>
      <c r="L226" s="30"/>
    </row>
    <row r="227" spans="1:13" ht="13.5" customHeight="1" x14ac:dyDescent="0.2">
      <c r="A227" s="180" t="s">
        <v>6901</v>
      </c>
      <c r="B227" s="56" t="s">
        <v>483</v>
      </c>
      <c r="C227" s="36" t="s">
        <v>1013</v>
      </c>
      <c r="D227" s="11" t="s">
        <v>495</v>
      </c>
      <c r="E227" s="181">
        <v>-1650</v>
      </c>
      <c r="F227" s="12"/>
      <c r="G227" s="182" t="s">
        <v>483</v>
      </c>
      <c r="H227" s="89"/>
      <c r="I227" s="372"/>
      <c r="J227" s="12">
        <v>26055.189999999995</v>
      </c>
      <c r="K227" s="18">
        <f t="shared" si="3"/>
        <v>5.0000000000295586E-2</v>
      </c>
      <c r="L227" s="30"/>
    </row>
    <row r="228" spans="1:13" ht="13.5" customHeight="1" x14ac:dyDescent="0.2">
      <c r="A228" s="180"/>
      <c r="B228" s="56" t="s">
        <v>483</v>
      </c>
      <c r="C228" s="36" t="s">
        <v>189</v>
      </c>
      <c r="D228" s="11" t="s">
        <v>488</v>
      </c>
      <c r="E228" s="181">
        <v>-646.13</v>
      </c>
      <c r="F228" s="12"/>
      <c r="G228" s="182">
        <v>0</v>
      </c>
      <c r="H228" s="89"/>
      <c r="I228" s="372">
        <v>646.13</v>
      </c>
      <c r="J228" s="12">
        <v>26701.319999999996</v>
      </c>
      <c r="K228" s="18">
        <f t="shared" si="3"/>
        <v>-9.4499999999997044</v>
      </c>
      <c r="L228" s="30"/>
    </row>
    <row r="229" spans="1:13" ht="13.5" customHeight="1" x14ac:dyDescent="0.2">
      <c r="A229" s="180" t="s">
        <v>6902</v>
      </c>
      <c r="B229" s="56" t="s">
        <v>483</v>
      </c>
      <c r="C229" s="34" t="s">
        <v>86</v>
      </c>
      <c r="D229" s="11" t="s">
        <v>488</v>
      </c>
      <c r="E229" s="181">
        <v>-9.5</v>
      </c>
      <c r="F229" s="12"/>
      <c r="G229" s="182" t="s">
        <v>483</v>
      </c>
      <c r="H229" s="89"/>
      <c r="I229" s="372"/>
      <c r="J229" s="12">
        <v>26701.319999999996</v>
      </c>
      <c r="K229" s="18">
        <f t="shared" si="3"/>
        <v>5.0000000000295586E-2</v>
      </c>
      <c r="L229" s="30"/>
    </row>
    <row r="230" spans="1:13" ht="13.5" customHeight="1" x14ac:dyDescent="0.2">
      <c r="A230" s="180"/>
      <c r="B230" s="56" t="s">
        <v>483</v>
      </c>
      <c r="C230" s="36" t="s">
        <v>174</v>
      </c>
      <c r="D230" s="11" t="s">
        <v>488</v>
      </c>
      <c r="E230" s="181"/>
      <c r="F230" s="183">
        <v>9.5</v>
      </c>
      <c r="G230" s="182">
        <v>0</v>
      </c>
      <c r="H230" s="89">
        <v>9.5</v>
      </c>
      <c r="I230" s="372"/>
      <c r="J230" s="12">
        <v>26691.819999999996</v>
      </c>
      <c r="K230" s="18">
        <f t="shared" si="3"/>
        <v>-1308.8999999999996</v>
      </c>
      <c r="L230" s="30"/>
    </row>
    <row r="231" spans="1:13" ht="13.5" customHeight="1" x14ac:dyDescent="0.2">
      <c r="A231" s="180" t="s">
        <v>6903</v>
      </c>
      <c r="B231" s="56" t="s">
        <v>483</v>
      </c>
      <c r="C231" s="36" t="s">
        <v>394</v>
      </c>
      <c r="D231" s="11" t="s">
        <v>575</v>
      </c>
      <c r="E231" s="181">
        <v>-1308.95</v>
      </c>
      <c r="F231" s="12"/>
      <c r="G231" s="182" t="s">
        <v>483</v>
      </c>
      <c r="H231" s="89"/>
      <c r="I231" s="372"/>
      <c r="J231" s="12">
        <v>26691.819999999996</v>
      </c>
      <c r="K231" s="18">
        <f t="shared" si="3"/>
        <v>6691.1</v>
      </c>
      <c r="L231" s="30"/>
    </row>
    <row r="232" spans="1:13" ht="13.5" customHeight="1" x14ac:dyDescent="0.2">
      <c r="A232" s="180"/>
      <c r="B232" s="56" t="s">
        <v>591</v>
      </c>
      <c r="C232" s="32" t="s">
        <v>471</v>
      </c>
      <c r="D232" s="11" t="s">
        <v>6904</v>
      </c>
      <c r="E232" s="181"/>
      <c r="F232" s="168">
        <v>8000</v>
      </c>
      <c r="G232" s="182"/>
      <c r="H232" s="89"/>
      <c r="I232" s="372"/>
      <c r="J232" s="12">
        <v>26691.819999999996</v>
      </c>
      <c r="K232" s="18">
        <f t="shared" si="3"/>
        <v>8000.05</v>
      </c>
      <c r="L232" s="30"/>
    </row>
    <row r="233" spans="1:13" ht="13.5" customHeight="1" x14ac:dyDescent="0.2">
      <c r="A233" s="180" t="s">
        <v>6903</v>
      </c>
      <c r="B233" s="56" t="s">
        <v>483</v>
      </c>
      <c r="C233" s="36" t="s">
        <v>174</v>
      </c>
      <c r="D233" s="11" t="s">
        <v>488</v>
      </c>
      <c r="E233" s="30"/>
      <c r="F233" s="183">
        <v>1308.95</v>
      </c>
      <c r="G233" s="182">
        <v>8000</v>
      </c>
      <c r="H233" s="89">
        <v>1308.95</v>
      </c>
      <c r="I233" s="372"/>
      <c r="J233" s="12">
        <v>25382.869999999995</v>
      </c>
      <c r="K233" s="18">
        <f t="shared" si="3"/>
        <v>7922.05</v>
      </c>
      <c r="L233" s="30"/>
    </row>
    <row r="234" spans="1:13" ht="13.5" customHeight="1" x14ac:dyDescent="0.2">
      <c r="A234" s="180" t="s">
        <v>6905</v>
      </c>
      <c r="B234" s="56" t="s">
        <v>483</v>
      </c>
      <c r="C234" s="34" t="s">
        <v>86</v>
      </c>
      <c r="D234" s="11" t="s">
        <v>488</v>
      </c>
      <c r="E234" s="181">
        <v>-78</v>
      </c>
      <c r="F234" s="12"/>
      <c r="G234" s="182" t="s">
        <v>483</v>
      </c>
      <c r="H234" s="89"/>
      <c r="I234" s="372"/>
      <c r="J234" s="12">
        <v>25382.869999999995</v>
      </c>
      <c r="K234" s="18">
        <f t="shared" si="3"/>
        <v>7799.55</v>
      </c>
      <c r="L234" s="30"/>
    </row>
    <row r="235" spans="1:13" ht="13.5" customHeight="1" x14ac:dyDescent="0.2">
      <c r="A235" s="180"/>
      <c r="B235" s="56" t="s">
        <v>483</v>
      </c>
      <c r="C235" s="36" t="s">
        <v>199</v>
      </c>
      <c r="D235" s="11" t="s">
        <v>488</v>
      </c>
      <c r="E235" s="181">
        <v>-122.5</v>
      </c>
      <c r="F235" s="12"/>
      <c r="G235" s="182" t="s">
        <v>483</v>
      </c>
      <c r="H235" s="89"/>
      <c r="I235" s="372"/>
      <c r="J235" s="12">
        <v>25382.869999999995</v>
      </c>
      <c r="K235" s="18">
        <f t="shared" si="3"/>
        <v>5.0000000000181899E-2</v>
      </c>
      <c r="L235" s="30"/>
    </row>
    <row r="236" spans="1:13" ht="13.5" customHeight="1" x14ac:dyDescent="0.2">
      <c r="A236" s="180"/>
      <c r="B236" s="56" t="s">
        <v>483</v>
      </c>
      <c r="C236" s="36" t="s">
        <v>189</v>
      </c>
      <c r="D236" s="11" t="s">
        <v>488</v>
      </c>
      <c r="E236" s="181">
        <v>-7799.5</v>
      </c>
      <c r="F236" s="12"/>
      <c r="G236" s="182">
        <v>0</v>
      </c>
      <c r="H236" s="89"/>
      <c r="I236" s="372">
        <v>7799.5</v>
      </c>
      <c r="J236" s="12">
        <v>33182.369999999995</v>
      </c>
      <c r="K236" s="18">
        <f t="shared" si="3"/>
        <v>-399.73999999999984</v>
      </c>
      <c r="L236" s="30"/>
    </row>
    <row r="237" spans="1:13" ht="13.5" customHeight="1" x14ac:dyDescent="0.2">
      <c r="A237" s="180" t="s">
        <v>6906</v>
      </c>
      <c r="B237" s="56" t="s">
        <v>483</v>
      </c>
      <c r="C237" s="36" t="s">
        <v>6289</v>
      </c>
      <c r="D237" s="11" t="s">
        <v>6907</v>
      </c>
      <c r="E237" s="181">
        <v>-399.79</v>
      </c>
      <c r="F237" s="12"/>
      <c r="G237" s="182" t="s">
        <v>483</v>
      </c>
      <c r="H237" s="89"/>
      <c r="I237" s="372"/>
      <c r="J237" s="12">
        <v>33182.369999999995</v>
      </c>
      <c r="K237" s="18">
        <f t="shared" si="3"/>
        <v>5.0000000000181899E-2</v>
      </c>
      <c r="L237" s="30"/>
    </row>
    <row r="238" spans="1:13" ht="13.5" customHeight="1" x14ac:dyDescent="0.2">
      <c r="A238" s="180"/>
      <c r="B238" s="56" t="s">
        <v>483</v>
      </c>
      <c r="C238" s="36" t="s">
        <v>174</v>
      </c>
      <c r="D238" s="11" t="s">
        <v>488</v>
      </c>
      <c r="E238" s="30"/>
      <c r="F238" s="183">
        <v>399.79</v>
      </c>
      <c r="G238" s="182">
        <v>0</v>
      </c>
      <c r="H238" s="89">
        <v>399.79</v>
      </c>
      <c r="I238" s="372"/>
      <c r="J238" s="12">
        <v>32782.579999999994</v>
      </c>
      <c r="K238" s="18">
        <f t="shared" si="3"/>
        <v>-196.92999999999981</v>
      </c>
      <c r="L238" s="30"/>
      <c r="M238" s="1">
        <v>559.59</v>
      </c>
    </row>
    <row r="239" spans="1:13" ht="13.5" customHeight="1" x14ac:dyDescent="0.2">
      <c r="A239" s="180" t="s">
        <v>6908</v>
      </c>
      <c r="B239" s="56" t="s">
        <v>483</v>
      </c>
      <c r="C239" s="34" t="s">
        <v>194</v>
      </c>
      <c r="D239" s="11" t="s">
        <v>488</v>
      </c>
      <c r="E239" s="181">
        <v>-196.98</v>
      </c>
      <c r="F239" s="12"/>
      <c r="G239" s="182" t="s">
        <v>483</v>
      </c>
      <c r="H239" s="89"/>
      <c r="I239" s="372"/>
      <c r="J239" s="12">
        <v>32782.579999999994</v>
      </c>
      <c r="K239" s="18">
        <f t="shared" si="3"/>
        <v>-1106.0599999999997</v>
      </c>
      <c r="L239" s="30"/>
    </row>
    <row r="240" spans="1:13" ht="13.5" customHeight="1" x14ac:dyDescent="0.2">
      <c r="A240" s="180"/>
      <c r="B240" s="56" t="s">
        <v>483</v>
      </c>
      <c r="C240" s="36" t="s">
        <v>195</v>
      </c>
      <c r="D240" s="11" t="s">
        <v>488</v>
      </c>
      <c r="E240" s="181">
        <v>-909.13</v>
      </c>
      <c r="F240" s="12"/>
      <c r="G240" s="182">
        <v>-1106.1099999999999</v>
      </c>
      <c r="H240" s="89"/>
      <c r="I240" s="372"/>
      <c r="J240" s="12">
        <v>32782.579999999994</v>
      </c>
      <c r="K240" s="18">
        <f t="shared" si="3"/>
        <v>-1315.8499999999997</v>
      </c>
      <c r="L240" s="30"/>
    </row>
    <row r="241" spans="1:12" ht="13.5" customHeight="1" x14ac:dyDescent="0.2">
      <c r="A241" s="180"/>
      <c r="B241" s="56" t="s">
        <v>483</v>
      </c>
      <c r="C241" s="36" t="s">
        <v>6287</v>
      </c>
      <c r="D241" s="11" t="s">
        <v>6909</v>
      </c>
      <c r="E241" s="181">
        <v>-209.79</v>
      </c>
      <c r="F241" s="12"/>
      <c r="G241" s="182" t="s">
        <v>483</v>
      </c>
      <c r="H241" s="89"/>
      <c r="I241" s="372"/>
      <c r="J241" s="12">
        <v>32782.579999999994</v>
      </c>
      <c r="K241" s="18">
        <f t="shared" si="3"/>
        <v>-1875.4399999999996</v>
      </c>
      <c r="L241" s="30"/>
    </row>
    <row r="242" spans="1:12" ht="13.5" customHeight="1" x14ac:dyDescent="0.2">
      <c r="A242" s="180"/>
      <c r="B242" s="56" t="s">
        <v>483</v>
      </c>
      <c r="C242" s="36" t="s">
        <v>6910</v>
      </c>
      <c r="D242" s="11" t="s">
        <v>6911</v>
      </c>
      <c r="E242" s="181">
        <v>-559.59</v>
      </c>
      <c r="F242" s="12"/>
      <c r="G242" s="182" t="s">
        <v>483</v>
      </c>
      <c r="H242" s="89"/>
      <c r="I242" s="372"/>
      <c r="J242" s="12">
        <v>32782.579999999994</v>
      </c>
      <c r="K242" s="18">
        <f t="shared" si="3"/>
        <v>5.0000000000409273E-2</v>
      </c>
      <c r="L242" s="30"/>
    </row>
    <row r="243" spans="1:12" ht="13.5" customHeight="1" x14ac:dyDescent="0.2">
      <c r="A243" s="180"/>
      <c r="B243" s="56" t="s">
        <v>483</v>
      </c>
      <c r="C243" s="36" t="s">
        <v>174</v>
      </c>
      <c r="D243" s="11" t="s">
        <v>488</v>
      </c>
      <c r="E243" s="30"/>
      <c r="F243" s="183">
        <v>1875.49</v>
      </c>
      <c r="G243" s="182">
        <v>0</v>
      </c>
      <c r="H243" s="89">
        <v>1875.49</v>
      </c>
      <c r="I243" s="372"/>
      <c r="J243" s="12">
        <v>30907.089999999993</v>
      </c>
      <c r="K243" s="18">
        <f t="shared" si="3"/>
        <v>-11.849999999999591</v>
      </c>
      <c r="L243" s="30"/>
    </row>
    <row r="244" spans="1:12" ht="13.5" customHeight="1" x14ac:dyDescent="0.2">
      <c r="A244" s="180" t="s">
        <v>6912</v>
      </c>
      <c r="B244" s="56" t="s">
        <v>483</v>
      </c>
      <c r="C244" s="34" t="s">
        <v>86</v>
      </c>
      <c r="D244" s="11" t="s">
        <v>488</v>
      </c>
      <c r="E244" s="181">
        <v>-11.9</v>
      </c>
      <c r="F244" s="12"/>
      <c r="G244" s="182" t="s">
        <v>483</v>
      </c>
      <c r="H244" s="89"/>
      <c r="I244" s="372"/>
      <c r="J244" s="12">
        <v>30907.089999999993</v>
      </c>
      <c r="K244" s="18">
        <f t="shared" si="3"/>
        <v>-613.84999999999957</v>
      </c>
      <c r="L244" s="30"/>
    </row>
    <row r="245" spans="1:12" ht="13.5" customHeight="1" x14ac:dyDescent="0.2">
      <c r="A245" s="180"/>
      <c r="B245" s="56" t="s">
        <v>483</v>
      </c>
      <c r="C245" s="36" t="s">
        <v>6913</v>
      </c>
      <c r="D245" s="11" t="s">
        <v>495</v>
      </c>
      <c r="E245" s="181">
        <v>-602</v>
      </c>
      <c r="F245" s="12"/>
      <c r="G245" s="182" t="s">
        <v>483</v>
      </c>
      <c r="H245" s="89"/>
      <c r="I245" s="372"/>
      <c r="J245" s="12">
        <v>30907.089999999993</v>
      </c>
      <c r="K245" s="18">
        <f t="shared" si="3"/>
        <v>5.0000000000409273E-2</v>
      </c>
      <c r="L245" s="30"/>
    </row>
    <row r="246" spans="1:12" ht="13.5" customHeight="1" x14ac:dyDescent="0.2">
      <c r="A246" s="180"/>
      <c r="B246" s="56" t="s">
        <v>483</v>
      </c>
      <c r="C246" s="36" t="s">
        <v>174</v>
      </c>
      <c r="D246" s="11" t="s">
        <v>488</v>
      </c>
      <c r="E246" s="30"/>
      <c r="F246" s="183">
        <v>613.9</v>
      </c>
      <c r="G246" s="182">
        <v>0</v>
      </c>
      <c r="H246" s="89">
        <v>613.9</v>
      </c>
      <c r="I246" s="372"/>
      <c r="J246" s="12">
        <v>30293.189999999991</v>
      </c>
      <c r="K246" s="18">
        <f t="shared" si="3"/>
        <v>-1115.8399999999997</v>
      </c>
      <c r="L246" s="30"/>
    </row>
    <row r="247" spans="1:12" x14ac:dyDescent="0.2">
      <c r="A247" s="180" t="s">
        <v>6914</v>
      </c>
      <c r="B247" s="56" t="s">
        <v>483</v>
      </c>
      <c r="C247" s="36" t="s">
        <v>6915</v>
      </c>
      <c r="D247" s="11" t="s">
        <v>6916</v>
      </c>
      <c r="E247" s="181">
        <v>-1115.8900000000001</v>
      </c>
      <c r="F247" s="12"/>
      <c r="G247" s="182" t="s">
        <v>483</v>
      </c>
      <c r="H247" s="89"/>
      <c r="I247" s="372"/>
      <c r="J247" s="12">
        <v>30293.189999999991</v>
      </c>
      <c r="K247" s="18">
        <f t="shared" si="3"/>
        <v>5.0000000000409273E-2</v>
      </c>
      <c r="L247" s="30"/>
    </row>
    <row r="248" spans="1:12" x14ac:dyDescent="0.2">
      <c r="A248" s="180"/>
      <c r="B248" s="56" t="s">
        <v>483</v>
      </c>
      <c r="C248" s="36" t="s">
        <v>174</v>
      </c>
      <c r="D248" s="11" t="s">
        <v>488</v>
      </c>
      <c r="E248" s="30"/>
      <c r="F248" s="183">
        <v>1115.8900000000001</v>
      </c>
      <c r="G248" s="182">
        <v>0</v>
      </c>
      <c r="H248" s="89">
        <v>1115.8900000000001</v>
      </c>
      <c r="I248" s="372"/>
      <c r="J248" s="12">
        <v>29177.299999999992</v>
      </c>
      <c r="K248" s="18">
        <f t="shared" si="3"/>
        <v>-366.69999999999959</v>
      </c>
      <c r="L248" s="30"/>
    </row>
    <row r="249" spans="1:12" x14ac:dyDescent="0.2">
      <c r="A249" s="180" t="s">
        <v>6917</v>
      </c>
      <c r="B249" s="56" t="s">
        <v>483</v>
      </c>
      <c r="C249" s="36" t="s">
        <v>3727</v>
      </c>
      <c r="D249" s="11" t="s">
        <v>4460</v>
      </c>
      <c r="E249" s="181">
        <v>-366.75</v>
      </c>
      <c r="F249" s="12"/>
      <c r="G249" s="182" t="s">
        <v>483</v>
      </c>
      <c r="H249" s="89"/>
      <c r="I249" s="372"/>
      <c r="J249" s="12">
        <v>29177.299999999992</v>
      </c>
      <c r="K249" s="18">
        <f t="shared" si="3"/>
        <v>-1840.1799999999996</v>
      </c>
      <c r="L249" s="30">
        <v>11709.2</v>
      </c>
    </row>
    <row r="250" spans="1:12" x14ac:dyDescent="0.2">
      <c r="A250" s="180"/>
      <c r="B250" s="56" t="s">
        <v>483</v>
      </c>
      <c r="C250" s="32" t="s">
        <v>6918</v>
      </c>
      <c r="D250" s="11" t="s">
        <v>488</v>
      </c>
      <c r="E250" s="181">
        <v>-1473.48</v>
      </c>
      <c r="F250" s="12"/>
      <c r="G250" s="182" t="s">
        <v>483</v>
      </c>
      <c r="H250" s="89"/>
      <c r="I250" s="372"/>
      <c r="J250" s="12">
        <v>29177.299999999992</v>
      </c>
      <c r="K250" s="18">
        <f t="shared" si="3"/>
        <v>-4295.9799999999996</v>
      </c>
      <c r="L250" s="30">
        <v>4731.99</v>
      </c>
    </row>
    <row r="251" spans="1:12" x14ac:dyDescent="0.2">
      <c r="A251" s="180"/>
      <c r="B251" s="56" t="s">
        <v>483</v>
      </c>
      <c r="C251" s="32" t="s">
        <v>6919</v>
      </c>
      <c r="D251" s="11" t="s">
        <v>488</v>
      </c>
      <c r="E251" s="181">
        <v>-2455.8000000000002</v>
      </c>
      <c r="F251" s="12"/>
      <c r="G251" s="182"/>
      <c r="H251" s="89"/>
      <c r="I251" s="372"/>
      <c r="J251" s="12">
        <v>29177.299999999992</v>
      </c>
      <c r="K251" s="18">
        <f t="shared" si="3"/>
        <v>5.0000000000181899E-2</v>
      </c>
      <c r="L251" s="30">
        <v>646.16999999999996</v>
      </c>
    </row>
    <row r="252" spans="1:12" ht="13.5" customHeight="1" x14ac:dyDescent="0.2">
      <c r="A252" s="180"/>
      <c r="B252" s="56" t="s">
        <v>483</v>
      </c>
      <c r="C252" s="36" t="s">
        <v>174</v>
      </c>
      <c r="D252" s="11" t="s">
        <v>488</v>
      </c>
      <c r="E252" s="30"/>
      <c r="F252" s="183">
        <v>4296.03</v>
      </c>
      <c r="G252" s="1135">
        <v>0</v>
      </c>
      <c r="H252" s="89">
        <v>4296.03</v>
      </c>
      <c r="I252" s="372"/>
      <c r="J252" s="12">
        <v>24881.269999999993</v>
      </c>
      <c r="K252" s="18">
        <f t="shared" si="3"/>
        <v>5.0000000000181899E-2</v>
      </c>
      <c r="L252" s="30">
        <v>7799.68</v>
      </c>
    </row>
    <row r="253" spans="1:12" ht="13.5" customHeight="1" x14ac:dyDescent="0.2">
      <c r="A253" s="180"/>
      <c r="B253" s="56"/>
      <c r="C253" s="36" t="s">
        <v>20</v>
      </c>
      <c r="D253" s="11"/>
      <c r="E253" s="30"/>
      <c r="F253" s="12"/>
      <c r="G253" s="182"/>
      <c r="H253" s="89"/>
      <c r="I253" s="372">
        <v>5.7700000000077125</v>
      </c>
      <c r="J253" s="530">
        <v>24887.040000000001</v>
      </c>
      <c r="K253" s="18">
        <f t="shared" si="3"/>
        <v>5.0000000000181899E-2</v>
      </c>
      <c r="L253" s="30">
        <v>24887.040000000001</v>
      </c>
    </row>
    <row r="254" spans="1:12" ht="13.5" customHeight="1" x14ac:dyDescent="0.2">
      <c r="A254" s="180"/>
      <c r="B254" s="56"/>
      <c r="C254" s="32" t="s">
        <v>5809</v>
      </c>
      <c r="D254" s="11"/>
      <c r="E254" s="30"/>
      <c r="F254" s="12"/>
      <c r="G254" s="182"/>
      <c r="H254" s="89"/>
      <c r="I254" s="372"/>
      <c r="J254" s="530">
        <v>7296.1</v>
      </c>
      <c r="L254" s="30"/>
    </row>
    <row r="255" spans="1:12" ht="13.5" customHeight="1" x14ac:dyDescent="0.2">
      <c r="A255" s="180"/>
      <c r="B255" s="56"/>
      <c r="C255" s="222" t="s">
        <v>5810</v>
      </c>
      <c r="D255" s="11"/>
      <c r="E255" s="30"/>
      <c r="F255" s="12"/>
      <c r="G255" s="182"/>
      <c r="H255" s="89"/>
      <c r="I255" s="372"/>
      <c r="J255" s="530">
        <v>32183.14</v>
      </c>
      <c r="L255" s="30"/>
    </row>
    <row r="256" spans="1:12" s="64" customFormat="1" ht="13.5" customHeight="1" thickBot="1" x14ac:dyDescent="0.25">
      <c r="A256" s="184"/>
      <c r="B256" s="63"/>
      <c r="C256" s="63"/>
      <c r="D256" s="50"/>
      <c r="E256" s="51"/>
      <c r="F256" s="13"/>
      <c r="G256" s="53"/>
      <c r="H256" s="179"/>
      <c r="I256" s="57"/>
      <c r="J256" s="67"/>
      <c r="L256" s="51"/>
    </row>
    <row r="257" spans="1:13" ht="13.5" customHeight="1" thickBot="1" x14ac:dyDescent="0.25">
      <c r="A257" s="2" t="s">
        <v>2</v>
      </c>
      <c r="B257" s="3"/>
      <c r="C257" s="3" t="s">
        <v>525</v>
      </c>
      <c r="D257" s="3" t="s">
        <v>4</v>
      </c>
      <c r="E257" s="3" t="s">
        <v>5</v>
      </c>
      <c r="F257" s="3" t="s">
        <v>6</v>
      </c>
      <c r="G257" s="5" t="s">
        <v>7</v>
      </c>
      <c r="H257" s="187"/>
      <c r="I257" s="188"/>
      <c r="J257" s="189"/>
    </row>
    <row r="258" spans="1:13" ht="13.5" customHeight="1" x14ac:dyDescent="0.2">
      <c r="A258" s="8" t="s">
        <v>6861</v>
      </c>
      <c r="B258" s="56"/>
      <c r="C258" s="10" t="s">
        <v>8</v>
      </c>
      <c r="D258" s="11"/>
      <c r="E258" s="51"/>
      <c r="F258" s="12"/>
      <c r="G258" s="178">
        <v>165.30999999999904</v>
      </c>
      <c r="H258" s="179"/>
      <c r="I258" s="57"/>
      <c r="J258" s="67"/>
      <c r="L258" s="51"/>
    </row>
    <row r="259" spans="1:13" s="64" customFormat="1" ht="13.5" customHeight="1" x14ac:dyDescent="0.2">
      <c r="A259" s="184">
        <v>43105</v>
      </c>
      <c r="B259" s="63"/>
      <c r="C259" s="36" t="s">
        <v>530</v>
      </c>
      <c r="D259" s="50"/>
      <c r="E259" s="181">
        <v>833.93</v>
      </c>
      <c r="F259" s="13"/>
      <c r="G259" s="53">
        <v>-668.62000000000091</v>
      </c>
      <c r="H259" s="179"/>
      <c r="I259" s="57"/>
      <c r="J259" s="67"/>
      <c r="L259" s="51"/>
    </row>
    <row r="260" spans="1:13" s="64" customFormat="1" ht="13.5" customHeight="1" x14ac:dyDescent="0.2">
      <c r="A260" s="184" t="s">
        <v>6893</v>
      </c>
      <c r="B260" s="63" t="s">
        <v>483</v>
      </c>
      <c r="C260" s="56" t="s">
        <v>6788</v>
      </c>
      <c r="D260" s="50"/>
      <c r="E260" s="51"/>
      <c r="F260" s="183">
        <v>5000</v>
      </c>
      <c r="G260" s="53">
        <v>4331.3799999999992</v>
      </c>
      <c r="H260" s="179"/>
      <c r="I260" s="57"/>
      <c r="J260" s="67"/>
      <c r="L260" s="51"/>
    </row>
    <row r="261" spans="1:13" s="64" customFormat="1" ht="13.5" customHeight="1" x14ac:dyDescent="0.2">
      <c r="A261" s="184">
        <v>43102</v>
      </c>
      <c r="B261" s="63"/>
      <c r="C261" s="34" t="s">
        <v>6920</v>
      </c>
      <c r="D261" s="50"/>
      <c r="E261" s="51"/>
      <c r="F261" s="183">
        <v>323</v>
      </c>
      <c r="G261" s="53">
        <v>4654.3799999999992</v>
      </c>
      <c r="H261" s="179"/>
      <c r="I261" s="57"/>
      <c r="J261" s="67"/>
      <c r="L261" s="51"/>
    </row>
    <row r="262" spans="1:13" s="64" customFormat="1" ht="13.5" customHeight="1" x14ac:dyDescent="0.2">
      <c r="A262" s="184">
        <v>43122</v>
      </c>
      <c r="B262" s="63"/>
      <c r="C262" s="36" t="s">
        <v>4779</v>
      </c>
      <c r="D262" s="50"/>
      <c r="E262" s="181">
        <v>122.6</v>
      </c>
      <c r="F262" s="13"/>
      <c r="G262" s="178">
        <v>4531.7799999999988</v>
      </c>
      <c r="H262" s="179"/>
      <c r="I262" s="57"/>
      <c r="J262" s="67"/>
      <c r="L262" s="51"/>
    </row>
    <row r="263" spans="1:13" ht="13.5" customHeight="1" thickBot="1" x14ac:dyDescent="0.25">
      <c r="A263" s="180"/>
      <c r="B263" s="56"/>
      <c r="C263" s="56"/>
      <c r="D263" s="11"/>
      <c r="E263" s="30"/>
      <c r="F263" s="12"/>
      <c r="G263" s="182"/>
      <c r="H263" s="59"/>
      <c r="I263" s="60"/>
      <c r="J263" s="61"/>
      <c r="L263" s="30"/>
    </row>
    <row r="264" spans="1:13" ht="13.5" customHeight="1" thickBot="1" x14ac:dyDescent="0.25">
      <c r="A264" s="2" t="s">
        <v>2</v>
      </c>
      <c r="B264" s="3"/>
      <c r="C264" s="3" t="s">
        <v>536</v>
      </c>
      <c r="D264" s="3"/>
      <c r="E264" s="3"/>
      <c r="F264" s="3"/>
      <c r="G264" s="5" t="s">
        <v>7</v>
      </c>
      <c r="H264" s="6" t="s">
        <v>5</v>
      </c>
      <c r="I264" s="4" t="s">
        <v>6</v>
      </c>
      <c r="J264" s="7" t="s">
        <v>7</v>
      </c>
    </row>
    <row r="265" spans="1:13" ht="13.5" customHeight="1" x14ac:dyDescent="0.2">
      <c r="A265" s="8">
        <v>43101</v>
      </c>
      <c r="B265" s="70"/>
      <c r="C265" s="10" t="s">
        <v>537</v>
      </c>
      <c r="D265" s="125"/>
      <c r="E265" s="67"/>
      <c r="F265" s="67"/>
      <c r="G265" s="178"/>
      <c r="H265" s="179"/>
      <c r="I265" s="57"/>
      <c r="J265" s="58">
        <v>3972.2900000000018</v>
      </c>
      <c r="L265" s="18">
        <f>J265</f>
        <v>3972.2900000000018</v>
      </c>
    </row>
    <row r="266" spans="1:13" ht="13.5" customHeight="1" x14ac:dyDescent="0.2">
      <c r="A266" s="180">
        <v>43102</v>
      </c>
      <c r="B266" s="70"/>
      <c r="C266" s="34" t="s">
        <v>6696</v>
      </c>
      <c r="D266" s="125"/>
      <c r="E266" s="67"/>
      <c r="F266" s="67"/>
      <c r="G266" s="178"/>
      <c r="H266" s="179">
        <v>13.28</v>
      </c>
      <c r="I266" s="122"/>
      <c r="J266" s="198">
        <v>3959.0100000000016</v>
      </c>
      <c r="L266" s="18">
        <f>L265+I266-H266</f>
        <v>3959.0100000000016</v>
      </c>
    </row>
    <row r="267" spans="1:13" ht="13.5" customHeight="1" x14ac:dyDescent="0.2">
      <c r="A267" s="91">
        <v>43103</v>
      </c>
      <c r="B267" s="9"/>
      <c r="C267" s="34" t="s">
        <v>77</v>
      </c>
      <c r="D267" s="229"/>
      <c r="E267" s="61"/>
      <c r="F267" s="61"/>
      <c r="G267" s="182"/>
      <c r="H267" s="59"/>
      <c r="I267" s="531">
        <v>3000</v>
      </c>
      <c r="J267" s="198">
        <v>6959.010000000002</v>
      </c>
      <c r="K267" s="18"/>
      <c r="L267" s="18">
        <f t="shared" ref="L267:L308" si="4">L266+I267-H267</f>
        <v>6959.010000000002</v>
      </c>
      <c r="M267" s="18"/>
    </row>
    <row r="268" spans="1:13" ht="13.5" customHeight="1" x14ac:dyDescent="0.2">
      <c r="A268" s="91"/>
      <c r="B268" s="9"/>
      <c r="C268" s="34" t="s">
        <v>6921</v>
      </c>
      <c r="D268" s="229"/>
      <c r="E268" s="61"/>
      <c r="F268" s="61"/>
      <c r="G268" s="182"/>
      <c r="H268" s="59">
        <v>7.8</v>
      </c>
      <c r="I268" s="59"/>
      <c r="J268" s="198">
        <v>6951.2100000000019</v>
      </c>
      <c r="K268" s="18"/>
      <c r="L268" s="18">
        <f t="shared" si="4"/>
        <v>6951.2100000000019</v>
      </c>
      <c r="M268" s="18"/>
    </row>
    <row r="269" spans="1:13" ht="13.5" customHeight="1" x14ac:dyDescent="0.2">
      <c r="A269" s="91"/>
      <c r="B269" s="9"/>
      <c r="C269" s="34" t="s">
        <v>6503</v>
      </c>
      <c r="D269" s="229"/>
      <c r="E269" s="61"/>
      <c r="F269" s="61"/>
      <c r="G269" s="182"/>
      <c r="H269" s="59">
        <v>3</v>
      </c>
      <c r="I269" s="59"/>
      <c r="J269" s="198">
        <v>6948.2100000000019</v>
      </c>
      <c r="K269" s="18"/>
      <c r="L269" s="18">
        <f t="shared" si="4"/>
        <v>6948.2100000000019</v>
      </c>
      <c r="M269" s="18"/>
    </row>
    <row r="270" spans="1:13" ht="13.5" customHeight="1" x14ac:dyDescent="0.2">
      <c r="A270" s="91">
        <v>43104</v>
      </c>
      <c r="B270" s="9"/>
      <c r="C270" s="34" t="s">
        <v>6922</v>
      </c>
      <c r="D270" s="229"/>
      <c r="E270" s="61"/>
      <c r="F270" s="61"/>
      <c r="G270" s="182"/>
      <c r="H270" s="1136">
        <v>300</v>
      </c>
      <c r="I270" s="59"/>
      <c r="J270" s="198">
        <v>6648.2100000000019</v>
      </c>
      <c r="K270" s="18"/>
      <c r="L270" s="18">
        <f t="shared" si="4"/>
        <v>6648.2100000000019</v>
      </c>
      <c r="M270" s="18"/>
    </row>
    <row r="271" spans="1:13" ht="13.5" customHeight="1" x14ac:dyDescent="0.2">
      <c r="A271" s="91">
        <v>43105</v>
      </c>
      <c r="B271" s="9"/>
      <c r="C271" s="34" t="s">
        <v>6923</v>
      </c>
      <c r="D271" s="229"/>
      <c r="E271" s="61"/>
      <c r="F271" s="61"/>
      <c r="G271" s="182"/>
      <c r="H271" s="59">
        <v>900</v>
      </c>
      <c r="I271" s="59"/>
      <c r="J271" s="198">
        <v>5748.2100000000019</v>
      </c>
      <c r="K271" s="18"/>
      <c r="L271" s="18">
        <f t="shared" si="4"/>
        <v>5748.2100000000019</v>
      </c>
      <c r="M271" s="18"/>
    </row>
    <row r="272" spans="1:13" ht="13.5" customHeight="1" x14ac:dyDescent="0.2">
      <c r="A272" s="91"/>
      <c r="B272" s="9"/>
      <c r="C272" s="34" t="s">
        <v>6924</v>
      </c>
      <c r="D272" s="229"/>
      <c r="E272" s="61"/>
      <c r="F272" s="61"/>
      <c r="G272" s="182"/>
      <c r="H272" s="59">
        <v>200</v>
      </c>
      <c r="I272" s="59"/>
      <c r="J272" s="198">
        <v>5548.2100000000019</v>
      </c>
      <c r="K272" s="18"/>
      <c r="L272" s="18">
        <f t="shared" si="4"/>
        <v>5548.2100000000019</v>
      </c>
      <c r="M272" s="18"/>
    </row>
    <row r="273" spans="1:163" ht="13.5" customHeight="1" x14ac:dyDescent="0.2">
      <c r="A273" s="91"/>
      <c r="B273" s="9"/>
      <c r="C273" s="34" t="s">
        <v>6925</v>
      </c>
      <c r="D273" s="229"/>
      <c r="E273" s="61"/>
      <c r="F273" s="61"/>
      <c r="G273" s="182"/>
      <c r="H273" s="59">
        <v>180</v>
      </c>
      <c r="I273" s="59"/>
      <c r="J273" s="198">
        <v>5368.2100000000019</v>
      </c>
      <c r="K273" s="18"/>
      <c r="L273" s="18">
        <f t="shared" si="4"/>
        <v>5368.2100000000019</v>
      </c>
      <c r="M273" s="18"/>
    </row>
    <row r="274" spans="1:163" ht="13.5" customHeight="1" x14ac:dyDescent="0.2">
      <c r="A274" s="91"/>
      <c r="B274" s="9"/>
      <c r="C274" s="34" t="s">
        <v>6922</v>
      </c>
      <c r="D274" s="229"/>
      <c r="E274" s="61"/>
      <c r="F274" s="61"/>
      <c r="G274" s="182"/>
      <c r="H274" s="59"/>
      <c r="I274" s="1136">
        <v>300</v>
      </c>
      <c r="J274" s="198">
        <v>5668.2100000000019</v>
      </c>
      <c r="K274" s="18"/>
      <c r="L274" s="18">
        <f t="shared" si="4"/>
        <v>5668.2100000000019</v>
      </c>
      <c r="M274" s="18"/>
    </row>
    <row r="275" spans="1:163" ht="13.5" customHeight="1" x14ac:dyDescent="0.2">
      <c r="A275" s="91"/>
      <c r="B275" s="9"/>
      <c r="C275" s="34" t="s">
        <v>6926</v>
      </c>
      <c r="D275" s="229"/>
      <c r="E275" s="61"/>
      <c r="F275" s="61"/>
      <c r="G275" s="182"/>
      <c r="H275" s="59">
        <v>22.98</v>
      </c>
      <c r="I275" s="59"/>
      <c r="J275" s="198">
        <v>5645.2300000000023</v>
      </c>
      <c r="K275" s="18"/>
      <c r="L275" s="18">
        <f t="shared" si="4"/>
        <v>5645.2300000000023</v>
      </c>
      <c r="M275" s="18"/>
    </row>
    <row r="276" spans="1:163" ht="13.5" customHeight="1" x14ac:dyDescent="0.2">
      <c r="A276" s="91"/>
      <c r="B276" s="9"/>
      <c r="C276" s="34" t="s">
        <v>6927</v>
      </c>
      <c r="D276" s="229"/>
      <c r="E276" s="61"/>
      <c r="F276" s="61"/>
      <c r="G276" s="182"/>
      <c r="H276" s="59">
        <v>180</v>
      </c>
      <c r="I276" s="59"/>
      <c r="J276" s="198">
        <v>5465.2300000000023</v>
      </c>
      <c r="K276" s="18"/>
      <c r="L276" s="18">
        <f t="shared" si="4"/>
        <v>5465.2300000000023</v>
      </c>
      <c r="M276" s="18"/>
    </row>
    <row r="277" spans="1:163" ht="13.5" customHeight="1" x14ac:dyDescent="0.2">
      <c r="A277" s="91">
        <v>43106</v>
      </c>
      <c r="B277" s="9"/>
      <c r="C277" s="34" t="s">
        <v>6928</v>
      </c>
      <c r="D277" s="229"/>
      <c r="E277" s="61"/>
      <c r="F277" s="61"/>
      <c r="G277" s="182"/>
      <c r="H277" s="59">
        <v>14.6</v>
      </c>
      <c r="I277" s="59"/>
      <c r="J277" s="198">
        <v>5450.6300000000019</v>
      </c>
      <c r="K277" s="18"/>
      <c r="L277" s="18">
        <f t="shared" si="4"/>
        <v>5450.6300000000019</v>
      </c>
      <c r="M277" s="18"/>
    </row>
    <row r="278" spans="1:163" ht="13.5" customHeight="1" x14ac:dyDescent="0.2">
      <c r="A278" s="91"/>
      <c r="B278" s="9"/>
      <c r="C278" s="34" t="s">
        <v>6929</v>
      </c>
      <c r="D278" s="229"/>
      <c r="E278" s="61"/>
      <c r="F278" s="61"/>
      <c r="G278" s="182"/>
      <c r="H278" s="59">
        <v>12.8</v>
      </c>
      <c r="I278" s="59"/>
      <c r="J278" s="198">
        <v>5437.8300000000017</v>
      </c>
      <c r="K278" s="18"/>
      <c r="L278" s="18">
        <f t="shared" si="4"/>
        <v>5437.8300000000017</v>
      </c>
      <c r="M278" s="18"/>
    </row>
    <row r="279" spans="1:163" ht="13.5" customHeight="1" x14ac:dyDescent="0.2">
      <c r="A279" s="91"/>
      <c r="B279" s="9"/>
      <c r="C279" s="34" t="s">
        <v>6930</v>
      </c>
      <c r="D279" s="229"/>
      <c r="E279" s="61"/>
      <c r="F279" s="61"/>
      <c r="G279" s="182"/>
      <c r="H279" s="59">
        <v>7.2</v>
      </c>
      <c r="I279" s="59"/>
      <c r="J279" s="198">
        <v>5430.6300000000019</v>
      </c>
      <c r="K279" s="18"/>
      <c r="L279" s="18">
        <f t="shared" si="4"/>
        <v>5430.6300000000019</v>
      </c>
      <c r="M279" s="18"/>
    </row>
    <row r="280" spans="1:163" ht="13.5" customHeight="1" x14ac:dyDescent="0.2">
      <c r="A280" s="91">
        <v>43108</v>
      </c>
      <c r="B280" s="9"/>
      <c r="C280" s="34" t="s">
        <v>6931</v>
      </c>
      <c r="D280" s="229"/>
      <c r="E280" s="61"/>
      <c r="F280" s="61"/>
      <c r="G280" s="182"/>
      <c r="H280" s="59">
        <v>35.25</v>
      </c>
      <c r="I280" s="59"/>
      <c r="J280" s="198">
        <v>5395.3800000000019</v>
      </c>
      <c r="K280" s="18"/>
      <c r="L280" s="18">
        <f t="shared" si="4"/>
        <v>5395.3800000000019</v>
      </c>
      <c r="M280" s="18"/>
    </row>
    <row r="281" spans="1:163" ht="13.5" customHeight="1" x14ac:dyDescent="0.2">
      <c r="A281" s="91"/>
      <c r="B281" s="9"/>
      <c r="C281" s="34" t="s">
        <v>1002</v>
      </c>
      <c r="D281" s="229"/>
      <c r="E281" s="61"/>
      <c r="F281" s="61"/>
      <c r="G281" s="182"/>
      <c r="H281" s="59">
        <v>3515.38</v>
      </c>
      <c r="I281" s="59"/>
      <c r="J281" s="198">
        <v>1880.0000000000018</v>
      </c>
      <c r="K281" s="18"/>
      <c r="L281" s="18">
        <f t="shared" si="4"/>
        <v>1880.0000000000018</v>
      </c>
      <c r="M281" s="18"/>
    </row>
    <row r="282" spans="1:163" ht="13.5" customHeight="1" x14ac:dyDescent="0.2">
      <c r="A282" s="91">
        <v>43110</v>
      </c>
      <c r="B282" s="9"/>
      <c r="C282" s="34" t="s">
        <v>6932</v>
      </c>
      <c r="D282" s="229"/>
      <c r="E282" s="61"/>
      <c r="F282" s="61"/>
      <c r="G282" s="182"/>
      <c r="H282" s="59">
        <v>31.55</v>
      </c>
      <c r="I282" s="59"/>
      <c r="J282" s="198">
        <v>1848.4500000000019</v>
      </c>
      <c r="K282" s="18"/>
      <c r="L282" s="18">
        <f t="shared" si="4"/>
        <v>1848.4500000000019</v>
      </c>
      <c r="M282" s="18"/>
    </row>
    <row r="283" spans="1:163" ht="13.5" customHeight="1" x14ac:dyDescent="0.2">
      <c r="A283" s="91"/>
      <c r="B283" s="9"/>
      <c r="C283" s="34" t="s">
        <v>6933</v>
      </c>
      <c r="D283" s="229"/>
      <c r="E283" s="61"/>
      <c r="F283" s="61"/>
      <c r="G283" s="182"/>
      <c r="H283" s="59">
        <v>10.96</v>
      </c>
      <c r="I283" s="59"/>
      <c r="J283" s="198">
        <v>1837.4900000000018</v>
      </c>
      <c r="K283" s="18"/>
      <c r="L283" s="18">
        <f t="shared" si="4"/>
        <v>1837.4900000000018</v>
      </c>
      <c r="M283" s="18"/>
    </row>
    <row r="284" spans="1:163" ht="13.5" customHeight="1" x14ac:dyDescent="0.2">
      <c r="A284" s="91">
        <v>43112</v>
      </c>
      <c r="B284" s="9"/>
      <c r="C284" s="34" t="s">
        <v>6934</v>
      </c>
      <c r="D284" s="229"/>
      <c r="E284" s="61"/>
      <c r="F284" s="61"/>
      <c r="G284" s="182"/>
      <c r="H284" s="59">
        <v>187.56</v>
      </c>
      <c r="I284" s="59"/>
      <c r="J284" s="198">
        <v>1649.9300000000019</v>
      </c>
      <c r="K284" s="18"/>
      <c r="L284" s="18">
        <f t="shared" si="4"/>
        <v>1649.9300000000019</v>
      </c>
      <c r="M284" s="18"/>
    </row>
    <row r="285" spans="1:163" ht="13.5" customHeight="1" x14ac:dyDescent="0.2">
      <c r="A285" s="91"/>
      <c r="B285" s="9"/>
      <c r="C285" s="36" t="s">
        <v>6935</v>
      </c>
      <c r="D285" s="229"/>
      <c r="E285" s="61"/>
      <c r="F285" s="61"/>
      <c r="G285" s="182"/>
      <c r="H285" s="59">
        <v>110</v>
      </c>
      <c r="I285" s="59"/>
      <c r="J285" s="198">
        <v>1539.9300000000019</v>
      </c>
      <c r="K285" s="18"/>
      <c r="L285" s="18">
        <f t="shared" si="4"/>
        <v>1539.9300000000019</v>
      </c>
      <c r="M285" s="18"/>
    </row>
    <row r="286" spans="1:163" ht="13.5" customHeight="1" x14ac:dyDescent="0.2">
      <c r="A286" s="91"/>
      <c r="B286" s="9"/>
      <c r="C286" s="34" t="s">
        <v>6936</v>
      </c>
      <c r="D286" s="229"/>
      <c r="E286" s="61"/>
      <c r="F286" s="61"/>
      <c r="G286" s="182"/>
      <c r="H286" s="59">
        <v>470</v>
      </c>
      <c r="I286" s="59"/>
      <c r="J286" s="198">
        <v>1069.9300000000019</v>
      </c>
      <c r="K286" s="18"/>
      <c r="L286" s="18">
        <f t="shared" si="4"/>
        <v>1069.9300000000019</v>
      </c>
      <c r="M286" s="18"/>
    </row>
    <row r="287" spans="1:163" ht="13.5" customHeight="1" x14ac:dyDescent="0.2">
      <c r="A287" s="91"/>
      <c r="B287" s="9"/>
      <c r="C287" s="34" t="s">
        <v>1332</v>
      </c>
      <c r="D287" s="229"/>
      <c r="E287" s="61"/>
      <c r="F287" s="61"/>
      <c r="G287" s="182"/>
      <c r="H287" s="59"/>
      <c r="I287" s="531">
        <v>500</v>
      </c>
      <c r="J287" s="198">
        <v>1569.9300000000019</v>
      </c>
      <c r="K287" s="18"/>
      <c r="L287" s="18">
        <f t="shared" si="4"/>
        <v>1569.9300000000019</v>
      </c>
      <c r="M287" s="18"/>
      <c r="Z287" s="18"/>
      <c r="AA287" s="18"/>
      <c r="AB287" s="18"/>
      <c r="AC287" s="18"/>
      <c r="AE287" s="40"/>
      <c r="AV287" s="18"/>
      <c r="AW287" s="18"/>
      <c r="AX287" s="18"/>
      <c r="AY287" s="18"/>
      <c r="BA287" s="40"/>
      <c r="BR287" s="18"/>
      <c r="BS287" s="18"/>
      <c r="BT287" s="18"/>
      <c r="BU287" s="18"/>
      <c r="BW287" s="40"/>
      <c r="CN287" s="18"/>
      <c r="CO287" s="18"/>
      <c r="CP287" s="18"/>
      <c r="CQ287" s="18"/>
      <c r="CS287" s="40"/>
      <c r="DJ287" s="18"/>
      <c r="DK287" s="18"/>
      <c r="DL287" s="18"/>
      <c r="DM287" s="18"/>
      <c r="DO287" s="40"/>
      <c r="EF287" s="18"/>
      <c r="EG287" s="18"/>
      <c r="EH287" s="18"/>
      <c r="EI287" s="18"/>
      <c r="EK287" s="40"/>
      <c r="FB287" s="18"/>
      <c r="FC287" s="18"/>
      <c r="FD287" s="18"/>
      <c r="FE287" s="18"/>
      <c r="FG287" s="40"/>
    </row>
    <row r="288" spans="1:163" ht="13.5" customHeight="1" x14ac:dyDescent="0.2">
      <c r="A288" s="91"/>
      <c r="B288" s="9"/>
      <c r="C288" s="34" t="s">
        <v>1332</v>
      </c>
      <c r="D288" s="229"/>
      <c r="E288" s="61"/>
      <c r="F288" s="61"/>
      <c r="G288" s="182"/>
      <c r="H288" s="59"/>
      <c r="I288" s="531">
        <v>400</v>
      </c>
      <c r="J288" s="198">
        <v>1969.9300000000019</v>
      </c>
      <c r="K288" s="18"/>
      <c r="L288" s="18">
        <f t="shared" si="4"/>
        <v>1969.9300000000019</v>
      </c>
      <c r="M288" s="18"/>
      <c r="Z288" s="18"/>
      <c r="AA288" s="18"/>
      <c r="AB288" s="18"/>
      <c r="AC288" s="18"/>
      <c r="AE288" s="40"/>
      <c r="AV288" s="18"/>
      <c r="AW288" s="18"/>
      <c r="AX288" s="18"/>
      <c r="AY288" s="18"/>
      <c r="BA288" s="40"/>
      <c r="BR288" s="18"/>
      <c r="BS288" s="18"/>
      <c r="BT288" s="18"/>
      <c r="BU288" s="18"/>
      <c r="BW288" s="40"/>
      <c r="CN288" s="18"/>
      <c r="CO288" s="18"/>
      <c r="CP288" s="18"/>
      <c r="CQ288" s="18"/>
      <c r="CS288" s="40"/>
      <c r="DJ288" s="18"/>
      <c r="DK288" s="18"/>
      <c r="DL288" s="18"/>
      <c r="DM288" s="18"/>
      <c r="DO288" s="40"/>
      <c r="EF288" s="18"/>
      <c r="EG288" s="18"/>
      <c r="EH288" s="18"/>
      <c r="EI288" s="18"/>
      <c r="EK288" s="40"/>
      <c r="FB288" s="18"/>
      <c r="FC288" s="18"/>
      <c r="FD288" s="18"/>
      <c r="FE288" s="18"/>
      <c r="FG288" s="40"/>
    </row>
    <row r="289" spans="1:172" s="64" customFormat="1" ht="13.5" customHeight="1" x14ac:dyDescent="0.2">
      <c r="A289" s="131">
        <v>43115</v>
      </c>
      <c r="B289" s="70"/>
      <c r="C289" s="138" t="s">
        <v>6937</v>
      </c>
      <c r="D289" s="522"/>
      <c r="E289" s="67"/>
      <c r="F289" s="67"/>
      <c r="G289" s="53"/>
      <c r="H289" s="179">
        <v>50</v>
      </c>
      <c r="I289" s="179"/>
      <c r="J289" s="198">
        <v>1919.9300000000019</v>
      </c>
      <c r="K289" s="18"/>
      <c r="L289" s="18">
        <f t="shared" si="4"/>
        <v>1919.9300000000019</v>
      </c>
      <c r="M289" s="18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8"/>
      <c r="AA289" s="18"/>
      <c r="AB289" s="18"/>
      <c r="AC289" s="18"/>
      <c r="AD289" s="1"/>
      <c r="AE289" s="40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8"/>
      <c r="AW289" s="18"/>
      <c r="AX289" s="18"/>
      <c r="AY289" s="18"/>
      <c r="AZ289" s="1"/>
      <c r="BA289" s="40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8"/>
      <c r="BS289" s="18"/>
      <c r="BT289" s="18"/>
      <c r="BU289" s="18"/>
      <c r="BV289" s="1"/>
      <c r="BW289" s="40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8"/>
      <c r="CO289" s="18"/>
      <c r="CP289" s="18"/>
      <c r="CQ289" s="18"/>
      <c r="CR289" s="1"/>
      <c r="CS289" s="40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8"/>
      <c r="DK289" s="18"/>
      <c r="DL289" s="18"/>
      <c r="DM289" s="18"/>
      <c r="DN289" s="1"/>
      <c r="DO289" s="40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8"/>
      <c r="EG289" s="18"/>
      <c r="EH289" s="18"/>
      <c r="EI289" s="18"/>
      <c r="EJ289" s="1"/>
      <c r="EK289" s="40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8"/>
      <c r="FC289" s="18"/>
      <c r="FD289" s="18"/>
      <c r="FE289" s="18"/>
      <c r="FF289" s="1"/>
      <c r="FG289" s="40"/>
      <c r="FH289" s="1"/>
      <c r="FI289" s="1"/>
      <c r="FJ289" s="1"/>
      <c r="FK289" s="1"/>
      <c r="FL289" s="1"/>
      <c r="FM289" s="1"/>
      <c r="FN289" s="1"/>
      <c r="FO289" s="1"/>
      <c r="FP289" s="1"/>
    </row>
    <row r="290" spans="1:172" s="64" customFormat="1" ht="13.5" customHeight="1" x14ac:dyDescent="0.2">
      <c r="A290" s="131"/>
      <c r="B290" s="70"/>
      <c r="C290" s="138" t="s">
        <v>6938</v>
      </c>
      <c r="D290" s="522"/>
      <c r="E290" s="67"/>
      <c r="F290" s="67"/>
      <c r="G290" s="53"/>
      <c r="H290" s="179">
        <v>90</v>
      </c>
      <c r="I290" s="179"/>
      <c r="J290" s="198">
        <v>1829.9300000000019</v>
      </c>
      <c r="K290" s="18"/>
      <c r="L290" s="18">
        <f t="shared" si="4"/>
        <v>1829.9300000000019</v>
      </c>
      <c r="M290" s="18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8"/>
      <c r="AA290" s="18"/>
      <c r="AB290" s="18"/>
      <c r="AC290" s="18"/>
      <c r="AD290" s="1"/>
      <c r="AE290" s="40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8"/>
      <c r="AW290" s="18"/>
      <c r="AX290" s="18"/>
      <c r="AY290" s="18"/>
      <c r="AZ290" s="1"/>
      <c r="BA290" s="40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8"/>
      <c r="BS290" s="18"/>
      <c r="BT290" s="18"/>
      <c r="BU290" s="18"/>
      <c r="BV290" s="1"/>
      <c r="BW290" s="40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8"/>
      <c r="CO290" s="18"/>
      <c r="CP290" s="18"/>
      <c r="CQ290" s="18"/>
      <c r="CR290" s="1"/>
      <c r="CS290" s="40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8"/>
      <c r="DK290" s="18"/>
      <c r="DL290" s="18"/>
      <c r="DM290" s="18"/>
      <c r="DN290" s="1"/>
      <c r="DO290" s="40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8"/>
      <c r="EG290" s="18"/>
      <c r="EH290" s="18"/>
      <c r="EI290" s="18"/>
      <c r="EJ290" s="1"/>
      <c r="EK290" s="40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8"/>
      <c r="FC290" s="18"/>
      <c r="FD290" s="18"/>
      <c r="FE290" s="18"/>
      <c r="FF290" s="1"/>
      <c r="FG290" s="40"/>
      <c r="FH290" s="1"/>
      <c r="FI290" s="1"/>
      <c r="FJ290" s="1"/>
      <c r="FK290" s="1"/>
      <c r="FL290" s="1"/>
      <c r="FM290" s="1"/>
      <c r="FN290" s="1"/>
      <c r="FO290" s="1"/>
      <c r="FP290" s="1"/>
    </row>
    <row r="291" spans="1:172" s="64" customFormat="1" ht="13.5" customHeight="1" x14ac:dyDescent="0.2">
      <c r="A291" s="131"/>
      <c r="B291" s="70"/>
      <c r="C291" s="34" t="s">
        <v>1332</v>
      </c>
      <c r="D291" s="522"/>
      <c r="E291" s="67"/>
      <c r="F291" s="67"/>
      <c r="G291" s="53"/>
      <c r="H291" s="179"/>
      <c r="I291" s="531">
        <v>500</v>
      </c>
      <c r="J291" s="198">
        <v>2329.9300000000021</v>
      </c>
      <c r="K291" s="18"/>
      <c r="L291" s="18">
        <f t="shared" si="4"/>
        <v>2329.9300000000021</v>
      </c>
      <c r="M291" s="18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8"/>
      <c r="AA291" s="18"/>
      <c r="AB291" s="18"/>
      <c r="AC291" s="18"/>
      <c r="AD291" s="1"/>
      <c r="AE291" s="40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8"/>
      <c r="AW291" s="18"/>
      <c r="AX291" s="18"/>
      <c r="AY291" s="18"/>
      <c r="AZ291" s="1"/>
      <c r="BA291" s="40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8"/>
      <c r="BS291" s="18"/>
      <c r="BT291" s="18"/>
      <c r="BU291" s="18"/>
      <c r="BV291" s="1"/>
      <c r="BW291" s="40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8"/>
      <c r="CO291" s="18"/>
      <c r="CP291" s="18"/>
      <c r="CQ291" s="18"/>
      <c r="CR291" s="1"/>
      <c r="CS291" s="40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8"/>
      <c r="DK291" s="18"/>
      <c r="DL291" s="18"/>
      <c r="DM291" s="18"/>
      <c r="DN291" s="1"/>
      <c r="DO291" s="40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8"/>
      <c r="EG291" s="18"/>
      <c r="EH291" s="18"/>
      <c r="EI291" s="18"/>
      <c r="EJ291" s="1"/>
      <c r="EK291" s="40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8"/>
      <c r="FC291" s="18"/>
      <c r="FD291" s="18"/>
      <c r="FE291" s="18"/>
      <c r="FF291" s="1"/>
      <c r="FG291" s="40"/>
      <c r="FH291" s="1"/>
      <c r="FI291" s="1"/>
      <c r="FJ291" s="1"/>
      <c r="FK291" s="1"/>
      <c r="FL291" s="1"/>
      <c r="FM291" s="1"/>
      <c r="FN291" s="1"/>
      <c r="FO291" s="1"/>
      <c r="FP291" s="1"/>
    </row>
    <row r="292" spans="1:172" s="64" customFormat="1" ht="13.5" customHeight="1" x14ac:dyDescent="0.2">
      <c r="A292" s="131">
        <v>43119</v>
      </c>
      <c r="B292" s="70"/>
      <c r="C292" s="33" t="s">
        <v>77</v>
      </c>
      <c r="D292" s="522"/>
      <c r="E292" s="67"/>
      <c r="F292" s="67"/>
      <c r="G292" s="53"/>
      <c r="H292" s="179"/>
      <c r="I292" s="531">
        <v>500</v>
      </c>
      <c r="J292" s="198">
        <v>2829.9300000000021</v>
      </c>
      <c r="K292" s="18"/>
      <c r="L292" s="18">
        <f t="shared" si="4"/>
        <v>2829.9300000000021</v>
      </c>
      <c r="M292" s="18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8"/>
      <c r="AA292" s="18"/>
      <c r="AB292" s="18"/>
      <c r="AC292" s="18"/>
      <c r="AD292" s="1"/>
      <c r="AE292" s="40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8"/>
      <c r="AW292" s="18"/>
      <c r="AX292" s="18"/>
      <c r="AY292" s="18"/>
      <c r="AZ292" s="1"/>
      <c r="BA292" s="40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8"/>
      <c r="BS292" s="18"/>
      <c r="BT292" s="18"/>
      <c r="BU292" s="18"/>
      <c r="BV292" s="1"/>
      <c r="BW292" s="40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8"/>
      <c r="CO292" s="18"/>
      <c r="CP292" s="18"/>
      <c r="CQ292" s="18"/>
      <c r="CR292" s="1"/>
      <c r="CS292" s="40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8"/>
      <c r="DK292" s="18"/>
      <c r="DL292" s="18"/>
      <c r="DM292" s="18"/>
      <c r="DN292" s="1"/>
      <c r="DO292" s="40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8"/>
      <c r="EG292" s="18"/>
      <c r="EH292" s="18"/>
      <c r="EI292" s="18"/>
      <c r="EJ292" s="1"/>
      <c r="EK292" s="40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8"/>
      <c r="FC292" s="18"/>
      <c r="FD292" s="18"/>
      <c r="FE292" s="18"/>
      <c r="FF292" s="1"/>
      <c r="FG292" s="40"/>
      <c r="FH292" s="1"/>
      <c r="FI292" s="1"/>
      <c r="FJ292" s="1"/>
      <c r="FK292" s="1"/>
      <c r="FL292" s="1"/>
      <c r="FM292" s="1"/>
      <c r="FN292" s="1"/>
      <c r="FO292" s="1"/>
      <c r="FP292" s="1"/>
    </row>
    <row r="293" spans="1:172" s="64" customFormat="1" ht="13.5" customHeight="1" x14ac:dyDescent="0.2">
      <c r="A293" s="131"/>
      <c r="B293" s="70"/>
      <c r="C293" s="138" t="s">
        <v>5973</v>
      </c>
      <c r="D293" s="522"/>
      <c r="E293" s="67"/>
      <c r="F293" s="67"/>
      <c r="G293" s="53"/>
      <c r="H293" s="179">
        <v>100</v>
      </c>
      <c r="I293" s="179"/>
      <c r="J293" s="198">
        <v>2729.9300000000021</v>
      </c>
      <c r="K293" s="18"/>
      <c r="L293" s="18">
        <f t="shared" si="4"/>
        <v>2729.9300000000021</v>
      </c>
      <c r="M293" s="18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8"/>
      <c r="AA293" s="18"/>
      <c r="AB293" s="18"/>
      <c r="AC293" s="18"/>
      <c r="AD293" s="1"/>
      <c r="AE293" s="40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8"/>
      <c r="AW293" s="18"/>
      <c r="AX293" s="18"/>
      <c r="AY293" s="18"/>
      <c r="AZ293" s="1"/>
      <c r="BA293" s="40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8"/>
      <c r="BS293" s="18"/>
      <c r="BT293" s="18"/>
      <c r="BU293" s="18"/>
      <c r="BV293" s="1"/>
      <c r="BW293" s="40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8"/>
      <c r="CO293" s="18"/>
      <c r="CP293" s="18"/>
      <c r="CQ293" s="18"/>
      <c r="CR293" s="1"/>
      <c r="CS293" s="40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8"/>
      <c r="DK293" s="18"/>
      <c r="DL293" s="18"/>
      <c r="DM293" s="18"/>
      <c r="DN293" s="1"/>
      <c r="DO293" s="40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8"/>
      <c r="EG293" s="18"/>
      <c r="EH293" s="18"/>
      <c r="EI293" s="18"/>
      <c r="EJ293" s="1"/>
      <c r="EK293" s="40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8"/>
      <c r="FC293" s="18"/>
      <c r="FD293" s="18"/>
      <c r="FE293" s="18"/>
      <c r="FF293" s="1"/>
      <c r="FG293" s="40"/>
      <c r="FH293" s="1"/>
      <c r="FI293" s="1"/>
      <c r="FJ293" s="1"/>
      <c r="FK293" s="1"/>
      <c r="FL293" s="1"/>
      <c r="FM293" s="1"/>
      <c r="FN293" s="1"/>
      <c r="FO293" s="1"/>
      <c r="FP293" s="1"/>
    </row>
    <row r="294" spans="1:172" s="64" customFormat="1" ht="13.5" customHeight="1" x14ac:dyDescent="0.2">
      <c r="A294" s="131">
        <v>43122</v>
      </c>
      <c r="B294" s="70"/>
      <c r="C294" s="138" t="s">
        <v>6939</v>
      </c>
      <c r="D294" s="522"/>
      <c r="E294" s="67"/>
      <c r="F294" s="67"/>
      <c r="G294" s="53"/>
      <c r="H294" s="179">
        <v>7.29</v>
      </c>
      <c r="I294" s="179"/>
      <c r="J294" s="198">
        <v>2722.6400000000021</v>
      </c>
      <c r="K294" s="18"/>
      <c r="L294" s="18">
        <f t="shared" si="4"/>
        <v>2722.6400000000021</v>
      </c>
      <c r="M294" s="18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8"/>
      <c r="AA294" s="18"/>
      <c r="AB294" s="18"/>
      <c r="AC294" s="18"/>
      <c r="AD294" s="1"/>
      <c r="AE294" s="40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8"/>
      <c r="AW294" s="18"/>
      <c r="AX294" s="18"/>
      <c r="AY294" s="18"/>
      <c r="AZ294" s="1"/>
      <c r="BA294" s="40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8"/>
      <c r="BS294" s="18"/>
      <c r="BT294" s="18"/>
      <c r="BU294" s="18"/>
      <c r="BV294" s="1"/>
      <c r="BW294" s="40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8"/>
      <c r="CO294" s="18"/>
      <c r="CP294" s="18"/>
      <c r="CQ294" s="18"/>
      <c r="CR294" s="1"/>
      <c r="CS294" s="40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8"/>
      <c r="DK294" s="18"/>
      <c r="DL294" s="18"/>
      <c r="DM294" s="18"/>
      <c r="DN294" s="1"/>
      <c r="DO294" s="40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8"/>
      <c r="EG294" s="18"/>
      <c r="EH294" s="18"/>
      <c r="EI294" s="18"/>
      <c r="EJ294" s="1"/>
      <c r="EK294" s="40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8"/>
      <c r="FC294" s="18"/>
      <c r="FD294" s="18"/>
      <c r="FE294" s="18"/>
      <c r="FF294" s="1"/>
      <c r="FG294" s="40"/>
      <c r="FH294" s="1"/>
      <c r="FI294" s="1"/>
      <c r="FJ294" s="1"/>
      <c r="FK294" s="1"/>
      <c r="FL294" s="1"/>
      <c r="FM294" s="1"/>
      <c r="FN294" s="1"/>
      <c r="FO294" s="1"/>
      <c r="FP294" s="1"/>
    </row>
    <row r="295" spans="1:172" s="64" customFormat="1" ht="13.5" customHeight="1" x14ac:dyDescent="0.2">
      <c r="A295" s="131"/>
      <c r="B295" s="70"/>
      <c r="C295" s="138" t="s">
        <v>6940</v>
      </c>
      <c r="D295" s="522"/>
      <c r="E295" s="67"/>
      <c r="F295" s="67"/>
      <c r="G295" s="53"/>
      <c r="H295" s="179">
        <v>13.98</v>
      </c>
      <c r="I295" s="179"/>
      <c r="J295" s="198">
        <v>2708.6600000000021</v>
      </c>
      <c r="K295" s="18"/>
      <c r="L295" s="18">
        <f t="shared" si="4"/>
        <v>2708.6600000000021</v>
      </c>
      <c r="M295" s="18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8"/>
      <c r="AA295" s="18"/>
      <c r="AB295" s="18"/>
      <c r="AC295" s="18"/>
      <c r="AD295" s="1"/>
      <c r="AE295" s="40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8"/>
      <c r="AW295" s="18"/>
      <c r="AX295" s="18"/>
      <c r="AY295" s="18"/>
      <c r="AZ295" s="1"/>
      <c r="BA295" s="40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8"/>
      <c r="BS295" s="18"/>
      <c r="BT295" s="18"/>
      <c r="BU295" s="18"/>
      <c r="BV295" s="1"/>
      <c r="BW295" s="40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8"/>
      <c r="CO295" s="18"/>
      <c r="CP295" s="18"/>
      <c r="CQ295" s="18"/>
      <c r="CR295" s="1"/>
      <c r="CS295" s="40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8"/>
      <c r="DK295" s="18"/>
      <c r="DL295" s="18"/>
      <c r="DM295" s="18"/>
      <c r="DN295" s="1"/>
      <c r="DO295" s="40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8"/>
      <c r="EG295" s="18"/>
      <c r="EH295" s="18"/>
      <c r="EI295" s="18"/>
      <c r="EJ295" s="1"/>
      <c r="EK295" s="40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8"/>
      <c r="FC295" s="18"/>
      <c r="FD295" s="18"/>
      <c r="FE295" s="18"/>
      <c r="FF295" s="1"/>
      <c r="FG295" s="40"/>
      <c r="FH295" s="1"/>
      <c r="FI295" s="1"/>
      <c r="FJ295" s="1"/>
      <c r="FK295" s="1"/>
      <c r="FL295" s="1"/>
      <c r="FM295" s="1"/>
      <c r="FN295" s="1"/>
      <c r="FO295" s="1"/>
      <c r="FP295" s="1"/>
    </row>
    <row r="296" spans="1:172" s="64" customFormat="1" ht="13.5" customHeight="1" x14ac:dyDescent="0.2">
      <c r="A296" s="131"/>
      <c r="B296" s="70"/>
      <c r="C296" s="33" t="s">
        <v>77</v>
      </c>
      <c r="D296" s="522"/>
      <c r="E296" s="67"/>
      <c r="F296" s="67"/>
      <c r="G296" s="53"/>
      <c r="H296" s="179"/>
      <c r="I296" s="531">
        <v>1000</v>
      </c>
      <c r="J296" s="198">
        <v>3708.6600000000021</v>
      </c>
      <c r="K296" s="18"/>
      <c r="L296" s="18">
        <f t="shared" si="4"/>
        <v>3708.6600000000021</v>
      </c>
      <c r="M296" s="18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8"/>
      <c r="AA296" s="18"/>
      <c r="AB296" s="18"/>
      <c r="AC296" s="18"/>
      <c r="AD296" s="1"/>
      <c r="AE296" s="40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8"/>
      <c r="AW296" s="18"/>
      <c r="AX296" s="18"/>
      <c r="AY296" s="18"/>
      <c r="AZ296" s="1"/>
      <c r="BA296" s="40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8"/>
      <c r="BS296" s="18"/>
      <c r="BT296" s="18"/>
      <c r="BU296" s="18"/>
      <c r="BV296" s="1"/>
      <c r="BW296" s="40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8"/>
      <c r="CO296" s="18"/>
      <c r="CP296" s="18"/>
      <c r="CQ296" s="18"/>
      <c r="CR296" s="1"/>
      <c r="CS296" s="40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8"/>
      <c r="DK296" s="18"/>
      <c r="DL296" s="18"/>
      <c r="DM296" s="18"/>
      <c r="DN296" s="1"/>
      <c r="DO296" s="40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8"/>
      <c r="EG296" s="18"/>
      <c r="EH296" s="18"/>
      <c r="EI296" s="18"/>
      <c r="EJ296" s="1"/>
      <c r="EK296" s="40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8"/>
      <c r="FC296" s="18"/>
      <c r="FD296" s="18"/>
      <c r="FE296" s="18"/>
      <c r="FF296" s="1"/>
      <c r="FG296" s="40"/>
      <c r="FH296" s="1"/>
      <c r="FI296" s="1"/>
      <c r="FJ296" s="1"/>
      <c r="FK296" s="1"/>
      <c r="FL296" s="1"/>
      <c r="FM296" s="1"/>
      <c r="FN296" s="1"/>
      <c r="FO296" s="1"/>
      <c r="FP296" s="1"/>
    </row>
    <row r="297" spans="1:172" s="64" customFormat="1" ht="13.5" customHeight="1" x14ac:dyDescent="0.2">
      <c r="A297" s="131"/>
      <c r="B297" s="70"/>
      <c r="C297" s="138" t="s">
        <v>6941</v>
      </c>
      <c r="D297" s="522"/>
      <c r="E297" s="67"/>
      <c r="F297" s="67"/>
      <c r="G297" s="53"/>
      <c r="H297" s="179">
        <v>2500</v>
      </c>
      <c r="I297" s="179"/>
      <c r="J297" s="198">
        <v>1208.6600000000021</v>
      </c>
      <c r="K297" s="18"/>
      <c r="L297" s="18">
        <f t="shared" si="4"/>
        <v>1208.6600000000021</v>
      </c>
      <c r="M297" s="18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8"/>
      <c r="AA297" s="18"/>
      <c r="AB297" s="18"/>
      <c r="AC297" s="18"/>
      <c r="AD297" s="1"/>
      <c r="AE297" s="40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8"/>
      <c r="AW297" s="18"/>
      <c r="AX297" s="18"/>
      <c r="AY297" s="18"/>
      <c r="AZ297" s="1"/>
      <c r="BA297" s="40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8"/>
      <c r="BS297" s="18"/>
      <c r="BT297" s="18"/>
      <c r="BU297" s="18"/>
      <c r="BV297" s="1"/>
      <c r="BW297" s="40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8"/>
      <c r="CO297" s="18"/>
      <c r="CP297" s="18"/>
      <c r="CQ297" s="18"/>
      <c r="CR297" s="1"/>
      <c r="CS297" s="40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8"/>
      <c r="DK297" s="18"/>
      <c r="DL297" s="18"/>
      <c r="DM297" s="18"/>
      <c r="DN297" s="1"/>
      <c r="DO297" s="40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8"/>
      <c r="EG297" s="18"/>
      <c r="EH297" s="18"/>
      <c r="EI297" s="18"/>
      <c r="EJ297" s="1"/>
      <c r="EK297" s="40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8"/>
      <c r="FC297" s="18"/>
      <c r="FD297" s="18"/>
      <c r="FE297" s="18"/>
      <c r="FF297" s="1"/>
      <c r="FG297" s="40"/>
      <c r="FH297" s="1"/>
      <c r="FI297" s="1"/>
      <c r="FJ297" s="1"/>
      <c r="FK297" s="1"/>
      <c r="FL297" s="1"/>
      <c r="FM297" s="1"/>
      <c r="FN297" s="1"/>
      <c r="FO297" s="1"/>
      <c r="FP297" s="1"/>
    </row>
    <row r="298" spans="1:172" s="64" customFormat="1" ht="13.5" customHeight="1" x14ac:dyDescent="0.2">
      <c r="A298" s="131"/>
      <c r="B298" s="70"/>
      <c r="C298" s="138" t="s">
        <v>6942</v>
      </c>
      <c r="D298" s="522"/>
      <c r="E298" s="67"/>
      <c r="F298" s="67"/>
      <c r="G298" s="53"/>
      <c r="H298" s="179">
        <v>300</v>
      </c>
      <c r="I298" s="179"/>
      <c r="J298" s="198">
        <v>908.66000000000213</v>
      </c>
      <c r="K298" s="18"/>
      <c r="L298" s="18">
        <f t="shared" si="4"/>
        <v>908.66000000000213</v>
      </c>
      <c r="M298" s="18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8"/>
      <c r="AA298" s="18"/>
      <c r="AB298" s="18"/>
      <c r="AC298" s="18"/>
      <c r="AD298" s="1"/>
      <c r="AE298" s="40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8"/>
      <c r="AW298" s="18"/>
      <c r="AX298" s="18"/>
      <c r="AY298" s="18"/>
      <c r="AZ298" s="1"/>
      <c r="BA298" s="40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8"/>
      <c r="BS298" s="18"/>
      <c r="BT298" s="18"/>
      <c r="BU298" s="18"/>
      <c r="BV298" s="1"/>
      <c r="BW298" s="40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8"/>
      <c r="CO298" s="18"/>
      <c r="CP298" s="18"/>
      <c r="CQ298" s="18"/>
      <c r="CR298" s="1"/>
      <c r="CS298" s="40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8"/>
      <c r="DK298" s="18"/>
      <c r="DL298" s="18"/>
      <c r="DM298" s="18"/>
      <c r="DN298" s="1"/>
      <c r="DO298" s="40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8"/>
      <c r="EG298" s="18"/>
      <c r="EH298" s="18"/>
      <c r="EI298" s="18"/>
      <c r="EJ298" s="1"/>
      <c r="EK298" s="40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8"/>
      <c r="FC298" s="18"/>
      <c r="FD298" s="18"/>
      <c r="FE298" s="18"/>
      <c r="FF298" s="1"/>
      <c r="FG298" s="40"/>
      <c r="FH298" s="1"/>
      <c r="FI298" s="1"/>
      <c r="FJ298" s="1"/>
      <c r="FK298" s="1"/>
      <c r="FL298" s="1"/>
      <c r="FM298" s="1"/>
      <c r="FN298" s="1"/>
      <c r="FO298" s="1"/>
      <c r="FP298" s="1"/>
    </row>
    <row r="299" spans="1:172" s="64" customFormat="1" ht="13.5" customHeight="1" x14ac:dyDescent="0.2">
      <c r="A299" s="131"/>
      <c r="B299" s="70"/>
      <c r="C299" s="138" t="s">
        <v>6943</v>
      </c>
      <c r="D299" s="522"/>
      <c r="E299" s="67"/>
      <c r="F299" s="67"/>
      <c r="G299" s="53"/>
      <c r="H299" s="179">
        <v>60</v>
      </c>
      <c r="I299" s="179"/>
      <c r="J299" s="198">
        <v>848.66000000000213</v>
      </c>
      <c r="K299" s="18"/>
      <c r="L299" s="18">
        <f t="shared" si="4"/>
        <v>848.66000000000213</v>
      </c>
      <c r="M299" s="18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8"/>
      <c r="AA299" s="18"/>
      <c r="AB299" s="18"/>
      <c r="AC299" s="18"/>
      <c r="AD299" s="1"/>
      <c r="AE299" s="40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8"/>
      <c r="AW299" s="18"/>
      <c r="AX299" s="18"/>
      <c r="AY299" s="18"/>
      <c r="AZ299" s="1"/>
      <c r="BA299" s="40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8"/>
      <c r="BS299" s="18"/>
      <c r="BT299" s="18"/>
      <c r="BU299" s="18"/>
      <c r="BV299" s="1"/>
      <c r="BW299" s="40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8"/>
      <c r="CO299" s="18"/>
      <c r="CP299" s="18"/>
      <c r="CQ299" s="18"/>
      <c r="CR299" s="1"/>
      <c r="CS299" s="40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8"/>
      <c r="DK299" s="18"/>
      <c r="DL299" s="18"/>
      <c r="DM299" s="18"/>
      <c r="DN299" s="1"/>
      <c r="DO299" s="40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8"/>
      <c r="EG299" s="18"/>
      <c r="EH299" s="18"/>
      <c r="EI299" s="18"/>
      <c r="EJ299" s="1"/>
      <c r="EK299" s="40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8"/>
      <c r="FC299" s="18"/>
      <c r="FD299" s="18"/>
      <c r="FE299" s="18"/>
      <c r="FF299" s="1"/>
      <c r="FG299" s="40"/>
      <c r="FH299" s="1"/>
      <c r="FI299" s="1"/>
      <c r="FJ299" s="1"/>
      <c r="FK299" s="1"/>
      <c r="FL299" s="1"/>
      <c r="FM299" s="1"/>
      <c r="FN299" s="1"/>
      <c r="FO299" s="1"/>
      <c r="FP299" s="1"/>
    </row>
    <row r="300" spans="1:172" s="64" customFormat="1" ht="13.5" customHeight="1" x14ac:dyDescent="0.2">
      <c r="A300" s="131">
        <v>43123</v>
      </c>
      <c r="B300" s="70"/>
      <c r="C300" s="138" t="s">
        <v>6944</v>
      </c>
      <c r="D300" s="522"/>
      <c r="E300" s="67"/>
      <c r="F300" s="67"/>
      <c r="G300" s="53"/>
      <c r="H300" s="179">
        <v>44</v>
      </c>
      <c r="I300" s="179"/>
      <c r="J300" s="198">
        <v>804.66000000000213</v>
      </c>
      <c r="K300" s="18"/>
      <c r="L300" s="18">
        <f t="shared" si="4"/>
        <v>804.66000000000213</v>
      </c>
      <c r="M300" s="18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8"/>
      <c r="AA300" s="18"/>
      <c r="AB300" s="18"/>
      <c r="AC300" s="18"/>
      <c r="AD300" s="1"/>
      <c r="AE300" s="40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8"/>
      <c r="AW300" s="18"/>
      <c r="AX300" s="18"/>
      <c r="AY300" s="18"/>
      <c r="AZ300" s="1"/>
      <c r="BA300" s="40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8"/>
      <c r="BS300" s="18"/>
      <c r="BT300" s="18"/>
      <c r="BU300" s="18"/>
      <c r="BV300" s="1"/>
      <c r="BW300" s="40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8"/>
      <c r="CO300" s="18"/>
      <c r="CP300" s="18"/>
      <c r="CQ300" s="18"/>
      <c r="CR300" s="1"/>
      <c r="CS300" s="40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8"/>
      <c r="DK300" s="18"/>
      <c r="DL300" s="18"/>
      <c r="DM300" s="18"/>
      <c r="DN300" s="1"/>
      <c r="DO300" s="40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8"/>
      <c r="EG300" s="18"/>
      <c r="EH300" s="18"/>
      <c r="EI300" s="18"/>
      <c r="EJ300" s="1"/>
      <c r="EK300" s="40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8"/>
      <c r="FC300" s="18"/>
      <c r="FD300" s="18"/>
      <c r="FE300" s="18"/>
      <c r="FF300" s="1"/>
      <c r="FG300" s="40"/>
      <c r="FH300" s="1"/>
      <c r="FI300" s="1"/>
      <c r="FJ300" s="1"/>
      <c r="FK300" s="1"/>
      <c r="FL300" s="1"/>
      <c r="FM300" s="1"/>
      <c r="FN300" s="1"/>
      <c r="FO300" s="1"/>
      <c r="FP300" s="1"/>
    </row>
    <row r="301" spans="1:172" s="64" customFormat="1" ht="13.5" customHeight="1" x14ac:dyDescent="0.2">
      <c r="A301" s="131"/>
      <c r="B301" s="70"/>
      <c r="C301" s="138" t="s">
        <v>6945</v>
      </c>
      <c r="D301" s="522"/>
      <c r="E301" s="67"/>
      <c r="F301" s="67"/>
      <c r="G301" s="53"/>
      <c r="H301" s="179">
        <v>129.9</v>
      </c>
      <c r="I301" s="179"/>
      <c r="J301" s="198">
        <v>674.76000000000215</v>
      </c>
      <c r="K301" s="18"/>
      <c r="L301" s="18">
        <f t="shared" si="4"/>
        <v>674.76000000000215</v>
      </c>
      <c r="M301" s="18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8"/>
      <c r="AA301" s="18"/>
      <c r="AB301" s="18"/>
      <c r="AC301" s="18"/>
      <c r="AD301" s="1"/>
      <c r="AE301" s="40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8"/>
      <c r="AW301" s="18"/>
      <c r="AX301" s="18"/>
      <c r="AY301" s="18"/>
      <c r="AZ301" s="1"/>
      <c r="BA301" s="40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8"/>
      <c r="BS301" s="18"/>
      <c r="BT301" s="18"/>
      <c r="BU301" s="18"/>
      <c r="BV301" s="1"/>
      <c r="BW301" s="40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8"/>
      <c r="CO301" s="18"/>
      <c r="CP301" s="18"/>
      <c r="CQ301" s="18"/>
      <c r="CR301" s="1"/>
      <c r="CS301" s="40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8"/>
      <c r="DK301" s="18"/>
      <c r="DL301" s="18"/>
      <c r="DM301" s="18"/>
      <c r="DN301" s="1"/>
      <c r="DO301" s="40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8"/>
      <c r="EG301" s="18"/>
      <c r="EH301" s="18"/>
      <c r="EI301" s="18"/>
      <c r="EJ301" s="1"/>
      <c r="EK301" s="40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8"/>
      <c r="FC301" s="18"/>
      <c r="FD301" s="18"/>
      <c r="FE301" s="18"/>
      <c r="FF301" s="1"/>
      <c r="FG301" s="40"/>
      <c r="FH301" s="1"/>
      <c r="FI301" s="1"/>
      <c r="FJ301" s="1"/>
      <c r="FK301" s="1"/>
      <c r="FL301" s="1"/>
      <c r="FM301" s="1"/>
      <c r="FN301" s="1"/>
      <c r="FO301" s="1"/>
      <c r="FP301" s="1"/>
    </row>
    <row r="302" spans="1:172" s="64" customFormat="1" ht="13.5" customHeight="1" x14ac:dyDescent="0.2">
      <c r="A302" s="131"/>
      <c r="B302" s="70"/>
      <c r="C302" s="138" t="s">
        <v>6946</v>
      </c>
      <c r="D302" s="522"/>
      <c r="E302" s="67"/>
      <c r="F302" s="67"/>
      <c r="G302" s="53"/>
      <c r="H302" s="179">
        <v>159.97</v>
      </c>
      <c r="I302" s="179"/>
      <c r="J302" s="198">
        <v>514.79000000000212</v>
      </c>
      <c r="K302" s="18"/>
      <c r="L302" s="18">
        <f t="shared" si="4"/>
        <v>514.79000000000212</v>
      </c>
      <c r="M302" s="18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8"/>
      <c r="AA302" s="18"/>
      <c r="AB302" s="18"/>
      <c r="AC302" s="18"/>
      <c r="AD302" s="1"/>
      <c r="AE302" s="40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8"/>
      <c r="AW302" s="18"/>
      <c r="AX302" s="18"/>
      <c r="AY302" s="18"/>
      <c r="AZ302" s="1"/>
      <c r="BA302" s="40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8"/>
      <c r="BS302" s="18"/>
      <c r="BT302" s="18"/>
      <c r="BU302" s="18"/>
      <c r="BV302" s="1"/>
      <c r="BW302" s="40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8"/>
      <c r="CO302" s="18"/>
      <c r="CP302" s="18"/>
      <c r="CQ302" s="18"/>
      <c r="CR302" s="1"/>
      <c r="CS302" s="40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8"/>
      <c r="DK302" s="18"/>
      <c r="DL302" s="18"/>
      <c r="DM302" s="18"/>
      <c r="DN302" s="1"/>
      <c r="DO302" s="40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8"/>
      <c r="EG302" s="18"/>
      <c r="EH302" s="18"/>
      <c r="EI302" s="18"/>
      <c r="EJ302" s="1"/>
      <c r="EK302" s="40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8"/>
      <c r="FC302" s="18"/>
      <c r="FD302" s="18"/>
      <c r="FE302" s="18"/>
      <c r="FF302" s="1"/>
      <c r="FG302" s="40"/>
      <c r="FH302" s="1"/>
      <c r="FI302" s="1"/>
      <c r="FJ302" s="1"/>
      <c r="FK302" s="1"/>
      <c r="FL302" s="1"/>
      <c r="FM302" s="1"/>
      <c r="FN302" s="1"/>
      <c r="FO302" s="1"/>
      <c r="FP302" s="1"/>
    </row>
    <row r="303" spans="1:172" s="64" customFormat="1" ht="13.5" customHeight="1" x14ac:dyDescent="0.2">
      <c r="A303" s="131">
        <v>43126</v>
      </c>
      <c r="B303" s="70"/>
      <c r="C303" s="138" t="s">
        <v>6947</v>
      </c>
      <c r="D303" s="522"/>
      <c r="E303" s="67"/>
      <c r="F303" s="67"/>
      <c r="G303" s="53"/>
      <c r="H303" s="179">
        <v>66.7</v>
      </c>
      <c r="I303" s="179"/>
      <c r="J303" s="198">
        <v>448.09000000000214</v>
      </c>
      <c r="K303" s="18"/>
      <c r="L303" s="18">
        <f t="shared" si="4"/>
        <v>448.09000000000214</v>
      </c>
      <c r="M303" s="18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8"/>
      <c r="AA303" s="18"/>
      <c r="AB303" s="18"/>
      <c r="AC303" s="18"/>
      <c r="AD303" s="1"/>
      <c r="AE303" s="40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8"/>
      <c r="AW303" s="18"/>
      <c r="AX303" s="18"/>
      <c r="AY303" s="18"/>
      <c r="AZ303" s="1"/>
      <c r="BA303" s="40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8"/>
      <c r="BS303" s="18"/>
      <c r="BT303" s="18"/>
      <c r="BU303" s="18"/>
      <c r="BV303" s="1"/>
      <c r="BW303" s="40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8"/>
      <c r="CO303" s="18"/>
      <c r="CP303" s="18"/>
      <c r="CQ303" s="18"/>
      <c r="CR303" s="1"/>
      <c r="CS303" s="40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8"/>
      <c r="DK303" s="18"/>
      <c r="DL303" s="18"/>
      <c r="DM303" s="18"/>
      <c r="DN303" s="1"/>
      <c r="DO303" s="40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8"/>
      <c r="EG303" s="18"/>
      <c r="EH303" s="18"/>
      <c r="EI303" s="18"/>
      <c r="EJ303" s="1"/>
      <c r="EK303" s="40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8"/>
      <c r="FC303" s="18"/>
      <c r="FD303" s="18"/>
      <c r="FE303" s="18"/>
      <c r="FF303" s="1"/>
      <c r="FG303" s="40"/>
      <c r="FH303" s="1"/>
      <c r="FI303" s="1"/>
      <c r="FJ303" s="1"/>
      <c r="FK303" s="1"/>
      <c r="FL303" s="1"/>
      <c r="FM303" s="1"/>
      <c r="FN303" s="1"/>
      <c r="FO303" s="1"/>
      <c r="FP303" s="1"/>
    </row>
    <row r="304" spans="1:172" s="64" customFormat="1" ht="13.5" customHeight="1" x14ac:dyDescent="0.2">
      <c r="A304" s="131"/>
      <c r="B304" s="70"/>
      <c r="C304" s="138" t="s">
        <v>6948</v>
      </c>
      <c r="D304" s="522"/>
      <c r="E304" s="67"/>
      <c r="F304" s="67"/>
      <c r="G304" s="53"/>
      <c r="H304" s="179">
        <v>100</v>
      </c>
      <c r="I304" s="179"/>
      <c r="J304" s="198">
        <v>348.09000000000214</v>
      </c>
      <c r="K304" s="18"/>
      <c r="L304" s="18">
        <f t="shared" si="4"/>
        <v>348.09000000000214</v>
      </c>
      <c r="M304" s="18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8"/>
      <c r="AA304" s="18"/>
      <c r="AB304" s="18"/>
      <c r="AC304" s="18"/>
      <c r="AD304" s="1"/>
      <c r="AE304" s="40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8"/>
      <c r="AW304" s="18"/>
      <c r="AX304" s="18"/>
      <c r="AY304" s="18"/>
      <c r="AZ304" s="1"/>
      <c r="BA304" s="40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8"/>
      <c r="BS304" s="18"/>
      <c r="BT304" s="18"/>
      <c r="BU304" s="18"/>
      <c r="BV304" s="1"/>
      <c r="BW304" s="40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8"/>
      <c r="CO304" s="18"/>
      <c r="CP304" s="18"/>
      <c r="CQ304" s="18"/>
      <c r="CR304" s="1"/>
      <c r="CS304" s="40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8"/>
      <c r="DK304" s="18"/>
      <c r="DL304" s="18"/>
      <c r="DM304" s="18"/>
      <c r="DN304" s="1"/>
      <c r="DO304" s="40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8"/>
      <c r="EG304" s="18"/>
      <c r="EH304" s="18"/>
      <c r="EI304" s="18"/>
      <c r="EJ304" s="1"/>
      <c r="EK304" s="40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8"/>
      <c r="FC304" s="18"/>
      <c r="FD304" s="18"/>
      <c r="FE304" s="18"/>
      <c r="FF304" s="1"/>
      <c r="FG304" s="40"/>
      <c r="FH304" s="1"/>
      <c r="FI304" s="1"/>
      <c r="FJ304" s="1"/>
      <c r="FK304" s="1"/>
      <c r="FL304" s="1"/>
      <c r="FM304" s="1"/>
      <c r="FN304" s="1"/>
      <c r="FO304" s="1"/>
      <c r="FP304" s="1"/>
    </row>
    <row r="305" spans="1:172" s="64" customFormat="1" ht="13.5" customHeight="1" x14ac:dyDescent="0.2">
      <c r="A305" s="131"/>
      <c r="B305" s="70"/>
      <c r="C305" s="138" t="s">
        <v>6949</v>
      </c>
      <c r="D305" s="522"/>
      <c r="E305" s="67"/>
      <c r="F305" s="67"/>
      <c r="G305" s="53"/>
      <c r="H305" s="179">
        <v>200</v>
      </c>
      <c r="I305" s="179"/>
      <c r="J305" s="198">
        <v>148.09000000000214</v>
      </c>
      <c r="K305" s="18"/>
      <c r="L305" s="18">
        <f t="shared" si="4"/>
        <v>148.09000000000214</v>
      </c>
      <c r="M305" s="18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8"/>
      <c r="AA305" s="18"/>
      <c r="AB305" s="18"/>
      <c r="AC305" s="18"/>
      <c r="AD305" s="1"/>
      <c r="AE305" s="40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8"/>
      <c r="AW305" s="18"/>
      <c r="AX305" s="18"/>
      <c r="AY305" s="18"/>
      <c r="AZ305" s="1"/>
      <c r="BA305" s="40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8"/>
      <c r="BS305" s="18"/>
      <c r="BT305" s="18"/>
      <c r="BU305" s="18"/>
      <c r="BV305" s="1"/>
      <c r="BW305" s="40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8"/>
      <c r="CO305" s="18"/>
      <c r="CP305" s="18"/>
      <c r="CQ305" s="18"/>
      <c r="CR305" s="1"/>
      <c r="CS305" s="40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8"/>
      <c r="DK305" s="18"/>
      <c r="DL305" s="18"/>
      <c r="DM305" s="18"/>
      <c r="DN305" s="1"/>
      <c r="DO305" s="40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8"/>
      <c r="EG305" s="18"/>
      <c r="EH305" s="18"/>
      <c r="EI305" s="18"/>
      <c r="EJ305" s="1"/>
      <c r="EK305" s="40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8"/>
      <c r="FC305" s="18"/>
      <c r="FD305" s="18"/>
      <c r="FE305" s="18"/>
      <c r="FF305" s="1"/>
      <c r="FG305" s="40"/>
      <c r="FH305" s="1"/>
      <c r="FI305" s="1"/>
      <c r="FJ305" s="1"/>
      <c r="FK305" s="1"/>
      <c r="FL305" s="1"/>
      <c r="FM305" s="1"/>
      <c r="FN305" s="1"/>
      <c r="FO305" s="1"/>
      <c r="FP305" s="1"/>
    </row>
    <row r="306" spans="1:172" s="64" customFormat="1" ht="13.5" customHeight="1" x14ac:dyDescent="0.2">
      <c r="A306" s="131"/>
      <c r="B306" s="70"/>
      <c r="C306" s="138" t="s">
        <v>6950</v>
      </c>
      <c r="D306" s="522"/>
      <c r="E306" s="67"/>
      <c r="F306" s="67"/>
      <c r="G306" s="53"/>
      <c r="H306" s="179">
        <v>80</v>
      </c>
      <c r="I306" s="179"/>
      <c r="J306" s="198">
        <v>68.090000000002135</v>
      </c>
      <c r="K306" s="18"/>
      <c r="L306" s="18">
        <f t="shared" si="4"/>
        <v>68.090000000002135</v>
      </c>
      <c r="M306" s="18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8"/>
      <c r="AA306" s="18"/>
      <c r="AB306" s="18"/>
      <c r="AC306" s="18"/>
      <c r="AD306" s="1"/>
      <c r="AE306" s="40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8"/>
      <c r="AW306" s="18"/>
      <c r="AX306" s="18"/>
      <c r="AY306" s="18"/>
      <c r="AZ306" s="1"/>
      <c r="BA306" s="40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8"/>
      <c r="BS306" s="18"/>
      <c r="BT306" s="18"/>
      <c r="BU306" s="18"/>
      <c r="BV306" s="1"/>
      <c r="BW306" s="40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8"/>
      <c r="CO306" s="18"/>
      <c r="CP306" s="18"/>
      <c r="CQ306" s="18"/>
      <c r="CR306" s="1"/>
      <c r="CS306" s="40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8"/>
      <c r="DK306" s="18"/>
      <c r="DL306" s="18"/>
      <c r="DM306" s="18"/>
      <c r="DN306" s="1"/>
      <c r="DO306" s="40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8"/>
      <c r="EG306" s="18"/>
      <c r="EH306" s="18"/>
      <c r="EI306" s="18"/>
      <c r="EJ306" s="1"/>
      <c r="EK306" s="40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8"/>
      <c r="FC306" s="18"/>
      <c r="FD306" s="18"/>
      <c r="FE306" s="18"/>
      <c r="FF306" s="1"/>
      <c r="FG306" s="40"/>
      <c r="FH306" s="1"/>
      <c r="FI306" s="1"/>
      <c r="FJ306" s="1"/>
      <c r="FK306" s="1"/>
      <c r="FL306" s="1"/>
      <c r="FM306" s="1"/>
      <c r="FN306" s="1"/>
      <c r="FO306" s="1"/>
      <c r="FP306" s="1"/>
    </row>
    <row r="307" spans="1:172" s="64" customFormat="1" ht="13.5" customHeight="1" x14ac:dyDescent="0.2">
      <c r="A307" s="131"/>
      <c r="B307" s="70"/>
      <c r="C307" s="34" t="s">
        <v>77</v>
      </c>
      <c r="D307" s="522"/>
      <c r="E307" s="67"/>
      <c r="F307" s="67"/>
      <c r="G307" s="53"/>
      <c r="H307" s="179"/>
      <c r="I307" s="531">
        <v>300</v>
      </c>
      <c r="J307" s="198">
        <v>368.09000000000214</v>
      </c>
      <c r="K307" s="18"/>
      <c r="L307" s="18">
        <f t="shared" si="4"/>
        <v>368.09000000000214</v>
      </c>
      <c r="M307" s="18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8"/>
      <c r="AA307" s="18"/>
      <c r="AB307" s="18"/>
      <c r="AC307" s="18"/>
      <c r="AD307" s="1"/>
      <c r="AE307" s="40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8"/>
      <c r="AW307" s="18"/>
      <c r="AX307" s="18"/>
      <c r="AY307" s="18"/>
      <c r="AZ307" s="1"/>
      <c r="BA307" s="40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8"/>
      <c r="BS307" s="18"/>
      <c r="BT307" s="18"/>
      <c r="BU307" s="18"/>
      <c r="BV307" s="1"/>
      <c r="BW307" s="40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8"/>
      <c r="CO307" s="18"/>
      <c r="CP307" s="18"/>
      <c r="CQ307" s="18"/>
      <c r="CR307" s="1"/>
      <c r="CS307" s="40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8"/>
      <c r="DK307" s="18"/>
      <c r="DL307" s="18"/>
      <c r="DM307" s="18"/>
      <c r="DN307" s="1"/>
      <c r="DO307" s="40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8"/>
      <c r="EG307" s="18"/>
      <c r="EH307" s="18"/>
      <c r="EI307" s="18"/>
      <c r="EJ307" s="1"/>
      <c r="EK307" s="40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8"/>
      <c r="FC307" s="18"/>
      <c r="FD307" s="18"/>
      <c r="FE307" s="18"/>
      <c r="FF307" s="1"/>
      <c r="FG307" s="40"/>
      <c r="FH307" s="1"/>
      <c r="FI307" s="1"/>
      <c r="FJ307" s="1"/>
      <c r="FK307" s="1"/>
      <c r="FL307" s="1"/>
      <c r="FM307" s="1"/>
      <c r="FN307" s="1"/>
      <c r="FO307" s="1"/>
      <c r="FP307" s="1"/>
    </row>
    <row r="308" spans="1:172" s="64" customFormat="1" ht="13.5" customHeight="1" x14ac:dyDescent="0.2">
      <c r="A308" s="131"/>
      <c r="B308" s="70"/>
      <c r="C308" s="34" t="s">
        <v>77</v>
      </c>
      <c r="D308" s="522"/>
      <c r="E308" s="67"/>
      <c r="F308" s="67"/>
      <c r="G308" s="53"/>
      <c r="H308" s="179"/>
      <c r="I308" s="531">
        <v>300</v>
      </c>
      <c r="J308" s="767">
        <v>668.09000000000219</v>
      </c>
      <c r="K308" s="18"/>
      <c r="L308" s="18">
        <f t="shared" si="4"/>
        <v>668.09000000000219</v>
      </c>
      <c r="M308" s="18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8"/>
      <c r="AA308" s="18"/>
      <c r="AB308" s="18"/>
      <c r="AC308" s="18"/>
      <c r="AD308" s="1"/>
      <c r="AE308" s="40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8"/>
      <c r="AW308" s="18"/>
      <c r="AX308" s="18"/>
      <c r="AY308" s="18"/>
      <c r="AZ308" s="1"/>
      <c r="BA308" s="40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8"/>
      <c r="BS308" s="18"/>
      <c r="BT308" s="18"/>
      <c r="BU308" s="18"/>
      <c r="BV308" s="1"/>
      <c r="BW308" s="40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8"/>
      <c r="CO308" s="18"/>
      <c r="CP308" s="18"/>
      <c r="CQ308" s="18"/>
      <c r="CR308" s="1"/>
      <c r="CS308" s="40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8"/>
      <c r="DK308" s="18"/>
      <c r="DL308" s="18"/>
      <c r="DM308" s="18"/>
      <c r="DN308" s="1"/>
      <c r="DO308" s="40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8"/>
      <c r="EG308" s="18"/>
      <c r="EH308" s="18"/>
      <c r="EI308" s="18"/>
      <c r="EJ308" s="1"/>
      <c r="EK308" s="40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8"/>
      <c r="FC308" s="18"/>
      <c r="FD308" s="18"/>
      <c r="FE308" s="18"/>
      <c r="FF308" s="1"/>
      <c r="FG308" s="40"/>
      <c r="FH308" s="1"/>
      <c r="FI308" s="1"/>
      <c r="FJ308" s="1"/>
      <c r="FK308" s="1"/>
      <c r="FL308" s="1"/>
      <c r="FM308" s="1"/>
      <c r="FN308" s="1"/>
      <c r="FO308" s="1"/>
      <c r="FP308" s="1"/>
    </row>
    <row r="309" spans="1:172" ht="13.5" customHeight="1" thickBot="1" x14ac:dyDescent="0.25">
      <c r="A309" s="207"/>
      <c r="B309" s="207"/>
      <c r="C309" s="208"/>
      <c r="D309" s="208"/>
      <c r="E309" s="208"/>
      <c r="F309" s="208"/>
      <c r="G309" s="1058"/>
      <c r="H309" s="211"/>
      <c r="I309" s="211"/>
      <c r="J309" s="1059"/>
      <c r="K309" s="18"/>
      <c r="L309" s="18"/>
      <c r="M309" s="18"/>
      <c r="Z309" s="18"/>
      <c r="AA309" s="18"/>
      <c r="AB309" s="18"/>
      <c r="AC309" s="18"/>
      <c r="AE309" s="40"/>
      <c r="AV309" s="18"/>
      <c r="AW309" s="18"/>
      <c r="AX309" s="18"/>
      <c r="AY309" s="18"/>
      <c r="BA309" s="40"/>
      <c r="BR309" s="18"/>
      <c r="BS309" s="18"/>
      <c r="BT309" s="18"/>
      <c r="BU309" s="18"/>
      <c r="BW309" s="40"/>
      <c r="CN309" s="18"/>
      <c r="CO309" s="18"/>
      <c r="CP309" s="18"/>
      <c r="CQ309" s="18"/>
      <c r="CS309" s="40"/>
      <c r="DJ309" s="18"/>
      <c r="DK309" s="18"/>
      <c r="DL309" s="18"/>
      <c r="DM309" s="18"/>
      <c r="DO309" s="40"/>
      <c r="EF309" s="18"/>
      <c r="EG309" s="18"/>
      <c r="EH309" s="18"/>
      <c r="EI309" s="18"/>
      <c r="EK309" s="40"/>
      <c r="FB309" s="18"/>
      <c r="FC309" s="18"/>
      <c r="FD309" s="18"/>
      <c r="FE309" s="18"/>
      <c r="FG309" s="40"/>
    </row>
    <row r="310" spans="1:172" ht="13.5" customHeight="1" thickBot="1" x14ac:dyDescent="0.25">
      <c r="A310" s="213"/>
      <c r="B310" s="214"/>
      <c r="C310" s="215" t="s">
        <v>539</v>
      </c>
      <c r="D310" s="216"/>
      <c r="E310" s="187"/>
      <c r="F310" s="187"/>
      <c r="G310" s="217" t="s">
        <v>7</v>
      </c>
      <c r="H310" s="187"/>
      <c r="I310" s="187"/>
      <c r="J310" s="189"/>
      <c r="K310" s="18"/>
      <c r="L310" s="18"/>
      <c r="M310" s="18"/>
      <c r="Z310" s="18"/>
      <c r="AA310" s="18"/>
      <c r="AB310" s="18"/>
      <c r="AC310" s="18"/>
      <c r="AE310" s="40"/>
      <c r="AV310" s="18"/>
      <c r="AW310" s="18"/>
      <c r="AX310" s="18"/>
      <c r="AY310" s="18"/>
      <c r="BA310" s="40"/>
      <c r="BR310" s="18"/>
      <c r="BS310" s="18"/>
      <c r="BT310" s="18"/>
      <c r="BU310" s="18"/>
      <c r="BW310" s="40"/>
      <c r="CN310" s="18"/>
      <c r="CO310" s="18"/>
      <c r="CP310" s="18"/>
      <c r="CQ310" s="18"/>
      <c r="CS310" s="40"/>
      <c r="DJ310" s="18"/>
      <c r="DK310" s="18"/>
      <c r="DL310" s="18"/>
      <c r="DM310" s="18"/>
      <c r="DO310" s="40"/>
      <c r="EF310" s="18"/>
      <c r="EG310" s="18"/>
      <c r="EH310" s="18"/>
      <c r="EI310" s="18"/>
      <c r="EK310" s="40"/>
      <c r="FB310" s="18"/>
      <c r="FC310" s="18"/>
      <c r="FD310" s="18"/>
      <c r="FE310" s="18"/>
      <c r="FG310" s="40"/>
    </row>
    <row r="311" spans="1:172" ht="13.5" customHeight="1" x14ac:dyDescent="0.2">
      <c r="A311" s="74" t="s">
        <v>540</v>
      </c>
      <c r="B311" s="74"/>
      <c r="C311" s="218" t="s">
        <v>541</v>
      </c>
      <c r="D311" s="219"/>
      <c r="E311" s="220"/>
      <c r="F311" s="220"/>
      <c r="G311" s="75">
        <v>24887.040000000001</v>
      </c>
      <c r="H311" s="220"/>
      <c r="I311" s="220"/>
      <c r="J311" s="220"/>
    </row>
    <row r="312" spans="1:172" ht="13.5" customHeight="1" x14ac:dyDescent="0.2">
      <c r="A312" s="70" t="s">
        <v>1785</v>
      </c>
      <c r="B312" s="70"/>
      <c r="C312" s="63" t="s">
        <v>542</v>
      </c>
      <c r="D312" s="50"/>
      <c r="E312" s="13"/>
      <c r="F312" s="13"/>
      <c r="G312" s="75">
        <v>7296.1</v>
      </c>
      <c r="H312" s="13"/>
      <c r="I312" s="13"/>
      <c r="J312" s="13"/>
    </row>
    <row r="313" spans="1:172" ht="13.5" customHeight="1" x14ac:dyDescent="0.2">
      <c r="A313" s="70"/>
      <c r="B313" s="70"/>
      <c r="C313" s="222" t="s">
        <v>543</v>
      </c>
      <c r="D313" s="50"/>
      <c r="E313" s="13"/>
      <c r="F313" s="13"/>
      <c r="G313" s="14">
        <v>32183.14</v>
      </c>
      <c r="H313" s="13"/>
      <c r="I313" s="13"/>
      <c r="J313" s="13"/>
    </row>
    <row r="314" spans="1:172" ht="13.5" customHeight="1" x14ac:dyDescent="0.2">
      <c r="A314" s="70"/>
      <c r="B314" s="70"/>
      <c r="C314" s="63"/>
      <c r="D314" s="50"/>
      <c r="E314" s="13"/>
      <c r="F314" s="13"/>
      <c r="G314" s="14"/>
      <c r="H314" s="13"/>
      <c r="I314" s="13"/>
      <c r="J314" s="13"/>
      <c r="L314" s="18"/>
    </row>
    <row r="315" spans="1:172" ht="13.5" customHeight="1" x14ac:dyDescent="0.2">
      <c r="A315" s="70"/>
      <c r="B315" s="70"/>
      <c r="C315" s="222" t="s">
        <v>544</v>
      </c>
      <c r="D315" s="50"/>
      <c r="E315" s="13"/>
      <c r="F315" s="13"/>
      <c r="G315" s="14">
        <v>3061.3200000000061</v>
      </c>
      <c r="H315" s="13"/>
      <c r="I315" s="13"/>
      <c r="J315" s="13"/>
    </row>
    <row r="316" spans="1:172" ht="13.5" customHeight="1" x14ac:dyDescent="0.2">
      <c r="A316" s="70"/>
      <c r="B316" s="70"/>
      <c r="C316" s="63"/>
      <c r="D316" s="50"/>
      <c r="E316" s="13"/>
      <c r="F316" s="13"/>
      <c r="G316" s="75"/>
      <c r="H316" s="13"/>
      <c r="I316" s="13"/>
      <c r="J316" s="13"/>
    </row>
    <row r="317" spans="1:172" ht="13.5" customHeight="1" x14ac:dyDescent="0.2">
      <c r="A317" s="76"/>
      <c r="B317" s="76"/>
      <c r="C317" s="222" t="s">
        <v>545</v>
      </c>
      <c r="D317" s="78"/>
      <c r="E317" s="78"/>
      <c r="F317" s="78"/>
      <c r="G317" s="14">
        <v>35244.460000000006</v>
      </c>
      <c r="H317" s="77"/>
      <c r="I317" s="77"/>
      <c r="J317" s="13"/>
    </row>
    <row r="318" spans="1:172" ht="13.5" customHeight="1" thickBot="1" x14ac:dyDescent="0.25">
      <c r="A318" s="76"/>
      <c r="B318" s="76"/>
      <c r="C318" s="78"/>
      <c r="D318" s="78"/>
      <c r="E318" s="78"/>
      <c r="F318" s="78"/>
      <c r="G318" s="75"/>
      <c r="H318" s="77"/>
      <c r="I318" s="77"/>
      <c r="J318" s="13"/>
    </row>
    <row r="319" spans="1:172" ht="13.5" customHeight="1" thickBot="1" x14ac:dyDescent="0.25">
      <c r="A319" s="1060" t="s">
        <v>5829</v>
      </c>
      <c r="B319" s="214"/>
      <c r="C319" s="215" t="s">
        <v>5843</v>
      </c>
      <c r="D319" s="216"/>
      <c r="E319" s="187"/>
      <c r="F319" s="187"/>
      <c r="G319" s="217" t="s">
        <v>7</v>
      </c>
      <c r="H319" s="187"/>
      <c r="I319" s="187"/>
      <c r="J319" s="189"/>
    </row>
    <row r="320" spans="1:172" ht="13.5" customHeight="1" x14ac:dyDescent="0.2">
      <c r="A320" s="70"/>
      <c r="B320" s="70"/>
      <c r="C320" s="63" t="s">
        <v>5831</v>
      </c>
      <c r="D320" s="50"/>
      <c r="E320" s="13"/>
      <c r="F320" s="13"/>
      <c r="G320" s="75">
        <v>6000</v>
      </c>
      <c r="H320" s="13"/>
      <c r="I320" s="13"/>
      <c r="J320" s="13"/>
    </row>
    <row r="321" spans="1:10" ht="13.5" customHeight="1" x14ac:dyDescent="0.2">
      <c r="A321" s="79">
        <v>42594</v>
      </c>
      <c r="B321" s="70"/>
      <c r="C321" s="63" t="s">
        <v>5844</v>
      </c>
      <c r="D321" s="50"/>
      <c r="E321" s="13">
        <v>2000</v>
      </c>
      <c r="F321" s="13"/>
      <c r="G321" s="75">
        <v>4000</v>
      </c>
      <c r="H321" s="13"/>
      <c r="I321" s="13"/>
      <c r="J321" s="13"/>
    </row>
    <row r="322" spans="1:10" ht="13.5" customHeight="1" x14ac:dyDescent="0.2">
      <c r="A322" s="79">
        <v>42682</v>
      </c>
      <c r="B322" s="79"/>
      <c r="C322" s="63" t="s">
        <v>5845</v>
      </c>
      <c r="D322" s="78"/>
      <c r="E322" s="13">
        <v>3500</v>
      </c>
      <c r="F322" s="13"/>
      <c r="G322" s="75">
        <v>500</v>
      </c>
      <c r="H322" s="77"/>
      <c r="I322" s="77"/>
      <c r="J322" s="13"/>
    </row>
    <row r="323" spans="1:10" ht="13.5" customHeight="1" x14ac:dyDescent="0.2">
      <c r="A323" s="79"/>
      <c r="B323" s="79"/>
      <c r="C323" s="78"/>
      <c r="D323" s="78"/>
      <c r="E323" s="78"/>
      <c r="F323" s="78"/>
      <c r="G323" s="75"/>
      <c r="H323" s="77"/>
      <c r="I323" s="77"/>
      <c r="J323" s="13"/>
    </row>
    <row r="324" spans="1:10" ht="13.5" customHeight="1" thickBot="1" x14ac:dyDescent="0.25">
      <c r="A324" s="79"/>
      <c r="B324" s="79"/>
      <c r="C324" s="78"/>
      <c r="D324" s="78"/>
      <c r="E324" s="78"/>
      <c r="F324" s="78"/>
      <c r="G324" s="75"/>
      <c r="H324" s="77"/>
      <c r="I324" s="77"/>
      <c r="J324" s="13"/>
    </row>
    <row r="325" spans="1:10" ht="13.5" customHeight="1" thickBot="1" x14ac:dyDescent="0.25">
      <c r="A325" s="1060" t="s">
        <v>5829</v>
      </c>
      <c r="B325" s="214"/>
      <c r="C325" s="215" t="s">
        <v>5846</v>
      </c>
      <c r="D325" s="216"/>
      <c r="E325" s="187"/>
      <c r="F325" s="187"/>
      <c r="G325" s="217" t="s">
        <v>7</v>
      </c>
      <c r="H325" s="77"/>
      <c r="I325" s="77"/>
      <c r="J325" s="13"/>
    </row>
    <row r="326" spans="1:10" ht="13.5" customHeight="1" x14ac:dyDescent="0.2">
      <c r="A326" s="79"/>
      <c r="B326" s="70"/>
      <c r="C326" s="63" t="s">
        <v>5831</v>
      </c>
      <c r="D326" s="50"/>
      <c r="E326" s="13"/>
      <c r="F326" s="13"/>
      <c r="G326" s="75">
        <v>1400</v>
      </c>
      <c r="H326" s="77"/>
      <c r="I326" s="77"/>
      <c r="J326" s="13"/>
    </row>
    <row r="327" spans="1:10" ht="13.5" customHeight="1" x14ac:dyDescent="0.2">
      <c r="A327" s="79">
        <v>42465</v>
      </c>
      <c r="B327" s="70"/>
      <c r="C327" s="63" t="s">
        <v>5847</v>
      </c>
      <c r="D327" s="50"/>
      <c r="E327" s="13">
        <v>123.9</v>
      </c>
      <c r="F327" s="13"/>
      <c r="G327" s="75">
        <v>1276.0999999999999</v>
      </c>
      <c r="H327" s="77"/>
      <c r="I327" s="77"/>
      <c r="J327" s="13"/>
    </row>
    <row r="328" spans="1:10" ht="13.5" customHeight="1" x14ac:dyDescent="0.2">
      <c r="A328" s="79"/>
      <c r="B328" s="70"/>
      <c r="C328" s="63" t="s">
        <v>5848</v>
      </c>
      <c r="D328" s="50"/>
      <c r="E328" s="13">
        <v>150</v>
      </c>
      <c r="F328" s="13"/>
      <c r="G328" s="75">
        <v>1126.0999999999999</v>
      </c>
      <c r="H328" s="77"/>
      <c r="I328" s="77"/>
      <c r="J328" s="13"/>
    </row>
    <row r="329" spans="1:10" ht="13.5" customHeight="1" x14ac:dyDescent="0.2">
      <c r="A329" s="79">
        <v>42543</v>
      </c>
      <c r="B329" s="70"/>
      <c r="C329" s="63" t="s">
        <v>5849</v>
      </c>
      <c r="D329" s="50"/>
      <c r="E329" s="13">
        <v>176.9</v>
      </c>
      <c r="F329" s="13"/>
      <c r="G329" s="75">
        <v>949.19999999999993</v>
      </c>
      <c r="H329" s="13"/>
      <c r="I329" s="13"/>
      <c r="J329" s="13"/>
    </row>
    <row r="330" spans="1:10" ht="13.5" customHeight="1" x14ac:dyDescent="0.2">
      <c r="A330" s="79"/>
      <c r="B330" s="79"/>
      <c r="C330" s="63" t="s">
        <v>5850</v>
      </c>
      <c r="D330" s="78"/>
      <c r="E330" s="13">
        <v>105.5</v>
      </c>
      <c r="F330" s="13"/>
      <c r="G330" s="75">
        <v>843.69999999999993</v>
      </c>
      <c r="H330" s="13"/>
      <c r="I330" s="13"/>
      <c r="J330" s="13"/>
    </row>
    <row r="331" spans="1:10" ht="13.5" customHeight="1" x14ac:dyDescent="0.2">
      <c r="A331" s="79"/>
      <c r="B331" s="79"/>
      <c r="C331" s="78" t="s">
        <v>5851</v>
      </c>
      <c r="D331" s="78"/>
      <c r="E331" s="13">
        <v>37.5</v>
      </c>
      <c r="F331" s="13"/>
      <c r="G331" s="75">
        <v>806.19999999999993</v>
      </c>
      <c r="H331" s="77"/>
      <c r="I331" s="77"/>
      <c r="J331" s="13"/>
    </row>
    <row r="332" spans="1:10" ht="13.5" customHeight="1" x14ac:dyDescent="0.2">
      <c r="A332" s="79">
        <v>42576</v>
      </c>
      <c r="B332" s="79"/>
      <c r="C332" s="78" t="s">
        <v>5852</v>
      </c>
      <c r="D332" s="78"/>
      <c r="E332" s="13">
        <v>39.9</v>
      </c>
      <c r="F332" s="13"/>
      <c r="G332" s="75">
        <v>766.3</v>
      </c>
      <c r="H332" s="77"/>
      <c r="I332" s="77"/>
      <c r="J332" s="13"/>
    </row>
    <row r="333" spans="1:10" ht="13.5" customHeight="1" x14ac:dyDescent="0.2">
      <c r="A333" s="79">
        <v>42600</v>
      </c>
      <c r="B333" s="79"/>
      <c r="C333" s="850" t="s">
        <v>5853</v>
      </c>
      <c r="D333" s="78"/>
      <c r="E333" s="13">
        <v>11.8</v>
      </c>
      <c r="F333" s="13"/>
      <c r="G333" s="75">
        <v>754.5</v>
      </c>
      <c r="H333" s="77"/>
      <c r="I333" s="77"/>
      <c r="J333" s="13"/>
    </row>
    <row r="334" spans="1:10" ht="13.5" customHeight="1" x14ac:dyDescent="0.2">
      <c r="A334" s="79">
        <v>42611</v>
      </c>
      <c r="B334" s="79"/>
      <c r="C334" s="63" t="s">
        <v>5854</v>
      </c>
      <c r="D334" s="78"/>
      <c r="E334" s="13">
        <v>176.9</v>
      </c>
      <c r="F334" s="13"/>
      <c r="G334" s="75">
        <v>577.6</v>
      </c>
      <c r="H334" s="77"/>
      <c r="I334" s="77"/>
      <c r="J334" s="13"/>
    </row>
    <row r="335" spans="1:10" ht="13.5" customHeight="1" x14ac:dyDescent="0.2">
      <c r="A335" s="79">
        <v>42633</v>
      </c>
      <c r="B335" s="70"/>
      <c r="C335" s="63" t="s">
        <v>5855</v>
      </c>
      <c r="D335" s="50"/>
      <c r="E335" s="13">
        <v>5</v>
      </c>
      <c r="F335" s="13"/>
      <c r="G335" s="75">
        <v>572.6</v>
      </c>
      <c r="H335" s="13"/>
      <c r="I335" s="13"/>
      <c r="J335" s="13"/>
    </row>
    <row r="336" spans="1:10" ht="13.5" customHeight="1" x14ac:dyDescent="0.2">
      <c r="A336" s="79">
        <v>42664</v>
      </c>
      <c r="B336" s="80"/>
      <c r="C336" s="81" t="s">
        <v>5856</v>
      </c>
      <c r="D336" s="50"/>
      <c r="E336" s="13">
        <v>95</v>
      </c>
      <c r="F336" s="13"/>
      <c r="G336" s="75">
        <v>477.6</v>
      </c>
      <c r="H336" s="13"/>
      <c r="I336" s="13"/>
      <c r="J336" s="13"/>
    </row>
    <row r="337" spans="1:10" ht="13.5" customHeight="1" x14ac:dyDescent="0.2">
      <c r="A337" s="79">
        <v>42704</v>
      </c>
      <c r="B337" s="79"/>
      <c r="C337" s="78" t="s">
        <v>5857</v>
      </c>
      <c r="D337" s="78"/>
      <c r="E337" s="13">
        <v>31.7</v>
      </c>
      <c r="F337" s="13"/>
      <c r="G337" s="75">
        <v>445.90000000000003</v>
      </c>
      <c r="H337" s="77"/>
      <c r="I337" s="77"/>
      <c r="J337" s="13"/>
    </row>
    <row r="338" spans="1:10" ht="13.5" customHeight="1" x14ac:dyDescent="0.2">
      <c r="A338" s="79">
        <v>42705</v>
      </c>
      <c r="B338" s="79"/>
      <c r="C338" s="78" t="s">
        <v>5858</v>
      </c>
      <c r="D338" s="50"/>
      <c r="E338" s="13">
        <v>14.4</v>
      </c>
      <c r="F338" s="13"/>
      <c r="G338" s="75">
        <v>431.50000000000006</v>
      </c>
      <c r="H338" s="77"/>
      <c r="I338" s="77"/>
      <c r="J338" s="13"/>
    </row>
    <row r="339" spans="1:10" ht="13.5" customHeight="1" x14ac:dyDescent="0.2">
      <c r="A339" s="79">
        <v>42716</v>
      </c>
      <c r="B339" s="79"/>
      <c r="C339" s="78" t="s">
        <v>5847</v>
      </c>
      <c r="D339" s="78"/>
      <c r="E339" s="13">
        <v>120</v>
      </c>
      <c r="F339" s="13"/>
      <c r="G339" s="75">
        <v>311.50000000000006</v>
      </c>
      <c r="H339" s="77"/>
      <c r="I339" s="77"/>
      <c r="J339" s="13"/>
    </row>
    <row r="340" spans="1:10" ht="13.5" customHeight="1" x14ac:dyDescent="0.2">
      <c r="A340" s="79">
        <v>42718</v>
      </c>
      <c r="B340" s="79"/>
      <c r="C340" s="78" t="s">
        <v>5859</v>
      </c>
      <c r="D340" s="50"/>
      <c r="E340" s="13">
        <v>23.7</v>
      </c>
      <c r="F340" s="13"/>
      <c r="G340" s="75">
        <v>287.80000000000007</v>
      </c>
      <c r="H340" s="77"/>
      <c r="I340" s="77"/>
      <c r="J340" s="13"/>
    </row>
    <row r="341" spans="1:10" ht="13.5" customHeight="1" x14ac:dyDescent="0.2">
      <c r="A341" s="79">
        <v>42759</v>
      </c>
      <c r="B341" s="80"/>
      <c r="C341" s="1062" t="s">
        <v>5860</v>
      </c>
      <c r="D341" s="78"/>
      <c r="E341" s="13">
        <v>1</v>
      </c>
      <c r="F341" s="13"/>
      <c r="G341" s="75">
        <v>286.80000000000007</v>
      </c>
      <c r="H341" s="13"/>
      <c r="I341" s="13"/>
      <c r="J341" s="13"/>
    </row>
    <row r="342" spans="1:10" ht="13.5" customHeight="1" x14ac:dyDescent="0.2">
      <c r="A342" s="79">
        <v>42765</v>
      </c>
      <c r="B342" s="79"/>
      <c r="C342" s="78" t="s">
        <v>5861</v>
      </c>
      <c r="D342" s="50"/>
      <c r="E342" s="13">
        <v>45</v>
      </c>
      <c r="F342" s="13"/>
      <c r="G342" s="75">
        <v>241.80000000000007</v>
      </c>
      <c r="H342" s="77"/>
      <c r="I342" s="77"/>
      <c r="J342" s="13"/>
    </row>
    <row r="343" spans="1:10" ht="13.5" customHeight="1" x14ac:dyDescent="0.2">
      <c r="A343" s="79">
        <v>42899</v>
      </c>
      <c r="B343" s="79"/>
      <c r="C343" s="78" t="s">
        <v>5862</v>
      </c>
      <c r="D343" s="78"/>
      <c r="E343" s="13">
        <v>130</v>
      </c>
      <c r="F343" s="13"/>
      <c r="G343" s="75">
        <v>111.80000000000007</v>
      </c>
      <c r="H343" s="77"/>
      <c r="I343" s="77"/>
      <c r="J343" s="13"/>
    </row>
    <row r="344" spans="1:10" ht="13.5" customHeight="1" x14ac:dyDescent="0.2">
      <c r="A344" s="79"/>
      <c r="B344" s="79"/>
      <c r="C344" s="78"/>
      <c r="D344" s="78"/>
      <c r="E344" s="13"/>
      <c r="F344" s="13"/>
      <c r="G344" s="75"/>
      <c r="H344" s="77"/>
      <c r="I344" s="77"/>
      <c r="J344" s="13"/>
    </row>
    <row r="345" spans="1:10" ht="13.5" customHeight="1" x14ac:dyDescent="0.2">
      <c r="A345" s="74"/>
      <c r="B345" s="80"/>
      <c r="C345" s="81"/>
      <c r="D345" s="50"/>
      <c r="E345" s="13"/>
      <c r="F345" s="13"/>
      <c r="G345" s="75"/>
      <c r="H345" s="13"/>
      <c r="I345" s="13"/>
      <c r="J345" s="13"/>
    </row>
  </sheetData>
  <mergeCells count="4">
    <mergeCell ref="A1:C1"/>
    <mergeCell ref="D1:G1"/>
    <mergeCell ref="H1:J1"/>
    <mergeCell ref="H201:J201"/>
  </mergeCells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J303"/>
  <sheetViews>
    <sheetView topLeftCell="A151" zoomScale="80" zoomScaleNormal="80" workbookViewId="0">
      <selection activeCell="C158" sqref="C158"/>
    </sheetView>
  </sheetViews>
  <sheetFormatPr defaultColWidth="9" defaultRowHeight="12.75" x14ac:dyDescent="0.2"/>
  <cols>
    <col min="1" max="1" width="13.125" style="1137" bestFit="1" customWidth="1"/>
    <col min="2" max="2" width="51.5" style="377" customWidth="1"/>
    <col min="3" max="4" width="10.75" style="377" customWidth="1"/>
    <col min="5" max="5" width="9" style="377"/>
    <col min="6" max="6" width="14.5" style="377" customWidth="1"/>
    <col min="7" max="7" width="10.875" style="377" bestFit="1" customWidth="1"/>
    <col min="8" max="9" width="9" style="377"/>
    <col min="10" max="10" width="11.5" style="377" bestFit="1" customWidth="1"/>
    <col min="11" max="16384" width="9" style="377"/>
  </cols>
  <sheetData>
    <row r="1" spans="1:166" x14ac:dyDescent="0.2">
      <c r="F1" s="97" t="s">
        <v>218</v>
      </c>
      <c r="G1" s="97" t="s">
        <v>219</v>
      </c>
      <c r="H1" s="97" t="s">
        <v>220</v>
      </c>
      <c r="I1" s="97" t="s">
        <v>221</v>
      </c>
      <c r="J1" s="97" t="s">
        <v>222</v>
      </c>
    </row>
    <row r="2" spans="1:166" ht="13.5" customHeight="1" x14ac:dyDescent="0.2">
      <c r="A2" s="1138" t="s">
        <v>240</v>
      </c>
      <c r="B2" s="1139" t="s">
        <v>6749</v>
      </c>
      <c r="C2" s="1140"/>
      <c r="D2" s="1141">
        <v>940</v>
      </c>
      <c r="F2" s="100">
        <v>1020</v>
      </c>
      <c r="G2" s="402">
        <v>80</v>
      </c>
      <c r="H2" s="402"/>
      <c r="I2" s="402"/>
      <c r="J2" s="618">
        <v>940</v>
      </c>
    </row>
    <row r="3" spans="1:166" ht="13.5" customHeight="1" x14ac:dyDescent="0.2">
      <c r="A3" s="1138" t="s">
        <v>240</v>
      </c>
      <c r="B3" s="1142" t="s">
        <v>6823</v>
      </c>
      <c r="C3" s="992"/>
      <c r="D3" s="1141">
        <v>860</v>
      </c>
      <c r="F3" s="100">
        <v>940</v>
      </c>
      <c r="G3" s="402">
        <v>80</v>
      </c>
      <c r="H3" s="402"/>
      <c r="I3" s="402"/>
      <c r="J3" s="618">
        <f t="shared" ref="J3:J8" si="0">F3-G3-H3-I3</f>
        <v>860</v>
      </c>
    </row>
    <row r="4" spans="1:166" ht="13.5" customHeight="1" x14ac:dyDescent="0.2">
      <c r="A4" s="1138" t="s">
        <v>240</v>
      </c>
      <c r="B4" s="1139" t="s">
        <v>6743</v>
      </c>
      <c r="C4" s="1143"/>
      <c r="D4" s="1141">
        <v>910</v>
      </c>
      <c r="F4" s="100">
        <v>990</v>
      </c>
      <c r="G4" s="402">
        <v>80</v>
      </c>
      <c r="H4" s="402"/>
      <c r="I4" s="402"/>
      <c r="J4" s="618">
        <f t="shared" si="0"/>
        <v>910</v>
      </c>
    </row>
    <row r="5" spans="1:166" ht="13.5" customHeight="1" x14ac:dyDescent="0.2">
      <c r="A5" s="1138" t="s">
        <v>240</v>
      </c>
      <c r="B5" s="1144" t="s">
        <v>6807</v>
      </c>
      <c r="C5" s="1143"/>
      <c r="D5" s="1141">
        <v>960</v>
      </c>
      <c r="E5" s="141"/>
      <c r="F5" s="100">
        <v>1040</v>
      </c>
      <c r="G5" s="402">
        <v>80</v>
      </c>
      <c r="H5" s="402"/>
      <c r="I5" s="402"/>
      <c r="J5" s="618">
        <f t="shared" si="0"/>
        <v>960</v>
      </c>
    </row>
    <row r="6" spans="1:166" ht="13.5" customHeight="1" x14ac:dyDescent="0.2">
      <c r="A6" s="1138" t="s">
        <v>240</v>
      </c>
      <c r="B6" s="1142" t="s">
        <v>6748</v>
      </c>
      <c r="C6" s="1143"/>
      <c r="D6" s="1141">
        <v>1064</v>
      </c>
      <c r="F6" s="100">
        <v>1144</v>
      </c>
      <c r="G6" s="402">
        <v>80</v>
      </c>
      <c r="H6" s="402"/>
      <c r="I6" s="402"/>
      <c r="J6" s="618">
        <f t="shared" si="0"/>
        <v>1064</v>
      </c>
      <c r="FI6" s="1145"/>
      <c r="FJ6" s="1145"/>
    </row>
    <row r="7" spans="1:166" ht="13.5" customHeight="1" x14ac:dyDescent="0.2">
      <c r="A7" s="1138" t="s">
        <v>240</v>
      </c>
      <c r="B7" s="1144" t="s">
        <v>6806</v>
      </c>
      <c r="C7" s="1143"/>
      <c r="D7" s="1141">
        <v>862</v>
      </c>
      <c r="E7" s="141"/>
      <c r="F7" s="100">
        <v>942</v>
      </c>
      <c r="G7" s="402">
        <v>80</v>
      </c>
      <c r="H7" s="402"/>
      <c r="I7" s="402"/>
      <c r="J7" s="618">
        <f t="shared" si="0"/>
        <v>862</v>
      </c>
    </row>
    <row r="8" spans="1:166" ht="13.5" customHeight="1" x14ac:dyDescent="0.2">
      <c r="A8" s="1138" t="s">
        <v>240</v>
      </c>
      <c r="B8" s="1146" t="s">
        <v>6759</v>
      </c>
      <c r="C8" s="1143"/>
      <c r="D8" s="1141">
        <v>1430</v>
      </c>
      <c r="F8" s="100">
        <v>1430</v>
      </c>
      <c r="G8" s="402"/>
      <c r="H8" s="402"/>
      <c r="I8" s="402"/>
      <c r="J8" s="618">
        <f t="shared" si="0"/>
        <v>1430</v>
      </c>
      <c r="FI8" s="1145"/>
      <c r="FJ8" s="1145"/>
    </row>
    <row r="9" spans="1:166" ht="13.5" customHeight="1" x14ac:dyDescent="0.2">
      <c r="A9" s="1138" t="s">
        <v>240</v>
      </c>
      <c r="B9" s="1144" t="s">
        <v>6801</v>
      </c>
      <c r="C9" s="1143"/>
      <c r="D9" s="1141">
        <v>1200</v>
      </c>
      <c r="E9" s="141"/>
      <c r="F9" s="100">
        <v>1303.8</v>
      </c>
      <c r="G9" s="402">
        <v>80</v>
      </c>
      <c r="H9" s="402">
        <v>23.8</v>
      </c>
      <c r="I9" s="402"/>
      <c r="J9" s="618">
        <f>F9-G9-H9-I9</f>
        <v>1200</v>
      </c>
      <c r="FI9" s="1145"/>
      <c r="FJ9" s="1145"/>
    </row>
    <row r="10" spans="1:166" ht="13.5" customHeight="1" x14ac:dyDescent="0.2">
      <c r="A10" s="1138" t="s">
        <v>240</v>
      </c>
      <c r="B10" s="1144" t="s">
        <v>6079</v>
      </c>
      <c r="C10" s="1143"/>
      <c r="D10" s="1141">
        <v>900</v>
      </c>
      <c r="E10" s="141"/>
      <c r="F10" s="100"/>
      <c r="G10" s="403"/>
      <c r="H10" s="403"/>
      <c r="I10" s="403"/>
      <c r="J10" s="618">
        <f>F10-G10-H10-I10</f>
        <v>0</v>
      </c>
      <c r="FI10" s="1145"/>
      <c r="FJ10" s="1145"/>
    </row>
    <row r="11" spans="1:166" ht="13.5" customHeight="1" x14ac:dyDescent="0.2">
      <c r="A11" s="1138" t="s">
        <v>240</v>
      </c>
      <c r="B11" s="1144" t="s">
        <v>10</v>
      </c>
      <c r="C11" s="1143"/>
      <c r="D11" s="1141">
        <v>560</v>
      </c>
      <c r="E11" s="141"/>
      <c r="F11" s="24"/>
      <c r="G11" s="24"/>
      <c r="H11" s="24"/>
      <c r="I11" s="24"/>
      <c r="J11" s="24"/>
      <c r="FI11" s="1145"/>
      <c r="FJ11" s="1145"/>
    </row>
    <row r="12" spans="1:166" ht="13.5" customHeight="1" x14ac:dyDescent="0.2">
      <c r="A12" s="1138" t="s">
        <v>240</v>
      </c>
      <c r="B12" s="1142" t="s">
        <v>6747</v>
      </c>
      <c r="C12" s="1143"/>
      <c r="D12" s="1141">
        <v>1971.45</v>
      </c>
      <c r="F12" s="100">
        <v>1971.45</v>
      </c>
      <c r="G12" s="101"/>
      <c r="H12" s="102"/>
      <c r="I12" s="24"/>
      <c r="J12" s="618">
        <f>F12-G12-H12-I12</f>
        <v>1971.45</v>
      </c>
      <c r="FI12" s="1145"/>
      <c r="FJ12" s="1145"/>
    </row>
    <row r="13" spans="1:166" ht="13.5" customHeight="1" x14ac:dyDescent="0.2">
      <c r="A13" s="1138" t="s">
        <v>240</v>
      </c>
      <c r="B13" s="1139" t="s">
        <v>6742</v>
      </c>
      <c r="C13" s="1143"/>
      <c r="D13" s="1141">
        <v>1360</v>
      </c>
      <c r="F13" s="100">
        <v>1360</v>
      </c>
      <c r="G13" s="101"/>
      <c r="H13" s="102"/>
      <c r="I13" s="24"/>
      <c r="J13" s="618">
        <f t="shared" ref="J13:J18" si="1">F13-G13-H13-I13</f>
        <v>1360</v>
      </c>
      <c r="FI13" s="1145"/>
      <c r="FJ13" s="1145"/>
    </row>
    <row r="14" spans="1:166" ht="13.5" customHeight="1" x14ac:dyDescent="0.2">
      <c r="A14" s="1138" t="s">
        <v>240</v>
      </c>
      <c r="B14" s="1142" t="s">
        <v>6858</v>
      </c>
      <c r="C14" s="1143"/>
      <c r="D14" s="1141">
        <v>1360</v>
      </c>
      <c r="F14" s="100">
        <v>1360</v>
      </c>
      <c r="G14" s="101"/>
      <c r="H14" s="102"/>
      <c r="I14" s="24"/>
      <c r="J14" s="618">
        <f t="shared" si="1"/>
        <v>1360</v>
      </c>
      <c r="FI14" s="1145"/>
      <c r="FJ14" s="1145"/>
    </row>
    <row r="15" spans="1:166" ht="13.5" customHeight="1" x14ac:dyDescent="0.2">
      <c r="A15" s="1138" t="s">
        <v>240</v>
      </c>
      <c r="B15" s="1139" t="s">
        <v>6754</v>
      </c>
      <c r="C15" s="1143"/>
      <c r="D15" s="1141">
        <v>1200</v>
      </c>
      <c r="F15" s="100">
        <v>1232.7</v>
      </c>
      <c r="G15" s="101"/>
      <c r="H15" s="102">
        <v>32.700000000000003</v>
      </c>
      <c r="I15" s="24"/>
      <c r="J15" s="618">
        <f t="shared" si="1"/>
        <v>1200</v>
      </c>
      <c r="FI15" s="1145"/>
      <c r="FJ15" s="1145"/>
    </row>
    <row r="16" spans="1:166" ht="13.5" customHeight="1" x14ac:dyDescent="0.2">
      <c r="A16" s="1138" t="s">
        <v>240</v>
      </c>
      <c r="B16" s="1139" t="s">
        <v>6783</v>
      </c>
      <c r="C16" s="1143"/>
      <c r="D16" s="1141">
        <v>3500</v>
      </c>
      <c r="F16" s="100">
        <v>3500</v>
      </c>
      <c r="G16" s="101"/>
      <c r="H16" s="102"/>
      <c r="I16" s="24"/>
      <c r="J16" s="618">
        <f t="shared" si="1"/>
        <v>3500</v>
      </c>
      <c r="FI16" s="1145"/>
      <c r="FJ16" s="1145"/>
    </row>
    <row r="17" spans="1:166" ht="13.5" customHeight="1" x14ac:dyDescent="0.2">
      <c r="A17" s="1138" t="s">
        <v>240</v>
      </c>
      <c r="B17" s="1147" t="s">
        <v>6760</v>
      </c>
      <c r="C17" s="1143"/>
      <c r="D17" s="1141">
        <v>2050</v>
      </c>
      <c r="F17" s="100">
        <v>2050</v>
      </c>
      <c r="G17" s="101"/>
      <c r="H17" s="102"/>
      <c r="I17" s="24"/>
      <c r="J17" s="618">
        <f t="shared" si="1"/>
        <v>2050</v>
      </c>
      <c r="FI17" s="1145"/>
      <c r="FJ17" s="1145"/>
    </row>
    <row r="18" spans="1:166" ht="13.5" customHeight="1" x14ac:dyDescent="0.2">
      <c r="A18" s="1138" t="s">
        <v>240</v>
      </c>
      <c r="B18" s="1142" t="s">
        <v>6733</v>
      </c>
      <c r="C18" s="1143"/>
      <c r="D18" s="1141">
        <v>5000</v>
      </c>
      <c r="F18" s="100">
        <v>5000</v>
      </c>
      <c r="G18" s="101"/>
      <c r="H18" s="102"/>
      <c r="I18" s="24"/>
      <c r="J18" s="618">
        <f t="shared" si="1"/>
        <v>5000</v>
      </c>
      <c r="FI18" s="1145"/>
      <c r="FJ18" s="1145"/>
    </row>
    <row r="19" spans="1:166" ht="13.5" customHeight="1" x14ac:dyDescent="0.2">
      <c r="A19" s="1138" t="s">
        <v>240</v>
      </c>
      <c r="B19" s="1139" t="s">
        <v>6796</v>
      </c>
      <c r="C19" s="1143"/>
      <c r="D19" s="1148">
        <v>190</v>
      </c>
      <c r="F19" s="1"/>
      <c r="G19" s="529">
        <f>SUM(G2:G18)</f>
        <v>560</v>
      </c>
      <c r="H19" s="1"/>
      <c r="I19" s="1"/>
      <c r="J19" s="1"/>
    </row>
    <row r="20" spans="1:166" ht="13.5" customHeight="1" x14ac:dyDescent="0.2">
      <c r="A20" s="1138" t="s">
        <v>240</v>
      </c>
      <c r="B20" s="1139" t="s">
        <v>1284</v>
      </c>
      <c r="C20" s="1143"/>
      <c r="D20" s="1148">
        <v>185</v>
      </c>
    </row>
    <row r="21" spans="1:166" ht="13.5" customHeight="1" x14ac:dyDescent="0.2">
      <c r="A21" s="1138" t="s">
        <v>240</v>
      </c>
      <c r="B21" s="1139" t="s">
        <v>6765</v>
      </c>
      <c r="C21" s="1143"/>
      <c r="D21" s="1148">
        <v>190</v>
      </c>
    </row>
    <row r="22" spans="1:166" ht="13.5" customHeight="1" x14ac:dyDescent="0.2">
      <c r="A22" s="1138" t="s">
        <v>240</v>
      </c>
      <c r="B22" s="1139" t="s">
        <v>6785</v>
      </c>
      <c r="C22" s="1143"/>
      <c r="D22" s="1148">
        <v>190</v>
      </c>
    </row>
    <row r="23" spans="1:166" ht="13.5" customHeight="1" x14ac:dyDescent="0.2">
      <c r="A23" s="1138" t="s">
        <v>240</v>
      </c>
      <c r="B23" s="1139" t="s">
        <v>6794</v>
      </c>
      <c r="C23" s="1143"/>
      <c r="D23" s="1148">
        <v>185</v>
      </c>
    </row>
    <row r="24" spans="1:166" ht="13.5" customHeight="1" x14ac:dyDescent="0.2">
      <c r="A24" s="1138" t="s">
        <v>240</v>
      </c>
      <c r="B24" s="1149" t="s">
        <v>6751</v>
      </c>
      <c r="C24" s="1143"/>
      <c r="D24" s="1148">
        <v>190</v>
      </c>
    </row>
    <row r="25" spans="1:166" ht="13.5" customHeight="1" x14ac:dyDescent="0.2">
      <c r="A25" s="1138" t="s">
        <v>240</v>
      </c>
      <c r="B25" s="1139" t="s">
        <v>6750</v>
      </c>
      <c r="C25" s="1143"/>
      <c r="D25" s="1148">
        <v>190</v>
      </c>
    </row>
    <row r="26" spans="1:166" ht="13.5" customHeight="1" x14ac:dyDescent="0.2">
      <c r="A26" s="1138" t="s">
        <v>240</v>
      </c>
      <c r="B26" s="1139" t="s">
        <v>6752</v>
      </c>
      <c r="C26" s="1143"/>
      <c r="D26" s="1148">
        <v>190</v>
      </c>
    </row>
    <row r="27" spans="1:166" ht="13.5" customHeight="1" x14ac:dyDescent="0.2">
      <c r="A27" s="1138" t="s">
        <v>240</v>
      </c>
      <c r="B27" s="1142" t="s">
        <v>6755</v>
      </c>
      <c r="C27" s="1143"/>
      <c r="D27" s="1148">
        <v>150</v>
      </c>
    </row>
    <row r="28" spans="1:166" ht="13.5" customHeight="1" x14ac:dyDescent="0.2">
      <c r="A28" s="1138" t="s">
        <v>240</v>
      </c>
      <c r="B28" s="1142" t="s">
        <v>6736</v>
      </c>
      <c r="C28" s="1143"/>
      <c r="D28" s="1148">
        <v>220</v>
      </c>
    </row>
    <row r="29" spans="1:166" ht="13.5" customHeight="1" x14ac:dyDescent="0.2">
      <c r="A29" s="1138" t="s">
        <v>240</v>
      </c>
      <c r="B29" s="1144" t="s">
        <v>6800</v>
      </c>
      <c r="C29" s="1143"/>
      <c r="D29" s="1148">
        <v>60</v>
      </c>
      <c r="E29" s="141"/>
    </row>
    <row r="30" spans="1:166" ht="13.5" customHeight="1" x14ac:dyDescent="0.2">
      <c r="A30" s="1138" t="s">
        <v>240</v>
      </c>
      <c r="B30" s="1139" t="s">
        <v>6781</v>
      </c>
      <c r="C30" s="1143"/>
      <c r="D30" s="1148">
        <v>50</v>
      </c>
    </row>
    <row r="31" spans="1:166" ht="13.5" customHeight="1" x14ac:dyDescent="0.2">
      <c r="A31" s="1138" t="s">
        <v>240</v>
      </c>
      <c r="B31" s="1139" t="s">
        <v>6795</v>
      </c>
      <c r="C31" s="1143"/>
      <c r="D31" s="1148">
        <v>80</v>
      </c>
      <c r="E31" s="1150">
        <f>SUM(D19:D31)</f>
        <v>2070</v>
      </c>
    </row>
    <row r="32" spans="1:166" ht="13.5" customHeight="1" x14ac:dyDescent="0.2">
      <c r="A32" s="1138"/>
      <c r="B32" s="1139"/>
      <c r="C32" s="1143"/>
      <c r="D32" s="1151">
        <f>SUM(D2:D31)</f>
        <v>28197.45</v>
      </c>
    </row>
    <row r="33" spans="1:166" ht="13.5" customHeight="1" x14ac:dyDescent="0.2">
      <c r="A33" s="1138"/>
      <c r="B33" s="1139"/>
      <c r="C33" s="1143"/>
      <c r="D33" s="1141"/>
    </row>
    <row r="34" spans="1:166" s="141" customFormat="1" ht="13.5" customHeight="1" x14ac:dyDescent="0.2">
      <c r="A34" s="1138" t="s">
        <v>240</v>
      </c>
      <c r="B34" s="1142" t="s">
        <v>6831</v>
      </c>
      <c r="C34" s="1143"/>
      <c r="D34" s="1141">
        <v>323</v>
      </c>
      <c r="E34" s="377"/>
      <c r="F34" s="100">
        <v>323</v>
      </c>
      <c r="G34" s="109"/>
      <c r="H34" s="109"/>
      <c r="I34" s="109"/>
      <c r="J34" s="618">
        <f t="shared" ref="J34:J39" si="2">F34-G34-H34-I34</f>
        <v>323</v>
      </c>
      <c r="K34" s="377"/>
      <c r="L34" s="377"/>
      <c r="M34" s="377"/>
      <c r="N34" s="377"/>
      <c r="O34" s="377"/>
      <c r="P34" s="377"/>
      <c r="Q34" s="377"/>
      <c r="R34" s="377"/>
      <c r="S34" s="377"/>
      <c r="T34" s="377"/>
      <c r="U34" s="377"/>
      <c r="V34" s="377"/>
      <c r="W34" s="377"/>
      <c r="X34" s="377"/>
      <c r="Y34" s="377"/>
      <c r="Z34" s="377"/>
      <c r="AA34" s="377"/>
      <c r="AB34" s="377"/>
      <c r="AC34" s="377"/>
      <c r="AD34" s="377"/>
      <c r="AE34" s="377"/>
      <c r="AF34" s="377"/>
      <c r="AG34" s="377"/>
      <c r="AH34" s="377"/>
      <c r="AI34" s="377"/>
      <c r="AJ34" s="377"/>
      <c r="AK34" s="377"/>
      <c r="AL34" s="377"/>
      <c r="AM34" s="377"/>
      <c r="AN34" s="377"/>
      <c r="AO34" s="377"/>
      <c r="AP34" s="377"/>
      <c r="AQ34" s="377"/>
      <c r="AR34" s="377"/>
      <c r="AS34" s="377"/>
      <c r="AT34" s="377"/>
      <c r="AU34" s="377"/>
      <c r="AV34" s="377"/>
      <c r="AW34" s="377"/>
      <c r="AX34" s="377"/>
      <c r="AY34" s="377"/>
      <c r="AZ34" s="377"/>
      <c r="BA34" s="377"/>
      <c r="BB34" s="377"/>
      <c r="BC34" s="377"/>
      <c r="BD34" s="377"/>
      <c r="BE34" s="377"/>
      <c r="BF34" s="377"/>
      <c r="BG34" s="377"/>
      <c r="BH34" s="377"/>
      <c r="BI34" s="377"/>
      <c r="BJ34" s="377"/>
      <c r="BK34" s="377"/>
      <c r="BL34" s="377"/>
      <c r="BM34" s="377"/>
      <c r="BN34" s="377"/>
      <c r="BO34" s="377"/>
      <c r="BP34" s="377"/>
      <c r="BQ34" s="377"/>
      <c r="BR34" s="377"/>
      <c r="BS34" s="377"/>
      <c r="BT34" s="377"/>
      <c r="BU34" s="377"/>
      <c r="BV34" s="377"/>
      <c r="BW34" s="377"/>
      <c r="BX34" s="377"/>
      <c r="BY34" s="377"/>
      <c r="BZ34" s="377"/>
      <c r="CA34" s="377"/>
      <c r="CB34" s="377"/>
      <c r="CC34" s="377"/>
      <c r="CD34" s="377"/>
      <c r="CE34" s="377"/>
      <c r="CF34" s="377"/>
      <c r="CG34" s="377"/>
      <c r="CH34" s="377"/>
      <c r="CI34" s="377"/>
      <c r="CJ34" s="377"/>
      <c r="CK34" s="377"/>
      <c r="CL34" s="377"/>
      <c r="CM34" s="377"/>
      <c r="CN34" s="377"/>
      <c r="CO34" s="377"/>
      <c r="CP34" s="377"/>
      <c r="CQ34" s="377"/>
      <c r="CR34" s="377"/>
      <c r="CS34" s="377"/>
      <c r="CT34" s="377"/>
      <c r="CU34" s="377"/>
      <c r="CV34" s="377"/>
      <c r="CW34" s="377"/>
      <c r="CX34" s="377"/>
      <c r="CY34" s="377"/>
      <c r="CZ34" s="377"/>
      <c r="DA34" s="377"/>
      <c r="DB34" s="377"/>
      <c r="DC34" s="377"/>
      <c r="DD34" s="377"/>
      <c r="DE34" s="377"/>
      <c r="DF34" s="377"/>
      <c r="DG34" s="377"/>
      <c r="DH34" s="377"/>
      <c r="DI34" s="377"/>
      <c r="DJ34" s="377"/>
      <c r="DK34" s="377"/>
      <c r="DL34" s="377"/>
      <c r="DM34" s="377"/>
      <c r="DN34" s="377"/>
      <c r="DO34" s="377"/>
      <c r="DP34" s="377"/>
      <c r="DQ34" s="377"/>
      <c r="DR34" s="377"/>
      <c r="DS34" s="377"/>
      <c r="DT34" s="377"/>
      <c r="DU34" s="377"/>
      <c r="DV34" s="377"/>
      <c r="DW34" s="377"/>
      <c r="DX34" s="377"/>
      <c r="DY34" s="377"/>
      <c r="DZ34" s="377"/>
      <c r="EA34" s="377"/>
      <c r="EB34" s="377"/>
      <c r="EC34" s="377"/>
      <c r="ED34" s="377"/>
      <c r="EE34" s="377"/>
      <c r="EF34" s="377"/>
      <c r="EG34" s="377"/>
      <c r="EH34" s="377"/>
      <c r="EI34" s="377"/>
      <c r="EJ34" s="377"/>
      <c r="EK34" s="377"/>
      <c r="EL34" s="377"/>
      <c r="EM34" s="377"/>
      <c r="EN34" s="377"/>
      <c r="EO34" s="377"/>
      <c r="EP34" s="377"/>
      <c r="EQ34" s="377"/>
      <c r="ER34" s="377"/>
      <c r="ES34" s="377"/>
      <c r="ET34" s="377"/>
      <c r="EU34" s="377"/>
      <c r="EV34" s="377"/>
      <c r="EW34" s="377"/>
      <c r="EX34" s="377"/>
      <c r="EY34" s="377"/>
      <c r="EZ34" s="377"/>
      <c r="FA34" s="377"/>
      <c r="FB34" s="377"/>
      <c r="FC34" s="377"/>
      <c r="FD34" s="377"/>
      <c r="FE34" s="377"/>
      <c r="FF34" s="377"/>
      <c r="FG34" s="377"/>
      <c r="FH34" s="377"/>
      <c r="FI34" s="377"/>
      <c r="FJ34" s="377"/>
    </row>
    <row r="35" spans="1:166" ht="13.5" customHeight="1" x14ac:dyDescent="0.2">
      <c r="A35" s="1138" t="s">
        <v>240</v>
      </c>
      <c r="B35" s="1139" t="s">
        <v>6768</v>
      </c>
      <c r="C35" s="1143"/>
      <c r="D35" s="1141">
        <v>2250</v>
      </c>
      <c r="F35" s="100">
        <v>2296.13</v>
      </c>
      <c r="G35" s="109"/>
      <c r="H35" s="109"/>
      <c r="I35" s="109">
        <v>46.13</v>
      </c>
      <c r="J35" s="618">
        <f t="shared" si="2"/>
        <v>2250</v>
      </c>
      <c r="FI35" s="1145"/>
      <c r="FJ35" s="1145"/>
    </row>
    <row r="36" spans="1:166" ht="13.5" customHeight="1" x14ac:dyDescent="0.2">
      <c r="A36" s="1138" t="s">
        <v>240</v>
      </c>
      <c r="B36" s="1144" t="s">
        <v>6804</v>
      </c>
      <c r="C36" s="1143"/>
      <c r="D36" s="1141">
        <v>7500</v>
      </c>
      <c r="E36" s="141"/>
      <c r="F36" s="100">
        <v>7500</v>
      </c>
      <c r="G36" s="109"/>
      <c r="H36" s="109"/>
      <c r="I36" s="109"/>
      <c r="J36" s="618">
        <f t="shared" si="2"/>
        <v>7500</v>
      </c>
      <c r="FI36" s="1145"/>
      <c r="FJ36" s="1145"/>
    </row>
    <row r="37" spans="1:166" ht="13.5" customHeight="1" x14ac:dyDescent="0.2">
      <c r="A37" s="1138" t="s">
        <v>240</v>
      </c>
      <c r="B37" s="1144" t="s">
        <v>6805</v>
      </c>
      <c r="C37" s="1143"/>
      <c r="D37" s="1141">
        <v>500</v>
      </c>
      <c r="E37" s="141"/>
      <c r="F37" s="100">
        <v>500</v>
      </c>
      <c r="G37" s="109"/>
      <c r="H37" s="109"/>
      <c r="I37" s="109"/>
      <c r="J37" s="618">
        <f t="shared" si="2"/>
        <v>500</v>
      </c>
    </row>
    <row r="38" spans="1:166" ht="13.5" customHeight="1" x14ac:dyDescent="0.2">
      <c r="A38" s="1138" t="s">
        <v>240</v>
      </c>
      <c r="B38" s="1144" t="s">
        <v>6871</v>
      </c>
      <c r="C38" s="992"/>
      <c r="D38" s="1141">
        <v>15000</v>
      </c>
      <c r="F38" s="100">
        <v>15000</v>
      </c>
      <c r="G38" s="109"/>
      <c r="H38" s="109"/>
      <c r="I38" s="109"/>
      <c r="J38" s="618">
        <f t="shared" si="2"/>
        <v>15000</v>
      </c>
    </row>
    <row r="39" spans="1:166" ht="13.5" customHeight="1" x14ac:dyDescent="0.2">
      <c r="A39" s="1138" t="s">
        <v>240</v>
      </c>
      <c r="B39" s="1144" t="s">
        <v>6885</v>
      </c>
      <c r="C39" s="992"/>
      <c r="D39" s="1141">
        <v>4731.47</v>
      </c>
      <c r="F39" s="100">
        <v>4731.47</v>
      </c>
      <c r="G39" s="109"/>
      <c r="H39" s="109"/>
      <c r="I39" s="109"/>
      <c r="J39" s="618">
        <f t="shared" si="2"/>
        <v>4731.47</v>
      </c>
    </row>
    <row r="40" spans="1:166" ht="13.5" customHeight="1" x14ac:dyDescent="0.2">
      <c r="A40" s="1138" t="s">
        <v>240</v>
      </c>
      <c r="B40" s="1144" t="s">
        <v>3542</v>
      </c>
      <c r="C40" s="992"/>
      <c r="D40" s="1152">
        <v>46.13</v>
      </c>
      <c r="F40" s="885"/>
      <c r="G40" s="1044">
        <f>SUM(G37,G21)</f>
        <v>0</v>
      </c>
      <c r="H40" s="1044">
        <f>SUM(H30:H37)</f>
        <v>0</v>
      </c>
      <c r="I40" s="1045">
        <f>SUM(I30:I37)</f>
        <v>46.13</v>
      </c>
      <c r="J40" s="887"/>
    </row>
    <row r="41" spans="1:166" ht="13.5" customHeight="1" x14ac:dyDescent="0.2">
      <c r="A41" s="1138"/>
      <c r="B41" s="1144"/>
      <c r="C41" s="992"/>
      <c r="D41" s="1153">
        <f>SUM(D34:D40)</f>
        <v>30350.600000000002</v>
      </c>
    </row>
    <row r="42" spans="1:166" ht="13.5" customHeight="1" x14ac:dyDescent="0.2">
      <c r="A42" s="1138"/>
      <c r="B42" s="1144"/>
      <c r="C42" s="992"/>
      <c r="D42" s="1152"/>
    </row>
    <row r="43" spans="1:166" ht="13.5" customHeight="1" x14ac:dyDescent="0.2">
      <c r="A43" s="1138" t="s">
        <v>241</v>
      </c>
      <c r="B43" s="1142" t="s">
        <v>189</v>
      </c>
      <c r="C43" s="1154">
        <v>15000</v>
      </c>
      <c r="D43" s="1155"/>
      <c r="FI43" s="141"/>
      <c r="FJ43" s="141"/>
    </row>
    <row r="44" spans="1:166" ht="13.5" customHeight="1" x14ac:dyDescent="0.2">
      <c r="A44" s="1138" t="s">
        <v>241</v>
      </c>
      <c r="B44" s="1142" t="s">
        <v>189</v>
      </c>
      <c r="C44" s="1154">
        <v>7799.5</v>
      </c>
      <c r="D44" s="1155"/>
    </row>
    <row r="45" spans="1:166" ht="13.5" customHeight="1" x14ac:dyDescent="0.2">
      <c r="A45" s="1138" t="s">
        <v>241</v>
      </c>
      <c r="B45" s="1142" t="s">
        <v>189</v>
      </c>
      <c r="C45" s="1154">
        <v>4731.47</v>
      </c>
      <c r="D45" s="1155"/>
    </row>
    <row r="46" spans="1:166" ht="13.5" customHeight="1" x14ac:dyDescent="0.2">
      <c r="A46" s="1138" t="s">
        <v>241</v>
      </c>
      <c r="B46" s="1142" t="s">
        <v>189</v>
      </c>
      <c r="C46" s="1154">
        <v>646.13</v>
      </c>
      <c r="D46" s="1155"/>
    </row>
    <row r="47" spans="1:166" ht="13.5" customHeight="1" x14ac:dyDescent="0.2">
      <c r="A47" s="1138" t="s">
        <v>241</v>
      </c>
      <c r="B47" s="1142" t="s">
        <v>174</v>
      </c>
      <c r="C47" s="992">
        <v>-9.5</v>
      </c>
      <c r="D47" s="1155"/>
    </row>
    <row r="48" spans="1:166" ht="13.5" customHeight="1" x14ac:dyDescent="0.2">
      <c r="A48" s="1138" t="s">
        <v>241</v>
      </c>
      <c r="B48" s="1142" t="s">
        <v>174</v>
      </c>
      <c r="C48" s="992">
        <v>-399.79</v>
      </c>
      <c r="D48" s="1155"/>
    </row>
    <row r="49" spans="1:4" ht="13.5" customHeight="1" x14ac:dyDescent="0.2">
      <c r="A49" s="1138" t="s">
        <v>241</v>
      </c>
      <c r="B49" s="1142" t="s">
        <v>174</v>
      </c>
      <c r="C49" s="992">
        <v>-613.9</v>
      </c>
      <c r="D49" s="1155"/>
    </row>
    <row r="50" spans="1:4" ht="13.5" customHeight="1" x14ac:dyDescent="0.2">
      <c r="A50" s="1138" t="s">
        <v>241</v>
      </c>
      <c r="B50" s="1142" t="s">
        <v>174</v>
      </c>
      <c r="C50" s="992">
        <v>-708</v>
      </c>
      <c r="D50" s="1155"/>
    </row>
    <row r="51" spans="1:4" ht="13.5" customHeight="1" x14ac:dyDescent="0.2">
      <c r="A51" s="1138" t="s">
        <v>241</v>
      </c>
      <c r="B51" s="1142" t="s">
        <v>174</v>
      </c>
      <c r="C51" s="992">
        <v>-1115.8900000000001</v>
      </c>
      <c r="D51" s="1155"/>
    </row>
    <row r="52" spans="1:4" ht="13.5" customHeight="1" x14ac:dyDescent="0.2">
      <c r="A52" s="1138" t="s">
        <v>241</v>
      </c>
      <c r="B52" s="1142" t="s">
        <v>174</v>
      </c>
      <c r="C52" s="992">
        <v>-1308.95</v>
      </c>
      <c r="D52" s="1155"/>
    </row>
    <row r="53" spans="1:4" ht="13.5" customHeight="1" x14ac:dyDescent="0.2">
      <c r="A53" s="1138" t="s">
        <v>241</v>
      </c>
      <c r="B53" s="1142" t="s">
        <v>174</v>
      </c>
      <c r="C53" s="992">
        <v>-1398.9</v>
      </c>
      <c r="D53" s="1155"/>
    </row>
    <row r="54" spans="1:4" ht="13.5" customHeight="1" x14ac:dyDescent="0.2">
      <c r="A54" s="1138" t="s">
        <v>241</v>
      </c>
      <c r="B54" s="1142" t="s">
        <v>174</v>
      </c>
      <c r="C54" s="992">
        <v>-1875.49</v>
      </c>
      <c r="D54" s="1155"/>
    </row>
    <row r="55" spans="1:4" ht="13.5" customHeight="1" x14ac:dyDescent="0.2">
      <c r="A55" s="1138" t="s">
        <v>241</v>
      </c>
      <c r="B55" s="1142" t="s">
        <v>174</v>
      </c>
      <c r="C55" s="992">
        <v>-4296.03</v>
      </c>
      <c r="D55" s="1155"/>
    </row>
    <row r="56" spans="1:4" ht="13.5" customHeight="1" x14ac:dyDescent="0.2">
      <c r="A56" s="1138" t="s">
        <v>241</v>
      </c>
      <c r="B56" s="1142" t="s">
        <v>174</v>
      </c>
      <c r="C56" s="992">
        <v>-5000</v>
      </c>
      <c r="D56" s="1155"/>
    </row>
    <row r="57" spans="1:4" ht="13.5" customHeight="1" x14ac:dyDescent="0.2">
      <c r="A57" s="1138" t="s">
        <v>241</v>
      </c>
      <c r="B57" s="1142" t="s">
        <v>174</v>
      </c>
      <c r="C57" s="992">
        <v>-100</v>
      </c>
      <c r="D57" s="1155"/>
    </row>
    <row r="58" spans="1:4" ht="13.5" customHeight="1" x14ac:dyDescent="0.2">
      <c r="A58" s="1138" t="s">
        <v>241</v>
      </c>
      <c r="B58" s="1142" t="s">
        <v>174</v>
      </c>
      <c r="C58" s="992">
        <v>-2373.0700000000002</v>
      </c>
      <c r="D58" s="1155"/>
    </row>
    <row r="59" spans="1:4" ht="13.5" customHeight="1" x14ac:dyDescent="0.2">
      <c r="A59" s="1138" t="s">
        <v>241</v>
      </c>
      <c r="B59" s="1142" t="s">
        <v>174</v>
      </c>
      <c r="C59" s="992">
        <v>-358.12</v>
      </c>
      <c r="D59" s="1155"/>
    </row>
    <row r="60" spans="1:4" ht="13.5" customHeight="1" x14ac:dyDescent="0.2">
      <c r="A60" s="1138" t="s">
        <v>241</v>
      </c>
      <c r="B60" s="1142" t="s">
        <v>174</v>
      </c>
      <c r="C60" s="992">
        <v>-4.9000000000000004</v>
      </c>
      <c r="D60" s="1155"/>
    </row>
    <row r="61" spans="1:4" ht="13.5" customHeight="1" x14ac:dyDescent="0.2">
      <c r="A61" s="1138"/>
      <c r="B61" s="1142"/>
      <c r="C61" s="1156">
        <f>SUM(C43:C60)</f>
        <v>8614.5599999999977</v>
      </c>
      <c r="D61" s="1155"/>
    </row>
    <row r="62" spans="1:4" ht="13.5" customHeight="1" x14ac:dyDescent="0.2">
      <c r="A62" s="1138"/>
      <c r="B62" s="1142"/>
      <c r="C62" s="992"/>
      <c r="D62" s="1155"/>
    </row>
    <row r="63" spans="1:4" ht="13.5" customHeight="1" x14ac:dyDescent="0.2">
      <c r="A63" s="1138" t="s">
        <v>224</v>
      </c>
      <c r="B63" s="1142" t="s">
        <v>128</v>
      </c>
      <c r="C63" s="1154">
        <v>31.69</v>
      </c>
      <c r="D63" s="1152"/>
    </row>
    <row r="64" spans="1:4" ht="13.5" customHeight="1" x14ac:dyDescent="0.2">
      <c r="A64" s="1138" t="s">
        <v>224</v>
      </c>
      <c r="B64" s="1142" t="s">
        <v>62</v>
      </c>
      <c r="C64" s="1154">
        <v>481.34</v>
      </c>
      <c r="D64" s="1152"/>
    </row>
    <row r="65" spans="1:155" ht="13.5" customHeight="1" x14ac:dyDescent="0.2">
      <c r="A65" s="1138" t="s">
        <v>224</v>
      </c>
      <c r="B65" s="1142" t="s">
        <v>6696</v>
      </c>
      <c r="C65" s="1157">
        <v>13.28</v>
      </c>
      <c r="D65" s="1152"/>
    </row>
    <row r="66" spans="1:155" ht="13.5" customHeight="1" x14ac:dyDescent="0.2">
      <c r="A66" s="1138" t="s">
        <v>224</v>
      </c>
      <c r="B66" s="1142" t="s">
        <v>6199</v>
      </c>
      <c r="C66" s="1154">
        <v>125.4</v>
      </c>
      <c r="D66" s="1152"/>
    </row>
    <row r="67" spans="1:155" ht="13.5" customHeight="1" x14ac:dyDescent="0.2">
      <c r="A67" s="1138" t="s">
        <v>224</v>
      </c>
      <c r="B67" s="1144" t="s">
        <v>6939</v>
      </c>
      <c r="C67" s="1157">
        <v>7.29</v>
      </c>
      <c r="D67" s="1158"/>
      <c r="W67" s="1159"/>
      <c r="AS67" s="1159"/>
      <c r="BO67" s="1159"/>
      <c r="CK67" s="1159"/>
      <c r="DG67" s="1159"/>
      <c r="EC67" s="1159"/>
      <c r="EY67" s="1159"/>
    </row>
    <row r="68" spans="1:155" ht="13.5" customHeight="1" x14ac:dyDescent="0.2">
      <c r="A68" s="1138" t="s">
        <v>224</v>
      </c>
      <c r="B68" s="1144" t="s">
        <v>6951</v>
      </c>
      <c r="C68" s="1157">
        <v>480</v>
      </c>
      <c r="D68" s="1158"/>
      <c r="W68" s="1159"/>
      <c r="AS68" s="1159"/>
      <c r="BO68" s="1159"/>
      <c r="CK68" s="1159"/>
      <c r="DG68" s="1159"/>
      <c r="EC68" s="1159"/>
      <c r="EY68" s="1159"/>
    </row>
    <row r="69" spans="1:155" ht="13.5" customHeight="1" x14ac:dyDescent="0.2">
      <c r="A69" s="1138"/>
      <c r="B69" s="1144"/>
      <c r="C69" s="1160">
        <f>SUM(C63:C68)</f>
        <v>1139</v>
      </c>
      <c r="D69" s="1158"/>
      <c r="W69" s="1159"/>
      <c r="AS69" s="1159"/>
      <c r="BO69" s="1159"/>
      <c r="CK69" s="1159"/>
      <c r="DG69" s="1159"/>
      <c r="EC69" s="1159"/>
      <c r="EY69" s="1159"/>
    </row>
    <row r="70" spans="1:155" ht="13.5" customHeight="1" x14ac:dyDescent="0.2">
      <c r="A70" s="1138"/>
      <c r="B70" s="1144"/>
      <c r="C70" s="1157"/>
      <c r="D70" s="1158"/>
      <c r="W70" s="1159"/>
      <c r="AS70" s="1159"/>
      <c r="BO70" s="1159"/>
      <c r="CK70" s="1159"/>
      <c r="DG70" s="1159"/>
      <c r="EC70" s="1159"/>
      <c r="EY70" s="1159"/>
    </row>
    <row r="71" spans="1:155" ht="13.5" customHeight="1" x14ac:dyDescent="0.2">
      <c r="A71" s="1138" t="s">
        <v>224</v>
      </c>
      <c r="B71" s="1142" t="s">
        <v>5977</v>
      </c>
      <c r="C71" s="992">
        <v>70</v>
      </c>
      <c r="D71" s="1152"/>
    </row>
    <row r="72" spans="1:155" ht="13.5" customHeight="1" x14ac:dyDescent="0.2">
      <c r="A72" s="1138" t="s">
        <v>224</v>
      </c>
      <c r="B72" s="1142" t="s">
        <v>5977</v>
      </c>
      <c r="C72" s="992">
        <v>70</v>
      </c>
      <c r="D72" s="1152"/>
    </row>
    <row r="73" spans="1:155" ht="13.5" customHeight="1" x14ac:dyDescent="0.2">
      <c r="A73" s="1138" t="s">
        <v>224</v>
      </c>
      <c r="B73" s="1139" t="s">
        <v>5977</v>
      </c>
      <c r="C73" s="992">
        <v>70</v>
      </c>
      <c r="D73" s="1152"/>
    </row>
    <row r="74" spans="1:155" ht="13.5" customHeight="1" x14ac:dyDescent="0.2">
      <c r="A74" s="1138" t="s">
        <v>224</v>
      </c>
      <c r="B74" s="1142" t="s">
        <v>6840</v>
      </c>
      <c r="C74" s="992">
        <v>75</v>
      </c>
      <c r="D74" s="1152"/>
    </row>
    <row r="75" spans="1:155" ht="13.5" customHeight="1" x14ac:dyDescent="0.2">
      <c r="A75" s="1138" t="s">
        <v>224</v>
      </c>
      <c r="B75" s="1142" t="s">
        <v>6840</v>
      </c>
      <c r="C75" s="992">
        <v>75</v>
      </c>
      <c r="D75" s="1152"/>
    </row>
    <row r="76" spans="1:155" ht="13.5" customHeight="1" x14ac:dyDescent="0.2">
      <c r="A76" s="1138" t="s">
        <v>224</v>
      </c>
      <c r="B76" s="1139" t="s">
        <v>6409</v>
      </c>
      <c r="C76" s="992">
        <v>70</v>
      </c>
      <c r="D76" s="1152"/>
    </row>
    <row r="77" spans="1:155" ht="13.5" customHeight="1" x14ac:dyDescent="0.2">
      <c r="A77" s="1138" t="s">
        <v>224</v>
      </c>
      <c r="B77" s="1142" t="s">
        <v>6409</v>
      </c>
      <c r="C77" s="992">
        <v>70</v>
      </c>
      <c r="D77" s="1152"/>
    </row>
    <row r="78" spans="1:155" ht="13.5" customHeight="1" x14ac:dyDescent="0.2">
      <c r="A78" s="1138" t="s">
        <v>224</v>
      </c>
      <c r="B78" s="1139" t="s">
        <v>6409</v>
      </c>
      <c r="C78" s="992">
        <v>70</v>
      </c>
      <c r="D78" s="1152"/>
    </row>
    <row r="79" spans="1:155" ht="13.5" customHeight="1" x14ac:dyDescent="0.2">
      <c r="A79" s="1138" t="s">
        <v>224</v>
      </c>
      <c r="B79" s="1142" t="s">
        <v>6839</v>
      </c>
      <c r="C79" s="992">
        <v>75</v>
      </c>
      <c r="D79" s="1152"/>
    </row>
    <row r="80" spans="1:155" ht="13.5" customHeight="1" x14ac:dyDescent="0.2">
      <c r="A80" s="1138" t="s">
        <v>224</v>
      </c>
      <c r="B80" s="1142" t="s">
        <v>6839</v>
      </c>
      <c r="C80" s="992">
        <v>75</v>
      </c>
      <c r="D80" s="1152">
        <f>C81-D81</f>
        <v>480</v>
      </c>
    </row>
    <row r="81" spans="1:155" ht="13.5" customHeight="1" x14ac:dyDescent="0.2">
      <c r="A81" s="1138"/>
      <c r="B81" s="1142"/>
      <c r="C81" s="1161">
        <f>SUM(C71:C80)</f>
        <v>720</v>
      </c>
      <c r="D81" s="1155">
        <f>C81/3</f>
        <v>240</v>
      </c>
    </row>
    <row r="82" spans="1:155" ht="13.5" customHeight="1" x14ac:dyDescent="0.2">
      <c r="A82" s="1138"/>
      <c r="B82" s="1142"/>
      <c r="C82" s="1154"/>
      <c r="D82" s="1155"/>
    </row>
    <row r="83" spans="1:155" ht="13.5" customHeight="1" x14ac:dyDescent="0.2">
      <c r="A83" s="1138" t="s">
        <v>225</v>
      </c>
      <c r="B83" s="1142" t="s">
        <v>6897</v>
      </c>
      <c r="C83" s="1162">
        <v>708</v>
      </c>
      <c r="D83" s="1155"/>
    </row>
    <row r="84" spans="1:155" ht="13.5" customHeight="1" x14ac:dyDescent="0.2">
      <c r="A84" s="1138"/>
      <c r="B84" s="1142"/>
      <c r="C84" s="1154"/>
      <c r="D84" s="1155"/>
    </row>
    <row r="85" spans="1:155" ht="13.5" customHeight="1" x14ac:dyDescent="0.2">
      <c r="A85" s="1138" t="s">
        <v>242</v>
      </c>
      <c r="B85" s="1142" t="s">
        <v>127</v>
      </c>
      <c r="C85" s="1154">
        <v>23.78</v>
      </c>
      <c r="D85" s="1152"/>
    </row>
    <row r="86" spans="1:155" ht="13.5" customHeight="1" x14ac:dyDescent="0.2">
      <c r="A86" s="1138" t="s">
        <v>242</v>
      </c>
      <c r="B86" s="1142" t="s">
        <v>6952</v>
      </c>
      <c r="C86" s="1154">
        <v>-23.8</v>
      </c>
      <c r="D86" s="1152"/>
    </row>
    <row r="87" spans="1:155" ht="13.5" customHeight="1" x14ac:dyDescent="0.2">
      <c r="A87" s="1138" t="s">
        <v>242</v>
      </c>
      <c r="B87" s="1142" t="s">
        <v>6953</v>
      </c>
      <c r="C87" s="1154">
        <v>-32.700000000000003</v>
      </c>
      <c r="D87" s="1152"/>
    </row>
    <row r="88" spans="1:155" ht="13.5" customHeight="1" x14ac:dyDescent="0.2">
      <c r="A88" s="1138" t="s">
        <v>242</v>
      </c>
      <c r="B88" s="1142" t="s">
        <v>5726</v>
      </c>
      <c r="C88" s="1154">
        <v>39.57</v>
      </c>
      <c r="D88" s="1152"/>
    </row>
    <row r="89" spans="1:155" ht="13.5" customHeight="1" x14ac:dyDescent="0.2">
      <c r="A89" s="1138" t="s">
        <v>242</v>
      </c>
      <c r="B89" s="1142" t="s">
        <v>288</v>
      </c>
      <c r="C89" s="1154">
        <v>36.770000000000003</v>
      </c>
      <c r="D89" s="1152"/>
    </row>
    <row r="90" spans="1:155" ht="13.5" customHeight="1" x14ac:dyDescent="0.2">
      <c r="A90" s="1138" t="s">
        <v>242</v>
      </c>
      <c r="B90" s="1142" t="s">
        <v>6835</v>
      </c>
      <c r="C90" s="992">
        <v>6.25</v>
      </c>
      <c r="D90" s="1152"/>
    </row>
    <row r="91" spans="1:155" ht="13.5" customHeight="1" x14ac:dyDescent="0.2">
      <c r="A91" s="1138" t="s">
        <v>242</v>
      </c>
      <c r="B91" s="1142" t="s">
        <v>6836</v>
      </c>
      <c r="C91" s="992">
        <v>1.25</v>
      </c>
      <c r="D91" s="1152"/>
      <c r="F91" s="21" t="s">
        <v>6769</v>
      </c>
      <c r="G91" s="1163">
        <v>21.5</v>
      </c>
    </row>
    <row r="92" spans="1:155" ht="13.5" customHeight="1" x14ac:dyDescent="0.2">
      <c r="A92" s="1138" t="s">
        <v>242</v>
      </c>
      <c r="B92" s="1142" t="s">
        <v>558</v>
      </c>
      <c r="C92" s="1154">
        <v>65.37</v>
      </c>
      <c r="D92" s="1152"/>
      <c r="F92" s="1164" t="s">
        <v>6819</v>
      </c>
      <c r="G92" s="1165">
        <v>13.6</v>
      </c>
    </row>
    <row r="93" spans="1:155" ht="13.5" customHeight="1" x14ac:dyDescent="0.2">
      <c r="A93" s="1138" t="s">
        <v>242</v>
      </c>
      <c r="B93" s="1142" t="s">
        <v>6758</v>
      </c>
      <c r="C93" s="1143">
        <v>-83.9</v>
      </c>
      <c r="D93" s="1152"/>
      <c r="F93" s="1144" t="s">
        <v>6940</v>
      </c>
      <c r="G93" s="1157">
        <v>13.98</v>
      </c>
    </row>
    <row r="94" spans="1:155" ht="13.5" customHeight="1" x14ac:dyDescent="0.2">
      <c r="A94" s="1138" t="s">
        <v>242</v>
      </c>
      <c r="B94" s="1146" t="s">
        <v>6774</v>
      </c>
      <c r="C94" s="1154">
        <v>75</v>
      </c>
      <c r="D94" s="1152"/>
      <c r="F94" s="1142" t="s">
        <v>6860</v>
      </c>
      <c r="G94" s="1154">
        <v>22.1</v>
      </c>
    </row>
    <row r="95" spans="1:155" ht="13.5" customHeight="1" x14ac:dyDescent="0.2">
      <c r="A95" s="1138" t="s">
        <v>242</v>
      </c>
      <c r="B95" s="1146" t="s">
        <v>6789</v>
      </c>
      <c r="C95" s="1154">
        <v>1200</v>
      </c>
      <c r="D95" s="1152"/>
      <c r="F95" s="1142" t="s">
        <v>3727</v>
      </c>
      <c r="G95" s="1154">
        <v>366.75</v>
      </c>
    </row>
    <row r="96" spans="1:155" ht="13.5" customHeight="1" x14ac:dyDescent="0.2">
      <c r="A96" s="1138" t="s">
        <v>242</v>
      </c>
      <c r="B96" s="1144" t="s">
        <v>6944</v>
      </c>
      <c r="C96" s="1157">
        <v>44</v>
      </c>
      <c r="D96" s="1158"/>
      <c r="F96" s="1166" t="s">
        <v>6949</v>
      </c>
      <c r="G96" s="1167">
        <v>200</v>
      </c>
      <c r="W96" s="1159"/>
      <c r="AS96" s="1159"/>
      <c r="BO96" s="1159"/>
      <c r="CK96" s="1159"/>
      <c r="DG96" s="1159"/>
      <c r="EC96" s="1159"/>
      <c r="EY96" s="1159"/>
    </row>
    <row r="97" spans="1:155" ht="13.5" customHeight="1" x14ac:dyDescent="0.2">
      <c r="A97" s="1138" t="s">
        <v>242</v>
      </c>
      <c r="B97" s="1164" t="s">
        <v>227</v>
      </c>
      <c r="C97" s="1165">
        <v>318.96500000000003</v>
      </c>
      <c r="D97" s="1168"/>
      <c r="E97" s="141"/>
      <c r="G97" s="377">
        <f>SUM(G91:G96)</f>
        <v>637.93000000000006</v>
      </c>
    </row>
    <row r="98" spans="1:155" ht="13.5" customHeight="1" x14ac:dyDescent="0.2">
      <c r="A98" s="1138"/>
      <c r="B98" s="1144"/>
      <c r="C98" s="1160">
        <f>SUM(C85:C97)</f>
        <v>1670.5549999999998</v>
      </c>
      <c r="D98" s="1158"/>
      <c r="W98" s="1159"/>
      <c r="AS98" s="1159"/>
      <c r="BO98" s="1159"/>
      <c r="CK98" s="1159"/>
      <c r="DG98" s="1159"/>
      <c r="EC98" s="1159"/>
      <c r="EY98" s="1159"/>
    </row>
    <row r="99" spans="1:155" ht="13.5" customHeight="1" x14ac:dyDescent="0.2">
      <c r="A99" s="1138"/>
      <c r="B99" s="1144"/>
      <c r="C99" s="1157"/>
      <c r="D99" s="1158"/>
      <c r="W99" s="1159"/>
      <c r="AS99" s="1159"/>
      <c r="BO99" s="1159"/>
      <c r="CK99" s="1159"/>
      <c r="DG99" s="1159"/>
      <c r="EC99" s="1159"/>
      <c r="EY99" s="1159"/>
    </row>
    <row r="100" spans="1:155" ht="13.5" customHeight="1" x14ac:dyDescent="0.2">
      <c r="A100" s="1138" t="s">
        <v>242</v>
      </c>
      <c r="B100" s="1142" t="s">
        <v>199</v>
      </c>
      <c r="C100" s="1154">
        <v>122.5</v>
      </c>
      <c r="D100" s="1155"/>
    </row>
    <row r="101" spans="1:155" ht="13.5" customHeight="1" x14ac:dyDescent="0.2">
      <c r="A101" s="1138" t="s">
        <v>242</v>
      </c>
      <c r="B101" s="1142" t="s">
        <v>180</v>
      </c>
      <c r="C101" s="1154">
        <v>232.33</v>
      </c>
      <c r="D101" s="1155"/>
    </row>
    <row r="102" spans="1:155" ht="13.5" customHeight="1" x14ac:dyDescent="0.2">
      <c r="A102" s="1138" t="s">
        <v>242</v>
      </c>
      <c r="B102" s="1146" t="s">
        <v>6933</v>
      </c>
      <c r="C102" s="1169">
        <v>10.96</v>
      </c>
      <c r="D102" s="1169"/>
    </row>
    <row r="103" spans="1:155" ht="13.5" customHeight="1" x14ac:dyDescent="0.2">
      <c r="A103" s="1138" t="s">
        <v>242</v>
      </c>
      <c r="B103" s="1139" t="s">
        <v>6787</v>
      </c>
      <c r="C103" s="992">
        <v>34</v>
      </c>
      <c r="D103" s="1152"/>
    </row>
    <row r="104" spans="1:155" ht="13.5" customHeight="1" x14ac:dyDescent="0.2">
      <c r="A104" s="1138" t="s">
        <v>242</v>
      </c>
      <c r="B104" s="1164" t="s">
        <v>6824</v>
      </c>
      <c r="C104" s="1170">
        <v>5</v>
      </c>
      <c r="D104" s="1168"/>
    </row>
    <row r="105" spans="1:155" ht="13.5" customHeight="1" x14ac:dyDescent="0.2">
      <c r="A105" s="1138" t="s">
        <v>242</v>
      </c>
      <c r="B105" s="1146" t="s">
        <v>6848</v>
      </c>
      <c r="C105" s="1171">
        <v>22</v>
      </c>
      <c r="D105" s="1141"/>
    </row>
    <row r="106" spans="1:155" ht="13.5" customHeight="1" x14ac:dyDescent="0.2">
      <c r="A106" s="1138" t="s">
        <v>242</v>
      </c>
      <c r="B106" s="699" t="s">
        <v>6816</v>
      </c>
      <c r="C106" s="1172">
        <v>3.9</v>
      </c>
      <c r="D106" s="1173"/>
      <c r="E106" s="141"/>
    </row>
    <row r="107" spans="1:155" ht="13.5" customHeight="1" x14ac:dyDescent="0.2">
      <c r="A107" s="1138" t="s">
        <v>242</v>
      </c>
      <c r="B107" s="1174" t="s">
        <v>6842</v>
      </c>
      <c r="C107" s="1171">
        <v>25</v>
      </c>
      <c r="D107" s="1141"/>
    </row>
    <row r="108" spans="1:155" ht="13.5" customHeight="1" x14ac:dyDescent="0.2">
      <c r="A108" s="1138" t="s">
        <v>242</v>
      </c>
      <c r="B108" s="1146" t="s">
        <v>6833</v>
      </c>
      <c r="C108" s="1171">
        <v>11.25</v>
      </c>
      <c r="D108" s="1141"/>
    </row>
    <row r="109" spans="1:155" ht="13.5" customHeight="1" x14ac:dyDescent="0.2">
      <c r="A109" s="1138" t="s">
        <v>242</v>
      </c>
      <c r="B109" s="1166" t="s">
        <v>6918</v>
      </c>
      <c r="C109" s="389">
        <v>1473.48</v>
      </c>
      <c r="D109" s="1175"/>
    </row>
    <row r="110" spans="1:155" ht="13.5" customHeight="1" x14ac:dyDescent="0.2">
      <c r="A110" s="1138" t="s">
        <v>242</v>
      </c>
      <c r="B110" s="1142" t="s">
        <v>6847</v>
      </c>
      <c r="C110" s="1143">
        <v>-3.98</v>
      </c>
      <c r="D110" s="1152"/>
    </row>
    <row r="111" spans="1:155" ht="13.5" customHeight="1" x14ac:dyDescent="0.2">
      <c r="A111" s="1138" t="s">
        <v>242</v>
      </c>
      <c r="B111" s="1142" t="s">
        <v>6934</v>
      </c>
      <c r="C111" s="1176">
        <v>187.56</v>
      </c>
      <c r="D111" s="1158"/>
      <c r="F111" s="141"/>
      <c r="G111" s="141"/>
      <c r="H111" s="141"/>
      <c r="I111" s="141"/>
      <c r="J111" s="141"/>
    </row>
    <row r="112" spans="1:155" ht="13.5" customHeight="1" x14ac:dyDescent="0.2">
      <c r="A112" s="1177" t="s">
        <v>242</v>
      </c>
      <c r="B112" s="1144" t="s">
        <v>6919</v>
      </c>
      <c r="C112" s="1154">
        <v>2455.8000000000002</v>
      </c>
      <c r="D112" s="1155"/>
    </row>
    <row r="113" spans="1:164" ht="13.5" customHeight="1" x14ac:dyDescent="0.2">
      <c r="A113" s="1138" t="s">
        <v>242</v>
      </c>
      <c r="B113" s="1164" t="s">
        <v>228</v>
      </c>
      <c r="C113" s="1165">
        <v>318.96500000000003</v>
      </c>
      <c r="D113" s="1168"/>
      <c r="E113" s="141"/>
    </row>
    <row r="114" spans="1:164" ht="13.5" customHeight="1" x14ac:dyDescent="0.2">
      <c r="A114" s="1177"/>
      <c r="B114" s="1144"/>
      <c r="C114" s="1162">
        <f>SUM(C100:C113)</f>
        <v>4898.7650000000003</v>
      </c>
      <c r="D114" s="1155"/>
    </row>
    <row r="115" spans="1:164" ht="13.5" customHeight="1" x14ac:dyDescent="0.2">
      <c r="A115" s="1177"/>
      <c r="B115" s="1144"/>
      <c r="C115" s="1154"/>
      <c r="D115" s="1155"/>
    </row>
    <row r="116" spans="1:164" ht="13.5" customHeight="1" x14ac:dyDescent="0.2">
      <c r="A116" s="1138" t="s">
        <v>243</v>
      </c>
      <c r="B116" s="1146" t="s">
        <v>6731</v>
      </c>
      <c r="C116" s="1140">
        <v>-0.03</v>
      </c>
      <c r="D116" s="1141"/>
      <c r="E116" s="141"/>
      <c r="K116" s="141"/>
      <c r="L116" s="141"/>
      <c r="M116" s="141"/>
      <c r="N116" s="141"/>
      <c r="O116" s="141"/>
      <c r="P116" s="141"/>
      <c r="Q116" s="141"/>
      <c r="R116" s="141"/>
      <c r="S116" s="141"/>
      <c r="T116" s="141"/>
      <c r="U116" s="141"/>
      <c r="V116" s="141"/>
      <c r="W116" s="141"/>
      <c r="X116" s="141"/>
      <c r="Y116" s="141"/>
      <c r="Z116" s="141"/>
      <c r="AA116" s="141"/>
      <c r="AB116" s="141"/>
      <c r="AC116" s="141"/>
      <c r="AD116" s="141"/>
      <c r="AE116" s="141"/>
      <c r="AF116" s="141"/>
      <c r="AG116" s="141"/>
      <c r="AH116" s="141"/>
      <c r="AI116" s="141"/>
      <c r="AJ116" s="141"/>
      <c r="AK116" s="141"/>
      <c r="AL116" s="141"/>
      <c r="AM116" s="141"/>
      <c r="AN116" s="141"/>
      <c r="AO116" s="141"/>
      <c r="AP116" s="141"/>
      <c r="AQ116" s="141"/>
      <c r="AR116" s="141"/>
      <c r="AS116" s="141"/>
      <c r="AT116" s="141"/>
      <c r="AU116" s="141"/>
      <c r="AV116" s="141"/>
      <c r="AW116" s="141"/>
      <c r="AX116" s="141"/>
      <c r="AY116" s="141"/>
      <c r="AZ116" s="141"/>
      <c r="BA116" s="141"/>
      <c r="BB116" s="141"/>
      <c r="BC116" s="141"/>
      <c r="BD116" s="141"/>
      <c r="BE116" s="141"/>
      <c r="BF116" s="141"/>
      <c r="BG116" s="141"/>
      <c r="BH116" s="141"/>
      <c r="BI116" s="141"/>
      <c r="BJ116" s="141"/>
      <c r="BK116" s="141"/>
      <c r="BL116" s="141"/>
      <c r="BM116" s="141"/>
      <c r="BN116" s="141"/>
      <c r="BO116" s="141"/>
      <c r="BP116" s="141"/>
      <c r="BQ116" s="141"/>
      <c r="BR116" s="141"/>
      <c r="BS116" s="141"/>
      <c r="BT116" s="141"/>
      <c r="BU116" s="141"/>
      <c r="BV116" s="141"/>
      <c r="BW116" s="141"/>
      <c r="BX116" s="141"/>
      <c r="BY116" s="141"/>
      <c r="BZ116" s="141"/>
      <c r="CA116" s="141"/>
      <c r="CB116" s="141"/>
      <c r="CC116" s="141"/>
      <c r="CD116" s="141"/>
      <c r="CE116" s="141"/>
      <c r="CF116" s="141"/>
      <c r="CG116" s="141"/>
      <c r="CH116" s="141"/>
      <c r="CI116" s="141"/>
      <c r="CJ116" s="141"/>
      <c r="CK116" s="141"/>
      <c r="CL116" s="141"/>
      <c r="CM116" s="141"/>
      <c r="CN116" s="141"/>
      <c r="CO116" s="141"/>
      <c r="CP116" s="141"/>
      <c r="CQ116" s="141"/>
      <c r="CR116" s="141"/>
      <c r="CS116" s="141"/>
      <c r="CT116" s="141"/>
      <c r="CU116" s="141"/>
      <c r="CV116" s="141"/>
      <c r="CW116" s="141"/>
      <c r="CX116" s="141"/>
      <c r="CY116" s="141"/>
      <c r="CZ116" s="141"/>
      <c r="DA116" s="141"/>
      <c r="DB116" s="141"/>
      <c r="DC116" s="141"/>
      <c r="DD116" s="141"/>
      <c r="DE116" s="141"/>
      <c r="DF116" s="141"/>
      <c r="DG116" s="141"/>
      <c r="DH116" s="141"/>
      <c r="DI116" s="141"/>
      <c r="DJ116" s="141"/>
      <c r="DK116" s="141"/>
      <c r="DL116" s="141"/>
      <c r="DM116" s="141"/>
      <c r="DN116" s="141"/>
      <c r="DO116" s="141"/>
      <c r="DP116" s="141"/>
      <c r="DQ116" s="141"/>
      <c r="DR116" s="141"/>
      <c r="DS116" s="141"/>
      <c r="DT116" s="141"/>
      <c r="DU116" s="141"/>
      <c r="DV116" s="141"/>
      <c r="DW116" s="141"/>
      <c r="DX116" s="141"/>
      <c r="DY116" s="141"/>
      <c r="DZ116" s="141"/>
      <c r="EA116" s="141"/>
      <c r="EB116" s="141"/>
      <c r="EC116" s="141"/>
      <c r="ED116" s="141"/>
      <c r="EE116" s="141"/>
      <c r="EF116" s="141"/>
      <c r="EG116" s="141"/>
      <c r="EH116" s="141"/>
      <c r="EI116" s="141"/>
      <c r="EJ116" s="141"/>
      <c r="EK116" s="141"/>
      <c r="EL116" s="141"/>
      <c r="EM116" s="141"/>
      <c r="EN116" s="141"/>
      <c r="EO116" s="141"/>
      <c r="EP116" s="141"/>
      <c r="EQ116" s="141"/>
      <c r="ER116" s="141"/>
      <c r="ES116" s="141"/>
      <c r="ET116" s="141"/>
      <c r="EU116" s="141"/>
      <c r="EV116" s="141"/>
      <c r="EW116" s="141"/>
      <c r="EX116" s="141"/>
      <c r="EY116" s="141"/>
      <c r="EZ116" s="141"/>
      <c r="FA116" s="141"/>
      <c r="FB116" s="141"/>
      <c r="FC116" s="141"/>
      <c r="FD116" s="141"/>
      <c r="FE116" s="141"/>
      <c r="FF116" s="141"/>
      <c r="FG116" s="141"/>
      <c r="FH116" s="141"/>
    </row>
    <row r="117" spans="1:164" ht="13.5" customHeight="1" x14ac:dyDescent="0.2">
      <c r="A117" s="1138" t="s">
        <v>243</v>
      </c>
      <c r="B117" s="1146" t="s">
        <v>6079</v>
      </c>
      <c r="C117" s="1140">
        <v>900</v>
      </c>
      <c r="D117" s="1141"/>
      <c r="E117" s="141"/>
      <c r="K117" s="141"/>
      <c r="L117" s="141"/>
      <c r="M117" s="141"/>
      <c r="N117" s="141"/>
      <c r="O117" s="141"/>
      <c r="P117" s="141"/>
      <c r="Q117" s="141"/>
      <c r="R117" s="141"/>
      <c r="S117" s="141"/>
      <c r="T117" s="141"/>
      <c r="U117" s="141"/>
      <c r="V117" s="141"/>
      <c r="W117" s="141"/>
      <c r="X117" s="141"/>
      <c r="Y117" s="141"/>
      <c r="Z117" s="141"/>
      <c r="AA117" s="141"/>
      <c r="AB117" s="141"/>
      <c r="AC117" s="141"/>
      <c r="AD117" s="141"/>
      <c r="AE117" s="141"/>
      <c r="AF117" s="141"/>
      <c r="AG117" s="141"/>
      <c r="AH117" s="141"/>
      <c r="AI117" s="141"/>
      <c r="AJ117" s="141"/>
      <c r="AK117" s="141"/>
      <c r="AL117" s="141"/>
      <c r="AM117" s="141"/>
      <c r="AN117" s="141"/>
      <c r="AO117" s="141"/>
      <c r="AP117" s="141"/>
      <c r="AQ117" s="141"/>
      <c r="AR117" s="141"/>
      <c r="AS117" s="141"/>
      <c r="AT117" s="141"/>
      <c r="AU117" s="141"/>
      <c r="AV117" s="141"/>
      <c r="AW117" s="141"/>
      <c r="AX117" s="141"/>
      <c r="AY117" s="141"/>
      <c r="AZ117" s="141"/>
      <c r="BA117" s="141"/>
      <c r="BB117" s="141"/>
      <c r="BC117" s="141"/>
      <c r="BD117" s="141"/>
      <c r="BE117" s="141"/>
      <c r="BF117" s="141"/>
      <c r="BG117" s="141"/>
      <c r="BH117" s="141"/>
      <c r="BI117" s="141"/>
      <c r="BJ117" s="141"/>
      <c r="BK117" s="141"/>
      <c r="BL117" s="141"/>
      <c r="BM117" s="141"/>
      <c r="BN117" s="141"/>
      <c r="BO117" s="141"/>
      <c r="BP117" s="141"/>
      <c r="BQ117" s="141"/>
      <c r="BR117" s="141"/>
      <c r="BS117" s="141"/>
      <c r="BT117" s="141"/>
      <c r="BU117" s="141"/>
      <c r="BV117" s="141"/>
      <c r="BW117" s="141"/>
      <c r="BX117" s="141"/>
      <c r="BY117" s="141"/>
      <c r="BZ117" s="141"/>
      <c r="CA117" s="141"/>
      <c r="CB117" s="141"/>
      <c r="CC117" s="141"/>
      <c r="CD117" s="141"/>
      <c r="CE117" s="141"/>
      <c r="CF117" s="141"/>
      <c r="CG117" s="141"/>
      <c r="CH117" s="141"/>
      <c r="CI117" s="141"/>
      <c r="CJ117" s="141"/>
      <c r="CK117" s="141"/>
      <c r="CL117" s="141"/>
      <c r="CM117" s="141"/>
      <c r="CN117" s="141"/>
      <c r="CO117" s="141"/>
      <c r="CP117" s="141"/>
      <c r="CQ117" s="141"/>
      <c r="CR117" s="141"/>
      <c r="CS117" s="141"/>
      <c r="CT117" s="141"/>
      <c r="CU117" s="141"/>
      <c r="CV117" s="141"/>
      <c r="CW117" s="141"/>
      <c r="CX117" s="141"/>
      <c r="CY117" s="141"/>
      <c r="CZ117" s="141"/>
      <c r="DA117" s="141"/>
      <c r="DB117" s="141"/>
      <c r="DC117" s="141"/>
      <c r="DD117" s="141"/>
      <c r="DE117" s="141"/>
      <c r="DF117" s="141"/>
      <c r="DG117" s="141"/>
      <c r="DH117" s="141"/>
      <c r="DI117" s="141"/>
      <c r="DJ117" s="141"/>
      <c r="DK117" s="141"/>
      <c r="DL117" s="141"/>
      <c r="DM117" s="141"/>
      <c r="DN117" s="141"/>
      <c r="DO117" s="141"/>
      <c r="DP117" s="141"/>
      <c r="DQ117" s="141"/>
      <c r="DR117" s="141"/>
      <c r="DS117" s="141"/>
      <c r="DT117" s="141"/>
      <c r="DU117" s="141"/>
      <c r="DV117" s="141"/>
      <c r="DW117" s="141"/>
      <c r="DX117" s="141"/>
      <c r="DY117" s="141"/>
      <c r="DZ117" s="141"/>
      <c r="EA117" s="141"/>
      <c r="EB117" s="141"/>
      <c r="EC117" s="141"/>
      <c r="ED117" s="141"/>
      <c r="EE117" s="141"/>
      <c r="EF117" s="141"/>
      <c r="EG117" s="141"/>
      <c r="EH117" s="141"/>
      <c r="EI117" s="141"/>
      <c r="EJ117" s="141"/>
      <c r="EK117" s="141"/>
      <c r="EL117" s="141"/>
      <c r="EM117" s="141"/>
      <c r="EN117" s="141"/>
      <c r="EO117" s="141"/>
      <c r="EP117" s="141"/>
      <c r="EQ117" s="141"/>
      <c r="ER117" s="141"/>
      <c r="ES117" s="141"/>
      <c r="ET117" s="141"/>
      <c r="EU117" s="141"/>
      <c r="EV117" s="141"/>
      <c r="EW117" s="141"/>
      <c r="EX117" s="141"/>
      <c r="EY117" s="141"/>
      <c r="EZ117" s="141"/>
      <c r="FA117" s="141"/>
      <c r="FB117" s="141"/>
      <c r="FC117" s="141"/>
      <c r="FD117" s="141"/>
      <c r="FE117" s="141"/>
      <c r="FF117" s="141"/>
      <c r="FG117" s="141"/>
      <c r="FH117" s="141"/>
    </row>
    <row r="118" spans="1:164" ht="13.5" customHeight="1" x14ac:dyDescent="0.2">
      <c r="A118" s="1138" t="s">
        <v>243</v>
      </c>
      <c r="B118" s="1146" t="s">
        <v>6951</v>
      </c>
      <c r="C118" s="1140">
        <v>240</v>
      </c>
      <c r="D118" s="1141"/>
      <c r="E118" s="141"/>
      <c r="K118" s="141"/>
      <c r="L118" s="141"/>
      <c r="M118" s="141"/>
      <c r="N118" s="141"/>
      <c r="O118" s="141"/>
      <c r="P118" s="141"/>
      <c r="Q118" s="141"/>
      <c r="R118" s="141"/>
      <c r="S118" s="141"/>
      <c r="T118" s="141"/>
      <c r="U118" s="141"/>
      <c r="V118" s="141"/>
      <c r="W118" s="141"/>
      <c r="X118" s="141"/>
      <c r="Y118" s="141"/>
      <c r="Z118" s="141"/>
      <c r="AA118" s="141"/>
      <c r="AB118" s="141"/>
      <c r="AC118" s="141"/>
      <c r="AD118" s="141"/>
      <c r="AE118" s="141"/>
      <c r="AF118" s="141"/>
      <c r="AG118" s="141"/>
      <c r="AH118" s="141"/>
      <c r="AI118" s="141"/>
      <c r="AJ118" s="141"/>
      <c r="AK118" s="141"/>
      <c r="AL118" s="141"/>
      <c r="AM118" s="141"/>
      <c r="AN118" s="141"/>
      <c r="AO118" s="141"/>
      <c r="AP118" s="141"/>
      <c r="AQ118" s="141"/>
      <c r="AR118" s="141"/>
      <c r="AS118" s="141"/>
      <c r="AT118" s="141"/>
      <c r="AU118" s="141"/>
      <c r="AV118" s="141"/>
      <c r="AW118" s="141"/>
      <c r="AX118" s="141"/>
      <c r="AY118" s="141"/>
      <c r="AZ118" s="141"/>
      <c r="BA118" s="141"/>
      <c r="BB118" s="141"/>
      <c r="BC118" s="141"/>
      <c r="BD118" s="141"/>
      <c r="BE118" s="141"/>
      <c r="BF118" s="141"/>
      <c r="BG118" s="141"/>
      <c r="BH118" s="141"/>
      <c r="BI118" s="141"/>
      <c r="BJ118" s="141"/>
      <c r="BK118" s="141"/>
      <c r="BL118" s="141"/>
      <c r="BM118" s="141"/>
      <c r="BN118" s="141"/>
      <c r="BO118" s="141"/>
      <c r="BP118" s="141"/>
      <c r="BQ118" s="141"/>
      <c r="BR118" s="141"/>
      <c r="BS118" s="141"/>
      <c r="BT118" s="141"/>
      <c r="BU118" s="141"/>
      <c r="BV118" s="141"/>
      <c r="BW118" s="141"/>
      <c r="BX118" s="141"/>
      <c r="BY118" s="141"/>
      <c r="BZ118" s="141"/>
      <c r="CA118" s="141"/>
      <c r="CB118" s="141"/>
      <c r="CC118" s="141"/>
      <c r="CD118" s="141"/>
      <c r="CE118" s="141"/>
      <c r="CF118" s="141"/>
      <c r="CG118" s="141"/>
      <c r="CH118" s="141"/>
      <c r="CI118" s="141"/>
      <c r="CJ118" s="141"/>
      <c r="CK118" s="141"/>
      <c r="CL118" s="141"/>
      <c r="CM118" s="141"/>
      <c r="CN118" s="141"/>
      <c r="CO118" s="141"/>
      <c r="CP118" s="141"/>
      <c r="CQ118" s="141"/>
      <c r="CR118" s="141"/>
      <c r="CS118" s="141"/>
      <c r="CT118" s="141"/>
      <c r="CU118" s="141"/>
      <c r="CV118" s="141"/>
      <c r="CW118" s="141"/>
      <c r="CX118" s="141"/>
      <c r="CY118" s="141"/>
      <c r="CZ118" s="141"/>
      <c r="DA118" s="141"/>
      <c r="DB118" s="141"/>
      <c r="DC118" s="141"/>
      <c r="DD118" s="141"/>
      <c r="DE118" s="141"/>
      <c r="DF118" s="141"/>
      <c r="DG118" s="141"/>
      <c r="DH118" s="141"/>
      <c r="DI118" s="141"/>
      <c r="DJ118" s="141"/>
      <c r="DK118" s="141"/>
      <c r="DL118" s="141"/>
      <c r="DM118" s="141"/>
      <c r="DN118" s="141"/>
      <c r="DO118" s="141"/>
      <c r="DP118" s="141"/>
      <c r="DQ118" s="141"/>
      <c r="DR118" s="141"/>
      <c r="DS118" s="141"/>
      <c r="DT118" s="141"/>
      <c r="DU118" s="141"/>
      <c r="DV118" s="141"/>
      <c r="DW118" s="141"/>
      <c r="DX118" s="141"/>
      <c r="DY118" s="141"/>
      <c r="DZ118" s="141"/>
      <c r="EA118" s="141"/>
      <c r="EB118" s="141"/>
      <c r="EC118" s="141"/>
      <c r="ED118" s="141"/>
      <c r="EE118" s="141"/>
      <c r="EF118" s="141"/>
      <c r="EG118" s="141"/>
      <c r="EH118" s="141"/>
      <c r="EI118" s="141"/>
      <c r="EJ118" s="141"/>
      <c r="EK118" s="141"/>
      <c r="EL118" s="141"/>
      <c r="EM118" s="141"/>
      <c r="EN118" s="141"/>
      <c r="EO118" s="141"/>
      <c r="EP118" s="141"/>
      <c r="EQ118" s="141"/>
      <c r="ER118" s="141"/>
      <c r="ES118" s="141"/>
      <c r="ET118" s="141"/>
      <c r="EU118" s="141"/>
      <c r="EV118" s="141"/>
      <c r="EW118" s="141"/>
      <c r="EX118" s="141"/>
      <c r="EY118" s="141"/>
      <c r="EZ118" s="141"/>
      <c r="FA118" s="141"/>
      <c r="FB118" s="141"/>
      <c r="FC118" s="141"/>
      <c r="FD118" s="141"/>
      <c r="FE118" s="141"/>
      <c r="FF118" s="141"/>
      <c r="FG118" s="141"/>
      <c r="FH118" s="141"/>
    </row>
    <row r="119" spans="1:164" ht="13.5" customHeight="1" x14ac:dyDescent="0.2">
      <c r="A119" s="1138" t="s">
        <v>243</v>
      </c>
      <c r="B119" s="1146" t="s">
        <v>5732</v>
      </c>
      <c r="C119" s="389">
        <v>39.659999999999997</v>
      </c>
      <c r="D119" s="1141"/>
    </row>
    <row r="120" spans="1:164" ht="13.5" customHeight="1" x14ac:dyDescent="0.2">
      <c r="A120" s="1138" t="s">
        <v>243</v>
      </c>
      <c r="B120" s="1146" t="s">
        <v>6735</v>
      </c>
      <c r="C120" s="1171">
        <v>13.95</v>
      </c>
      <c r="D120" s="1141"/>
    </row>
    <row r="121" spans="1:164" ht="13.5" customHeight="1" x14ac:dyDescent="0.2">
      <c r="A121" s="1138" t="s">
        <v>243</v>
      </c>
      <c r="B121" s="1174" t="s">
        <v>6762</v>
      </c>
      <c r="C121" s="1171">
        <v>6.55</v>
      </c>
      <c r="D121" s="1141"/>
    </row>
    <row r="122" spans="1:164" ht="13.5" customHeight="1" x14ac:dyDescent="0.2">
      <c r="A122" s="1138" t="s">
        <v>243</v>
      </c>
      <c r="B122" s="1149" t="s">
        <v>6793</v>
      </c>
      <c r="C122" s="1171">
        <v>7.7</v>
      </c>
      <c r="D122" s="1141"/>
    </row>
    <row r="123" spans="1:164" ht="13.5" customHeight="1" x14ac:dyDescent="0.2">
      <c r="A123" s="1138" t="s">
        <v>243</v>
      </c>
      <c r="B123" s="1166" t="s">
        <v>6793</v>
      </c>
      <c r="C123" s="1172">
        <v>10.5</v>
      </c>
      <c r="D123" s="1173"/>
    </row>
    <row r="124" spans="1:164" ht="13.5" customHeight="1" x14ac:dyDescent="0.2">
      <c r="A124" s="1138" t="s">
        <v>243</v>
      </c>
      <c r="B124" s="1166" t="s">
        <v>6732</v>
      </c>
      <c r="C124" s="1172">
        <v>8.98</v>
      </c>
      <c r="D124" s="1173"/>
      <c r="E124" s="141"/>
    </row>
    <row r="125" spans="1:164" ht="13.5" customHeight="1" x14ac:dyDescent="0.2">
      <c r="A125" s="1138" t="s">
        <v>243</v>
      </c>
      <c r="B125" s="1146" t="s">
        <v>6732</v>
      </c>
      <c r="C125" s="1171">
        <v>9.8000000000000007</v>
      </c>
      <c r="D125" s="1141"/>
    </row>
    <row r="126" spans="1:164" ht="13.5" customHeight="1" x14ac:dyDescent="0.2">
      <c r="A126" s="1138" t="s">
        <v>243</v>
      </c>
      <c r="B126" s="1149" t="s">
        <v>6763</v>
      </c>
      <c r="C126" s="1171">
        <v>6.98</v>
      </c>
      <c r="D126" s="1141"/>
    </row>
    <row r="127" spans="1:164" ht="13.5" customHeight="1" x14ac:dyDescent="0.2">
      <c r="A127" s="1138" t="s">
        <v>243</v>
      </c>
      <c r="B127" s="1146" t="s">
        <v>6828</v>
      </c>
      <c r="C127" s="1171">
        <v>22</v>
      </c>
      <c r="D127" s="1141"/>
    </row>
    <row r="128" spans="1:164" ht="13.5" customHeight="1" x14ac:dyDescent="0.2">
      <c r="A128" s="1138" t="s">
        <v>243</v>
      </c>
      <c r="B128" s="1146" t="s">
        <v>1013</v>
      </c>
      <c r="C128" s="389">
        <v>1650</v>
      </c>
      <c r="D128" s="1175"/>
    </row>
    <row r="129" spans="1:155" ht="13.5" customHeight="1" x14ac:dyDescent="0.2">
      <c r="A129" s="1138" t="s">
        <v>243</v>
      </c>
      <c r="B129" s="1149" t="s">
        <v>5933</v>
      </c>
      <c r="C129" s="1171">
        <v>970</v>
      </c>
      <c r="D129" s="1141"/>
    </row>
    <row r="130" spans="1:155" ht="13.5" customHeight="1" x14ac:dyDescent="0.2">
      <c r="A130" s="1138" t="s">
        <v>243</v>
      </c>
      <c r="B130" s="1146" t="s">
        <v>6838</v>
      </c>
      <c r="C130" s="1171">
        <v>37.4</v>
      </c>
      <c r="D130" s="1141"/>
    </row>
    <row r="131" spans="1:155" ht="13.5" customHeight="1" x14ac:dyDescent="0.2">
      <c r="A131" s="1177" t="s">
        <v>243</v>
      </c>
      <c r="B131" s="1149" t="s">
        <v>6764</v>
      </c>
      <c r="C131" s="1171">
        <v>29.42</v>
      </c>
      <c r="D131" s="1141"/>
    </row>
    <row r="132" spans="1:155" ht="13.5" customHeight="1" x14ac:dyDescent="0.2">
      <c r="A132" s="1177"/>
      <c r="B132" s="1149"/>
      <c r="C132" s="1178">
        <f>SUM(C116:C131)</f>
        <v>3952.9100000000003</v>
      </c>
      <c r="D132" s="1179">
        <f>C132/2</f>
        <v>1976.4550000000002</v>
      </c>
    </row>
    <row r="133" spans="1:155" ht="13.5" customHeight="1" x14ac:dyDescent="0.2">
      <c r="A133" s="1177"/>
      <c r="B133" s="1149"/>
      <c r="C133" s="1171"/>
      <c r="D133" s="1141"/>
    </row>
    <row r="134" spans="1:155" ht="13.5" customHeight="1" x14ac:dyDescent="0.2">
      <c r="A134" s="1138" t="s">
        <v>230</v>
      </c>
      <c r="B134" s="1146" t="s">
        <v>382</v>
      </c>
      <c r="C134" s="1180">
        <f>D134*D155</f>
        <v>276.24369490940467</v>
      </c>
      <c r="D134" s="1175">
        <v>358.12</v>
      </c>
    </row>
    <row r="135" spans="1:155" ht="13.5" customHeight="1" x14ac:dyDescent="0.2">
      <c r="A135" s="1138"/>
      <c r="B135" s="1146" t="s">
        <v>177</v>
      </c>
      <c r="C135" s="1180">
        <f>D134-C134</f>
        <v>81.876305090595338</v>
      </c>
      <c r="D135" s="1175"/>
    </row>
    <row r="136" spans="1:155" ht="13.5" customHeight="1" x14ac:dyDescent="0.2">
      <c r="A136" s="1138"/>
      <c r="B136" s="1146"/>
      <c r="C136" s="1180"/>
      <c r="D136" s="1175"/>
    </row>
    <row r="137" spans="1:155" ht="13.5" customHeight="1" x14ac:dyDescent="0.2">
      <c r="A137" s="1138" t="s">
        <v>231</v>
      </c>
      <c r="B137" s="1146" t="s">
        <v>394</v>
      </c>
      <c r="C137" s="1180">
        <f>D137*D155</f>
        <v>1009.6872122519413</v>
      </c>
      <c r="D137" s="1175">
        <v>1308.95</v>
      </c>
    </row>
    <row r="138" spans="1:155" ht="13.5" customHeight="1" x14ac:dyDescent="0.2">
      <c r="A138" s="1138"/>
      <c r="B138" s="1146" t="s">
        <v>198</v>
      </c>
      <c r="C138" s="1180">
        <f>D137-C137</f>
        <v>299.26278774805871</v>
      </c>
      <c r="D138" s="1175"/>
    </row>
    <row r="139" spans="1:155" ht="13.5" customHeight="1" x14ac:dyDescent="0.2">
      <c r="A139" s="1138"/>
      <c r="B139" s="1146"/>
      <c r="C139" s="389"/>
      <c r="D139" s="1175"/>
    </row>
    <row r="140" spans="1:155" ht="13.5" customHeight="1" x14ac:dyDescent="0.2">
      <c r="A140" s="1138" t="s">
        <v>244</v>
      </c>
      <c r="B140" s="1146" t="s">
        <v>6935</v>
      </c>
      <c r="C140" s="1169">
        <v>110</v>
      </c>
      <c r="D140" s="1169"/>
    </row>
    <row r="141" spans="1:155" ht="13.5" customHeight="1" x14ac:dyDescent="0.2">
      <c r="A141" s="1138" t="s">
        <v>244</v>
      </c>
      <c r="B141" s="1166" t="s">
        <v>6948</v>
      </c>
      <c r="C141" s="1167">
        <v>100</v>
      </c>
      <c r="D141" s="1169"/>
      <c r="W141" s="1159"/>
      <c r="AS141" s="1159"/>
      <c r="BO141" s="1159"/>
      <c r="CK141" s="1159"/>
      <c r="DG141" s="1159"/>
      <c r="EC141" s="1159"/>
      <c r="EY141" s="1159"/>
    </row>
    <row r="142" spans="1:155" ht="13.5" customHeight="1" x14ac:dyDescent="0.2">
      <c r="A142" s="1138"/>
      <c r="B142" s="1166"/>
      <c r="C142" s="1181">
        <f>SUM(C140:C141)</f>
        <v>210</v>
      </c>
      <c r="D142" s="1182">
        <f>C142/2</f>
        <v>105</v>
      </c>
      <c r="W142" s="1159"/>
      <c r="AS142" s="1159"/>
      <c r="BO142" s="1159"/>
      <c r="CK142" s="1159"/>
      <c r="DG142" s="1159"/>
      <c r="EC142" s="1159"/>
      <c r="EY142" s="1159"/>
    </row>
    <row r="143" spans="1:155" ht="13.5" customHeight="1" x14ac:dyDescent="0.2">
      <c r="A143" s="1138"/>
      <c r="B143" s="1166"/>
      <c r="C143" s="1167"/>
      <c r="D143" s="1169"/>
      <c r="W143" s="1159"/>
      <c r="AS143" s="1159"/>
      <c r="BO143" s="1159"/>
      <c r="CK143" s="1159"/>
      <c r="DG143" s="1159"/>
      <c r="EC143" s="1159"/>
      <c r="EY143" s="1159"/>
    </row>
    <row r="144" spans="1:155" ht="13.5" customHeight="1" x14ac:dyDescent="0.2">
      <c r="A144" s="1138" t="s">
        <v>232</v>
      </c>
      <c r="B144" s="1146" t="s">
        <v>6954</v>
      </c>
      <c r="C144" s="1171">
        <v>6.98</v>
      </c>
      <c r="D144" s="1141"/>
    </row>
    <row r="145" spans="1:7" ht="13.5" customHeight="1" x14ac:dyDescent="0.2">
      <c r="A145" s="1138" t="s">
        <v>232</v>
      </c>
      <c r="B145" s="1146" t="s">
        <v>6757</v>
      </c>
      <c r="C145" s="1171">
        <v>240</v>
      </c>
      <c r="D145" s="1141"/>
      <c r="F145" s="1142" t="s">
        <v>1930</v>
      </c>
      <c r="G145" s="1154">
        <v>100</v>
      </c>
    </row>
    <row r="146" spans="1:7" ht="13.5" customHeight="1" x14ac:dyDescent="0.2">
      <c r="A146" s="1138" t="s">
        <v>232</v>
      </c>
      <c r="B146" s="1142" t="s">
        <v>6756</v>
      </c>
      <c r="C146" s="992">
        <v>170</v>
      </c>
      <c r="D146" s="1155"/>
      <c r="F146" s="1149" t="s">
        <v>6955</v>
      </c>
      <c r="G146" s="1171">
        <v>11.9</v>
      </c>
    </row>
    <row r="147" spans="1:7" ht="13.5" customHeight="1" x14ac:dyDescent="0.2">
      <c r="A147" s="1138" t="s">
        <v>232</v>
      </c>
      <c r="B147" s="1142" t="s">
        <v>6289</v>
      </c>
      <c r="C147" s="1154">
        <v>399.79</v>
      </c>
      <c r="D147" s="1155"/>
      <c r="F147" s="1147" t="s">
        <v>6956</v>
      </c>
      <c r="G147" s="992">
        <v>7.6</v>
      </c>
    </row>
    <row r="148" spans="1:7" ht="13.5" customHeight="1" x14ac:dyDescent="0.2">
      <c r="A148" s="1138" t="s">
        <v>232</v>
      </c>
      <c r="B148" s="1142" t="s">
        <v>6287</v>
      </c>
      <c r="C148" s="1154">
        <v>209.79</v>
      </c>
      <c r="D148" s="1155"/>
      <c r="F148" s="1139" t="s">
        <v>6957</v>
      </c>
      <c r="G148" s="992">
        <v>8.0500000000000007</v>
      </c>
    </row>
    <row r="149" spans="1:7" ht="13.5" customHeight="1" x14ac:dyDescent="0.2">
      <c r="A149" s="1138" t="s">
        <v>232</v>
      </c>
      <c r="B149" s="1142" t="s">
        <v>6923</v>
      </c>
      <c r="C149" s="1176">
        <v>900</v>
      </c>
      <c r="D149" s="1158"/>
      <c r="F149" s="1144" t="s">
        <v>6957</v>
      </c>
      <c r="G149" s="1165">
        <v>16.100000000000001</v>
      </c>
    </row>
    <row r="150" spans="1:7" ht="13.5" customHeight="1" x14ac:dyDescent="0.2">
      <c r="A150" s="1138" t="s">
        <v>232</v>
      </c>
      <c r="B150" s="1142" t="s">
        <v>6924</v>
      </c>
      <c r="C150" s="1176">
        <v>200</v>
      </c>
      <c r="D150" s="1158"/>
      <c r="F150" s="1139" t="s">
        <v>6958</v>
      </c>
      <c r="G150" s="992">
        <v>12.95</v>
      </c>
    </row>
    <row r="151" spans="1:7" ht="13.5" customHeight="1" x14ac:dyDescent="0.2">
      <c r="A151" s="1138" t="s">
        <v>232</v>
      </c>
      <c r="B151" s="1142" t="s">
        <v>6930</v>
      </c>
      <c r="C151" s="1176">
        <v>7.2</v>
      </c>
      <c r="D151" s="1158"/>
      <c r="F151" s="1164" t="s">
        <v>6959</v>
      </c>
      <c r="G151" s="1165">
        <v>16.18</v>
      </c>
    </row>
    <row r="152" spans="1:7" ht="13.5" customHeight="1" x14ac:dyDescent="0.2">
      <c r="A152" s="1138" t="s">
        <v>232</v>
      </c>
      <c r="B152" s="1142" t="s">
        <v>749</v>
      </c>
      <c r="C152" s="1154">
        <v>1359.37</v>
      </c>
      <c r="D152" s="1155"/>
      <c r="F152" s="1142" t="s">
        <v>6960</v>
      </c>
      <c r="G152" s="992">
        <v>4.49</v>
      </c>
    </row>
    <row r="153" spans="1:7" ht="13.5" customHeight="1" x14ac:dyDescent="0.2">
      <c r="A153" s="1138" t="s">
        <v>232</v>
      </c>
      <c r="B153" s="1149" t="s">
        <v>751</v>
      </c>
      <c r="C153" s="389">
        <v>781.37</v>
      </c>
      <c r="D153" s="1175"/>
      <c r="F153" s="1142" t="s">
        <v>6960</v>
      </c>
      <c r="G153" s="992">
        <v>8.98</v>
      </c>
    </row>
    <row r="154" spans="1:7" ht="13.5" customHeight="1" x14ac:dyDescent="0.2">
      <c r="A154" s="1138" t="s">
        <v>232</v>
      </c>
      <c r="B154" s="1146" t="s">
        <v>837</v>
      </c>
      <c r="C154" s="389">
        <v>1313.125</v>
      </c>
      <c r="D154" s="1175"/>
      <c r="F154" s="1139" t="s">
        <v>6961</v>
      </c>
      <c r="G154" s="992">
        <v>150</v>
      </c>
    </row>
    <row r="155" spans="1:7" ht="13.5" customHeight="1" x14ac:dyDescent="0.2">
      <c r="A155" s="1177"/>
      <c r="B155" s="1142"/>
      <c r="C155" s="1156">
        <f>SUM(C144:C154)</f>
        <v>5587.625</v>
      </c>
      <c r="D155" s="1183">
        <f>C155/SUM(C155,C161)</f>
        <v>0.77137187230371007</v>
      </c>
      <c r="F155" s="1142" t="s">
        <v>6961</v>
      </c>
      <c r="G155" s="992">
        <v>300</v>
      </c>
    </row>
    <row r="156" spans="1:7" ht="13.5" customHeight="1" x14ac:dyDescent="0.2">
      <c r="A156" s="1177"/>
      <c r="B156" s="1142"/>
      <c r="C156" s="992"/>
      <c r="D156" s="1175"/>
      <c r="F156" s="1144" t="s">
        <v>6961</v>
      </c>
      <c r="G156" s="1165">
        <v>300</v>
      </c>
    </row>
    <row r="157" spans="1:7" ht="13.5" customHeight="1" x14ac:dyDescent="0.2">
      <c r="A157" s="1177" t="s">
        <v>232</v>
      </c>
      <c r="B157" s="1164" t="s">
        <v>6812</v>
      </c>
      <c r="C157" s="1165">
        <v>300</v>
      </c>
      <c r="D157" s="1168"/>
      <c r="F157" s="1142" t="s">
        <v>6961</v>
      </c>
      <c r="G157" s="992">
        <v>300</v>
      </c>
    </row>
    <row r="158" spans="1:7" ht="13.5" customHeight="1" x14ac:dyDescent="0.2">
      <c r="A158" s="1177" t="s">
        <v>232</v>
      </c>
      <c r="B158" s="1139" t="s">
        <v>6784</v>
      </c>
      <c r="C158" s="992">
        <v>8</v>
      </c>
      <c r="D158" s="1168"/>
      <c r="F158" s="1164" t="s">
        <v>6962</v>
      </c>
      <c r="G158" s="1165">
        <v>300</v>
      </c>
    </row>
    <row r="159" spans="1:7" ht="13.5" customHeight="1" x14ac:dyDescent="0.2">
      <c r="A159" s="1177" t="s">
        <v>232</v>
      </c>
      <c r="B159" s="1142" t="s">
        <v>6827</v>
      </c>
      <c r="C159" s="992">
        <v>35</v>
      </c>
      <c r="D159" s="1152"/>
      <c r="F159" s="1164" t="s">
        <v>6963</v>
      </c>
      <c r="G159" s="1165">
        <v>240</v>
      </c>
    </row>
    <row r="160" spans="1:7" ht="13.5" customHeight="1" x14ac:dyDescent="0.2">
      <c r="A160" s="1138" t="s">
        <v>232</v>
      </c>
      <c r="B160" s="1146" t="s">
        <v>838</v>
      </c>
      <c r="C160" s="389">
        <v>1313.125</v>
      </c>
      <c r="D160" s="1152"/>
      <c r="F160" s="1144" t="s">
        <v>6809</v>
      </c>
      <c r="G160" s="1165">
        <v>300</v>
      </c>
    </row>
    <row r="161" spans="1:7" ht="13.5" customHeight="1" x14ac:dyDescent="0.2">
      <c r="A161" s="1177"/>
      <c r="B161" s="1164"/>
      <c r="C161" s="1184">
        <f>SUM(C157:C160)</f>
        <v>1656.125</v>
      </c>
      <c r="D161" s="1183">
        <f>C161/SUM(C161,C155)</f>
        <v>0.2286281276962899</v>
      </c>
      <c r="F161" s="1139" t="s">
        <v>6158</v>
      </c>
      <c r="G161" s="992">
        <v>250</v>
      </c>
    </row>
    <row r="162" spans="1:7" ht="13.5" customHeight="1" x14ac:dyDescent="0.2">
      <c r="A162" s="1177"/>
      <c r="B162" s="1164"/>
      <c r="C162" s="1165"/>
      <c r="D162" s="1168"/>
      <c r="E162" s="141"/>
      <c r="F162" s="1142" t="s">
        <v>6844</v>
      </c>
      <c r="G162" s="992">
        <v>300</v>
      </c>
    </row>
    <row r="163" spans="1:7" ht="13.5" customHeight="1" x14ac:dyDescent="0.2">
      <c r="A163" s="1138" t="s">
        <v>245</v>
      </c>
      <c r="B163" s="1139" t="s">
        <v>6740</v>
      </c>
      <c r="C163" s="992">
        <v>30.64</v>
      </c>
      <c r="D163" s="1168"/>
      <c r="G163" s="377">
        <f>SUM(G145:G162)</f>
        <v>2626.25</v>
      </c>
    </row>
    <row r="164" spans="1:7" ht="13.5" customHeight="1" x14ac:dyDescent="0.2">
      <c r="A164" s="1138" t="s">
        <v>245</v>
      </c>
      <c r="B164" s="1142" t="s">
        <v>6855</v>
      </c>
      <c r="C164" s="1154">
        <v>14.5</v>
      </c>
      <c r="D164" s="1168"/>
    </row>
    <row r="165" spans="1:7" ht="13.5" customHeight="1" x14ac:dyDescent="0.2">
      <c r="A165" s="1138" t="s">
        <v>245</v>
      </c>
      <c r="B165" s="1142" t="s">
        <v>872</v>
      </c>
      <c r="C165" s="992">
        <v>9.8000000000000007</v>
      </c>
      <c r="D165" s="1152"/>
    </row>
    <row r="166" spans="1:7" ht="13.5" customHeight="1" x14ac:dyDescent="0.2">
      <c r="A166" s="1138" t="s">
        <v>245</v>
      </c>
      <c r="B166" s="1142" t="s">
        <v>6853</v>
      </c>
      <c r="C166" s="1154">
        <v>4.7</v>
      </c>
      <c r="D166" s="1185"/>
      <c r="E166" s="141"/>
    </row>
    <row r="167" spans="1:7" ht="13.5" customHeight="1" x14ac:dyDescent="0.2">
      <c r="A167" s="1138" t="s">
        <v>245</v>
      </c>
      <c r="B167" s="1142" t="s">
        <v>6826</v>
      </c>
      <c r="C167" s="992">
        <v>4.5</v>
      </c>
      <c r="D167" s="1152"/>
    </row>
    <row r="168" spans="1:7" ht="13.5" customHeight="1" x14ac:dyDescent="0.2">
      <c r="A168" s="1138" t="s">
        <v>245</v>
      </c>
      <c r="B168" s="1142" t="s">
        <v>6837</v>
      </c>
      <c r="C168" s="992">
        <v>10</v>
      </c>
      <c r="D168" s="1185"/>
    </row>
    <row r="169" spans="1:7" ht="13.5" customHeight="1" x14ac:dyDescent="0.2">
      <c r="A169" s="1138" t="s">
        <v>245</v>
      </c>
      <c r="B169" s="1164" t="s">
        <v>6814</v>
      </c>
      <c r="C169" s="1165">
        <v>4.7</v>
      </c>
      <c r="D169" s="1152"/>
      <c r="E169" s="141"/>
    </row>
    <row r="170" spans="1:7" ht="13.5" customHeight="1" x14ac:dyDescent="0.2">
      <c r="A170" s="1138" t="s">
        <v>245</v>
      </c>
      <c r="B170" s="1142" t="s">
        <v>6854</v>
      </c>
      <c r="C170" s="1154">
        <v>30</v>
      </c>
      <c r="D170" s="1152"/>
    </row>
    <row r="171" spans="1:7" ht="13.5" customHeight="1" x14ac:dyDescent="0.2">
      <c r="A171" s="1138" t="s">
        <v>245</v>
      </c>
      <c r="B171" s="1142" t="s">
        <v>6928</v>
      </c>
      <c r="C171" s="1176">
        <v>14.6</v>
      </c>
      <c r="D171" s="1168"/>
    </row>
    <row r="172" spans="1:7" ht="13.5" customHeight="1" x14ac:dyDescent="0.2">
      <c r="A172" s="1138" t="s">
        <v>245</v>
      </c>
      <c r="B172" s="1142" t="s">
        <v>6931</v>
      </c>
      <c r="C172" s="1176">
        <v>35.25</v>
      </c>
      <c r="D172" s="1185"/>
    </row>
    <row r="173" spans="1:7" ht="13.5" customHeight="1" x14ac:dyDescent="0.2">
      <c r="A173" s="1138" t="s">
        <v>245</v>
      </c>
      <c r="B173" s="1142" t="s">
        <v>6913</v>
      </c>
      <c r="C173" s="1154">
        <v>602</v>
      </c>
      <c r="D173" s="1158"/>
    </row>
    <row r="174" spans="1:7" ht="13.5" customHeight="1" x14ac:dyDescent="0.2">
      <c r="A174" s="1138" t="s">
        <v>245</v>
      </c>
      <c r="B174" s="1142" t="s">
        <v>6926</v>
      </c>
      <c r="C174" s="1176">
        <v>22.98</v>
      </c>
      <c r="D174" s="1158"/>
    </row>
    <row r="175" spans="1:7" ht="13.5" customHeight="1" x14ac:dyDescent="0.2">
      <c r="A175" s="1138" t="s">
        <v>245</v>
      </c>
      <c r="B175" s="1142" t="s">
        <v>6964</v>
      </c>
      <c r="C175" s="1154">
        <v>1115.8900000000001</v>
      </c>
      <c r="D175" s="1155"/>
      <c r="E175" s="141"/>
    </row>
    <row r="176" spans="1:7" ht="13.5" customHeight="1" x14ac:dyDescent="0.2">
      <c r="A176" s="1138" t="s">
        <v>245</v>
      </c>
      <c r="B176" s="1142" t="s">
        <v>6932</v>
      </c>
      <c r="C176" s="1176">
        <v>31.55</v>
      </c>
      <c r="D176" s="1158"/>
      <c r="E176" s="141"/>
    </row>
    <row r="177" spans="1:5" ht="13.5" customHeight="1" x14ac:dyDescent="0.2">
      <c r="A177" s="1138" t="s">
        <v>245</v>
      </c>
      <c r="B177" s="1142" t="s">
        <v>6503</v>
      </c>
      <c r="C177" s="1176">
        <v>3</v>
      </c>
      <c r="D177" s="1155"/>
      <c r="E177" s="141"/>
    </row>
    <row r="178" spans="1:5" ht="13.5" customHeight="1" x14ac:dyDescent="0.2">
      <c r="A178" s="1138" t="s">
        <v>245</v>
      </c>
      <c r="B178" s="1142" t="s">
        <v>6921</v>
      </c>
      <c r="C178" s="1186">
        <v>7.8</v>
      </c>
      <c r="D178" s="1158"/>
    </row>
    <row r="179" spans="1:5" ht="13.5" customHeight="1" x14ac:dyDescent="0.2">
      <c r="A179" s="1138" t="s">
        <v>245</v>
      </c>
      <c r="B179" s="1142" t="s">
        <v>6929</v>
      </c>
      <c r="C179" s="1186">
        <v>12.8</v>
      </c>
      <c r="D179" s="1158"/>
    </row>
    <row r="180" spans="1:5" ht="13.5" customHeight="1" x14ac:dyDescent="0.2">
      <c r="A180" s="1138" t="s">
        <v>245</v>
      </c>
      <c r="B180" s="1164" t="s">
        <v>6965</v>
      </c>
      <c r="C180" s="1187">
        <v>15</v>
      </c>
      <c r="D180" s="1188"/>
    </row>
    <row r="181" spans="1:5" ht="13.5" customHeight="1" x14ac:dyDescent="0.2">
      <c r="A181" s="1177" t="s">
        <v>245</v>
      </c>
      <c r="B181" s="1142" t="s">
        <v>6966</v>
      </c>
      <c r="C181" s="1189">
        <f>559.59/2</f>
        <v>279.79500000000002</v>
      </c>
      <c r="D181" s="1190"/>
    </row>
    <row r="182" spans="1:5" ht="13.5" customHeight="1" x14ac:dyDescent="0.2">
      <c r="A182" s="1177"/>
      <c r="B182" s="1142"/>
      <c r="C182" s="1191">
        <f>SUM(C163:C181)</f>
        <v>2249.5050000000001</v>
      </c>
      <c r="D182" s="1190"/>
    </row>
    <row r="183" spans="1:5" ht="13.5" customHeight="1" x14ac:dyDescent="0.2">
      <c r="A183" s="1177"/>
      <c r="B183" s="1142"/>
      <c r="C183" s="1189"/>
      <c r="D183" s="1192"/>
    </row>
    <row r="184" spans="1:5" ht="13.5" customHeight="1" x14ac:dyDescent="0.2">
      <c r="A184" s="1138" t="s">
        <v>245</v>
      </c>
      <c r="B184" s="1139" t="s">
        <v>6772</v>
      </c>
      <c r="C184" s="1193">
        <v>25.5</v>
      </c>
      <c r="D184" s="1192"/>
    </row>
    <row r="185" spans="1:5" ht="13.5" customHeight="1" x14ac:dyDescent="0.2">
      <c r="A185" s="1138" t="s">
        <v>245</v>
      </c>
      <c r="B185" s="1164" t="s">
        <v>6821</v>
      </c>
      <c r="C185" s="1194">
        <v>2</v>
      </c>
      <c r="D185" s="1192"/>
    </row>
    <row r="186" spans="1:5" ht="13.5" customHeight="1" x14ac:dyDescent="0.2">
      <c r="A186" s="1138" t="s">
        <v>245</v>
      </c>
      <c r="B186" s="1139" t="s">
        <v>6737</v>
      </c>
      <c r="C186" s="1193">
        <v>28.5</v>
      </c>
      <c r="D186" s="1195"/>
    </row>
    <row r="187" spans="1:5" ht="13.5" customHeight="1" x14ac:dyDescent="0.2">
      <c r="A187" s="1138" t="s">
        <v>245</v>
      </c>
      <c r="B187" s="1142" t="s">
        <v>6738</v>
      </c>
      <c r="C187" s="1193">
        <v>16.149999999999999</v>
      </c>
      <c r="D187" s="1196"/>
    </row>
    <row r="188" spans="1:5" ht="13.5" customHeight="1" x14ac:dyDescent="0.2">
      <c r="A188" s="1138" t="s">
        <v>245</v>
      </c>
      <c r="B188" s="1164" t="s">
        <v>6813</v>
      </c>
      <c r="C188" s="1194">
        <v>10</v>
      </c>
      <c r="D188" s="1195"/>
    </row>
    <row r="189" spans="1:5" ht="13.5" customHeight="1" x14ac:dyDescent="0.2">
      <c r="A189" s="1138" t="s">
        <v>245</v>
      </c>
      <c r="B189" s="1142" t="s">
        <v>6841</v>
      </c>
      <c r="C189" s="1193">
        <v>24.85</v>
      </c>
      <c r="D189" s="1195"/>
    </row>
    <row r="190" spans="1:5" ht="13.5" customHeight="1" x14ac:dyDescent="0.2">
      <c r="A190" s="1138" t="s">
        <v>245</v>
      </c>
      <c r="B190" s="1164" t="s">
        <v>6817</v>
      </c>
      <c r="C190" s="1187">
        <v>3.9</v>
      </c>
      <c r="D190" s="1196"/>
      <c r="E190" s="141"/>
    </row>
    <row r="191" spans="1:5" ht="13.5" customHeight="1" x14ac:dyDescent="0.2">
      <c r="A191" s="1138" t="s">
        <v>245</v>
      </c>
      <c r="B191" s="1142" t="s">
        <v>6850</v>
      </c>
      <c r="C191" s="1197">
        <v>1.95</v>
      </c>
      <c r="D191" s="1195"/>
    </row>
    <row r="192" spans="1:5" ht="13.5" customHeight="1" x14ac:dyDescent="0.2">
      <c r="A192" s="1138" t="s">
        <v>245</v>
      </c>
      <c r="B192" s="1149" t="s">
        <v>6780</v>
      </c>
      <c r="C192" s="1197">
        <v>3.9</v>
      </c>
      <c r="D192" s="1173"/>
    </row>
    <row r="193" spans="1:4" ht="13.5" customHeight="1" x14ac:dyDescent="0.2">
      <c r="A193" s="1138" t="s">
        <v>245</v>
      </c>
      <c r="B193" s="1146" t="s">
        <v>6852</v>
      </c>
      <c r="C193" s="1197">
        <v>2</v>
      </c>
      <c r="D193" s="1141"/>
    </row>
    <row r="194" spans="1:4" ht="13.5" customHeight="1" x14ac:dyDescent="0.2">
      <c r="A194" s="1138" t="s">
        <v>245</v>
      </c>
      <c r="B194" s="1149" t="s">
        <v>6779</v>
      </c>
      <c r="C194" s="1197">
        <v>6.5</v>
      </c>
      <c r="D194" s="1141"/>
    </row>
    <row r="195" spans="1:4" ht="13.5" customHeight="1" x14ac:dyDescent="0.2">
      <c r="A195" s="1138" t="s">
        <v>245</v>
      </c>
      <c r="B195" s="1174" t="s">
        <v>163</v>
      </c>
      <c r="C195" s="1197">
        <v>11.7</v>
      </c>
      <c r="D195" s="1141"/>
    </row>
    <row r="196" spans="1:4" ht="13.5" customHeight="1" x14ac:dyDescent="0.2">
      <c r="A196" s="1138" t="s">
        <v>245</v>
      </c>
      <c r="B196" s="699" t="s">
        <v>6818</v>
      </c>
      <c r="C196" s="1187">
        <v>122.6</v>
      </c>
      <c r="D196" s="1141"/>
    </row>
    <row r="197" spans="1:4" ht="13.5" customHeight="1" x14ac:dyDescent="0.2">
      <c r="A197" s="1138" t="s">
        <v>245</v>
      </c>
      <c r="B197" s="1146" t="s">
        <v>6851</v>
      </c>
      <c r="C197" s="1197">
        <v>5.98</v>
      </c>
      <c r="D197" s="1141"/>
    </row>
    <row r="198" spans="1:4" ht="13.5" customHeight="1" x14ac:dyDescent="0.2">
      <c r="A198" s="1138" t="s">
        <v>245</v>
      </c>
      <c r="B198" s="1149" t="s">
        <v>6775</v>
      </c>
      <c r="C198" s="1197">
        <v>90</v>
      </c>
      <c r="D198" s="1173"/>
    </row>
    <row r="199" spans="1:4" ht="13.5" customHeight="1" x14ac:dyDescent="0.2">
      <c r="A199" s="1138" t="s">
        <v>245</v>
      </c>
      <c r="B199" s="1149" t="s">
        <v>6739</v>
      </c>
      <c r="C199" s="1197">
        <v>40.4</v>
      </c>
      <c r="D199" s="1141"/>
    </row>
    <row r="200" spans="1:4" ht="13.5" customHeight="1" x14ac:dyDescent="0.2">
      <c r="A200" s="1138" t="s">
        <v>245</v>
      </c>
      <c r="B200" s="1149" t="s">
        <v>6776</v>
      </c>
      <c r="C200" s="1197">
        <v>5</v>
      </c>
      <c r="D200" s="1141"/>
    </row>
    <row r="201" spans="1:4" ht="13.5" customHeight="1" x14ac:dyDescent="0.2">
      <c r="A201" s="1138" t="s">
        <v>245</v>
      </c>
      <c r="B201" s="1139" t="s">
        <v>6778</v>
      </c>
      <c r="C201" s="1197">
        <v>49.9</v>
      </c>
      <c r="D201" s="1141"/>
    </row>
    <row r="202" spans="1:4" ht="13.5" customHeight="1" x14ac:dyDescent="0.2">
      <c r="A202" s="1138" t="s">
        <v>245</v>
      </c>
      <c r="B202" s="699" t="s">
        <v>6820</v>
      </c>
      <c r="C202" s="1187">
        <v>11.25</v>
      </c>
      <c r="D202" s="1141"/>
    </row>
    <row r="203" spans="1:4" ht="13.5" customHeight="1" x14ac:dyDescent="0.2">
      <c r="A203" s="1138" t="s">
        <v>245</v>
      </c>
      <c r="B203" s="1146" t="s">
        <v>6845</v>
      </c>
      <c r="C203" s="1197">
        <v>11.2</v>
      </c>
      <c r="D203" s="1141"/>
    </row>
    <row r="204" spans="1:4" ht="13.5" customHeight="1" x14ac:dyDescent="0.2">
      <c r="A204" s="1138" t="s">
        <v>245</v>
      </c>
      <c r="B204" s="699" t="s">
        <v>6815</v>
      </c>
      <c r="C204" s="1187">
        <v>5.35</v>
      </c>
      <c r="D204" s="1173"/>
    </row>
    <row r="205" spans="1:4" ht="13.5" customHeight="1" x14ac:dyDescent="0.2">
      <c r="A205" s="1138" t="s">
        <v>245</v>
      </c>
      <c r="B205" s="1149" t="s">
        <v>6771</v>
      </c>
      <c r="C205" s="1197">
        <v>72</v>
      </c>
      <c r="D205" s="1141"/>
    </row>
    <row r="206" spans="1:4" ht="13.5" customHeight="1" x14ac:dyDescent="0.2">
      <c r="A206" s="1138" t="s">
        <v>245</v>
      </c>
      <c r="B206" s="1164" t="s">
        <v>1062</v>
      </c>
      <c r="C206" s="1187">
        <v>12</v>
      </c>
      <c r="D206" s="1173"/>
    </row>
    <row r="207" spans="1:4" ht="13.5" customHeight="1" x14ac:dyDescent="0.2">
      <c r="A207" s="1138" t="s">
        <v>245</v>
      </c>
      <c r="B207" s="1146" t="s">
        <v>6834</v>
      </c>
      <c r="C207" s="1197">
        <v>8.3000000000000007</v>
      </c>
      <c r="D207" s="1141"/>
    </row>
    <row r="208" spans="1:4" x14ac:dyDescent="0.2">
      <c r="A208" s="1138" t="s">
        <v>245</v>
      </c>
      <c r="B208" s="1144" t="s">
        <v>6947</v>
      </c>
      <c r="C208" s="1198">
        <v>66.7</v>
      </c>
      <c r="D208" s="1173"/>
    </row>
    <row r="209" spans="1:5" ht="13.5" customHeight="1" x14ac:dyDescent="0.2">
      <c r="A209" s="1177" t="s">
        <v>245</v>
      </c>
      <c r="B209" s="1146" t="s">
        <v>6832</v>
      </c>
      <c r="C209" s="1197">
        <v>0.8</v>
      </c>
      <c r="D209" s="1141"/>
    </row>
    <row r="210" spans="1:5" ht="13.5" customHeight="1" x14ac:dyDescent="0.2">
      <c r="A210" s="1177" t="s">
        <v>245</v>
      </c>
      <c r="B210" s="1142" t="s">
        <v>6966</v>
      </c>
      <c r="C210" s="1189">
        <f>559.59/2</f>
        <v>279.79500000000002</v>
      </c>
      <c r="D210" s="1190"/>
      <c r="E210" s="141"/>
    </row>
    <row r="211" spans="1:5" ht="13.5" customHeight="1" x14ac:dyDescent="0.2">
      <c r="A211" s="1177"/>
      <c r="B211" s="1146"/>
      <c r="C211" s="1199">
        <f>SUM(C184:C210)</f>
        <v>918.22499999999991</v>
      </c>
      <c r="D211" s="1169"/>
    </row>
    <row r="212" spans="1:5" ht="13.5" customHeight="1" x14ac:dyDescent="0.2">
      <c r="A212" s="1177"/>
      <c r="B212" s="1146"/>
      <c r="C212" s="1197"/>
      <c r="D212" s="1141"/>
    </row>
    <row r="213" spans="1:5" ht="13.5" customHeight="1" x14ac:dyDescent="0.2">
      <c r="A213" s="1138" t="s">
        <v>246</v>
      </c>
      <c r="B213" s="1146" t="s">
        <v>195</v>
      </c>
      <c r="C213" s="1200">
        <v>909.13</v>
      </c>
      <c r="D213" s="1141"/>
    </row>
    <row r="214" spans="1:5" ht="13.5" customHeight="1" x14ac:dyDescent="0.2">
      <c r="A214" s="1177" t="s">
        <v>246</v>
      </c>
      <c r="B214" s="1146" t="s">
        <v>194</v>
      </c>
      <c r="C214" s="1200">
        <v>196.98</v>
      </c>
      <c r="D214" s="1141"/>
    </row>
    <row r="215" spans="1:5" ht="13.5" customHeight="1" x14ac:dyDescent="0.2">
      <c r="A215" s="1177"/>
      <c r="B215" s="1142"/>
      <c r="C215" s="1201">
        <f>SUM(C213:C214)</f>
        <v>1106.1099999999999</v>
      </c>
      <c r="D215" s="1175"/>
    </row>
    <row r="216" spans="1:5" ht="13.5" customHeight="1" x14ac:dyDescent="0.2">
      <c r="A216" s="1177"/>
      <c r="B216" s="1142"/>
      <c r="C216" s="1200"/>
      <c r="D216" s="1175"/>
    </row>
    <row r="217" spans="1:5" ht="13.5" customHeight="1" x14ac:dyDescent="0.2">
      <c r="A217" s="1138" t="s">
        <v>248</v>
      </c>
      <c r="B217" s="1142" t="s">
        <v>1002</v>
      </c>
      <c r="C217" s="1188">
        <v>3515.38</v>
      </c>
      <c r="D217" s="1175"/>
      <c r="E217" s="141"/>
    </row>
    <row r="218" spans="1:5" ht="13.5" customHeight="1" x14ac:dyDescent="0.2">
      <c r="A218" s="1138" t="s">
        <v>248</v>
      </c>
      <c r="B218" s="1146" t="s">
        <v>130</v>
      </c>
      <c r="C218" s="1200">
        <v>132.96</v>
      </c>
      <c r="D218" s="1175"/>
    </row>
    <row r="219" spans="1:5" ht="13.5" customHeight="1" x14ac:dyDescent="0.2">
      <c r="A219" s="1138" t="s">
        <v>248</v>
      </c>
      <c r="B219" s="1149" t="s">
        <v>6234</v>
      </c>
      <c r="C219" s="1200">
        <v>560</v>
      </c>
      <c r="D219" s="1169"/>
    </row>
    <row r="220" spans="1:5" ht="13.5" customHeight="1" x14ac:dyDescent="0.2">
      <c r="A220" s="1138" t="s">
        <v>248</v>
      </c>
      <c r="B220" s="1146" t="s">
        <v>6746</v>
      </c>
      <c r="C220" s="1200">
        <v>1500</v>
      </c>
      <c r="D220" s="1141"/>
    </row>
    <row r="221" spans="1:5" ht="13.5" customHeight="1" x14ac:dyDescent="0.2">
      <c r="A221" s="1138" t="s">
        <v>248</v>
      </c>
      <c r="B221" s="1142" t="s">
        <v>6802</v>
      </c>
      <c r="C221" s="1200">
        <v>185.5</v>
      </c>
      <c r="D221" s="1141"/>
    </row>
    <row r="222" spans="1:5" ht="13.5" customHeight="1" x14ac:dyDescent="0.2">
      <c r="A222" s="1138" t="s">
        <v>248</v>
      </c>
      <c r="B222" s="1146" t="s">
        <v>6843</v>
      </c>
      <c r="C222" s="1200">
        <v>185.5</v>
      </c>
      <c r="D222" s="1141"/>
    </row>
    <row r="223" spans="1:5" ht="13.5" customHeight="1" x14ac:dyDescent="0.2">
      <c r="A223" s="1138" t="s">
        <v>248</v>
      </c>
      <c r="B223" s="1146" t="s">
        <v>1309</v>
      </c>
      <c r="C223" s="1200">
        <v>1267.95</v>
      </c>
      <c r="D223" s="1141"/>
    </row>
    <row r="224" spans="1:5" ht="13.5" customHeight="1" x14ac:dyDescent="0.2">
      <c r="A224" s="1138" t="s">
        <v>248</v>
      </c>
      <c r="B224" s="1146" t="s">
        <v>3715</v>
      </c>
      <c r="C224" s="1200">
        <v>347.25</v>
      </c>
      <c r="D224" s="1141"/>
    </row>
    <row r="225" spans="1:155" ht="13.5" customHeight="1" x14ac:dyDescent="0.2">
      <c r="A225" s="1138" t="s">
        <v>248</v>
      </c>
      <c r="B225" s="1146" t="s">
        <v>6830</v>
      </c>
      <c r="C225" s="1200">
        <v>68.37</v>
      </c>
      <c r="D225" s="1141"/>
      <c r="E225" s="141"/>
    </row>
    <row r="226" spans="1:155" ht="13.5" customHeight="1" x14ac:dyDescent="0.2">
      <c r="A226" s="1138" t="s">
        <v>248</v>
      </c>
      <c r="B226" s="1142" t="s">
        <v>6410</v>
      </c>
      <c r="C226" s="1200">
        <v>1250</v>
      </c>
      <c r="D226" s="1141"/>
    </row>
    <row r="227" spans="1:155" ht="13.5" customHeight="1" x14ac:dyDescent="0.2">
      <c r="A227" s="1138" t="s">
        <v>248</v>
      </c>
      <c r="B227" s="1146" t="s">
        <v>6829</v>
      </c>
      <c r="C227" s="1200">
        <v>92.66</v>
      </c>
      <c r="D227" s="1141"/>
    </row>
    <row r="228" spans="1:155" ht="13.5" customHeight="1" x14ac:dyDescent="0.2">
      <c r="A228" s="1138" t="s">
        <v>248</v>
      </c>
      <c r="B228" s="1146" t="s">
        <v>133</v>
      </c>
      <c r="C228" s="1200">
        <v>685.17</v>
      </c>
      <c r="D228" s="1141"/>
    </row>
    <row r="229" spans="1:155" ht="13.5" customHeight="1" x14ac:dyDescent="0.2">
      <c r="A229" s="1138" t="s">
        <v>248</v>
      </c>
      <c r="B229" s="1146" t="s">
        <v>6773</v>
      </c>
      <c r="C229" s="1200">
        <v>2500</v>
      </c>
      <c r="D229" s="1141"/>
      <c r="W229" s="1159"/>
      <c r="AS229" s="1159"/>
      <c r="BO229" s="1159"/>
      <c r="CK229" s="1159"/>
      <c r="DG229" s="1159"/>
      <c r="EC229" s="1159"/>
      <c r="EY229" s="1159"/>
    </row>
    <row r="230" spans="1:155" ht="13.5" customHeight="1" x14ac:dyDescent="0.2">
      <c r="A230" s="1138" t="s">
        <v>248</v>
      </c>
      <c r="B230" s="1146" t="s">
        <v>6798</v>
      </c>
      <c r="C230" s="1200">
        <v>92.66</v>
      </c>
      <c r="D230" s="1141"/>
    </row>
    <row r="231" spans="1:155" ht="13.5" customHeight="1" x14ac:dyDescent="0.2">
      <c r="A231" s="1138" t="s">
        <v>248</v>
      </c>
      <c r="B231" s="1142" t="s">
        <v>6808</v>
      </c>
      <c r="C231" s="1200">
        <v>351.7</v>
      </c>
      <c r="D231" s="1141"/>
    </row>
    <row r="232" spans="1:155" ht="13.5" customHeight="1" x14ac:dyDescent="0.2">
      <c r="A232" s="1138" t="s">
        <v>248</v>
      </c>
      <c r="B232" s="1146" t="s">
        <v>6797</v>
      </c>
      <c r="C232" s="1200">
        <v>153.84</v>
      </c>
      <c r="D232" s="1141"/>
    </row>
    <row r="233" spans="1:155" ht="13.5" customHeight="1" x14ac:dyDescent="0.2">
      <c r="A233" s="1138"/>
      <c r="B233" s="1146"/>
      <c r="C233" s="1202">
        <f>SUM(C217:C232)</f>
        <v>12888.94</v>
      </c>
      <c r="D233" s="1179">
        <f>C233-5347.49-6060.89</f>
        <v>1480.5600000000004</v>
      </c>
    </row>
    <row r="234" spans="1:155" ht="13.5" customHeight="1" x14ac:dyDescent="0.2">
      <c r="A234" s="1138"/>
      <c r="B234" s="1146"/>
      <c r="C234" s="1200"/>
      <c r="D234" s="1141"/>
    </row>
    <row r="235" spans="1:155" ht="13.5" customHeight="1" x14ac:dyDescent="0.2">
      <c r="A235" s="1138" t="s">
        <v>248</v>
      </c>
      <c r="B235" s="1146" t="s">
        <v>6790</v>
      </c>
      <c r="C235" s="1200">
        <v>3000</v>
      </c>
      <c r="D235" s="1141"/>
    </row>
    <row r="236" spans="1:155" ht="13.5" customHeight="1" x14ac:dyDescent="0.2">
      <c r="A236" s="1138" t="s">
        <v>248</v>
      </c>
      <c r="B236" s="1146" t="s">
        <v>6777</v>
      </c>
      <c r="C236" s="1197">
        <v>180</v>
      </c>
      <c r="D236" s="1141"/>
    </row>
    <row r="237" spans="1:155" ht="13.5" customHeight="1" x14ac:dyDescent="0.2">
      <c r="A237" s="1138" t="s">
        <v>248</v>
      </c>
      <c r="B237" s="699" t="s">
        <v>6777</v>
      </c>
      <c r="C237" s="1187">
        <v>180</v>
      </c>
      <c r="D237" s="1141"/>
    </row>
    <row r="238" spans="1:155" ht="13.5" customHeight="1" x14ac:dyDescent="0.2">
      <c r="A238" s="1138" t="s">
        <v>248</v>
      </c>
      <c r="B238" s="1146" t="s">
        <v>6927</v>
      </c>
      <c r="C238" s="1188">
        <v>180</v>
      </c>
      <c r="D238" s="1141"/>
    </row>
    <row r="239" spans="1:155" ht="13.5" customHeight="1" x14ac:dyDescent="0.2">
      <c r="A239" s="1138" t="s">
        <v>248</v>
      </c>
      <c r="B239" s="1146" t="s">
        <v>6741</v>
      </c>
      <c r="C239" s="1197">
        <v>5000</v>
      </c>
      <c r="D239" s="1173"/>
    </row>
    <row r="240" spans="1:155" ht="13.5" customHeight="1" x14ac:dyDescent="0.2">
      <c r="A240" s="1138" t="s">
        <v>248</v>
      </c>
      <c r="B240" s="1146" t="s">
        <v>6925</v>
      </c>
      <c r="C240" s="1188">
        <v>180</v>
      </c>
      <c r="D240" s="1169"/>
    </row>
    <row r="241" spans="1:4" ht="13.5" customHeight="1" x14ac:dyDescent="0.2">
      <c r="A241" s="1138" t="s">
        <v>248</v>
      </c>
      <c r="B241" s="1146" t="s">
        <v>6856</v>
      </c>
      <c r="C241" s="1200">
        <v>180</v>
      </c>
      <c r="D241" s="1141"/>
    </row>
    <row r="242" spans="1:4" ht="13.5" customHeight="1" x14ac:dyDescent="0.2">
      <c r="A242" s="1138" t="s">
        <v>248</v>
      </c>
      <c r="B242" s="1146" t="s">
        <v>6857</v>
      </c>
      <c r="C242" s="1200">
        <v>120</v>
      </c>
      <c r="D242" s="1169"/>
    </row>
    <row r="243" spans="1:4" ht="13.5" customHeight="1" x14ac:dyDescent="0.2">
      <c r="A243" s="1138"/>
      <c r="B243" s="1146"/>
      <c r="C243" s="1201">
        <f>SUM(C235:C242)</f>
        <v>9020</v>
      </c>
      <c r="D243" s="1203"/>
    </row>
    <row r="244" spans="1:4" ht="13.5" customHeight="1" x14ac:dyDescent="0.2">
      <c r="A244" s="1138"/>
      <c r="B244" s="1146"/>
      <c r="C244" s="1200"/>
      <c r="D244" s="1203"/>
    </row>
    <row r="245" spans="1:4" ht="13.5" customHeight="1" x14ac:dyDescent="0.2">
      <c r="A245" s="1138" t="s">
        <v>249</v>
      </c>
      <c r="B245" s="699" t="s">
        <v>6825</v>
      </c>
      <c r="C245" s="1204">
        <v>400</v>
      </c>
      <c r="D245" s="1203"/>
    </row>
    <row r="246" spans="1:4" ht="13.5" customHeight="1" x14ac:dyDescent="0.2">
      <c r="A246" s="1138" t="s">
        <v>249</v>
      </c>
      <c r="B246" s="1144" t="s">
        <v>6938</v>
      </c>
      <c r="C246" s="1198">
        <v>90</v>
      </c>
      <c r="D246" s="1203"/>
    </row>
    <row r="247" spans="1:4" ht="13.5" customHeight="1" x14ac:dyDescent="0.2">
      <c r="A247" s="1138" t="s">
        <v>249</v>
      </c>
      <c r="B247" s="1142" t="s">
        <v>6859</v>
      </c>
      <c r="C247" s="1200">
        <v>150</v>
      </c>
      <c r="D247" s="1173"/>
    </row>
    <row r="248" spans="1:4" ht="13.5" customHeight="1" x14ac:dyDescent="0.2">
      <c r="A248" s="1138" t="s">
        <v>249</v>
      </c>
      <c r="B248" s="1142" t="s">
        <v>6967</v>
      </c>
      <c r="C248" s="1200">
        <v>86.33</v>
      </c>
      <c r="D248" s="1205"/>
    </row>
    <row r="249" spans="1:4" ht="13.5" customHeight="1" x14ac:dyDescent="0.2">
      <c r="A249" s="1138"/>
      <c r="B249" s="1142"/>
      <c r="C249" s="1201">
        <f>SUM(C245:C248)</f>
        <v>726.33</v>
      </c>
      <c r="D249" s="1205"/>
    </row>
    <row r="250" spans="1:4" ht="13.5" customHeight="1" x14ac:dyDescent="0.2">
      <c r="A250" s="1138"/>
      <c r="B250" s="1142"/>
      <c r="C250" s="1200"/>
      <c r="D250" s="1205"/>
    </row>
    <row r="251" spans="1:4" ht="13.5" customHeight="1" x14ac:dyDescent="0.2">
      <c r="A251" s="1138" t="s">
        <v>249</v>
      </c>
      <c r="B251" s="1142" t="s">
        <v>6968</v>
      </c>
      <c r="C251" s="1200">
        <v>86.33</v>
      </c>
      <c r="D251" s="1188"/>
    </row>
    <row r="252" spans="1:4" ht="13.5" customHeight="1" x14ac:dyDescent="0.2">
      <c r="A252" s="1138"/>
      <c r="B252" s="1142"/>
      <c r="C252" s="1201">
        <f>SUM(C251)</f>
        <v>86.33</v>
      </c>
      <c r="D252" s="1188"/>
    </row>
    <row r="253" spans="1:4" ht="13.5" customHeight="1" x14ac:dyDescent="0.2">
      <c r="A253" s="1138"/>
      <c r="B253" s="1142"/>
      <c r="C253" s="1200"/>
      <c r="D253" s="1206"/>
    </row>
    <row r="254" spans="1:4" ht="13.5" customHeight="1" x14ac:dyDescent="0.2">
      <c r="A254" s="1138" t="s">
        <v>250</v>
      </c>
      <c r="B254" s="1142" t="s">
        <v>5557</v>
      </c>
      <c r="C254" s="1200">
        <v>0.05</v>
      </c>
      <c r="D254" s="1206"/>
    </row>
    <row r="255" spans="1:4" ht="13.5" customHeight="1" x14ac:dyDescent="0.2">
      <c r="A255" s="1138" t="s">
        <v>250</v>
      </c>
      <c r="B255" s="1142" t="s">
        <v>5557</v>
      </c>
      <c r="C255" s="1200">
        <v>0.01</v>
      </c>
      <c r="D255" s="1206"/>
    </row>
    <row r="256" spans="1:4" ht="13.5" customHeight="1" x14ac:dyDescent="0.2">
      <c r="A256" s="1138" t="s">
        <v>250</v>
      </c>
      <c r="B256" s="1142" t="s">
        <v>5558</v>
      </c>
      <c r="C256" s="1200">
        <v>4.8499999999999996</v>
      </c>
      <c r="D256" s="1207"/>
    </row>
    <row r="257" spans="1:155" ht="13.5" customHeight="1" x14ac:dyDescent="0.2">
      <c r="A257" s="1138" t="s">
        <v>250</v>
      </c>
      <c r="B257" s="1142" t="s">
        <v>5558</v>
      </c>
      <c r="C257" s="1200">
        <v>0.15</v>
      </c>
      <c r="D257" s="1206"/>
    </row>
    <row r="258" spans="1:155" x14ac:dyDescent="0.2">
      <c r="A258" s="1138" t="s">
        <v>250</v>
      </c>
      <c r="B258" s="1142" t="s">
        <v>20</v>
      </c>
      <c r="C258" s="1197">
        <v>-0.01</v>
      </c>
      <c r="D258" s="1207"/>
    </row>
    <row r="259" spans="1:155" x14ac:dyDescent="0.2">
      <c r="A259" s="1138" t="s">
        <v>250</v>
      </c>
      <c r="B259" s="1142" t="s">
        <v>20</v>
      </c>
      <c r="C259" s="1197">
        <v>-0.01</v>
      </c>
      <c r="D259" s="1206"/>
      <c r="E259" s="141"/>
    </row>
    <row r="260" spans="1:155" x14ac:dyDescent="0.2">
      <c r="A260" s="1138" t="s">
        <v>250</v>
      </c>
      <c r="B260" s="1142" t="s">
        <v>20</v>
      </c>
      <c r="C260" s="1197">
        <v>-0.01</v>
      </c>
      <c r="D260" s="1206"/>
    </row>
    <row r="261" spans="1:155" x14ac:dyDescent="0.2">
      <c r="A261" s="1138" t="s">
        <v>250</v>
      </c>
      <c r="B261" s="1142" t="s">
        <v>20</v>
      </c>
      <c r="C261" s="1197">
        <v>-0.03</v>
      </c>
      <c r="D261" s="1206"/>
    </row>
    <row r="262" spans="1:155" x14ac:dyDescent="0.2">
      <c r="A262" s="1138" t="s">
        <v>250</v>
      </c>
      <c r="B262" s="1142" t="s">
        <v>20</v>
      </c>
      <c r="C262" s="1197">
        <v>-0.04</v>
      </c>
      <c r="D262" s="1206"/>
    </row>
    <row r="263" spans="1:155" ht="13.5" customHeight="1" x14ac:dyDescent="0.2">
      <c r="A263" s="1138" t="s">
        <v>250</v>
      </c>
      <c r="B263" s="1142" t="s">
        <v>86</v>
      </c>
      <c r="C263" s="1200">
        <v>78</v>
      </c>
      <c r="D263" s="1206"/>
    </row>
    <row r="264" spans="1:155" ht="13.5" customHeight="1" x14ac:dyDescent="0.2">
      <c r="A264" s="1138" t="s">
        <v>250</v>
      </c>
      <c r="B264" s="1142" t="s">
        <v>86</v>
      </c>
      <c r="C264" s="1200">
        <v>69</v>
      </c>
      <c r="D264" s="1206"/>
    </row>
    <row r="265" spans="1:155" ht="13.5" customHeight="1" x14ac:dyDescent="0.2">
      <c r="A265" s="1138" t="s">
        <v>250</v>
      </c>
      <c r="B265" s="1142" t="s">
        <v>86</v>
      </c>
      <c r="C265" s="1200">
        <v>11.9</v>
      </c>
      <c r="D265" s="1207"/>
    </row>
    <row r="266" spans="1:155" ht="13.5" customHeight="1" x14ac:dyDescent="0.2">
      <c r="A266" s="1138" t="s">
        <v>250</v>
      </c>
      <c r="B266" s="1146" t="s">
        <v>86</v>
      </c>
      <c r="C266" s="1200">
        <v>9.5</v>
      </c>
      <c r="D266" s="1206"/>
    </row>
    <row r="267" spans="1:155" ht="13.5" customHeight="1" x14ac:dyDescent="0.2">
      <c r="A267" s="1138" t="s">
        <v>250</v>
      </c>
      <c r="B267" s="1142" t="s">
        <v>86</v>
      </c>
      <c r="C267" s="1200">
        <v>9.4</v>
      </c>
      <c r="D267" s="1207"/>
    </row>
    <row r="268" spans="1:155" ht="13.5" customHeight="1" x14ac:dyDescent="0.2">
      <c r="A268" s="1138"/>
      <c r="B268" s="1142"/>
      <c r="C268" s="1202">
        <f>SUM(C254:C267)</f>
        <v>182.76</v>
      </c>
      <c r="D268" s="1208">
        <f>C268/2</f>
        <v>91.38</v>
      </c>
      <c r="W268" s="1159"/>
      <c r="AS268" s="1159"/>
      <c r="BO268" s="1159"/>
      <c r="CK268" s="1159"/>
      <c r="DG268" s="1159"/>
      <c r="EC268" s="1159"/>
      <c r="EY268" s="1159"/>
    </row>
    <row r="269" spans="1:155" ht="13.5" customHeight="1" x14ac:dyDescent="0.2">
      <c r="A269" s="1138"/>
      <c r="B269" s="1142"/>
      <c r="C269" s="1200"/>
      <c r="D269" s="1206"/>
    </row>
    <row r="270" spans="1:155" ht="13.5" customHeight="1" x14ac:dyDescent="0.2">
      <c r="A270" s="1138" t="s">
        <v>251</v>
      </c>
      <c r="B270" s="1144" t="s">
        <v>5973</v>
      </c>
      <c r="C270" s="1198">
        <v>100</v>
      </c>
      <c r="D270" s="1206"/>
      <c r="W270" s="1159"/>
      <c r="AS270" s="1159"/>
      <c r="BO270" s="1159"/>
      <c r="CK270" s="1159"/>
      <c r="DG270" s="1159"/>
      <c r="EC270" s="1159"/>
      <c r="EY270" s="1159"/>
    </row>
    <row r="271" spans="1:155" ht="13.5" customHeight="1" x14ac:dyDescent="0.2">
      <c r="A271" s="1138" t="s">
        <v>251</v>
      </c>
      <c r="B271" s="1142" t="s">
        <v>6849</v>
      </c>
      <c r="C271" s="1200">
        <v>100</v>
      </c>
      <c r="D271" s="1206"/>
    </row>
    <row r="272" spans="1:155" ht="13.5" customHeight="1" x14ac:dyDescent="0.2">
      <c r="A272" s="1138" t="s">
        <v>251</v>
      </c>
      <c r="B272" s="1144" t="s">
        <v>6937</v>
      </c>
      <c r="C272" s="1198">
        <v>50</v>
      </c>
      <c r="D272" s="1188"/>
    </row>
    <row r="273" spans="1:4" ht="13.5" customHeight="1" x14ac:dyDescent="0.2">
      <c r="A273" s="1138"/>
      <c r="B273" s="1144"/>
      <c r="C273" s="1209">
        <f>SUM(C270:C272)</f>
        <v>250</v>
      </c>
      <c r="D273" s="1210">
        <f>C273/2</f>
        <v>125</v>
      </c>
    </row>
    <row r="274" spans="1:4" ht="13.5" customHeight="1" x14ac:dyDescent="0.2">
      <c r="A274" s="1138"/>
      <c r="B274" s="1144"/>
      <c r="C274" s="1198"/>
      <c r="D274" s="1188"/>
    </row>
    <row r="275" spans="1:4" ht="13.5" customHeight="1" x14ac:dyDescent="0.2">
      <c r="A275" s="1138" t="s">
        <v>421</v>
      </c>
      <c r="B275" s="1144" t="s">
        <v>6946</v>
      </c>
      <c r="C275" s="1198">
        <v>159.97</v>
      </c>
      <c r="D275" s="1188"/>
    </row>
    <row r="276" spans="1:4" ht="13.5" customHeight="1" x14ac:dyDescent="0.2">
      <c r="A276" s="1138" t="s">
        <v>421</v>
      </c>
      <c r="B276" s="1144" t="s">
        <v>6945</v>
      </c>
      <c r="C276" s="1198">
        <v>129.9</v>
      </c>
      <c r="D276" s="1188"/>
    </row>
    <row r="277" spans="1:4" ht="13.5" customHeight="1" x14ac:dyDescent="0.2">
      <c r="A277" s="1138" t="s">
        <v>421</v>
      </c>
      <c r="B277" s="1144" t="s">
        <v>6943</v>
      </c>
      <c r="C277" s="1198">
        <v>60</v>
      </c>
      <c r="D277" s="1188"/>
    </row>
    <row r="278" spans="1:4" ht="13.5" customHeight="1" x14ac:dyDescent="0.2">
      <c r="A278" s="1138" t="s">
        <v>421</v>
      </c>
      <c r="B278" s="1144" t="s">
        <v>6942</v>
      </c>
      <c r="C278" s="1198">
        <v>300</v>
      </c>
      <c r="D278" s="1188"/>
    </row>
    <row r="279" spans="1:4" ht="13.5" customHeight="1" x14ac:dyDescent="0.2">
      <c r="A279" s="1138" t="s">
        <v>421</v>
      </c>
      <c r="B279" s="1144" t="s">
        <v>6941</v>
      </c>
      <c r="C279" s="1198">
        <v>2500</v>
      </c>
      <c r="D279" s="1188"/>
    </row>
    <row r="280" spans="1:4" ht="13.5" customHeight="1" x14ac:dyDescent="0.2">
      <c r="A280" s="1138" t="s">
        <v>421</v>
      </c>
      <c r="B280" s="1142" t="s">
        <v>6936</v>
      </c>
      <c r="C280" s="1188">
        <v>470</v>
      </c>
      <c r="D280" s="1188"/>
    </row>
    <row r="281" spans="1:4" ht="13.5" customHeight="1" x14ac:dyDescent="0.2">
      <c r="A281" s="1138" t="s">
        <v>421</v>
      </c>
      <c r="B281" s="1142" t="s">
        <v>6969</v>
      </c>
      <c r="C281" s="1200">
        <v>1398.9</v>
      </c>
      <c r="D281" s="1188"/>
    </row>
    <row r="282" spans="1:4" ht="13.5" customHeight="1" x14ac:dyDescent="0.2">
      <c r="A282" s="1177" t="s">
        <v>421</v>
      </c>
      <c r="B282" s="1142" t="s">
        <v>6970</v>
      </c>
      <c r="C282" s="1197">
        <v>3550</v>
      </c>
      <c r="D282" s="1207"/>
    </row>
    <row r="283" spans="1:4" ht="13.5" customHeight="1" x14ac:dyDescent="0.2">
      <c r="B283" s="951"/>
      <c r="C283" s="1211">
        <f>SUM(C275:C282)</f>
        <v>8568.77</v>
      </c>
      <c r="D283" s="1205"/>
    </row>
    <row r="284" spans="1:4" ht="13.5" customHeight="1" x14ac:dyDescent="0.2">
      <c r="D284" s="1206"/>
    </row>
    <row r="285" spans="1:4" ht="13.5" customHeight="1" x14ac:dyDescent="0.2">
      <c r="D285" s="1212"/>
    </row>
    <row r="286" spans="1:4" ht="13.5" customHeight="1" x14ac:dyDescent="0.2"/>
    <row r="287" spans="1:4" ht="13.5" customHeight="1" x14ac:dyDescent="0.2"/>
    <row r="288" spans="1:4" ht="13.5" customHeight="1" x14ac:dyDescent="0.2"/>
    <row r="289" spans="1:166" s="1145" customFormat="1" ht="13.5" customHeight="1" x14ac:dyDescent="0.2">
      <c r="A289" s="1137"/>
      <c r="B289" s="377"/>
      <c r="C289" s="377"/>
      <c r="D289" s="377"/>
      <c r="E289" s="377"/>
      <c r="F289" s="377"/>
      <c r="G289" s="377"/>
      <c r="H289" s="377"/>
      <c r="I289" s="377"/>
      <c r="J289" s="377"/>
      <c r="K289" s="377"/>
      <c r="L289" s="377"/>
      <c r="M289" s="377"/>
      <c r="N289" s="377"/>
      <c r="O289" s="377"/>
      <c r="P289" s="377"/>
      <c r="Q289" s="377"/>
      <c r="R289" s="377"/>
      <c r="S289" s="377"/>
      <c r="T289" s="377"/>
      <c r="U289" s="377"/>
      <c r="V289" s="377"/>
      <c r="W289" s="1159"/>
      <c r="X289" s="377"/>
      <c r="Y289" s="377"/>
      <c r="Z289" s="377"/>
      <c r="AA289" s="377"/>
      <c r="AB289" s="377"/>
      <c r="AC289" s="377"/>
      <c r="AD289" s="377"/>
      <c r="AE289" s="377"/>
      <c r="AF289" s="377"/>
      <c r="AG289" s="377"/>
      <c r="AH289" s="377"/>
      <c r="AI289" s="377"/>
      <c r="AJ289" s="377"/>
      <c r="AK289" s="377"/>
      <c r="AL289" s="377"/>
      <c r="AM289" s="377"/>
      <c r="AN289" s="377"/>
      <c r="AO289" s="377"/>
      <c r="AP289" s="377"/>
      <c r="AQ289" s="377"/>
      <c r="AR289" s="377"/>
      <c r="AS289" s="1159"/>
      <c r="AT289" s="377"/>
      <c r="AU289" s="377"/>
      <c r="AV289" s="377"/>
      <c r="AW289" s="377"/>
      <c r="AX289" s="377"/>
      <c r="AY289" s="377"/>
      <c r="AZ289" s="377"/>
      <c r="BA289" s="377"/>
      <c r="BB289" s="377"/>
      <c r="BC289" s="377"/>
      <c r="BD289" s="377"/>
      <c r="BE289" s="377"/>
      <c r="BF289" s="377"/>
      <c r="BG289" s="377"/>
      <c r="BH289" s="377"/>
      <c r="BI289" s="377"/>
      <c r="BJ289" s="377"/>
      <c r="BK289" s="377"/>
      <c r="BL289" s="377"/>
      <c r="BM289" s="377"/>
      <c r="BN289" s="377"/>
      <c r="BO289" s="1159"/>
      <c r="BP289" s="377"/>
      <c r="BQ289" s="377"/>
      <c r="BR289" s="377"/>
      <c r="BS289" s="377"/>
      <c r="BT289" s="377"/>
      <c r="BU289" s="377"/>
      <c r="BV289" s="377"/>
      <c r="BW289" s="377"/>
      <c r="BX289" s="377"/>
      <c r="BY289" s="377"/>
      <c r="BZ289" s="377"/>
      <c r="CA289" s="377"/>
      <c r="CB289" s="377"/>
      <c r="CC289" s="377"/>
      <c r="CD289" s="377"/>
      <c r="CE289" s="377"/>
      <c r="CF289" s="377"/>
      <c r="CG289" s="377"/>
      <c r="CH289" s="377"/>
      <c r="CI289" s="377"/>
      <c r="CJ289" s="377"/>
      <c r="CK289" s="1159"/>
      <c r="CL289" s="377"/>
      <c r="CM289" s="377"/>
      <c r="CN289" s="377"/>
      <c r="CO289" s="377"/>
      <c r="CP289" s="377"/>
      <c r="CQ289" s="377"/>
      <c r="CR289" s="377"/>
      <c r="CS289" s="377"/>
      <c r="CT289" s="377"/>
      <c r="CU289" s="377"/>
      <c r="CV289" s="377"/>
      <c r="CW289" s="377"/>
      <c r="CX289" s="377"/>
      <c r="CY289" s="377"/>
      <c r="CZ289" s="377"/>
      <c r="DA289" s="377"/>
      <c r="DB289" s="377"/>
      <c r="DC289" s="377"/>
      <c r="DD289" s="377"/>
      <c r="DE289" s="377"/>
      <c r="DF289" s="377"/>
      <c r="DG289" s="1159"/>
      <c r="DH289" s="377"/>
      <c r="DI289" s="377"/>
      <c r="DJ289" s="377"/>
      <c r="DK289" s="377"/>
      <c r="DL289" s="377"/>
      <c r="DM289" s="377"/>
      <c r="DN289" s="377"/>
      <c r="DO289" s="377"/>
      <c r="DP289" s="377"/>
      <c r="DQ289" s="377"/>
      <c r="DR289" s="377"/>
      <c r="DS289" s="377"/>
      <c r="DT289" s="377"/>
      <c r="DU289" s="377"/>
      <c r="DV289" s="377"/>
      <c r="DW289" s="377"/>
      <c r="DX289" s="377"/>
      <c r="DY289" s="377"/>
      <c r="DZ289" s="377"/>
      <c r="EA289" s="377"/>
      <c r="EB289" s="377"/>
      <c r="EC289" s="1159"/>
      <c r="ED289" s="377"/>
      <c r="EE289" s="377"/>
      <c r="EF289" s="377"/>
      <c r="EG289" s="377"/>
      <c r="EH289" s="377"/>
      <c r="EI289" s="377"/>
      <c r="EJ289" s="377"/>
      <c r="EK289" s="377"/>
      <c r="EL289" s="377"/>
      <c r="EM289" s="377"/>
      <c r="EN289" s="377"/>
      <c r="EO289" s="377"/>
      <c r="EP289" s="377"/>
      <c r="EQ289" s="377"/>
      <c r="ER289" s="377"/>
      <c r="ES289" s="377"/>
      <c r="ET289" s="377"/>
      <c r="EU289" s="377"/>
      <c r="EV289" s="377"/>
      <c r="EW289" s="377"/>
      <c r="EX289" s="377"/>
      <c r="EY289" s="1159"/>
      <c r="EZ289" s="377"/>
      <c r="FA289" s="377"/>
      <c r="FB289" s="377"/>
      <c r="FC289" s="377"/>
      <c r="FD289" s="377"/>
      <c r="FE289" s="377"/>
      <c r="FF289" s="377"/>
      <c r="FG289" s="377"/>
      <c r="FH289" s="377"/>
      <c r="FI289" s="377"/>
      <c r="FJ289" s="377"/>
    </row>
    <row r="290" spans="1:166" s="1145" customFormat="1" ht="13.5" customHeight="1" x14ac:dyDescent="0.2">
      <c r="A290" s="1137"/>
      <c r="B290" s="377"/>
      <c r="C290" s="377"/>
      <c r="D290" s="377"/>
      <c r="E290" s="377"/>
      <c r="F290" s="377"/>
      <c r="G290" s="377"/>
      <c r="H290" s="377"/>
      <c r="I290" s="377"/>
      <c r="J290" s="377"/>
      <c r="K290" s="377"/>
      <c r="L290" s="377"/>
      <c r="M290" s="377"/>
      <c r="N290" s="377"/>
      <c r="O290" s="377"/>
      <c r="P290" s="377"/>
      <c r="Q290" s="377"/>
      <c r="R290" s="377"/>
      <c r="S290" s="377"/>
      <c r="T290" s="377"/>
      <c r="U290" s="377"/>
      <c r="V290" s="377"/>
      <c r="W290" s="377"/>
      <c r="X290" s="377"/>
      <c r="Y290" s="377"/>
      <c r="Z290" s="377"/>
      <c r="AA290" s="377"/>
      <c r="AB290" s="377"/>
      <c r="AC290" s="377"/>
      <c r="AD290" s="377"/>
      <c r="AE290" s="377"/>
      <c r="AF290" s="377"/>
      <c r="AG290" s="377"/>
      <c r="AH290" s="377"/>
      <c r="AI290" s="377"/>
      <c r="AJ290" s="377"/>
      <c r="AK290" s="377"/>
      <c r="AL290" s="377"/>
      <c r="AM290" s="377"/>
      <c r="AN290" s="377"/>
      <c r="AO290" s="377"/>
      <c r="AP290" s="377"/>
      <c r="AQ290" s="377"/>
      <c r="AR290" s="377"/>
      <c r="AS290" s="377"/>
      <c r="AT290" s="377"/>
      <c r="AU290" s="377"/>
      <c r="AV290" s="377"/>
      <c r="AW290" s="377"/>
      <c r="AX290" s="377"/>
      <c r="AY290" s="377"/>
      <c r="AZ290" s="377"/>
      <c r="BA290" s="377"/>
      <c r="BB290" s="377"/>
      <c r="BC290" s="377"/>
      <c r="BD290" s="377"/>
      <c r="BE290" s="377"/>
      <c r="BF290" s="377"/>
      <c r="BG290" s="377"/>
      <c r="BH290" s="377"/>
      <c r="BI290" s="377"/>
      <c r="BJ290" s="377"/>
      <c r="BK290" s="377"/>
      <c r="BL290" s="377"/>
      <c r="BM290" s="377"/>
      <c r="BN290" s="377"/>
      <c r="BO290" s="377"/>
      <c r="BP290" s="377"/>
      <c r="BQ290" s="377"/>
      <c r="BR290" s="377"/>
      <c r="BS290" s="377"/>
      <c r="BT290" s="377"/>
      <c r="BU290" s="377"/>
      <c r="BV290" s="377"/>
      <c r="BW290" s="377"/>
      <c r="BX290" s="377"/>
      <c r="BY290" s="377"/>
      <c r="BZ290" s="377"/>
      <c r="CA290" s="377"/>
      <c r="CB290" s="377"/>
      <c r="CC290" s="377"/>
      <c r="CD290" s="377"/>
      <c r="CE290" s="377"/>
      <c r="CF290" s="377"/>
      <c r="CG290" s="377"/>
      <c r="CH290" s="377"/>
      <c r="CI290" s="377"/>
      <c r="CJ290" s="377"/>
      <c r="CK290" s="377"/>
      <c r="CL290" s="377"/>
      <c r="CM290" s="377"/>
      <c r="CN290" s="377"/>
      <c r="CO290" s="377"/>
      <c r="CP290" s="377"/>
      <c r="CQ290" s="377"/>
      <c r="CR290" s="377"/>
      <c r="CS290" s="377"/>
      <c r="CT290" s="377"/>
      <c r="CU290" s="377"/>
      <c r="CV290" s="377"/>
      <c r="CW290" s="377"/>
      <c r="CX290" s="377"/>
      <c r="CY290" s="377"/>
      <c r="CZ290" s="377"/>
      <c r="DA290" s="377"/>
      <c r="DB290" s="377"/>
      <c r="DC290" s="377"/>
      <c r="DD290" s="377"/>
      <c r="DE290" s="377"/>
      <c r="DF290" s="377"/>
      <c r="DG290" s="377"/>
      <c r="DH290" s="377"/>
      <c r="DI290" s="377"/>
      <c r="DJ290" s="377"/>
      <c r="DK290" s="377"/>
      <c r="DL290" s="377"/>
      <c r="DM290" s="377"/>
      <c r="DN290" s="377"/>
      <c r="DO290" s="377"/>
      <c r="DP290" s="377"/>
      <c r="DQ290" s="377"/>
      <c r="DR290" s="377"/>
      <c r="DS290" s="377"/>
      <c r="DT290" s="377"/>
      <c r="DU290" s="377"/>
      <c r="DV290" s="377"/>
      <c r="DW290" s="377"/>
      <c r="DX290" s="377"/>
      <c r="DY290" s="377"/>
      <c r="DZ290" s="377"/>
      <c r="EA290" s="377"/>
      <c r="EB290" s="377"/>
      <c r="EC290" s="377"/>
      <c r="ED290" s="377"/>
      <c r="EE290" s="377"/>
      <c r="EF290" s="377"/>
      <c r="EG290" s="377"/>
      <c r="EH290" s="377"/>
      <c r="EI290" s="377"/>
      <c r="EJ290" s="377"/>
      <c r="EK290" s="377"/>
      <c r="EL290" s="377"/>
      <c r="EM290" s="377"/>
      <c r="EN290" s="377"/>
      <c r="EO290" s="377"/>
      <c r="EP290" s="377"/>
      <c r="EQ290" s="377"/>
      <c r="ER290" s="377"/>
      <c r="ES290" s="377"/>
      <c r="ET290" s="377"/>
      <c r="EU290" s="377"/>
      <c r="EV290" s="377"/>
      <c r="EW290" s="377"/>
      <c r="EX290" s="377"/>
      <c r="EY290" s="377"/>
      <c r="EZ290" s="377"/>
      <c r="FA290" s="377"/>
      <c r="FB290" s="377"/>
      <c r="FC290" s="377"/>
      <c r="FD290" s="377"/>
      <c r="FE290" s="377"/>
      <c r="FF290" s="377"/>
      <c r="FG290" s="377"/>
      <c r="FH290" s="377"/>
      <c r="FI290" s="377"/>
      <c r="FJ290" s="377"/>
    </row>
    <row r="291" spans="1:166" s="1145" customFormat="1" ht="13.5" customHeight="1" x14ac:dyDescent="0.2">
      <c r="A291" s="1137"/>
      <c r="B291" s="377"/>
      <c r="C291" s="377"/>
      <c r="D291" s="377"/>
      <c r="E291" s="377"/>
      <c r="F291" s="377"/>
      <c r="G291" s="377"/>
      <c r="H291" s="377"/>
      <c r="I291" s="377"/>
      <c r="J291" s="377"/>
      <c r="K291" s="377"/>
      <c r="L291" s="377"/>
      <c r="M291" s="377"/>
      <c r="N291" s="377"/>
      <c r="O291" s="377"/>
      <c r="P291" s="377"/>
      <c r="Q291" s="377"/>
      <c r="R291" s="377"/>
      <c r="S291" s="377"/>
      <c r="T291" s="377"/>
      <c r="U291" s="377"/>
      <c r="V291" s="377"/>
      <c r="W291" s="1159"/>
      <c r="X291" s="377"/>
      <c r="Y291" s="377"/>
      <c r="Z291" s="377"/>
      <c r="AA291" s="377"/>
      <c r="AB291" s="377"/>
      <c r="AC291" s="377"/>
      <c r="AD291" s="377"/>
      <c r="AE291" s="377"/>
      <c r="AF291" s="377"/>
      <c r="AG291" s="377"/>
      <c r="AH291" s="377"/>
      <c r="AI291" s="377"/>
      <c r="AJ291" s="377"/>
      <c r="AK291" s="377"/>
      <c r="AL291" s="377"/>
      <c r="AM291" s="377"/>
      <c r="AN291" s="377"/>
      <c r="AO291" s="377"/>
      <c r="AP291" s="377"/>
      <c r="AQ291" s="377"/>
      <c r="AR291" s="377"/>
      <c r="AS291" s="1159"/>
      <c r="AT291" s="377"/>
      <c r="AU291" s="377"/>
      <c r="AV291" s="377"/>
      <c r="AW291" s="377"/>
      <c r="AX291" s="377"/>
      <c r="AY291" s="377"/>
      <c r="AZ291" s="377"/>
      <c r="BA291" s="377"/>
      <c r="BB291" s="377"/>
      <c r="BC291" s="377"/>
      <c r="BD291" s="377"/>
      <c r="BE291" s="377"/>
      <c r="BF291" s="377"/>
      <c r="BG291" s="377"/>
      <c r="BH291" s="377"/>
      <c r="BI291" s="377"/>
      <c r="BJ291" s="377"/>
      <c r="BK291" s="377"/>
      <c r="BL291" s="377"/>
      <c r="BM291" s="377"/>
      <c r="BN291" s="377"/>
      <c r="BO291" s="1159"/>
      <c r="BP291" s="377"/>
      <c r="BQ291" s="377"/>
      <c r="BR291" s="377"/>
      <c r="BS291" s="377"/>
      <c r="BT291" s="377"/>
      <c r="BU291" s="377"/>
      <c r="BV291" s="377"/>
      <c r="BW291" s="377"/>
      <c r="BX291" s="377"/>
      <c r="BY291" s="377"/>
      <c r="BZ291" s="377"/>
      <c r="CA291" s="377"/>
      <c r="CB291" s="377"/>
      <c r="CC291" s="377"/>
      <c r="CD291" s="377"/>
      <c r="CE291" s="377"/>
      <c r="CF291" s="377"/>
      <c r="CG291" s="377"/>
      <c r="CH291" s="377"/>
      <c r="CI291" s="377"/>
      <c r="CJ291" s="377"/>
      <c r="CK291" s="1159"/>
      <c r="CL291" s="377"/>
      <c r="CM291" s="377"/>
      <c r="CN291" s="377"/>
      <c r="CO291" s="377"/>
      <c r="CP291" s="377"/>
      <c r="CQ291" s="377"/>
      <c r="CR291" s="377"/>
      <c r="CS291" s="377"/>
      <c r="CT291" s="377"/>
      <c r="CU291" s="377"/>
      <c r="CV291" s="377"/>
      <c r="CW291" s="377"/>
      <c r="CX291" s="377"/>
      <c r="CY291" s="377"/>
      <c r="CZ291" s="377"/>
      <c r="DA291" s="377"/>
      <c r="DB291" s="377"/>
      <c r="DC291" s="377"/>
      <c r="DD291" s="377"/>
      <c r="DE291" s="377"/>
      <c r="DF291" s="377"/>
      <c r="DG291" s="1159"/>
      <c r="DH291" s="377"/>
      <c r="DI291" s="377"/>
      <c r="DJ291" s="377"/>
      <c r="DK291" s="377"/>
      <c r="DL291" s="377"/>
      <c r="DM291" s="377"/>
      <c r="DN291" s="377"/>
      <c r="DO291" s="377"/>
      <c r="DP291" s="377"/>
      <c r="DQ291" s="377"/>
      <c r="DR291" s="377"/>
      <c r="DS291" s="377"/>
      <c r="DT291" s="377"/>
      <c r="DU291" s="377"/>
      <c r="DV291" s="377"/>
      <c r="DW291" s="377"/>
      <c r="DX291" s="377"/>
      <c r="DY291" s="377"/>
      <c r="DZ291" s="377"/>
      <c r="EA291" s="377"/>
      <c r="EB291" s="377"/>
      <c r="EC291" s="1159"/>
      <c r="ED291" s="377"/>
      <c r="EE291" s="377"/>
      <c r="EF291" s="377"/>
      <c r="EG291" s="377"/>
      <c r="EH291" s="377"/>
      <c r="EI291" s="377"/>
      <c r="EJ291" s="377"/>
      <c r="EK291" s="377"/>
      <c r="EL291" s="377"/>
      <c r="EM291" s="377"/>
      <c r="EN291" s="377"/>
      <c r="EO291" s="377"/>
      <c r="EP291" s="377"/>
      <c r="EQ291" s="377"/>
      <c r="ER291" s="377"/>
      <c r="ES291" s="377"/>
      <c r="ET291" s="377"/>
      <c r="EU291" s="377"/>
      <c r="EV291" s="377"/>
      <c r="EW291" s="377"/>
      <c r="EX291" s="377"/>
      <c r="EY291" s="1159"/>
      <c r="EZ291" s="377"/>
      <c r="FA291" s="377"/>
      <c r="FB291" s="377"/>
      <c r="FC291" s="377"/>
      <c r="FD291" s="377"/>
      <c r="FE291" s="377"/>
      <c r="FF291" s="377"/>
      <c r="FG291" s="377"/>
      <c r="FH291" s="377"/>
      <c r="FI291" s="377"/>
      <c r="FJ291" s="377"/>
    </row>
    <row r="292" spans="1:166" s="1145" customFormat="1" ht="13.5" customHeight="1" x14ac:dyDescent="0.2">
      <c r="A292" s="1137"/>
      <c r="B292" s="377"/>
      <c r="C292" s="377"/>
      <c r="D292" s="377"/>
      <c r="E292" s="377"/>
      <c r="F292" s="377"/>
      <c r="G292" s="377"/>
      <c r="H292" s="377"/>
      <c r="I292" s="377"/>
      <c r="J292" s="377"/>
      <c r="K292" s="377"/>
      <c r="L292" s="377"/>
      <c r="M292" s="377"/>
      <c r="N292" s="377"/>
      <c r="O292" s="377"/>
      <c r="P292" s="377"/>
      <c r="Q292" s="377"/>
      <c r="R292" s="377"/>
      <c r="S292" s="377"/>
      <c r="T292" s="377"/>
      <c r="U292" s="377"/>
      <c r="V292" s="377"/>
      <c r="W292" s="1159"/>
      <c r="X292" s="377"/>
      <c r="Y292" s="377"/>
      <c r="Z292" s="377"/>
      <c r="AA292" s="377"/>
      <c r="AB292" s="377"/>
      <c r="AC292" s="377"/>
      <c r="AD292" s="377"/>
      <c r="AE292" s="377"/>
      <c r="AF292" s="377"/>
      <c r="AG292" s="377"/>
      <c r="AH292" s="377"/>
      <c r="AI292" s="377"/>
      <c r="AJ292" s="377"/>
      <c r="AK292" s="377"/>
      <c r="AL292" s="377"/>
      <c r="AM292" s="377"/>
      <c r="AN292" s="377"/>
      <c r="AO292" s="377"/>
      <c r="AP292" s="377"/>
      <c r="AQ292" s="377"/>
      <c r="AR292" s="377"/>
      <c r="AS292" s="1159"/>
      <c r="AT292" s="377"/>
      <c r="AU292" s="377"/>
      <c r="AV292" s="377"/>
      <c r="AW292" s="377"/>
      <c r="AX292" s="377"/>
      <c r="AY292" s="377"/>
      <c r="AZ292" s="377"/>
      <c r="BA292" s="377"/>
      <c r="BB292" s="377"/>
      <c r="BC292" s="377"/>
      <c r="BD292" s="377"/>
      <c r="BE292" s="377"/>
      <c r="BF292" s="377"/>
      <c r="BG292" s="377"/>
      <c r="BH292" s="377"/>
      <c r="BI292" s="377"/>
      <c r="BJ292" s="377"/>
      <c r="BK292" s="377"/>
      <c r="BL292" s="377"/>
      <c r="BM292" s="377"/>
      <c r="BN292" s="377"/>
      <c r="BO292" s="1159"/>
      <c r="BP292" s="377"/>
      <c r="BQ292" s="377"/>
      <c r="BR292" s="377"/>
      <c r="BS292" s="377"/>
      <c r="BT292" s="377"/>
      <c r="BU292" s="377"/>
      <c r="BV292" s="377"/>
      <c r="BW292" s="377"/>
      <c r="BX292" s="377"/>
      <c r="BY292" s="377"/>
      <c r="BZ292" s="377"/>
      <c r="CA292" s="377"/>
      <c r="CB292" s="377"/>
      <c r="CC292" s="377"/>
      <c r="CD292" s="377"/>
      <c r="CE292" s="377"/>
      <c r="CF292" s="377"/>
      <c r="CG292" s="377"/>
      <c r="CH292" s="377"/>
      <c r="CI292" s="377"/>
      <c r="CJ292" s="377"/>
      <c r="CK292" s="1159"/>
      <c r="CL292" s="377"/>
      <c r="CM292" s="377"/>
      <c r="CN292" s="377"/>
      <c r="CO292" s="377"/>
      <c r="CP292" s="377"/>
      <c r="CQ292" s="377"/>
      <c r="CR292" s="377"/>
      <c r="CS292" s="377"/>
      <c r="CT292" s="377"/>
      <c r="CU292" s="377"/>
      <c r="CV292" s="377"/>
      <c r="CW292" s="377"/>
      <c r="CX292" s="377"/>
      <c r="CY292" s="377"/>
      <c r="CZ292" s="377"/>
      <c r="DA292" s="377"/>
      <c r="DB292" s="377"/>
      <c r="DC292" s="377"/>
      <c r="DD292" s="377"/>
      <c r="DE292" s="377"/>
      <c r="DF292" s="377"/>
      <c r="DG292" s="1159"/>
      <c r="DH292" s="377"/>
      <c r="DI292" s="377"/>
      <c r="DJ292" s="377"/>
      <c r="DK292" s="377"/>
      <c r="DL292" s="377"/>
      <c r="DM292" s="377"/>
      <c r="DN292" s="377"/>
      <c r="DO292" s="377"/>
      <c r="DP292" s="377"/>
      <c r="DQ292" s="377"/>
      <c r="DR292" s="377"/>
      <c r="DS292" s="377"/>
      <c r="DT292" s="377"/>
      <c r="DU292" s="377"/>
      <c r="DV292" s="377"/>
      <c r="DW292" s="377"/>
      <c r="DX292" s="377"/>
      <c r="DY292" s="377"/>
      <c r="DZ292" s="377"/>
      <c r="EA292" s="377"/>
      <c r="EB292" s="377"/>
      <c r="EC292" s="1159"/>
      <c r="ED292" s="377"/>
      <c r="EE292" s="377"/>
      <c r="EF292" s="377"/>
      <c r="EG292" s="377"/>
      <c r="EH292" s="377"/>
      <c r="EI292" s="377"/>
      <c r="EJ292" s="377"/>
      <c r="EK292" s="377"/>
      <c r="EL292" s="377"/>
      <c r="EM292" s="377"/>
      <c r="EN292" s="377"/>
      <c r="EO292" s="377"/>
      <c r="EP292" s="377"/>
      <c r="EQ292" s="377"/>
      <c r="ER292" s="377"/>
      <c r="ES292" s="377"/>
      <c r="ET292" s="377"/>
      <c r="EU292" s="377"/>
      <c r="EV292" s="377"/>
      <c r="EW292" s="377"/>
      <c r="EX292" s="377"/>
      <c r="EY292" s="1159"/>
      <c r="EZ292" s="377"/>
      <c r="FA292" s="377"/>
      <c r="FB292" s="377"/>
      <c r="FC292" s="377"/>
      <c r="FD292" s="377"/>
      <c r="FE292" s="377"/>
      <c r="FF292" s="377"/>
      <c r="FG292" s="377"/>
      <c r="FH292" s="377"/>
      <c r="FI292" s="377"/>
      <c r="FJ292" s="377"/>
    </row>
    <row r="293" spans="1:166" s="1145" customFormat="1" ht="13.5" customHeight="1" x14ac:dyDescent="0.2">
      <c r="A293" s="1137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77"/>
      <c r="O293" s="377"/>
      <c r="P293" s="377"/>
      <c r="Q293" s="377"/>
      <c r="R293" s="377"/>
      <c r="S293" s="377"/>
      <c r="T293" s="377"/>
      <c r="U293" s="377"/>
      <c r="V293" s="377"/>
      <c r="W293" s="1159"/>
      <c r="X293" s="377"/>
      <c r="Y293" s="377"/>
      <c r="Z293" s="377"/>
      <c r="AA293" s="377"/>
      <c r="AB293" s="377"/>
      <c r="AC293" s="377"/>
      <c r="AD293" s="377"/>
      <c r="AE293" s="377"/>
      <c r="AF293" s="377"/>
      <c r="AG293" s="377"/>
      <c r="AH293" s="377"/>
      <c r="AI293" s="377"/>
      <c r="AJ293" s="377"/>
      <c r="AK293" s="377"/>
      <c r="AL293" s="377"/>
      <c r="AM293" s="377"/>
      <c r="AN293" s="377"/>
      <c r="AO293" s="377"/>
      <c r="AP293" s="377"/>
      <c r="AQ293" s="377"/>
      <c r="AR293" s="377"/>
      <c r="AS293" s="1159"/>
      <c r="AT293" s="377"/>
      <c r="AU293" s="377"/>
      <c r="AV293" s="377"/>
      <c r="AW293" s="377"/>
      <c r="AX293" s="377"/>
      <c r="AY293" s="377"/>
      <c r="AZ293" s="377"/>
      <c r="BA293" s="377"/>
      <c r="BB293" s="377"/>
      <c r="BC293" s="377"/>
      <c r="BD293" s="377"/>
      <c r="BE293" s="377"/>
      <c r="BF293" s="377"/>
      <c r="BG293" s="377"/>
      <c r="BH293" s="377"/>
      <c r="BI293" s="377"/>
      <c r="BJ293" s="377"/>
      <c r="BK293" s="377"/>
      <c r="BL293" s="377"/>
      <c r="BM293" s="377"/>
      <c r="BN293" s="377"/>
      <c r="BO293" s="1159"/>
      <c r="BP293" s="377"/>
      <c r="BQ293" s="377"/>
      <c r="BR293" s="377"/>
      <c r="BS293" s="377"/>
      <c r="BT293" s="377"/>
      <c r="BU293" s="377"/>
      <c r="BV293" s="377"/>
      <c r="BW293" s="377"/>
      <c r="BX293" s="377"/>
      <c r="BY293" s="377"/>
      <c r="BZ293" s="377"/>
      <c r="CA293" s="377"/>
      <c r="CB293" s="377"/>
      <c r="CC293" s="377"/>
      <c r="CD293" s="377"/>
      <c r="CE293" s="377"/>
      <c r="CF293" s="377"/>
      <c r="CG293" s="377"/>
      <c r="CH293" s="377"/>
      <c r="CI293" s="377"/>
      <c r="CJ293" s="377"/>
      <c r="CK293" s="1159"/>
      <c r="CL293" s="377"/>
      <c r="CM293" s="377"/>
      <c r="CN293" s="377"/>
      <c r="CO293" s="377"/>
      <c r="CP293" s="377"/>
      <c r="CQ293" s="377"/>
      <c r="CR293" s="377"/>
      <c r="CS293" s="377"/>
      <c r="CT293" s="377"/>
      <c r="CU293" s="377"/>
      <c r="CV293" s="377"/>
      <c r="CW293" s="377"/>
      <c r="CX293" s="377"/>
      <c r="CY293" s="377"/>
      <c r="CZ293" s="377"/>
      <c r="DA293" s="377"/>
      <c r="DB293" s="377"/>
      <c r="DC293" s="377"/>
      <c r="DD293" s="377"/>
      <c r="DE293" s="377"/>
      <c r="DF293" s="377"/>
      <c r="DG293" s="1159"/>
      <c r="DH293" s="377"/>
      <c r="DI293" s="377"/>
      <c r="DJ293" s="377"/>
      <c r="DK293" s="377"/>
      <c r="DL293" s="377"/>
      <c r="DM293" s="377"/>
      <c r="DN293" s="377"/>
      <c r="DO293" s="377"/>
      <c r="DP293" s="377"/>
      <c r="DQ293" s="377"/>
      <c r="DR293" s="377"/>
      <c r="DS293" s="377"/>
      <c r="DT293" s="377"/>
      <c r="DU293" s="377"/>
      <c r="DV293" s="377"/>
      <c r="DW293" s="377"/>
      <c r="DX293" s="377"/>
      <c r="DY293" s="377"/>
      <c r="DZ293" s="377"/>
      <c r="EA293" s="377"/>
      <c r="EB293" s="377"/>
      <c r="EC293" s="1159"/>
      <c r="ED293" s="377"/>
      <c r="EE293" s="377"/>
      <c r="EF293" s="377"/>
      <c r="EG293" s="377"/>
      <c r="EH293" s="377"/>
      <c r="EI293" s="377"/>
      <c r="EJ293" s="377"/>
      <c r="EK293" s="377"/>
      <c r="EL293" s="377"/>
      <c r="EM293" s="377"/>
      <c r="EN293" s="377"/>
      <c r="EO293" s="377"/>
      <c r="EP293" s="377"/>
      <c r="EQ293" s="377"/>
      <c r="ER293" s="377"/>
      <c r="ES293" s="377"/>
      <c r="ET293" s="377"/>
      <c r="EU293" s="377"/>
      <c r="EV293" s="377"/>
      <c r="EW293" s="377"/>
      <c r="EX293" s="377"/>
      <c r="EY293" s="1159"/>
      <c r="EZ293" s="377"/>
      <c r="FA293" s="377"/>
      <c r="FB293" s="377"/>
      <c r="FC293" s="377"/>
      <c r="FD293" s="377"/>
      <c r="FE293" s="377"/>
      <c r="FF293" s="377"/>
      <c r="FG293" s="377"/>
      <c r="FH293" s="377"/>
      <c r="FI293" s="377"/>
      <c r="FJ293" s="377"/>
    </row>
    <row r="294" spans="1:166" s="1145" customFormat="1" ht="13.5" customHeight="1" x14ac:dyDescent="0.2">
      <c r="A294" s="1137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77"/>
      <c r="O294" s="377"/>
      <c r="P294" s="377"/>
      <c r="Q294" s="377"/>
      <c r="R294" s="377"/>
      <c r="S294" s="377"/>
      <c r="T294" s="377"/>
      <c r="U294" s="377"/>
      <c r="V294" s="377"/>
      <c r="W294" s="1159"/>
      <c r="X294" s="377"/>
      <c r="Y294" s="377"/>
      <c r="Z294" s="377"/>
      <c r="AA294" s="377"/>
      <c r="AB294" s="377"/>
      <c r="AC294" s="377"/>
      <c r="AD294" s="377"/>
      <c r="AE294" s="377"/>
      <c r="AF294" s="377"/>
      <c r="AG294" s="377"/>
      <c r="AH294" s="377"/>
      <c r="AI294" s="377"/>
      <c r="AJ294" s="377"/>
      <c r="AK294" s="377"/>
      <c r="AL294" s="377"/>
      <c r="AM294" s="377"/>
      <c r="AN294" s="377"/>
      <c r="AO294" s="377"/>
      <c r="AP294" s="377"/>
      <c r="AQ294" s="377"/>
      <c r="AR294" s="377"/>
      <c r="AS294" s="1159"/>
      <c r="AT294" s="377"/>
      <c r="AU294" s="377"/>
      <c r="AV294" s="377"/>
      <c r="AW294" s="377"/>
      <c r="AX294" s="377"/>
      <c r="AY294" s="377"/>
      <c r="AZ294" s="377"/>
      <c r="BA294" s="377"/>
      <c r="BB294" s="377"/>
      <c r="BC294" s="377"/>
      <c r="BD294" s="377"/>
      <c r="BE294" s="377"/>
      <c r="BF294" s="377"/>
      <c r="BG294" s="377"/>
      <c r="BH294" s="377"/>
      <c r="BI294" s="377"/>
      <c r="BJ294" s="377"/>
      <c r="BK294" s="377"/>
      <c r="BL294" s="377"/>
      <c r="BM294" s="377"/>
      <c r="BN294" s="377"/>
      <c r="BO294" s="1159"/>
      <c r="BP294" s="377"/>
      <c r="BQ294" s="377"/>
      <c r="BR294" s="377"/>
      <c r="BS294" s="377"/>
      <c r="BT294" s="377"/>
      <c r="BU294" s="377"/>
      <c r="BV294" s="377"/>
      <c r="BW294" s="377"/>
      <c r="BX294" s="377"/>
      <c r="BY294" s="377"/>
      <c r="BZ294" s="377"/>
      <c r="CA294" s="377"/>
      <c r="CB294" s="377"/>
      <c r="CC294" s="377"/>
      <c r="CD294" s="377"/>
      <c r="CE294" s="377"/>
      <c r="CF294" s="377"/>
      <c r="CG294" s="377"/>
      <c r="CH294" s="377"/>
      <c r="CI294" s="377"/>
      <c r="CJ294" s="377"/>
      <c r="CK294" s="1159"/>
      <c r="CL294" s="377"/>
      <c r="CM294" s="377"/>
      <c r="CN294" s="377"/>
      <c r="CO294" s="377"/>
      <c r="CP294" s="377"/>
      <c r="CQ294" s="377"/>
      <c r="CR294" s="377"/>
      <c r="CS294" s="377"/>
      <c r="CT294" s="377"/>
      <c r="CU294" s="377"/>
      <c r="CV294" s="377"/>
      <c r="CW294" s="377"/>
      <c r="CX294" s="377"/>
      <c r="CY294" s="377"/>
      <c r="CZ294" s="377"/>
      <c r="DA294" s="377"/>
      <c r="DB294" s="377"/>
      <c r="DC294" s="377"/>
      <c r="DD294" s="377"/>
      <c r="DE294" s="377"/>
      <c r="DF294" s="377"/>
      <c r="DG294" s="1159"/>
      <c r="DH294" s="377"/>
      <c r="DI294" s="377"/>
      <c r="DJ294" s="377"/>
      <c r="DK294" s="377"/>
      <c r="DL294" s="377"/>
      <c r="DM294" s="377"/>
      <c r="DN294" s="377"/>
      <c r="DO294" s="377"/>
      <c r="DP294" s="377"/>
      <c r="DQ294" s="377"/>
      <c r="DR294" s="377"/>
      <c r="DS294" s="377"/>
      <c r="DT294" s="377"/>
      <c r="DU294" s="377"/>
      <c r="DV294" s="377"/>
      <c r="DW294" s="377"/>
      <c r="DX294" s="377"/>
      <c r="DY294" s="377"/>
      <c r="DZ294" s="377"/>
      <c r="EA294" s="377"/>
      <c r="EB294" s="377"/>
      <c r="EC294" s="1159"/>
      <c r="ED294" s="377"/>
      <c r="EE294" s="377"/>
      <c r="EF294" s="377"/>
      <c r="EG294" s="377"/>
      <c r="EH294" s="377"/>
      <c r="EI294" s="377"/>
      <c r="EJ294" s="377"/>
      <c r="EK294" s="377"/>
      <c r="EL294" s="377"/>
      <c r="EM294" s="377"/>
      <c r="EN294" s="377"/>
      <c r="EO294" s="377"/>
      <c r="EP294" s="377"/>
      <c r="EQ294" s="377"/>
      <c r="ER294" s="377"/>
      <c r="ES294" s="377"/>
      <c r="ET294" s="377"/>
      <c r="EU294" s="377"/>
      <c r="EV294" s="377"/>
      <c r="EW294" s="377"/>
      <c r="EX294" s="377"/>
      <c r="EY294" s="1159"/>
      <c r="EZ294" s="377"/>
      <c r="FA294" s="377"/>
      <c r="FB294" s="377"/>
      <c r="FC294" s="377"/>
      <c r="FD294" s="377"/>
      <c r="FE294" s="377"/>
      <c r="FF294" s="377"/>
      <c r="FG294" s="377"/>
      <c r="FH294" s="377"/>
      <c r="FI294" s="377"/>
      <c r="FJ294" s="377"/>
    </row>
    <row r="295" spans="1:166" s="1145" customFormat="1" ht="13.5" customHeight="1" x14ac:dyDescent="0.2">
      <c r="A295" s="1137"/>
      <c r="B295" s="377"/>
      <c r="C295" s="377"/>
      <c r="D295" s="377"/>
      <c r="E295" s="377"/>
      <c r="F295" s="377"/>
      <c r="G295" s="377"/>
      <c r="H295" s="377"/>
      <c r="I295" s="377"/>
      <c r="J295" s="377"/>
      <c r="K295" s="377"/>
      <c r="L295" s="377"/>
      <c r="M295" s="377"/>
      <c r="N295" s="377"/>
      <c r="O295" s="377"/>
      <c r="P295" s="377"/>
      <c r="Q295" s="377"/>
      <c r="R295" s="377"/>
      <c r="S295" s="377"/>
      <c r="T295" s="377"/>
      <c r="U295" s="377"/>
      <c r="V295" s="377"/>
      <c r="W295" s="1159"/>
      <c r="X295" s="377"/>
      <c r="Y295" s="377"/>
      <c r="Z295" s="377"/>
      <c r="AA295" s="377"/>
      <c r="AB295" s="377"/>
      <c r="AC295" s="377"/>
      <c r="AD295" s="377"/>
      <c r="AE295" s="377"/>
      <c r="AF295" s="377"/>
      <c r="AG295" s="377"/>
      <c r="AH295" s="377"/>
      <c r="AI295" s="377"/>
      <c r="AJ295" s="377"/>
      <c r="AK295" s="377"/>
      <c r="AL295" s="377"/>
      <c r="AM295" s="377"/>
      <c r="AN295" s="377"/>
      <c r="AO295" s="377"/>
      <c r="AP295" s="377"/>
      <c r="AQ295" s="377"/>
      <c r="AR295" s="377"/>
      <c r="AS295" s="1159"/>
      <c r="AT295" s="377"/>
      <c r="AU295" s="377"/>
      <c r="AV295" s="377"/>
      <c r="AW295" s="377"/>
      <c r="AX295" s="377"/>
      <c r="AY295" s="377"/>
      <c r="AZ295" s="377"/>
      <c r="BA295" s="377"/>
      <c r="BB295" s="377"/>
      <c r="BC295" s="377"/>
      <c r="BD295" s="377"/>
      <c r="BE295" s="377"/>
      <c r="BF295" s="377"/>
      <c r="BG295" s="377"/>
      <c r="BH295" s="377"/>
      <c r="BI295" s="377"/>
      <c r="BJ295" s="377"/>
      <c r="BK295" s="377"/>
      <c r="BL295" s="377"/>
      <c r="BM295" s="377"/>
      <c r="BN295" s="377"/>
      <c r="BO295" s="1159"/>
      <c r="BP295" s="377"/>
      <c r="BQ295" s="377"/>
      <c r="BR295" s="377"/>
      <c r="BS295" s="377"/>
      <c r="BT295" s="377"/>
      <c r="BU295" s="377"/>
      <c r="BV295" s="377"/>
      <c r="BW295" s="377"/>
      <c r="BX295" s="377"/>
      <c r="BY295" s="377"/>
      <c r="BZ295" s="377"/>
      <c r="CA295" s="377"/>
      <c r="CB295" s="377"/>
      <c r="CC295" s="377"/>
      <c r="CD295" s="377"/>
      <c r="CE295" s="377"/>
      <c r="CF295" s="377"/>
      <c r="CG295" s="377"/>
      <c r="CH295" s="377"/>
      <c r="CI295" s="377"/>
      <c r="CJ295" s="377"/>
      <c r="CK295" s="1159"/>
      <c r="CL295" s="377"/>
      <c r="CM295" s="377"/>
      <c r="CN295" s="377"/>
      <c r="CO295" s="377"/>
      <c r="CP295" s="377"/>
      <c r="CQ295" s="377"/>
      <c r="CR295" s="377"/>
      <c r="CS295" s="377"/>
      <c r="CT295" s="377"/>
      <c r="CU295" s="377"/>
      <c r="CV295" s="377"/>
      <c r="CW295" s="377"/>
      <c r="CX295" s="377"/>
      <c r="CY295" s="377"/>
      <c r="CZ295" s="377"/>
      <c r="DA295" s="377"/>
      <c r="DB295" s="377"/>
      <c r="DC295" s="377"/>
      <c r="DD295" s="377"/>
      <c r="DE295" s="377"/>
      <c r="DF295" s="377"/>
      <c r="DG295" s="1159"/>
      <c r="DH295" s="377"/>
      <c r="DI295" s="377"/>
      <c r="DJ295" s="377"/>
      <c r="DK295" s="377"/>
      <c r="DL295" s="377"/>
      <c r="DM295" s="377"/>
      <c r="DN295" s="377"/>
      <c r="DO295" s="377"/>
      <c r="DP295" s="377"/>
      <c r="DQ295" s="377"/>
      <c r="DR295" s="377"/>
      <c r="DS295" s="377"/>
      <c r="DT295" s="377"/>
      <c r="DU295" s="377"/>
      <c r="DV295" s="377"/>
      <c r="DW295" s="377"/>
      <c r="DX295" s="377"/>
      <c r="DY295" s="377"/>
      <c r="DZ295" s="377"/>
      <c r="EA295" s="377"/>
      <c r="EB295" s="377"/>
      <c r="EC295" s="1159"/>
      <c r="ED295" s="377"/>
      <c r="EE295" s="377"/>
      <c r="EF295" s="377"/>
      <c r="EG295" s="377"/>
      <c r="EH295" s="377"/>
      <c r="EI295" s="377"/>
      <c r="EJ295" s="377"/>
      <c r="EK295" s="377"/>
      <c r="EL295" s="377"/>
      <c r="EM295" s="377"/>
      <c r="EN295" s="377"/>
      <c r="EO295" s="377"/>
      <c r="EP295" s="377"/>
      <c r="EQ295" s="377"/>
      <c r="ER295" s="377"/>
      <c r="ES295" s="377"/>
      <c r="ET295" s="377"/>
      <c r="EU295" s="377"/>
      <c r="EV295" s="377"/>
      <c r="EW295" s="377"/>
      <c r="EX295" s="377"/>
      <c r="EY295" s="1159"/>
      <c r="EZ295" s="377"/>
      <c r="FA295" s="377"/>
      <c r="FB295" s="377"/>
      <c r="FC295" s="377"/>
      <c r="FD295" s="377"/>
      <c r="FE295" s="377"/>
      <c r="FF295" s="377"/>
      <c r="FG295" s="377"/>
      <c r="FH295" s="377"/>
      <c r="FI295" s="377"/>
      <c r="FJ295" s="377"/>
    </row>
    <row r="296" spans="1:166" s="1145" customFormat="1" ht="13.5" customHeight="1" x14ac:dyDescent="0.2">
      <c r="A296" s="1137"/>
      <c r="B296" s="377"/>
      <c r="C296" s="377"/>
      <c r="D296" s="377"/>
      <c r="E296" s="377"/>
      <c r="F296" s="377"/>
      <c r="G296" s="377"/>
      <c r="H296" s="377"/>
      <c r="I296" s="377"/>
      <c r="J296" s="377"/>
      <c r="K296" s="377"/>
      <c r="L296" s="377"/>
      <c r="M296" s="377"/>
      <c r="N296" s="377"/>
      <c r="O296" s="377"/>
      <c r="P296" s="377"/>
      <c r="Q296" s="377"/>
      <c r="R296" s="377"/>
      <c r="S296" s="377"/>
      <c r="T296" s="377"/>
      <c r="U296" s="377"/>
      <c r="V296" s="377"/>
      <c r="W296" s="1159"/>
      <c r="X296" s="377"/>
      <c r="Y296" s="377"/>
      <c r="Z296" s="377"/>
      <c r="AA296" s="377"/>
      <c r="AB296" s="377"/>
      <c r="AC296" s="377"/>
      <c r="AD296" s="377"/>
      <c r="AE296" s="377"/>
      <c r="AF296" s="377"/>
      <c r="AG296" s="377"/>
      <c r="AH296" s="377"/>
      <c r="AI296" s="377"/>
      <c r="AJ296" s="377"/>
      <c r="AK296" s="377"/>
      <c r="AL296" s="377"/>
      <c r="AM296" s="377"/>
      <c r="AN296" s="377"/>
      <c r="AO296" s="377"/>
      <c r="AP296" s="377"/>
      <c r="AQ296" s="377"/>
      <c r="AR296" s="377"/>
      <c r="AS296" s="1159"/>
      <c r="AT296" s="377"/>
      <c r="AU296" s="377"/>
      <c r="AV296" s="377"/>
      <c r="AW296" s="377"/>
      <c r="AX296" s="377"/>
      <c r="AY296" s="377"/>
      <c r="AZ296" s="377"/>
      <c r="BA296" s="377"/>
      <c r="BB296" s="377"/>
      <c r="BC296" s="377"/>
      <c r="BD296" s="377"/>
      <c r="BE296" s="377"/>
      <c r="BF296" s="377"/>
      <c r="BG296" s="377"/>
      <c r="BH296" s="377"/>
      <c r="BI296" s="377"/>
      <c r="BJ296" s="377"/>
      <c r="BK296" s="377"/>
      <c r="BL296" s="377"/>
      <c r="BM296" s="377"/>
      <c r="BN296" s="377"/>
      <c r="BO296" s="1159"/>
      <c r="BP296" s="377"/>
      <c r="BQ296" s="377"/>
      <c r="BR296" s="377"/>
      <c r="BS296" s="377"/>
      <c r="BT296" s="377"/>
      <c r="BU296" s="377"/>
      <c r="BV296" s="377"/>
      <c r="BW296" s="377"/>
      <c r="BX296" s="377"/>
      <c r="BY296" s="377"/>
      <c r="BZ296" s="377"/>
      <c r="CA296" s="377"/>
      <c r="CB296" s="377"/>
      <c r="CC296" s="377"/>
      <c r="CD296" s="377"/>
      <c r="CE296" s="377"/>
      <c r="CF296" s="377"/>
      <c r="CG296" s="377"/>
      <c r="CH296" s="377"/>
      <c r="CI296" s="377"/>
      <c r="CJ296" s="377"/>
      <c r="CK296" s="1159"/>
      <c r="CL296" s="377"/>
      <c r="CM296" s="377"/>
      <c r="CN296" s="377"/>
      <c r="CO296" s="377"/>
      <c r="CP296" s="377"/>
      <c r="CQ296" s="377"/>
      <c r="CR296" s="377"/>
      <c r="CS296" s="377"/>
      <c r="CT296" s="377"/>
      <c r="CU296" s="377"/>
      <c r="CV296" s="377"/>
      <c r="CW296" s="377"/>
      <c r="CX296" s="377"/>
      <c r="CY296" s="377"/>
      <c r="CZ296" s="377"/>
      <c r="DA296" s="377"/>
      <c r="DB296" s="377"/>
      <c r="DC296" s="377"/>
      <c r="DD296" s="377"/>
      <c r="DE296" s="377"/>
      <c r="DF296" s="377"/>
      <c r="DG296" s="1159"/>
      <c r="DH296" s="377"/>
      <c r="DI296" s="377"/>
      <c r="DJ296" s="377"/>
      <c r="DK296" s="377"/>
      <c r="DL296" s="377"/>
      <c r="DM296" s="377"/>
      <c r="DN296" s="377"/>
      <c r="DO296" s="377"/>
      <c r="DP296" s="377"/>
      <c r="DQ296" s="377"/>
      <c r="DR296" s="377"/>
      <c r="DS296" s="377"/>
      <c r="DT296" s="377"/>
      <c r="DU296" s="377"/>
      <c r="DV296" s="377"/>
      <c r="DW296" s="377"/>
      <c r="DX296" s="377"/>
      <c r="DY296" s="377"/>
      <c r="DZ296" s="377"/>
      <c r="EA296" s="377"/>
      <c r="EB296" s="377"/>
      <c r="EC296" s="1159"/>
      <c r="ED296" s="377"/>
      <c r="EE296" s="377"/>
      <c r="EF296" s="377"/>
      <c r="EG296" s="377"/>
      <c r="EH296" s="377"/>
      <c r="EI296" s="377"/>
      <c r="EJ296" s="377"/>
      <c r="EK296" s="377"/>
      <c r="EL296" s="377"/>
      <c r="EM296" s="377"/>
      <c r="EN296" s="377"/>
      <c r="EO296" s="377"/>
      <c r="EP296" s="377"/>
      <c r="EQ296" s="377"/>
      <c r="ER296" s="377"/>
      <c r="ES296" s="377"/>
      <c r="ET296" s="377"/>
      <c r="EU296" s="377"/>
      <c r="EV296" s="377"/>
      <c r="EW296" s="377"/>
      <c r="EX296" s="377"/>
      <c r="EY296" s="1159"/>
      <c r="EZ296" s="377"/>
      <c r="FA296" s="377"/>
      <c r="FB296" s="377"/>
      <c r="FC296" s="377"/>
      <c r="FD296" s="377"/>
      <c r="FE296" s="377"/>
      <c r="FF296" s="377"/>
      <c r="FG296" s="377"/>
      <c r="FH296" s="377"/>
      <c r="FI296" s="377"/>
      <c r="FJ296" s="377"/>
    </row>
    <row r="297" spans="1:166" s="1145" customFormat="1" ht="13.5" customHeight="1" x14ac:dyDescent="0.2">
      <c r="A297" s="1137"/>
      <c r="B297" s="377"/>
      <c r="C297" s="377"/>
      <c r="D297" s="377"/>
      <c r="E297" s="377"/>
      <c r="F297" s="377"/>
      <c r="G297" s="377"/>
      <c r="H297" s="377"/>
      <c r="I297" s="377"/>
      <c r="J297" s="377"/>
      <c r="K297" s="377"/>
      <c r="L297" s="377"/>
      <c r="M297" s="377"/>
      <c r="N297" s="377"/>
      <c r="O297" s="377"/>
      <c r="P297" s="377"/>
      <c r="Q297" s="377"/>
      <c r="R297" s="377"/>
      <c r="S297" s="377"/>
      <c r="T297" s="377"/>
      <c r="U297" s="377"/>
      <c r="V297" s="377"/>
      <c r="W297" s="1159"/>
      <c r="X297" s="377"/>
      <c r="Y297" s="377"/>
      <c r="Z297" s="377"/>
      <c r="AA297" s="377"/>
      <c r="AB297" s="377"/>
      <c r="AC297" s="377"/>
      <c r="AD297" s="377"/>
      <c r="AE297" s="377"/>
      <c r="AF297" s="377"/>
      <c r="AG297" s="377"/>
      <c r="AH297" s="377"/>
      <c r="AI297" s="377"/>
      <c r="AJ297" s="377"/>
      <c r="AK297" s="377"/>
      <c r="AL297" s="377"/>
      <c r="AM297" s="377"/>
      <c r="AN297" s="377"/>
      <c r="AO297" s="377"/>
      <c r="AP297" s="377"/>
      <c r="AQ297" s="377"/>
      <c r="AR297" s="377"/>
      <c r="AS297" s="1159"/>
      <c r="AT297" s="377"/>
      <c r="AU297" s="377"/>
      <c r="AV297" s="377"/>
      <c r="AW297" s="377"/>
      <c r="AX297" s="377"/>
      <c r="AY297" s="377"/>
      <c r="AZ297" s="377"/>
      <c r="BA297" s="377"/>
      <c r="BB297" s="377"/>
      <c r="BC297" s="377"/>
      <c r="BD297" s="377"/>
      <c r="BE297" s="377"/>
      <c r="BF297" s="377"/>
      <c r="BG297" s="377"/>
      <c r="BH297" s="377"/>
      <c r="BI297" s="377"/>
      <c r="BJ297" s="377"/>
      <c r="BK297" s="377"/>
      <c r="BL297" s="377"/>
      <c r="BM297" s="377"/>
      <c r="BN297" s="377"/>
      <c r="BO297" s="1159"/>
      <c r="BP297" s="377"/>
      <c r="BQ297" s="377"/>
      <c r="BR297" s="377"/>
      <c r="BS297" s="377"/>
      <c r="BT297" s="377"/>
      <c r="BU297" s="377"/>
      <c r="BV297" s="377"/>
      <c r="BW297" s="377"/>
      <c r="BX297" s="377"/>
      <c r="BY297" s="377"/>
      <c r="BZ297" s="377"/>
      <c r="CA297" s="377"/>
      <c r="CB297" s="377"/>
      <c r="CC297" s="377"/>
      <c r="CD297" s="377"/>
      <c r="CE297" s="377"/>
      <c r="CF297" s="377"/>
      <c r="CG297" s="377"/>
      <c r="CH297" s="377"/>
      <c r="CI297" s="377"/>
      <c r="CJ297" s="377"/>
      <c r="CK297" s="1159"/>
      <c r="CL297" s="377"/>
      <c r="CM297" s="377"/>
      <c r="CN297" s="377"/>
      <c r="CO297" s="377"/>
      <c r="CP297" s="377"/>
      <c r="CQ297" s="377"/>
      <c r="CR297" s="377"/>
      <c r="CS297" s="377"/>
      <c r="CT297" s="377"/>
      <c r="CU297" s="377"/>
      <c r="CV297" s="377"/>
      <c r="CW297" s="377"/>
      <c r="CX297" s="377"/>
      <c r="CY297" s="377"/>
      <c r="CZ297" s="377"/>
      <c r="DA297" s="377"/>
      <c r="DB297" s="377"/>
      <c r="DC297" s="377"/>
      <c r="DD297" s="377"/>
      <c r="DE297" s="377"/>
      <c r="DF297" s="377"/>
      <c r="DG297" s="1159"/>
      <c r="DH297" s="377"/>
      <c r="DI297" s="377"/>
      <c r="DJ297" s="377"/>
      <c r="DK297" s="377"/>
      <c r="DL297" s="377"/>
      <c r="DM297" s="377"/>
      <c r="DN297" s="377"/>
      <c r="DO297" s="377"/>
      <c r="DP297" s="377"/>
      <c r="DQ297" s="377"/>
      <c r="DR297" s="377"/>
      <c r="DS297" s="377"/>
      <c r="DT297" s="377"/>
      <c r="DU297" s="377"/>
      <c r="DV297" s="377"/>
      <c r="DW297" s="377"/>
      <c r="DX297" s="377"/>
      <c r="DY297" s="377"/>
      <c r="DZ297" s="377"/>
      <c r="EA297" s="377"/>
      <c r="EB297" s="377"/>
      <c r="EC297" s="1159"/>
      <c r="ED297" s="377"/>
      <c r="EE297" s="377"/>
      <c r="EF297" s="377"/>
      <c r="EG297" s="377"/>
      <c r="EH297" s="377"/>
      <c r="EI297" s="377"/>
      <c r="EJ297" s="377"/>
      <c r="EK297" s="377"/>
      <c r="EL297" s="377"/>
      <c r="EM297" s="377"/>
      <c r="EN297" s="377"/>
      <c r="EO297" s="377"/>
      <c r="EP297" s="377"/>
      <c r="EQ297" s="377"/>
      <c r="ER297" s="377"/>
      <c r="ES297" s="377"/>
      <c r="ET297" s="377"/>
      <c r="EU297" s="377"/>
      <c r="EV297" s="377"/>
      <c r="EW297" s="377"/>
      <c r="EX297" s="377"/>
      <c r="EY297" s="1159"/>
      <c r="EZ297" s="377"/>
      <c r="FA297" s="377"/>
      <c r="FB297" s="377"/>
      <c r="FC297" s="377"/>
      <c r="FD297" s="377"/>
      <c r="FE297" s="377"/>
      <c r="FF297" s="377"/>
      <c r="FG297" s="377"/>
      <c r="FH297" s="377"/>
      <c r="FI297" s="377"/>
      <c r="FJ297" s="377"/>
    </row>
    <row r="298" spans="1:166" s="1145" customFormat="1" ht="13.5" customHeight="1" x14ac:dyDescent="0.2">
      <c r="A298" s="1137"/>
      <c r="B298" s="377"/>
      <c r="C298" s="377"/>
      <c r="D298" s="377"/>
      <c r="E298" s="377"/>
      <c r="F298" s="377"/>
      <c r="G298" s="377"/>
      <c r="H298" s="377"/>
      <c r="I298" s="377"/>
      <c r="J298" s="377"/>
      <c r="K298" s="377"/>
      <c r="L298" s="377"/>
      <c r="M298" s="377"/>
      <c r="N298" s="377"/>
      <c r="O298" s="377"/>
      <c r="P298" s="377"/>
      <c r="Q298" s="377"/>
      <c r="R298" s="377"/>
      <c r="S298" s="377"/>
      <c r="T298" s="377"/>
      <c r="U298" s="377"/>
      <c r="V298" s="377"/>
      <c r="W298" s="1159"/>
      <c r="X298" s="377"/>
      <c r="Y298" s="377"/>
      <c r="Z298" s="377"/>
      <c r="AA298" s="377"/>
      <c r="AB298" s="377"/>
      <c r="AC298" s="377"/>
      <c r="AD298" s="377"/>
      <c r="AE298" s="377"/>
      <c r="AF298" s="377"/>
      <c r="AG298" s="377"/>
      <c r="AH298" s="377"/>
      <c r="AI298" s="377"/>
      <c r="AJ298" s="377"/>
      <c r="AK298" s="377"/>
      <c r="AL298" s="377"/>
      <c r="AM298" s="377"/>
      <c r="AN298" s="377"/>
      <c r="AO298" s="377"/>
      <c r="AP298" s="377"/>
      <c r="AQ298" s="377"/>
      <c r="AR298" s="377"/>
      <c r="AS298" s="1159"/>
      <c r="AT298" s="377"/>
      <c r="AU298" s="377"/>
      <c r="AV298" s="377"/>
      <c r="AW298" s="377"/>
      <c r="AX298" s="377"/>
      <c r="AY298" s="377"/>
      <c r="AZ298" s="377"/>
      <c r="BA298" s="377"/>
      <c r="BB298" s="377"/>
      <c r="BC298" s="377"/>
      <c r="BD298" s="377"/>
      <c r="BE298" s="377"/>
      <c r="BF298" s="377"/>
      <c r="BG298" s="377"/>
      <c r="BH298" s="377"/>
      <c r="BI298" s="377"/>
      <c r="BJ298" s="377"/>
      <c r="BK298" s="377"/>
      <c r="BL298" s="377"/>
      <c r="BM298" s="377"/>
      <c r="BN298" s="377"/>
      <c r="BO298" s="1159"/>
      <c r="BP298" s="377"/>
      <c r="BQ298" s="377"/>
      <c r="BR298" s="377"/>
      <c r="BS298" s="377"/>
      <c r="BT298" s="377"/>
      <c r="BU298" s="377"/>
      <c r="BV298" s="377"/>
      <c r="BW298" s="377"/>
      <c r="BX298" s="377"/>
      <c r="BY298" s="377"/>
      <c r="BZ298" s="377"/>
      <c r="CA298" s="377"/>
      <c r="CB298" s="377"/>
      <c r="CC298" s="377"/>
      <c r="CD298" s="377"/>
      <c r="CE298" s="377"/>
      <c r="CF298" s="377"/>
      <c r="CG298" s="377"/>
      <c r="CH298" s="377"/>
      <c r="CI298" s="377"/>
      <c r="CJ298" s="377"/>
      <c r="CK298" s="1159"/>
      <c r="CL298" s="377"/>
      <c r="CM298" s="377"/>
      <c r="CN298" s="377"/>
      <c r="CO298" s="377"/>
      <c r="CP298" s="377"/>
      <c r="CQ298" s="377"/>
      <c r="CR298" s="377"/>
      <c r="CS298" s="377"/>
      <c r="CT298" s="377"/>
      <c r="CU298" s="377"/>
      <c r="CV298" s="377"/>
      <c r="CW298" s="377"/>
      <c r="CX298" s="377"/>
      <c r="CY298" s="377"/>
      <c r="CZ298" s="377"/>
      <c r="DA298" s="377"/>
      <c r="DB298" s="377"/>
      <c r="DC298" s="377"/>
      <c r="DD298" s="377"/>
      <c r="DE298" s="377"/>
      <c r="DF298" s="377"/>
      <c r="DG298" s="1159"/>
      <c r="DH298" s="377"/>
      <c r="DI298" s="377"/>
      <c r="DJ298" s="377"/>
      <c r="DK298" s="377"/>
      <c r="DL298" s="377"/>
      <c r="DM298" s="377"/>
      <c r="DN298" s="377"/>
      <c r="DO298" s="377"/>
      <c r="DP298" s="377"/>
      <c r="DQ298" s="377"/>
      <c r="DR298" s="377"/>
      <c r="DS298" s="377"/>
      <c r="DT298" s="377"/>
      <c r="DU298" s="377"/>
      <c r="DV298" s="377"/>
      <c r="DW298" s="377"/>
      <c r="DX298" s="377"/>
      <c r="DY298" s="377"/>
      <c r="DZ298" s="377"/>
      <c r="EA298" s="377"/>
      <c r="EB298" s="377"/>
      <c r="EC298" s="1159"/>
      <c r="ED298" s="377"/>
      <c r="EE298" s="377"/>
      <c r="EF298" s="377"/>
      <c r="EG298" s="377"/>
      <c r="EH298" s="377"/>
      <c r="EI298" s="377"/>
      <c r="EJ298" s="377"/>
      <c r="EK298" s="377"/>
      <c r="EL298" s="377"/>
      <c r="EM298" s="377"/>
      <c r="EN298" s="377"/>
      <c r="EO298" s="377"/>
      <c r="EP298" s="377"/>
      <c r="EQ298" s="377"/>
      <c r="ER298" s="377"/>
      <c r="ES298" s="377"/>
      <c r="ET298" s="377"/>
      <c r="EU298" s="377"/>
      <c r="EV298" s="377"/>
      <c r="EW298" s="377"/>
      <c r="EX298" s="377"/>
      <c r="EY298" s="1159"/>
      <c r="EZ298" s="377"/>
      <c r="FA298" s="377"/>
      <c r="FB298" s="377"/>
      <c r="FC298" s="377"/>
      <c r="FD298" s="377"/>
      <c r="FE298" s="377"/>
      <c r="FF298" s="377"/>
      <c r="FG298" s="377"/>
      <c r="FH298" s="377"/>
      <c r="FI298" s="377"/>
      <c r="FJ298" s="377"/>
    </row>
    <row r="299" spans="1:166" s="1145" customFormat="1" ht="13.5" customHeight="1" x14ac:dyDescent="0.2">
      <c r="A299" s="1137"/>
      <c r="B299" s="377"/>
      <c r="C299" s="377"/>
      <c r="D299" s="377"/>
      <c r="E299" s="377"/>
      <c r="F299" s="377"/>
      <c r="G299" s="377"/>
      <c r="H299" s="377"/>
      <c r="I299" s="377"/>
      <c r="J299" s="377"/>
      <c r="K299" s="377"/>
      <c r="L299" s="377"/>
      <c r="M299" s="377"/>
      <c r="N299" s="377"/>
      <c r="O299" s="377"/>
      <c r="P299" s="377"/>
      <c r="Q299" s="377"/>
      <c r="R299" s="377"/>
      <c r="S299" s="377"/>
      <c r="T299" s="377"/>
      <c r="U299" s="377"/>
      <c r="V299" s="377"/>
      <c r="W299" s="377"/>
      <c r="X299" s="377"/>
      <c r="Y299" s="377"/>
      <c r="Z299" s="377"/>
      <c r="AA299" s="377"/>
      <c r="AB299" s="377"/>
      <c r="AC299" s="377"/>
      <c r="AD299" s="377"/>
      <c r="AE299" s="377"/>
      <c r="AF299" s="377"/>
      <c r="AG299" s="377"/>
      <c r="AH299" s="377"/>
      <c r="AI299" s="377"/>
      <c r="AJ299" s="377"/>
      <c r="AK299" s="377"/>
      <c r="AL299" s="377"/>
      <c r="AM299" s="377"/>
      <c r="AN299" s="377"/>
      <c r="AO299" s="377"/>
      <c r="AP299" s="377"/>
      <c r="AQ299" s="377"/>
      <c r="AR299" s="377"/>
      <c r="AS299" s="377"/>
      <c r="AT299" s="377"/>
      <c r="AU299" s="377"/>
      <c r="AV299" s="377"/>
      <c r="AW299" s="377"/>
      <c r="AX299" s="377"/>
      <c r="AY299" s="377"/>
      <c r="AZ299" s="377"/>
      <c r="BA299" s="377"/>
      <c r="BB299" s="377"/>
      <c r="BC299" s="377"/>
      <c r="BD299" s="377"/>
      <c r="BE299" s="377"/>
      <c r="BF299" s="377"/>
      <c r="BG299" s="377"/>
      <c r="BH299" s="377"/>
      <c r="BI299" s="377"/>
      <c r="BJ299" s="377"/>
      <c r="BK299" s="377"/>
      <c r="BL299" s="377"/>
      <c r="BM299" s="377"/>
      <c r="BN299" s="377"/>
      <c r="BO299" s="377"/>
      <c r="BP299" s="377"/>
      <c r="BQ299" s="377"/>
      <c r="BR299" s="377"/>
      <c r="BS299" s="377"/>
      <c r="BT299" s="377"/>
      <c r="BU299" s="377"/>
      <c r="BV299" s="377"/>
      <c r="BW299" s="377"/>
      <c r="BX299" s="377"/>
      <c r="BY299" s="377"/>
      <c r="BZ299" s="377"/>
      <c r="CA299" s="377"/>
      <c r="CB299" s="377"/>
      <c r="CC299" s="377"/>
      <c r="CD299" s="377"/>
      <c r="CE299" s="377"/>
      <c r="CF299" s="377"/>
      <c r="CG299" s="377"/>
      <c r="CH299" s="377"/>
      <c r="CI299" s="377"/>
      <c r="CJ299" s="377"/>
      <c r="CK299" s="377"/>
      <c r="CL299" s="377"/>
      <c r="CM299" s="377"/>
      <c r="CN299" s="377"/>
      <c r="CO299" s="377"/>
      <c r="CP299" s="377"/>
      <c r="CQ299" s="377"/>
      <c r="CR299" s="377"/>
      <c r="CS299" s="377"/>
      <c r="CT299" s="377"/>
      <c r="CU299" s="377"/>
      <c r="CV299" s="377"/>
      <c r="CW299" s="377"/>
      <c r="CX299" s="377"/>
      <c r="CY299" s="377"/>
      <c r="CZ299" s="377"/>
      <c r="DA299" s="377"/>
      <c r="DB299" s="377"/>
      <c r="DC299" s="377"/>
      <c r="DD299" s="377"/>
      <c r="DE299" s="377"/>
      <c r="DF299" s="377"/>
      <c r="DG299" s="377"/>
      <c r="DH299" s="377"/>
      <c r="DI299" s="377"/>
      <c r="DJ299" s="377"/>
      <c r="DK299" s="377"/>
      <c r="DL299" s="377"/>
      <c r="DM299" s="377"/>
      <c r="DN299" s="377"/>
      <c r="DO299" s="377"/>
      <c r="DP299" s="377"/>
      <c r="DQ299" s="377"/>
      <c r="DR299" s="377"/>
      <c r="DS299" s="377"/>
      <c r="DT299" s="377"/>
      <c r="DU299" s="377"/>
      <c r="DV299" s="377"/>
      <c r="DW299" s="377"/>
      <c r="DX299" s="377"/>
      <c r="DY299" s="377"/>
      <c r="DZ299" s="377"/>
      <c r="EA299" s="377"/>
      <c r="EB299" s="377"/>
      <c r="EC299" s="377"/>
      <c r="ED299" s="377"/>
      <c r="EE299" s="377"/>
      <c r="EF299" s="377"/>
      <c r="EG299" s="377"/>
      <c r="EH299" s="377"/>
      <c r="EI299" s="377"/>
      <c r="EJ299" s="377"/>
      <c r="EK299" s="377"/>
      <c r="EL299" s="377"/>
      <c r="EM299" s="377"/>
      <c r="EN299" s="377"/>
      <c r="EO299" s="377"/>
      <c r="EP299" s="377"/>
      <c r="EQ299" s="377"/>
      <c r="ER299" s="377"/>
      <c r="ES299" s="377"/>
      <c r="ET299" s="377"/>
      <c r="EU299" s="377"/>
      <c r="EV299" s="377"/>
      <c r="EW299" s="377"/>
      <c r="EX299" s="377"/>
      <c r="EY299" s="377"/>
      <c r="EZ299" s="377"/>
      <c r="FA299" s="377"/>
      <c r="FB299" s="377"/>
      <c r="FC299" s="377"/>
      <c r="FD299" s="377"/>
      <c r="FE299" s="377"/>
      <c r="FF299" s="377"/>
      <c r="FG299" s="377"/>
      <c r="FH299" s="377"/>
      <c r="FI299" s="377"/>
      <c r="FJ299" s="377"/>
    </row>
    <row r="300" spans="1:166" s="1145" customFormat="1" ht="13.5" customHeight="1" x14ac:dyDescent="0.2">
      <c r="A300" s="1137"/>
      <c r="B300" s="377"/>
      <c r="C300" s="377"/>
      <c r="D300" s="377"/>
      <c r="E300" s="377"/>
      <c r="F300" s="377"/>
      <c r="G300" s="377"/>
      <c r="H300" s="377"/>
      <c r="I300" s="377"/>
      <c r="J300" s="377"/>
      <c r="K300" s="377"/>
      <c r="L300" s="377"/>
      <c r="M300" s="377"/>
      <c r="N300" s="377"/>
      <c r="O300" s="377"/>
      <c r="P300" s="377"/>
      <c r="Q300" s="377"/>
      <c r="R300" s="377"/>
      <c r="S300" s="377"/>
      <c r="T300" s="377"/>
      <c r="U300" s="377"/>
      <c r="V300" s="377"/>
      <c r="W300" s="377"/>
      <c r="X300" s="377"/>
      <c r="Y300" s="377"/>
      <c r="Z300" s="377"/>
      <c r="AA300" s="377"/>
      <c r="AB300" s="377"/>
      <c r="AC300" s="377"/>
      <c r="AD300" s="377"/>
      <c r="AE300" s="377"/>
      <c r="AF300" s="377"/>
      <c r="AG300" s="377"/>
      <c r="AH300" s="377"/>
      <c r="AI300" s="377"/>
      <c r="AJ300" s="377"/>
      <c r="AK300" s="377"/>
      <c r="AL300" s="377"/>
      <c r="AM300" s="377"/>
      <c r="AN300" s="377"/>
      <c r="AO300" s="377"/>
      <c r="AP300" s="377"/>
      <c r="AQ300" s="377"/>
      <c r="AR300" s="377"/>
      <c r="AS300" s="377"/>
      <c r="AT300" s="377"/>
      <c r="AU300" s="377"/>
      <c r="AV300" s="377"/>
      <c r="AW300" s="377"/>
      <c r="AX300" s="377"/>
      <c r="AY300" s="377"/>
      <c r="AZ300" s="377"/>
      <c r="BA300" s="377"/>
      <c r="BB300" s="377"/>
      <c r="BC300" s="377"/>
      <c r="BD300" s="377"/>
      <c r="BE300" s="377"/>
      <c r="BF300" s="377"/>
      <c r="BG300" s="377"/>
      <c r="BH300" s="377"/>
      <c r="BI300" s="377"/>
      <c r="BJ300" s="377"/>
      <c r="BK300" s="377"/>
      <c r="BL300" s="377"/>
      <c r="BM300" s="377"/>
      <c r="BN300" s="377"/>
      <c r="BO300" s="377"/>
      <c r="BP300" s="377"/>
      <c r="BQ300" s="377"/>
      <c r="BR300" s="377"/>
      <c r="BS300" s="377"/>
      <c r="BT300" s="377"/>
      <c r="BU300" s="377"/>
      <c r="BV300" s="377"/>
      <c r="BW300" s="377"/>
      <c r="BX300" s="377"/>
      <c r="BY300" s="377"/>
      <c r="BZ300" s="377"/>
      <c r="CA300" s="377"/>
      <c r="CB300" s="377"/>
      <c r="CC300" s="377"/>
      <c r="CD300" s="377"/>
      <c r="CE300" s="377"/>
      <c r="CF300" s="377"/>
      <c r="CG300" s="377"/>
      <c r="CH300" s="377"/>
      <c r="CI300" s="377"/>
      <c r="CJ300" s="377"/>
      <c r="CK300" s="377"/>
      <c r="CL300" s="377"/>
      <c r="CM300" s="377"/>
      <c r="CN300" s="377"/>
      <c r="CO300" s="377"/>
      <c r="CP300" s="377"/>
      <c r="CQ300" s="377"/>
      <c r="CR300" s="377"/>
      <c r="CS300" s="377"/>
      <c r="CT300" s="377"/>
      <c r="CU300" s="377"/>
      <c r="CV300" s="377"/>
      <c r="CW300" s="377"/>
      <c r="CX300" s="377"/>
      <c r="CY300" s="377"/>
      <c r="CZ300" s="377"/>
      <c r="DA300" s="377"/>
      <c r="DB300" s="377"/>
      <c r="DC300" s="377"/>
      <c r="DD300" s="377"/>
      <c r="DE300" s="377"/>
      <c r="DF300" s="377"/>
      <c r="DG300" s="377"/>
      <c r="DH300" s="377"/>
      <c r="DI300" s="377"/>
      <c r="DJ300" s="377"/>
      <c r="DK300" s="377"/>
      <c r="DL300" s="377"/>
      <c r="DM300" s="377"/>
      <c r="DN300" s="377"/>
      <c r="DO300" s="377"/>
      <c r="DP300" s="377"/>
      <c r="DQ300" s="377"/>
      <c r="DR300" s="377"/>
      <c r="DS300" s="377"/>
      <c r="DT300" s="377"/>
      <c r="DU300" s="377"/>
      <c r="DV300" s="377"/>
      <c r="DW300" s="377"/>
      <c r="DX300" s="377"/>
      <c r="DY300" s="377"/>
      <c r="DZ300" s="377"/>
      <c r="EA300" s="377"/>
      <c r="EB300" s="377"/>
      <c r="EC300" s="377"/>
      <c r="ED300" s="377"/>
      <c r="EE300" s="377"/>
      <c r="EF300" s="377"/>
      <c r="EG300" s="377"/>
      <c r="EH300" s="377"/>
      <c r="EI300" s="377"/>
      <c r="EJ300" s="377"/>
      <c r="EK300" s="377"/>
      <c r="EL300" s="377"/>
      <c r="EM300" s="377"/>
      <c r="EN300" s="377"/>
      <c r="EO300" s="377"/>
      <c r="EP300" s="377"/>
      <c r="EQ300" s="377"/>
      <c r="ER300" s="377"/>
      <c r="ES300" s="377"/>
      <c r="ET300" s="377"/>
      <c r="EU300" s="377"/>
      <c r="EV300" s="377"/>
      <c r="EW300" s="377"/>
      <c r="EX300" s="377"/>
      <c r="EY300" s="377"/>
      <c r="EZ300" s="377"/>
      <c r="FA300" s="377"/>
      <c r="FB300" s="377"/>
      <c r="FC300" s="377"/>
      <c r="FD300" s="377"/>
      <c r="FE300" s="377"/>
      <c r="FF300" s="377"/>
      <c r="FG300" s="377"/>
      <c r="FH300" s="377"/>
      <c r="FI300" s="377"/>
      <c r="FJ300" s="377"/>
    </row>
    <row r="301" spans="1:166" s="1145" customFormat="1" ht="13.5" customHeight="1" x14ac:dyDescent="0.2">
      <c r="A301" s="1137"/>
      <c r="B301" s="377"/>
      <c r="C301" s="377"/>
      <c r="D301" s="377"/>
      <c r="E301" s="377"/>
      <c r="F301" s="377"/>
      <c r="G301" s="377"/>
      <c r="H301" s="377"/>
      <c r="I301" s="377"/>
      <c r="J301" s="377"/>
      <c r="K301" s="377"/>
      <c r="L301" s="377"/>
      <c r="M301" s="377"/>
      <c r="N301" s="377"/>
      <c r="O301" s="377"/>
      <c r="P301" s="377"/>
      <c r="Q301" s="377"/>
      <c r="R301" s="377"/>
      <c r="S301" s="377"/>
      <c r="T301" s="377"/>
      <c r="U301" s="377"/>
      <c r="V301" s="377"/>
      <c r="W301" s="377"/>
      <c r="X301" s="377"/>
      <c r="Y301" s="377"/>
      <c r="Z301" s="377"/>
      <c r="AA301" s="377"/>
      <c r="AB301" s="377"/>
      <c r="AC301" s="377"/>
      <c r="AD301" s="377"/>
      <c r="AE301" s="377"/>
      <c r="AF301" s="377"/>
      <c r="AG301" s="377"/>
      <c r="AH301" s="377"/>
      <c r="AI301" s="377"/>
      <c r="AJ301" s="377"/>
      <c r="AK301" s="377"/>
      <c r="AL301" s="377"/>
      <c r="AM301" s="377"/>
      <c r="AN301" s="377"/>
      <c r="AO301" s="377"/>
      <c r="AP301" s="377"/>
      <c r="AQ301" s="377"/>
      <c r="AR301" s="377"/>
      <c r="AS301" s="377"/>
      <c r="AT301" s="377"/>
      <c r="AU301" s="377"/>
      <c r="AV301" s="377"/>
      <c r="AW301" s="377"/>
      <c r="AX301" s="377"/>
      <c r="AY301" s="377"/>
      <c r="AZ301" s="377"/>
      <c r="BA301" s="377"/>
      <c r="BB301" s="377"/>
      <c r="BC301" s="377"/>
      <c r="BD301" s="377"/>
      <c r="BE301" s="377"/>
      <c r="BF301" s="377"/>
      <c r="BG301" s="377"/>
      <c r="BH301" s="377"/>
      <c r="BI301" s="377"/>
      <c r="BJ301" s="377"/>
      <c r="BK301" s="377"/>
      <c r="BL301" s="377"/>
      <c r="BM301" s="377"/>
      <c r="BN301" s="377"/>
      <c r="BO301" s="377"/>
      <c r="BP301" s="377"/>
      <c r="BQ301" s="377"/>
      <c r="BR301" s="377"/>
      <c r="BS301" s="377"/>
      <c r="BT301" s="377"/>
      <c r="BU301" s="377"/>
      <c r="BV301" s="377"/>
      <c r="BW301" s="377"/>
      <c r="BX301" s="377"/>
      <c r="BY301" s="377"/>
      <c r="BZ301" s="377"/>
      <c r="CA301" s="377"/>
      <c r="CB301" s="377"/>
      <c r="CC301" s="377"/>
      <c r="CD301" s="377"/>
      <c r="CE301" s="377"/>
      <c r="CF301" s="377"/>
      <c r="CG301" s="377"/>
      <c r="CH301" s="377"/>
      <c r="CI301" s="377"/>
      <c r="CJ301" s="377"/>
      <c r="CK301" s="377"/>
      <c r="CL301" s="377"/>
      <c r="CM301" s="377"/>
      <c r="CN301" s="377"/>
      <c r="CO301" s="377"/>
      <c r="CP301" s="377"/>
      <c r="CQ301" s="377"/>
      <c r="CR301" s="377"/>
      <c r="CS301" s="377"/>
      <c r="CT301" s="377"/>
      <c r="CU301" s="377"/>
      <c r="CV301" s="377"/>
      <c r="CW301" s="377"/>
      <c r="CX301" s="377"/>
      <c r="CY301" s="377"/>
      <c r="CZ301" s="377"/>
      <c r="DA301" s="377"/>
      <c r="DB301" s="377"/>
      <c r="DC301" s="377"/>
      <c r="DD301" s="377"/>
      <c r="DE301" s="377"/>
      <c r="DF301" s="377"/>
      <c r="DG301" s="377"/>
      <c r="DH301" s="377"/>
      <c r="DI301" s="377"/>
      <c r="DJ301" s="377"/>
      <c r="DK301" s="377"/>
      <c r="DL301" s="377"/>
      <c r="DM301" s="377"/>
      <c r="DN301" s="377"/>
      <c r="DO301" s="377"/>
      <c r="DP301" s="377"/>
      <c r="DQ301" s="377"/>
      <c r="DR301" s="377"/>
      <c r="DS301" s="377"/>
      <c r="DT301" s="377"/>
      <c r="DU301" s="377"/>
      <c r="DV301" s="377"/>
      <c r="DW301" s="377"/>
      <c r="DX301" s="377"/>
      <c r="DY301" s="377"/>
      <c r="DZ301" s="377"/>
      <c r="EA301" s="377"/>
      <c r="EB301" s="377"/>
      <c r="EC301" s="377"/>
      <c r="ED301" s="377"/>
      <c r="EE301" s="377"/>
      <c r="EF301" s="377"/>
      <c r="EG301" s="377"/>
      <c r="EH301" s="377"/>
      <c r="EI301" s="377"/>
      <c r="EJ301" s="377"/>
      <c r="EK301" s="377"/>
      <c r="EL301" s="377"/>
      <c r="EM301" s="377"/>
      <c r="EN301" s="377"/>
      <c r="EO301" s="377"/>
      <c r="EP301" s="377"/>
      <c r="EQ301" s="377"/>
      <c r="ER301" s="377"/>
      <c r="ES301" s="377"/>
      <c r="ET301" s="377"/>
      <c r="EU301" s="377"/>
      <c r="EV301" s="377"/>
      <c r="EW301" s="377"/>
      <c r="EX301" s="377"/>
      <c r="EY301" s="377"/>
      <c r="EZ301" s="377"/>
      <c r="FA301" s="377"/>
      <c r="FB301" s="377"/>
      <c r="FC301" s="377"/>
      <c r="FD301" s="377"/>
      <c r="FE301" s="377"/>
      <c r="FF301" s="377"/>
      <c r="FG301" s="377"/>
      <c r="FH301" s="377"/>
      <c r="FI301" s="377"/>
      <c r="FJ301" s="377"/>
    </row>
    <row r="302" spans="1:166" s="1145" customFormat="1" ht="13.5" customHeight="1" x14ac:dyDescent="0.2">
      <c r="A302" s="1137"/>
      <c r="B302" s="377"/>
      <c r="C302" s="377"/>
      <c r="D302" s="377"/>
      <c r="E302" s="377"/>
      <c r="F302" s="377"/>
      <c r="G302" s="377"/>
      <c r="H302" s="377"/>
      <c r="I302" s="377"/>
      <c r="J302" s="377"/>
      <c r="K302" s="377"/>
      <c r="L302" s="377"/>
      <c r="M302" s="377"/>
      <c r="N302" s="377"/>
      <c r="O302" s="377"/>
      <c r="P302" s="377"/>
      <c r="Q302" s="377"/>
      <c r="R302" s="377"/>
      <c r="S302" s="377"/>
      <c r="T302" s="377"/>
      <c r="U302" s="377"/>
      <c r="V302" s="377"/>
      <c r="W302" s="377"/>
      <c r="X302" s="377"/>
      <c r="Y302" s="377"/>
      <c r="Z302" s="377"/>
      <c r="AA302" s="377"/>
      <c r="AB302" s="377"/>
      <c r="AC302" s="377"/>
      <c r="AD302" s="377"/>
      <c r="AE302" s="377"/>
      <c r="AF302" s="377"/>
      <c r="AG302" s="377"/>
      <c r="AH302" s="377"/>
      <c r="AI302" s="377"/>
      <c r="AJ302" s="377"/>
      <c r="AK302" s="377"/>
      <c r="AL302" s="377"/>
      <c r="AM302" s="377"/>
      <c r="AN302" s="377"/>
      <c r="AO302" s="377"/>
      <c r="AP302" s="377"/>
      <c r="AQ302" s="377"/>
      <c r="AR302" s="377"/>
      <c r="AS302" s="377"/>
      <c r="AT302" s="377"/>
      <c r="AU302" s="377"/>
      <c r="AV302" s="377"/>
      <c r="AW302" s="377"/>
      <c r="AX302" s="377"/>
      <c r="AY302" s="377"/>
      <c r="AZ302" s="377"/>
      <c r="BA302" s="377"/>
      <c r="BB302" s="377"/>
      <c r="BC302" s="377"/>
      <c r="BD302" s="377"/>
      <c r="BE302" s="377"/>
      <c r="BF302" s="377"/>
      <c r="BG302" s="377"/>
      <c r="BH302" s="377"/>
      <c r="BI302" s="377"/>
      <c r="BJ302" s="377"/>
      <c r="BK302" s="377"/>
      <c r="BL302" s="377"/>
      <c r="BM302" s="377"/>
      <c r="BN302" s="377"/>
      <c r="BO302" s="377"/>
      <c r="BP302" s="377"/>
      <c r="BQ302" s="377"/>
      <c r="BR302" s="377"/>
      <c r="BS302" s="377"/>
      <c r="BT302" s="377"/>
      <c r="BU302" s="377"/>
      <c r="BV302" s="377"/>
      <c r="BW302" s="377"/>
      <c r="BX302" s="377"/>
      <c r="BY302" s="377"/>
      <c r="BZ302" s="377"/>
      <c r="CA302" s="377"/>
      <c r="CB302" s="377"/>
      <c r="CC302" s="377"/>
      <c r="CD302" s="377"/>
      <c r="CE302" s="377"/>
      <c r="CF302" s="377"/>
      <c r="CG302" s="377"/>
      <c r="CH302" s="377"/>
      <c r="CI302" s="377"/>
      <c r="CJ302" s="377"/>
      <c r="CK302" s="377"/>
      <c r="CL302" s="377"/>
      <c r="CM302" s="377"/>
      <c r="CN302" s="377"/>
      <c r="CO302" s="377"/>
      <c r="CP302" s="377"/>
      <c r="CQ302" s="377"/>
      <c r="CR302" s="377"/>
      <c r="CS302" s="377"/>
      <c r="CT302" s="377"/>
      <c r="CU302" s="377"/>
      <c r="CV302" s="377"/>
      <c r="CW302" s="377"/>
      <c r="CX302" s="377"/>
      <c r="CY302" s="377"/>
      <c r="CZ302" s="377"/>
      <c r="DA302" s="377"/>
      <c r="DB302" s="377"/>
      <c r="DC302" s="377"/>
      <c r="DD302" s="377"/>
      <c r="DE302" s="377"/>
      <c r="DF302" s="377"/>
      <c r="DG302" s="377"/>
      <c r="DH302" s="377"/>
      <c r="DI302" s="377"/>
      <c r="DJ302" s="377"/>
      <c r="DK302" s="377"/>
      <c r="DL302" s="377"/>
      <c r="DM302" s="377"/>
      <c r="DN302" s="377"/>
      <c r="DO302" s="377"/>
      <c r="DP302" s="377"/>
      <c r="DQ302" s="377"/>
      <c r="DR302" s="377"/>
      <c r="DS302" s="377"/>
      <c r="DT302" s="377"/>
      <c r="DU302" s="377"/>
      <c r="DV302" s="377"/>
      <c r="DW302" s="377"/>
      <c r="DX302" s="377"/>
      <c r="DY302" s="377"/>
      <c r="DZ302" s="377"/>
      <c r="EA302" s="377"/>
      <c r="EB302" s="377"/>
      <c r="EC302" s="377"/>
      <c r="ED302" s="377"/>
      <c r="EE302" s="377"/>
      <c r="EF302" s="377"/>
      <c r="EG302" s="377"/>
      <c r="EH302" s="377"/>
      <c r="EI302" s="377"/>
      <c r="EJ302" s="377"/>
      <c r="EK302" s="377"/>
      <c r="EL302" s="377"/>
      <c r="EM302" s="377"/>
      <c r="EN302" s="377"/>
      <c r="EO302" s="377"/>
      <c r="EP302" s="377"/>
      <c r="EQ302" s="377"/>
      <c r="ER302" s="377"/>
      <c r="ES302" s="377"/>
      <c r="ET302" s="377"/>
      <c r="EU302" s="377"/>
      <c r="EV302" s="377"/>
      <c r="EW302" s="377"/>
      <c r="EX302" s="377"/>
      <c r="EY302" s="377"/>
      <c r="EZ302" s="377"/>
      <c r="FA302" s="377"/>
      <c r="FB302" s="377"/>
      <c r="FC302" s="377"/>
      <c r="FD302" s="377"/>
      <c r="FE302" s="377"/>
      <c r="FF302" s="377"/>
      <c r="FG302" s="377"/>
      <c r="FH302" s="377"/>
      <c r="FI302" s="377"/>
      <c r="FJ302" s="377"/>
    </row>
    <row r="303" spans="1:166" ht="13.5" customHeight="1" x14ac:dyDescent="0.2">
      <c r="W303" s="1159"/>
      <c r="AS303" s="1159"/>
      <c r="BO303" s="1159"/>
      <c r="CK303" s="1159"/>
      <c r="DG303" s="1159"/>
      <c r="EC303" s="1159"/>
      <c r="EY303" s="1159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271"/>
  <sheetViews>
    <sheetView topLeftCell="A142" zoomScale="78" zoomScaleNormal="78" workbookViewId="0">
      <selection activeCell="C166" sqref="C166"/>
    </sheetView>
  </sheetViews>
  <sheetFormatPr defaultColWidth="9" defaultRowHeight="12.75" x14ac:dyDescent="0.2"/>
  <cols>
    <col min="1" max="1" width="14" style="1" customWidth="1"/>
    <col min="2" max="2" width="1.875" style="1" customWidth="1"/>
    <col min="3" max="3" width="95.875" style="1" customWidth="1"/>
    <col min="4" max="4" width="12" style="1" customWidth="1"/>
    <col min="5" max="5" width="12.375" style="40" customWidth="1"/>
    <col min="6" max="6" width="10.75" style="40" customWidth="1"/>
    <col min="7" max="7" width="11.875" style="40" customWidth="1"/>
    <col min="8" max="9" width="10.75" style="40" customWidth="1"/>
    <col min="10" max="10" width="11.5" style="65" bestFit="1" customWidth="1"/>
    <col min="11" max="11" width="10.875" style="1" bestFit="1" customWidth="1"/>
    <col min="12" max="12" width="10.375" style="1" customWidth="1"/>
    <col min="13" max="13" width="76.75" style="1" bestFit="1" customWidth="1"/>
    <col min="14" max="14" width="9" style="1"/>
    <col min="15" max="15" width="10.875" style="40" bestFit="1" customWidth="1"/>
    <col min="16" max="16384" width="9" style="1"/>
  </cols>
  <sheetData>
    <row r="1" spans="1:13" ht="13.5" customHeight="1" thickBot="1" x14ac:dyDescent="0.25">
      <c r="A1" s="1418" t="s">
        <v>6971</v>
      </c>
      <c r="B1" s="1418"/>
      <c r="C1" s="1419"/>
      <c r="D1" s="1420" t="s">
        <v>0</v>
      </c>
      <c r="E1" s="1421"/>
      <c r="F1" s="1421"/>
      <c r="G1" s="1422"/>
      <c r="H1" s="1425" t="s">
        <v>1</v>
      </c>
      <c r="I1" s="1425"/>
      <c r="J1" s="1426"/>
    </row>
    <row r="2" spans="1:13" ht="13.5" customHeight="1" thickBot="1" x14ac:dyDescent="0.25">
      <c r="A2" s="2" t="s">
        <v>2</v>
      </c>
      <c r="B2" s="3"/>
      <c r="C2" s="3" t="s">
        <v>3</v>
      </c>
      <c r="D2" s="3" t="s">
        <v>4</v>
      </c>
      <c r="E2" s="1213" t="s">
        <v>5</v>
      </c>
      <c r="F2" s="1213" t="s">
        <v>6</v>
      </c>
      <c r="G2" s="1214" t="s">
        <v>7</v>
      </c>
      <c r="H2" s="1215" t="s">
        <v>5</v>
      </c>
      <c r="I2" s="1213" t="s">
        <v>6</v>
      </c>
      <c r="J2" s="1216" t="s">
        <v>7</v>
      </c>
    </row>
    <row r="3" spans="1:13" ht="13.5" customHeight="1" x14ac:dyDescent="0.2">
      <c r="A3" s="8">
        <v>43132</v>
      </c>
      <c r="B3" s="9"/>
      <c r="C3" s="10" t="s">
        <v>8</v>
      </c>
      <c r="D3" s="11"/>
      <c r="E3" s="1217"/>
      <c r="F3" s="1218"/>
      <c r="G3" s="234">
        <v>322.5</v>
      </c>
      <c r="H3" s="1219"/>
      <c r="I3" s="1220"/>
      <c r="J3" s="1221">
        <v>2070.7300000000041</v>
      </c>
      <c r="K3" s="1222"/>
      <c r="L3" s="12"/>
      <c r="M3" s="34"/>
    </row>
    <row r="4" spans="1:13" ht="13.5" customHeight="1" x14ac:dyDescent="0.2">
      <c r="A4" s="19"/>
      <c r="B4" s="20"/>
      <c r="C4" s="34" t="s">
        <v>6972</v>
      </c>
      <c r="D4" s="11"/>
      <c r="E4" s="1217"/>
      <c r="F4" s="1223"/>
      <c r="G4" s="1224"/>
      <c r="H4" s="1225"/>
      <c r="I4" s="534">
        <v>220</v>
      </c>
      <c r="J4" s="1226"/>
      <c r="K4" s="1222"/>
      <c r="L4" s="12"/>
      <c r="M4" s="34"/>
    </row>
    <row r="5" spans="1:13" ht="13.5" customHeight="1" x14ac:dyDescent="0.2">
      <c r="A5" s="19"/>
      <c r="B5" s="20"/>
      <c r="C5" s="34" t="s">
        <v>6973</v>
      </c>
      <c r="D5" s="11"/>
      <c r="E5" s="1217"/>
      <c r="F5" s="1223"/>
      <c r="G5" s="1224"/>
      <c r="H5" s="1225">
        <v>4.05</v>
      </c>
      <c r="I5" s="534"/>
      <c r="J5" s="1226"/>
      <c r="K5" s="1222"/>
      <c r="L5" s="12"/>
      <c r="M5" s="34"/>
    </row>
    <row r="6" spans="1:13" ht="13.5" customHeight="1" x14ac:dyDescent="0.2">
      <c r="A6" s="19"/>
      <c r="B6" s="20"/>
      <c r="C6" s="34" t="s">
        <v>6974</v>
      </c>
      <c r="D6" s="11"/>
      <c r="E6" s="1217"/>
      <c r="F6" s="1223"/>
      <c r="G6" s="1224"/>
      <c r="H6" s="1225">
        <v>10.5</v>
      </c>
      <c r="I6" s="534"/>
      <c r="J6" s="1226"/>
      <c r="K6" s="1222"/>
      <c r="L6" s="12"/>
      <c r="M6" s="34"/>
    </row>
    <row r="7" spans="1:13" ht="13.5" customHeight="1" x14ac:dyDescent="0.2">
      <c r="A7" s="19"/>
      <c r="B7" s="20"/>
      <c r="C7" s="34" t="s">
        <v>6975</v>
      </c>
      <c r="D7" s="11"/>
      <c r="E7" s="1217"/>
      <c r="F7" s="1223"/>
      <c r="G7" s="1224"/>
      <c r="H7" s="1225">
        <v>7.8</v>
      </c>
      <c r="I7" s="534"/>
      <c r="J7" s="1226"/>
      <c r="K7" s="1222"/>
      <c r="L7" s="12"/>
      <c r="M7" s="34"/>
    </row>
    <row r="8" spans="1:13" ht="13.5" customHeight="1" x14ac:dyDescent="0.2">
      <c r="A8" s="19"/>
      <c r="B8" s="20"/>
      <c r="C8" s="34" t="s">
        <v>77</v>
      </c>
      <c r="D8" s="11"/>
      <c r="E8" s="1217"/>
      <c r="F8" s="1223"/>
      <c r="G8" s="1224"/>
      <c r="H8" s="1227">
        <v>300</v>
      </c>
      <c r="I8" s="534"/>
      <c r="J8" s="1226"/>
      <c r="K8" s="1222"/>
      <c r="L8" s="12"/>
      <c r="M8" s="34"/>
    </row>
    <row r="9" spans="1:13" ht="13.5" customHeight="1" x14ac:dyDescent="0.2">
      <c r="A9" s="19"/>
      <c r="B9" s="20"/>
      <c r="C9" s="34" t="s">
        <v>6844</v>
      </c>
      <c r="D9" s="11"/>
      <c r="E9" s="1217"/>
      <c r="F9" s="1223"/>
      <c r="G9" s="1224"/>
      <c r="H9" s="1225">
        <v>180</v>
      </c>
      <c r="I9" s="534"/>
      <c r="J9" s="1226">
        <v>1788.3800000000037</v>
      </c>
      <c r="K9" s="1222"/>
      <c r="L9" s="12"/>
      <c r="M9" s="34"/>
    </row>
    <row r="10" spans="1:13" ht="13.5" customHeight="1" x14ac:dyDescent="0.2">
      <c r="A10" s="19"/>
      <c r="B10" s="20"/>
      <c r="C10" s="34" t="s">
        <v>5558</v>
      </c>
      <c r="D10" s="11">
        <v>0</v>
      </c>
      <c r="E10" s="1217">
        <v>-0.27</v>
      </c>
      <c r="F10" s="1223"/>
      <c r="G10" s="1224">
        <v>322.23</v>
      </c>
      <c r="H10" s="1225"/>
      <c r="I10" s="534"/>
      <c r="J10" s="1226"/>
      <c r="K10" s="1222"/>
      <c r="L10" s="12"/>
      <c r="M10" s="34"/>
    </row>
    <row r="11" spans="1:13" ht="13.5" customHeight="1" x14ac:dyDescent="0.2">
      <c r="A11" s="19">
        <v>43133</v>
      </c>
      <c r="B11" s="20"/>
      <c r="C11" s="34" t="s">
        <v>6976</v>
      </c>
      <c r="D11" s="11"/>
      <c r="E11" s="1217"/>
      <c r="F11" s="1223"/>
      <c r="G11" s="1224"/>
      <c r="H11" s="1225"/>
      <c r="I11" s="534">
        <v>1030</v>
      </c>
      <c r="J11" s="1226"/>
      <c r="K11" s="1222"/>
      <c r="L11" s="12"/>
      <c r="M11" s="34"/>
    </row>
    <row r="12" spans="1:13" ht="13.5" customHeight="1" x14ac:dyDescent="0.2">
      <c r="A12" s="19"/>
      <c r="B12" s="20"/>
      <c r="C12" s="34" t="s">
        <v>6977</v>
      </c>
      <c r="D12" s="11"/>
      <c r="E12" s="1217"/>
      <c r="F12" s="1223"/>
      <c r="G12" s="1224"/>
      <c r="H12" s="1225">
        <v>6.3</v>
      </c>
      <c r="I12" s="534"/>
      <c r="J12" s="1226"/>
      <c r="K12" s="1222"/>
      <c r="L12" s="12"/>
      <c r="M12" s="34"/>
    </row>
    <row r="13" spans="1:13" ht="13.5" customHeight="1" x14ac:dyDescent="0.2">
      <c r="A13" s="19"/>
      <c r="B13" s="20"/>
      <c r="C13" s="34" t="s">
        <v>6978</v>
      </c>
      <c r="D13" s="11"/>
      <c r="E13" s="1217"/>
      <c r="F13" s="1223"/>
      <c r="G13" s="1224"/>
      <c r="H13" s="1225">
        <v>4.4000000000000004</v>
      </c>
      <c r="I13" s="534"/>
      <c r="J13" s="1226"/>
      <c r="K13" s="1222"/>
      <c r="L13" s="12"/>
      <c r="M13" s="34"/>
    </row>
    <row r="14" spans="1:13" ht="13.5" customHeight="1" x14ac:dyDescent="0.2">
      <c r="A14" s="19"/>
      <c r="B14" s="20"/>
      <c r="C14" s="34" t="s">
        <v>6979</v>
      </c>
      <c r="D14" s="11"/>
      <c r="E14" s="1217"/>
      <c r="F14" s="1223"/>
      <c r="G14" s="1224"/>
      <c r="H14" s="1225">
        <v>13.65</v>
      </c>
      <c r="I14" s="534"/>
      <c r="J14" s="1226"/>
      <c r="K14" s="1222"/>
      <c r="L14" s="12"/>
      <c r="M14" s="34"/>
    </row>
    <row r="15" spans="1:13" ht="13.5" customHeight="1" x14ac:dyDescent="0.2">
      <c r="A15" s="19"/>
      <c r="B15" s="20"/>
      <c r="C15" s="34" t="s">
        <v>6980</v>
      </c>
      <c r="D15" s="11"/>
      <c r="E15" s="1217"/>
      <c r="F15" s="1223"/>
      <c r="G15" s="1224"/>
      <c r="H15" s="1225">
        <v>8.6999999999999993</v>
      </c>
      <c r="I15" s="534"/>
      <c r="J15" s="1226"/>
      <c r="K15" s="1222"/>
      <c r="L15" s="12"/>
      <c r="M15" s="34"/>
    </row>
    <row r="16" spans="1:13" ht="13.5" customHeight="1" x14ac:dyDescent="0.2">
      <c r="A16" s="19"/>
      <c r="B16" s="20"/>
      <c r="C16" s="34" t="s">
        <v>6981</v>
      </c>
      <c r="D16" s="11"/>
      <c r="E16" s="1217"/>
      <c r="F16" s="1223"/>
      <c r="G16" s="1224"/>
      <c r="H16" s="1225">
        <v>4</v>
      </c>
      <c r="I16" s="534"/>
      <c r="J16" s="1226"/>
      <c r="K16" s="1222"/>
      <c r="L16" s="12"/>
      <c r="M16" s="34"/>
    </row>
    <row r="17" spans="1:13" ht="13.5" customHeight="1" x14ac:dyDescent="0.2">
      <c r="A17" s="19"/>
      <c r="B17" s="20"/>
      <c r="C17" s="34" t="s">
        <v>6982</v>
      </c>
      <c r="D17" s="11"/>
      <c r="E17" s="1217"/>
      <c r="F17" s="1223"/>
      <c r="G17" s="1224"/>
      <c r="H17" s="1225">
        <v>1.5</v>
      </c>
      <c r="I17" s="534"/>
      <c r="J17" s="1226"/>
      <c r="K17" s="1222"/>
      <c r="L17" s="12"/>
      <c r="M17" s="34"/>
    </row>
    <row r="18" spans="1:13" ht="13.5" customHeight="1" x14ac:dyDescent="0.2">
      <c r="A18" s="19"/>
      <c r="B18" s="20"/>
      <c r="C18" s="34" t="s">
        <v>6983</v>
      </c>
      <c r="D18" s="11"/>
      <c r="E18" s="1217"/>
      <c r="F18" s="1223"/>
      <c r="G18" s="1224"/>
      <c r="H18" s="1225">
        <v>4.8</v>
      </c>
      <c r="I18" s="534"/>
      <c r="J18" s="1226"/>
      <c r="K18" s="1222"/>
      <c r="L18" s="12"/>
      <c r="M18" s="34"/>
    </row>
    <row r="19" spans="1:13" ht="13.5" customHeight="1" x14ac:dyDescent="0.2">
      <c r="A19" s="19"/>
      <c r="B19" s="20"/>
      <c r="C19" s="34" t="s">
        <v>6984</v>
      </c>
      <c r="D19" s="11"/>
      <c r="E19" s="1217"/>
      <c r="F19" s="1223"/>
      <c r="G19" s="1224"/>
      <c r="H19" s="1225">
        <v>25.9</v>
      </c>
      <c r="I19" s="534"/>
      <c r="J19" s="1226"/>
      <c r="K19" s="1222"/>
      <c r="L19" s="12"/>
      <c r="M19" s="34"/>
    </row>
    <row r="20" spans="1:13" ht="13.5" customHeight="1" x14ac:dyDescent="0.2">
      <c r="A20" s="19"/>
      <c r="B20" s="20"/>
      <c r="C20" s="34" t="s">
        <v>1292</v>
      </c>
      <c r="D20" s="11"/>
      <c r="E20" s="1217"/>
      <c r="F20" s="1223"/>
      <c r="G20" s="1224"/>
      <c r="H20" s="1225">
        <v>16.75</v>
      </c>
      <c r="I20" s="534"/>
      <c r="J20" s="1226"/>
      <c r="K20" s="1222"/>
      <c r="L20" s="12"/>
      <c r="M20" s="34"/>
    </row>
    <row r="21" spans="1:13" ht="13.5" customHeight="1" x14ac:dyDescent="0.2">
      <c r="A21" s="19"/>
      <c r="B21" s="20"/>
      <c r="C21" s="34" t="s">
        <v>6985</v>
      </c>
      <c r="D21" s="11"/>
      <c r="E21" s="1217"/>
      <c r="F21" s="1223"/>
      <c r="G21" s="1224"/>
      <c r="H21" s="1225">
        <v>7.3</v>
      </c>
      <c r="I21" s="534"/>
      <c r="J21" s="1226"/>
      <c r="K21" s="1222"/>
      <c r="L21" s="12"/>
      <c r="M21" s="34"/>
    </row>
    <row r="22" spans="1:13" ht="13.5" customHeight="1" x14ac:dyDescent="0.2">
      <c r="A22" s="19"/>
      <c r="B22" s="20"/>
      <c r="C22" s="34" t="s">
        <v>6986</v>
      </c>
      <c r="D22" s="11"/>
      <c r="E22" s="1217"/>
      <c r="F22" s="1223"/>
      <c r="G22" s="1224"/>
      <c r="H22" s="1225">
        <v>3.5</v>
      </c>
      <c r="I22" s="534"/>
      <c r="J22" s="1226"/>
      <c r="K22" s="1222"/>
      <c r="L22" s="12"/>
      <c r="M22" s="34"/>
    </row>
    <row r="23" spans="1:13" ht="13.5" customHeight="1" x14ac:dyDescent="0.2">
      <c r="A23" s="19"/>
      <c r="B23" s="20"/>
      <c r="C23" s="34" t="s">
        <v>6987</v>
      </c>
      <c r="D23" s="11"/>
      <c r="E23" s="1217"/>
      <c r="F23" s="1223"/>
      <c r="G23" s="1224"/>
      <c r="H23" s="1225">
        <v>350</v>
      </c>
      <c r="I23" s="534"/>
      <c r="J23" s="1226">
        <v>2371.5800000000031</v>
      </c>
      <c r="K23" s="1222"/>
      <c r="L23" s="12"/>
      <c r="M23" s="34"/>
    </row>
    <row r="24" spans="1:13" ht="13.5" customHeight="1" x14ac:dyDescent="0.2">
      <c r="A24" s="19">
        <v>43136</v>
      </c>
      <c r="B24" s="20"/>
      <c r="C24" s="34" t="s">
        <v>6988</v>
      </c>
      <c r="D24" s="11"/>
      <c r="E24" s="1217"/>
      <c r="F24" s="1223"/>
      <c r="G24" s="1224"/>
      <c r="H24" s="1225">
        <v>72.05</v>
      </c>
      <c r="I24" s="534"/>
      <c r="J24" s="1226"/>
      <c r="K24" s="1222"/>
      <c r="L24" s="12"/>
      <c r="M24" s="34"/>
    </row>
    <row r="25" spans="1:13" ht="13.5" customHeight="1" x14ac:dyDescent="0.2">
      <c r="A25" s="19"/>
      <c r="B25" s="20"/>
      <c r="C25" s="34" t="s">
        <v>6989</v>
      </c>
      <c r="D25" s="11"/>
      <c r="E25" s="1217"/>
      <c r="F25" s="1223"/>
      <c r="G25" s="1224"/>
      <c r="H25" s="1225"/>
      <c r="I25" s="534">
        <v>80</v>
      </c>
      <c r="J25" s="1226"/>
      <c r="K25" s="1222"/>
      <c r="L25" s="12"/>
      <c r="M25" s="34"/>
    </row>
    <row r="26" spans="1:13" ht="13.5" customHeight="1" x14ac:dyDescent="0.2">
      <c r="A26" s="19"/>
      <c r="B26" s="20"/>
      <c r="C26" s="34" t="s">
        <v>6990</v>
      </c>
      <c r="D26" s="11"/>
      <c r="E26" s="1217"/>
      <c r="F26" s="1223"/>
      <c r="G26" s="1224"/>
      <c r="H26" s="1225"/>
      <c r="I26" s="534">
        <v>20</v>
      </c>
      <c r="J26" s="1226">
        <v>2399.5300000000029</v>
      </c>
      <c r="K26" s="1222"/>
      <c r="L26" s="12"/>
      <c r="M26" s="34"/>
    </row>
    <row r="27" spans="1:13" ht="13.5" customHeight="1" x14ac:dyDescent="0.2">
      <c r="A27" s="19"/>
      <c r="B27" s="20"/>
      <c r="C27" s="34" t="s">
        <v>53</v>
      </c>
      <c r="D27" s="11">
        <v>91000</v>
      </c>
      <c r="E27" s="1217">
        <v>-511.71</v>
      </c>
      <c r="F27" s="1223"/>
      <c r="G27" s="1224"/>
      <c r="H27" s="1225"/>
      <c r="I27" s="534"/>
      <c r="J27" s="1226"/>
      <c r="K27" s="1222"/>
      <c r="L27" s="12"/>
      <c r="M27" s="34"/>
    </row>
    <row r="28" spans="1:13" ht="13.5" customHeight="1" x14ac:dyDescent="0.2">
      <c r="A28" s="19"/>
      <c r="B28" s="20"/>
      <c r="C28" s="34" t="s">
        <v>6991</v>
      </c>
      <c r="D28" s="11">
        <v>0</v>
      </c>
      <c r="E28" s="1217">
        <v>-147.07</v>
      </c>
      <c r="F28" s="1223"/>
      <c r="G28" s="1224"/>
      <c r="H28" s="1225"/>
      <c r="I28" s="534"/>
      <c r="J28" s="1226"/>
      <c r="K28" s="1222"/>
      <c r="L28" s="12"/>
      <c r="M28" s="34"/>
    </row>
    <row r="29" spans="1:13" ht="13.5" customHeight="1" x14ac:dyDescent="0.2">
      <c r="A29" s="19"/>
      <c r="B29" s="20"/>
      <c r="C29" s="34" t="s">
        <v>6992</v>
      </c>
      <c r="D29" s="11">
        <v>0</v>
      </c>
      <c r="E29" s="1217">
        <v>-153.52000000000001</v>
      </c>
      <c r="F29" s="1223"/>
      <c r="G29" s="1224"/>
      <c r="H29" s="1225"/>
      <c r="I29" s="534"/>
      <c r="J29" s="1226"/>
      <c r="K29" s="1222"/>
      <c r="L29" s="12"/>
      <c r="M29" s="34"/>
    </row>
    <row r="30" spans="1:13" ht="13.5" customHeight="1" x14ac:dyDescent="0.2">
      <c r="A30" s="19"/>
      <c r="B30" s="20"/>
      <c r="C30" s="34" t="s">
        <v>6993</v>
      </c>
      <c r="D30" s="11">
        <v>0</v>
      </c>
      <c r="E30" s="1217">
        <v>-500</v>
      </c>
      <c r="F30" s="1223"/>
      <c r="G30" s="1224"/>
      <c r="H30" s="1225"/>
      <c r="I30" s="534"/>
      <c r="J30" s="1226"/>
      <c r="K30" s="1222"/>
      <c r="L30" s="12"/>
    </row>
    <row r="31" spans="1:13" ht="13.5" customHeight="1" x14ac:dyDescent="0.2">
      <c r="A31" s="19"/>
      <c r="B31" s="20"/>
      <c r="C31" s="34" t="s">
        <v>20</v>
      </c>
      <c r="D31" s="11">
        <v>0</v>
      </c>
      <c r="E31" s="1217"/>
      <c r="F31" s="1223">
        <v>0.03</v>
      </c>
      <c r="G31" s="1224">
        <v>-990.04</v>
      </c>
      <c r="H31" s="1225"/>
      <c r="I31" s="534"/>
      <c r="J31" s="1226"/>
      <c r="K31" s="1222"/>
      <c r="L31" s="12"/>
    </row>
    <row r="32" spans="1:13" ht="13.5" customHeight="1" x14ac:dyDescent="0.2">
      <c r="A32" s="19">
        <v>43137</v>
      </c>
      <c r="B32" s="20"/>
      <c r="C32" s="34" t="s">
        <v>6803</v>
      </c>
      <c r="D32" s="11"/>
      <c r="E32" s="1217"/>
      <c r="F32" s="1223"/>
      <c r="G32" s="1224"/>
      <c r="H32" s="1225">
        <v>18.96</v>
      </c>
      <c r="I32" s="534"/>
      <c r="J32" s="1226"/>
      <c r="K32" s="1222"/>
      <c r="L32" s="12"/>
      <c r="M32" s="34"/>
    </row>
    <row r="33" spans="1:13" ht="13.5" customHeight="1" x14ac:dyDescent="0.2">
      <c r="A33" s="19"/>
      <c r="B33" s="20"/>
      <c r="C33" s="34" t="s">
        <v>6994</v>
      </c>
      <c r="D33" s="11"/>
      <c r="E33" s="1217"/>
      <c r="F33" s="1223"/>
      <c r="G33" s="1224"/>
      <c r="H33" s="1225"/>
      <c r="I33" s="534">
        <v>1020</v>
      </c>
      <c r="J33" s="1226"/>
      <c r="K33" s="1222"/>
      <c r="L33" s="12"/>
      <c r="M33" s="34"/>
    </row>
    <row r="34" spans="1:13" ht="13.5" customHeight="1" x14ac:dyDescent="0.2">
      <c r="A34" s="19"/>
      <c r="B34" s="20"/>
      <c r="C34" s="34" t="s">
        <v>6995</v>
      </c>
      <c r="D34" s="11"/>
      <c r="E34" s="1217"/>
      <c r="F34" s="1223"/>
      <c r="G34" s="1224"/>
      <c r="H34" s="1225">
        <v>69.900000000000006</v>
      </c>
      <c r="I34" s="534"/>
      <c r="J34" s="1226"/>
      <c r="K34" s="1222"/>
      <c r="L34" s="12"/>
      <c r="M34" s="34"/>
    </row>
    <row r="35" spans="1:13" ht="13.5" customHeight="1" x14ac:dyDescent="0.2">
      <c r="A35" s="19"/>
      <c r="B35" s="20"/>
      <c r="C35" s="34" t="s">
        <v>107</v>
      </c>
      <c r="D35" s="11"/>
      <c r="E35" s="1217"/>
      <c r="F35" s="1223"/>
      <c r="G35" s="1224"/>
      <c r="H35" s="1225">
        <v>200</v>
      </c>
      <c r="I35" s="534"/>
      <c r="J35" s="1226">
        <v>3130.6700000000028</v>
      </c>
      <c r="K35" s="1222"/>
      <c r="L35" s="12"/>
      <c r="M35" s="34"/>
    </row>
    <row r="36" spans="1:13" ht="13.5" customHeight="1" x14ac:dyDescent="0.2">
      <c r="A36" s="19"/>
      <c r="B36" s="20"/>
      <c r="C36" s="34" t="s">
        <v>55</v>
      </c>
      <c r="D36" s="11">
        <v>304000</v>
      </c>
      <c r="E36" s="1217">
        <v>-350</v>
      </c>
      <c r="F36" s="1223"/>
      <c r="G36" s="1224">
        <v>-1340.04</v>
      </c>
      <c r="H36" s="1225"/>
      <c r="I36" s="534"/>
      <c r="J36" s="1226"/>
      <c r="K36" s="1222"/>
      <c r="L36" s="12"/>
      <c r="M36" s="34"/>
    </row>
    <row r="37" spans="1:13" ht="13.5" customHeight="1" x14ac:dyDescent="0.2">
      <c r="A37" s="19">
        <v>43138</v>
      </c>
      <c r="B37" s="20"/>
      <c r="C37" s="34" t="s">
        <v>6996</v>
      </c>
      <c r="D37" s="11"/>
      <c r="E37" s="1217"/>
      <c r="F37" s="1223"/>
      <c r="G37" s="1224"/>
      <c r="H37" s="1225"/>
      <c r="I37" s="534">
        <v>1971.41</v>
      </c>
      <c r="J37" s="1226"/>
      <c r="K37" s="1222"/>
      <c r="L37" s="12"/>
      <c r="M37" s="34"/>
    </row>
    <row r="38" spans="1:13" ht="13.5" customHeight="1" x14ac:dyDescent="0.2">
      <c r="A38" s="19"/>
      <c r="B38" s="20"/>
      <c r="C38" s="34" t="s">
        <v>6997</v>
      </c>
      <c r="D38" s="11"/>
      <c r="E38" s="1217"/>
      <c r="F38" s="1223"/>
      <c r="G38" s="1224"/>
      <c r="H38" s="1225">
        <v>2.75</v>
      </c>
      <c r="I38" s="534"/>
      <c r="J38" s="1226"/>
      <c r="K38" s="1222"/>
      <c r="L38" s="12"/>
      <c r="M38" s="34"/>
    </row>
    <row r="39" spans="1:13" ht="13.5" customHeight="1" x14ac:dyDescent="0.2">
      <c r="A39" s="19"/>
      <c r="B39" s="20"/>
      <c r="C39" s="34" t="s">
        <v>6998</v>
      </c>
      <c r="D39" s="11"/>
      <c r="E39" s="1217"/>
      <c r="F39" s="1223"/>
      <c r="G39" s="1224"/>
      <c r="H39" s="1225">
        <v>10.5</v>
      </c>
      <c r="I39" s="534"/>
      <c r="J39" s="1226"/>
      <c r="K39" s="1222"/>
      <c r="L39" s="12"/>
      <c r="M39" s="34"/>
    </row>
    <row r="40" spans="1:13" ht="13.5" customHeight="1" x14ac:dyDescent="0.2">
      <c r="A40" s="19"/>
      <c r="B40" s="20"/>
      <c r="C40" s="34" t="s">
        <v>6999</v>
      </c>
      <c r="D40" s="11"/>
      <c r="E40" s="1217"/>
      <c r="F40" s="1223"/>
      <c r="G40" s="1224"/>
      <c r="H40" s="1225">
        <v>13.7</v>
      </c>
      <c r="I40" s="534"/>
      <c r="J40" s="1226"/>
      <c r="K40" s="1222"/>
      <c r="L40" s="12"/>
      <c r="M40" s="34"/>
    </row>
    <row r="41" spans="1:13" ht="13.5" customHeight="1" x14ac:dyDescent="0.2">
      <c r="A41" s="19"/>
      <c r="B41" s="20"/>
      <c r="C41" s="34" t="s">
        <v>458</v>
      </c>
      <c r="D41" s="11"/>
      <c r="E41" s="1217"/>
      <c r="F41" s="1223"/>
      <c r="G41" s="1224"/>
      <c r="H41" s="1228">
        <v>190</v>
      </c>
      <c r="I41" s="534"/>
      <c r="J41" s="1226"/>
      <c r="K41" s="1222"/>
      <c r="L41" s="12"/>
      <c r="M41" s="34"/>
    </row>
    <row r="42" spans="1:13" ht="13.5" customHeight="1" x14ac:dyDescent="0.2">
      <c r="A42" s="19"/>
      <c r="B42" s="20"/>
      <c r="C42" s="34" t="s">
        <v>7000</v>
      </c>
      <c r="D42" s="11"/>
      <c r="E42" s="1217"/>
      <c r="F42" s="1223"/>
      <c r="G42" s="1224"/>
      <c r="H42" s="1225"/>
      <c r="I42" s="534">
        <v>1430</v>
      </c>
      <c r="J42" s="1226"/>
      <c r="K42" s="1222"/>
      <c r="L42" s="12"/>
      <c r="M42" s="34"/>
    </row>
    <row r="43" spans="1:13" ht="13.5" customHeight="1" x14ac:dyDescent="0.2">
      <c r="A43" s="19"/>
      <c r="B43" s="20"/>
      <c r="C43" s="34" t="s">
        <v>6766</v>
      </c>
      <c r="D43" s="11"/>
      <c r="E43" s="1217"/>
      <c r="F43" s="1223"/>
      <c r="G43" s="1224"/>
      <c r="H43" s="1228">
        <v>1430</v>
      </c>
      <c r="I43" s="534"/>
      <c r="J43" s="1226"/>
      <c r="K43" s="1222"/>
      <c r="L43" s="12"/>
      <c r="M43" s="34"/>
    </row>
    <row r="44" spans="1:13" ht="13.5" customHeight="1" x14ac:dyDescent="0.2">
      <c r="A44" s="19"/>
      <c r="B44" s="20"/>
      <c r="C44" s="34" t="s">
        <v>7001</v>
      </c>
      <c r="D44" s="11"/>
      <c r="E44" s="1217"/>
      <c r="F44" s="1223"/>
      <c r="G44" s="1224"/>
      <c r="H44" s="1225"/>
      <c r="I44" s="534">
        <v>5000</v>
      </c>
      <c r="J44" s="1226"/>
      <c r="K44" s="1222"/>
      <c r="L44" s="12"/>
      <c r="M44" s="34"/>
    </row>
    <row r="45" spans="1:13" ht="13.5" customHeight="1" x14ac:dyDescent="0.2">
      <c r="A45" s="19"/>
      <c r="B45" s="20"/>
      <c r="C45" s="34" t="s">
        <v>77</v>
      </c>
      <c r="D45" s="11"/>
      <c r="E45" s="1217"/>
      <c r="F45" s="1223"/>
      <c r="G45" s="1224"/>
      <c r="H45" s="1227">
        <v>2500</v>
      </c>
      <c r="I45" s="534"/>
      <c r="J45" s="1226"/>
      <c r="K45" s="1222"/>
      <c r="L45" s="12"/>
      <c r="M45" s="34"/>
    </row>
    <row r="46" spans="1:13" ht="13.5" customHeight="1" x14ac:dyDescent="0.2">
      <c r="A46" s="19"/>
      <c r="B46" s="20"/>
      <c r="C46" s="34" t="s">
        <v>7002</v>
      </c>
      <c r="D46" s="11"/>
      <c r="E46" s="1217"/>
      <c r="F46" s="1223"/>
      <c r="G46" s="1224"/>
      <c r="H46" s="1225">
        <v>800</v>
      </c>
      <c r="I46" s="534"/>
      <c r="J46" s="1226"/>
      <c r="K46" s="1222"/>
      <c r="L46" s="12"/>
      <c r="M46" s="34"/>
    </row>
    <row r="47" spans="1:13" ht="13.5" customHeight="1" x14ac:dyDescent="0.2">
      <c r="A47" s="19"/>
      <c r="B47" s="20"/>
      <c r="C47" s="34" t="s">
        <v>7003</v>
      </c>
      <c r="D47" s="11"/>
      <c r="E47" s="1217"/>
      <c r="F47" s="1223"/>
      <c r="G47" s="1224"/>
      <c r="H47" s="1225">
        <v>5.5</v>
      </c>
      <c r="I47" s="534"/>
      <c r="J47" s="1226"/>
      <c r="K47" s="1222"/>
      <c r="L47" s="12"/>
      <c r="M47" s="34"/>
    </row>
    <row r="48" spans="1:13" ht="13.5" customHeight="1" x14ac:dyDescent="0.2">
      <c r="A48" s="19"/>
      <c r="B48" s="20"/>
      <c r="C48" s="34" t="s">
        <v>7004</v>
      </c>
      <c r="D48" s="11"/>
      <c r="E48" s="1217"/>
      <c r="F48" s="1223"/>
      <c r="G48" s="1224"/>
      <c r="H48" s="1225">
        <v>8.9</v>
      </c>
      <c r="I48" s="534"/>
      <c r="J48" s="1226">
        <v>6570.7300000000032</v>
      </c>
      <c r="K48" s="1222"/>
      <c r="L48" s="12"/>
      <c r="M48" s="34"/>
    </row>
    <row r="49" spans="1:13" ht="13.5" customHeight="1" x14ac:dyDescent="0.2">
      <c r="A49" s="19"/>
      <c r="B49" s="20"/>
      <c r="C49" s="34" t="s">
        <v>558</v>
      </c>
      <c r="D49" s="11">
        <v>0</v>
      </c>
      <c r="E49" s="1217">
        <v>-65.37</v>
      </c>
      <c r="F49" s="1223"/>
      <c r="G49" s="1224"/>
      <c r="H49" s="1225"/>
      <c r="I49" s="534"/>
      <c r="J49" s="1226"/>
      <c r="K49" s="1222"/>
      <c r="L49" s="12"/>
      <c r="M49" s="34"/>
    </row>
    <row r="50" spans="1:13" ht="13.5" customHeight="1" x14ac:dyDescent="0.2">
      <c r="A50" s="19"/>
      <c r="B50" s="20"/>
      <c r="C50" s="34" t="s">
        <v>62</v>
      </c>
      <c r="D50" s="11">
        <v>0</v>
      </c>
      <c r="E50" s="1217">
        <v>-351.98</v>
      </c>
      <c r="F50" s="1223"/>
      <c r="G50" s="1224"/>
      <c r="H50" s="1225"/>
      <c r="I50" s="534"/>
      <c r="J50" s="1226"/>
      <c r="K50" s="1222"/>
      <c r="L50" s="12"/>
      <c r="M50" s="34"/>
    </row>
    <row r="51" spans="1:13" ht="13.5" customHeight="1" x14ac:dyDescent="0.2">
      <c r="A51" s="19"/>
      <c r="B51" s="20" t="s">
        <v>591</v>
      </c>
      <c r="C51" s="34" t="s">
        <v>6766</v>
      </c>
      <c r="D51" s="11">
        <v>572291</v>
      </c>
      <c r="E51" s="1217"/>
      <c r="F51" s="1229">
        <v>1430</v>
      </c>
      <c r="G51" s="1224"/>
      <c r="H51" s="1225"/>
      <c r="I51" s="534"/>
      <c r="J51" s="1226"/>
      <c r="K51" s="1222"/>
      <c r="L51" s="12"/>
      <c r="M51" s="34"/>
    </row>
    <row r="52" spans="1:13" ht="13.5" customHeight="1" x14ac:dyDescent="0.2">
      <c r="A52" s="19"/>
      <c r="B52" s="20" t="s">
        <v>591</v>
      </c>
      <c r="C52" s="34" t="s">
        <v>458</v>
      </c>
      <c r="D52" s="11">
        <v>572280</v>
      </c>
      <c r="E52" s="1217"/>
      <c r="F52" s="1229">
        <v>190</v>
      </c>
      <c r="G52" s="1224"/>
      <c r="H52" s="1225"/>
      <c r="I52" s="534"/>
      <c r="J52" s="1226"/>
      <c r="K52" s="1222"/>
      <c r="L52" s="12"/>
      <c r="M52" s="34"/>
    </row>
    <row r="53" spans="1:13" ht="13.5" customHeight="1" x14ac:dyDescent="0.2">
      <c r="A53" s="19"/>
      <c r="B53" s="20"/>
      <c r="C53" s="34" t="s">
        <v>5196</v>
      </c>
      <c r="D53" s="11">
        <v>4365</v>
      </c>
      <c r="E53" s="1217">
        <v>-100</v>
      </c>
      <c r="F53" s="1223"/>
      <c r="G53" s="1224">
        <v>-237.39</v>
      </c>
      <c r="H53" s="1225"/>
      <c r="I53" s="534"/>
      <c r="J53" s="1226"/>
      <c r="K53" s="1222"/>
      <c r="L53" s="12"/>
      <c r="M53" s="34"/>
    </row>
    <row r="54" spans="1:13" ht="13.5" customHeight="1" x14ac:dyDescent="0.2">
      <c r="A54" s="19">
        <v>43139</v>
      </c>
      <c r="B54" s="20"/>
      <c r="C54" s="34" t="s">
        <v>7005</v>
      </c>
      <c r="D54" s="11"/>
      <c r="E54" s="1217"/>
      <c r="F54" s="1223"/>
      <c r="G54" s="1224"/>
      <c r="H54" s="1225"/>
      <c r="I54" s="534">
        <v>1226.8499999999999</v>
      </c>
      <c r="J54" s="1226"/>
      <c r="K54" s="1222"/>
      <c r="L54" s="12"/>
      <c r="M54" s="34"/>
    </row>
    <row r="55" spans="1:13" ht="13.5" customHeight="1" x14ac:dyDescent="0.2">
      <c r="A55" s="19"/>
      <c r="B55" s="20"/>
      <c r="C55" s="34" t="s">
        <v>7006</v>
      </c>
      <c r="D55" s="11"/>
      <c r="E55" s="1217"/>
      <c r="F55" s="1223"/>
      <c r="G55" s="1224"/>
      <c r="H55" s="1225"/>
      <c r="I55" s="534">
        <v>150</v>
      </c>
      <c r="J55" s="1226"/>
      <c r="K55" s="1222"/>
      <c r="L55" s="12"/>
      <c r="M55" s="34"/>
    </row>
    <row r="56" spans="1:13" ht="13.5" customHeight="1" x14ac:dyDescent="0.2">
      <c r="A56" s="19"/>
      <c r="B56" s="20"/>
      <c r="C56" s="34" t="s">
        <v>866</v>
      </c>
      <c r="D56" s="11"/>
      <c r="E56" s="1217"/>
      <c r="F56" s="1223"/>
      <c r="G56" s="1224"/>
      <c r="H56" s="1225">
        <v>5000</v>
      </c>
      <c r="I56" s="534"/>
      <c r="J56" s="1226"/>
      <c r="K56" s="1222"/>
      <c r="L56" s="12"/>
      <c r="M56" s="34"/>
    </row>
    <row r="57" spans="1:13" ht="13.5" customHeight="1" x14ac:dyDescent="0.2">
      <c r="A57" s="19"/>
      <c r="B57" s="20"/>
      <c r="C57" s="34" t="s">
        <v>7007</v>
      </c>
      <c r="D57" s="11"/>
      <c r="E57" s="1217"/>
      <c r="F57" s="1223"/>
      <c r="G57" s="1224"/>
      <c r="H57" s="1225">
        <v>75</v>
      </c>
      <c r="I57" s="534"/>
      <c r="J57" s="1226"/>
      <c r="K57" s="1222"/>
      <c r="L57" s="12"/>
      <c r="M57" s="34"/>
    </row>
    <row r="58" spans="1:13" ht="13.5" customHeight="1" x14ac:dyDescent="0.2">
      <c r="A58" s="19"/>
      <c r="B58" s="20"/>
      <c r="C58" s="34" t="s">
        <v>7008</v>
      </c>
      <c r="D58" s="11"/>
      <c r="E58" s="1217"/>
      <c r="F58" s="1223"/>
      <c r="G58" s="1224"/>
      <c r="H58" s="1225">
        <v>75</v>
      </c>
      <c r="I58" s="534"/>
      <c r="J58" s="1226"/>
      <c r="K58" s="1222"/>
      <c r="L58" s="12"/>
      <c r="M58" s="34"/>
    </row>
    <row r="59" spans="1:13" ht="13.5" customHeight="1" x14ac:dyDescent="0.2">
      <c r="A59" s="19"/>
      <c r="B59" s="20"/>
      <c r="C59" s="34" t="s">
        <v>7009</v>
      </c>
      <c r="D59" s="11"/>
      <c r="E59" s="1217"/>
      <c r="F59" s="1223"/>
      <c r="G59" s="1224"/>
      <c r="H59" s="1225">
        <v>75</v>
      </c>
      <c r="I59" s="534"/>
      <c r="J59" s="1226"/>
      <c r="K59" s="1222"/>
      <c r="L59" s="12"/>
      <c r="M59" s="34"/>
    </row>
    <row r="60" spans="1:13" ht="13.5" customHeight="1" x14ac:dyDescent="0.2">
      <c r="A60" s="19"/>
      <c r="B60" s="20"/>
      <c r="C60" s="34" t="s">
        <v>7010</v>
      </c>
      <c r="D60" s="11"/>
      <c r="E60" s="1217"/>
      <c r="F60" s="1223"/>
      <c r="G60" s="1224"/>
      <c r="H60" s="1225">
        <v>75</v>
      </c>
      <c r="I60" s="534"/>
      <c r="J60" s="1226"/>
      <c r="K60" s="1222"/>
      <c r="L60" s="12"/>
      <c r="M60" s="34"/>
    </row>
    <row r="61" spans="1:13" ht="13.5" customHeight="1" x14ac:dyDescent="0.2">
      <c r="A61" s="19"/>
      <c r="B61" s="20"/>
      <c r="C61" s="34" t="s">
        <v>7011</v>
      </c>
      <c r="D61" s="11"/>
      <c r="E61" s="1217"/>
      <c r="F61" s="1223"/>
      <c r="G61" s="1224"/>
      <c r="H61" s="1225">
        <v>47</v>
      </c>
      <c r="I61" s="534"/>
      <c r="J61" s="1226">
        <v>2600.5800000000036</v>
      </c>
      <c r="K61" s="1222"/>
      <c r="L61" s="12"/>
      <c r="M61" s="34"/>
    </row>
    <row r="62" spans="1:13" ht="13.5" customHeight="1" x14ac:dyDescent="0.2">
      <c r="A62" s="19"/>
      <c r="B62" s="20"/>
      <c r="C62" s="34" t="s">
        <v>5196</v>
      </c>
      <c r="D62" s="11">
        <v>471965</v>
      </c>
      <c r="E62" s="1217">
        <v>-140</v>
      </c>
      <c r="F62" s="1223"/>
      <c r="G62" s="1224">
        <v>-377.39</v>
      </c>
      <c r="H62" s="1225"/>
      <c r="I62" s="534"/>
      <c r="J62" s="1226"/>
      <c r="K62" s="1222"/>
      <c r="L62" s="12"/>
      <c r="M62" s="34"/>
    </row>
    <row r="63" spans="1:13" ht="13.5" customHeight="1" x14ac:dyDescent="0.2">
      <c r="A63" s="19">
        <v>43140</v>
      </c>
      <c r="B63" s="20"/>
      <c r="C63" s="34" t="s">
        <v>7012</v>
      </c>
      <c r="D63" s="11"/>
      <c r="E63" s="1217"/>
      <c r="F63" s="1223"/>
      <c r="G63" s="1224"/>
      <c r="H63" s="1225"/>
      <c r="I63" s="534">
        <v>60</v>
      </c>
      <c r="J63" s="1226"/>
      <c r="K63" s="1222"/>
      <c r="L63" s="12"/>
      <c r="M63" s="34"/>
    </row>
    <row r="64" spans="1:13" ht="13.5" customHeight="1" x14ac:dyDescent="0.2">
      <c r="A64" s="19"/>
      <c r="B64" s="20"/>
      <c r="C64" s="34" t="s">
        <v>7013</v>
      </c>
      <c r="D64" s="11"/>
      <c r="E64" s="1217"/>
      <c r="F64" s="1223"/>
      <c r="G64" s="1224"/>
      <c r="H64" s="1225"/>
      <c r="I64" s="534">
        <v>1020</v>
      </c>
      <c r="J64" s="1226"/>
      <c r="K64" s="1222"/>
      <c r="L64" s="12"/>
      <c r="M64" s="34"/>
    </row>
    <row r="65" spans="1:13" ht="13.5" customHeight="1" x14ac:dyDescent="0.2">
      <c r="A65" s="19"/>
      <c r="B65" s="20"/>
      <c r="C65" s="34" t="s">
        <v>36</v>
      </c>
      <c r="D65" s="11"/>
      <c r="E65" s="1217"/>
      <c r="F65" s="1223"/>
      <c r="G65" s="1224"/>
      <c r="H65" s="1225">
        <v>350</v>
      </c>
      <c r="I65" s="534"/>
      <c r="J65" s="1226"/>
      <c r="K65" s="1222"/>
      <c r="L65" s="12"/>
      <c r="M65" s="34"/>
    </row>
    <row r="66" spans="1:13" ht="13.5" customHeight="1" x14ac:dyDescent="0.2">
      <c r="A66" s="19"/>
      <c r="B66" s="20"/>
      <c r="C66" s="34" t="s">
        <v>7014</v>
      </c>
      <c r="D66" s="11"/>
      <c r="E66" s="1217"/>
      <c r="F66" s="1223"/>
      <c r="G66" s="1224"/>
      <c r="H66" s="1225">
        <v>7</v>
      </c>
      <c r="I66" s="534"/>
      <c r="J66" s="1226">
        <v>3323.5800000000036</v>
      </c>
      <c r="K66" s="1222"/>
      <c r="L66" s="12"/>
      <c r="M66" s="34"/>
    </row>
    <row r="67" spans="1:13" ht="13.5" customHeight="1" x14ac:dyDescent="0.2">
      <c r="A67" s="19">
        <v>43145</v>
      </c>
      <c r="B67" s="20"/>
      <c r="C67" s="34" t="s">
        <v>7015</v>
      </c>
      <c r="D67" s="11"/>
      <c r="E67" s="1217"/>
      <c r="F67" s="1223"/>
      <c r="G67" s="1224"/>
      <c r="H67" s="1225"/>
      <c r="I67" s="534">
        <v>185</v>
      </c>
      <c r="J67" s="1226"/>
      <c r="K67" s="1222"/>
      <c r="L67" s="12"/>
      <c r="M67" s="34"/>
    </row>
    <row r="68" spans="1:13" ht="13.5" customHeight="1" x14ac:dyDescent="0.2">
      <c r="A68" s="19"/>
      <c r="B68" s="20"/>
      <c r="C68" s="34" t="s">
        <v>7016</v>
      </c>
      <c r="D68" s="11"/>
      <c r="E68" s="1217"/>
      <c r="F68" s="1223"/>
      <c r="G68" s="1224"/>
      <c r="H68" s="1228">
        <v>1130</v>
      </c>
      <c r="I68" s="534"/>
      <c r="J68" s="1226"/>
      <c r="K68" s="1222"/>
      <c r="L68" s="12"/>
      <c r="M68" s="34"/>
    </row>
    <row r="69" spans="1:13" ht="13.5" customHeight="1" x14ac:dyDescent="0.2">
      <c r="A69" s="19"/>
      <c r="B69" s="20"/>
      <c r="C69" s="34" t="s">
        <v>7017</v>
      </c>
      <c r="D69" s="11"/>
      <c r="E69" s="1217"/>
      <c r="F69" s="1223"/>
      <c r="G69" s="1224"/>
      <c r="H69" s="1225"/>
      <c r="I69" s="534">
        <v>1302.43</v>
      </c>
      <c r="J69" s="1226">
        <v>3681.0100000000039</v>
      </c>
      <c r="K69" s="1222"/>
      <c r="L69" s="12"/>
      <c r="M69" s="36"/>
    </row>
    <row r="70" spans="1:13" ht="13.5" customHeight="1" x14ac:dyDescent="0.2">
      <c r="A70" s="19"/>
      <c r="B70" s="20"/>
      <c r="C70" s="34" t="s">
        <v>82</v>
      </c>
      <c r="D70" s="11">
        <v>561000</v>
      </c>
      <c r="E70" s="1217">
        <v>-306.79000000000002</v>
      </c>
      <c r="F70" s="1223"/>
      <c r="G70" s="1224">
        <v>-684.18</v>
      </c>
      <c r="H70" s="1225"/>
      <c r="I70" s="534"/>
      <c r="J70" s="1226"/>
      <c r="K70" s="1222"/>
      <c r="L70" s="12"/>
      <c r="M70" s="34"/>
    </row>
    <row r="71" spans="1:13" ht="13.5" customHeight="1" x14ac:dyDescent="0.2">
      <c r="A71" s="19">
        <v>43146</v>
      </c>
      <c r="B71" s="20"/>
      <c r="C71" s="34" t="s">
        <v>7018</v>
      </c>
      <c r="D71" s="11"/>
      <c r="E71" s="1217"/>
      <c r="F71" s="1223"/>
      <c r="G71" s="1224"/>
      <c r="H71" s="1225">
        <v>166.5</v>
      </c>
      <c r="I71" s="534"/>
      <c r="J71" s="1226"/>
      <c r="K71" s="1222"/>
      <c r="L71" s="12"/>
      <c r="M71" s="34"/>
    </row>
    <row r="72" spans="1:13" ht="13.5" customHeight="1" x14ac:dyDescent="0.2">
      <c r="A72" s="19"/>
      <c r="B72" s="20"/>
      <c r="C72" s="34" t="s">
        <v>7019</v>
      </c>
      <c r="D72" s="11"/>
      <c r="E72" s="1217"/>
      <c r="F72" s="1223"/>
      <c r="G72" s="1224"/>
      <c r="H72" s="1225"/>
      <c r="I72" s="534">
        <v>190</v>
      </c>
      <c r="J72" s="1226"/>
      <c r="K72" s="1222"/>
      <c r="L72" s="12"/>
      <c r="M72" s="34"/>
    </row>
    <row r="73" spans="1:13" ht="13.5" customHeight="1" x14ac:dyDescent="0.2">
      <c r="A73" s="19"/>
      <c r="B73" s="20"/>
      <c r="C73" s="34" t="s">
        <v>7020</v>
      </c>
      <c r="D73" s="11"/>
      <c r="E73" s="1217"/>
      <c r="F73" s="1223"/>
      <c r="G73" s="1224"/>
      <c r="H73" s="1225"/>
      <c r="I73" s="534">
        <v>60</v>
      </c>
      <c r="J73" s="1226"/>
      <c r="K73" s="1222"/>
      <c r="L73" s="12"/>
      <c r="M73" s="34"/>
    </row>
    <row r="74" spans="1:13" ht="13.5" customHeight="1" x14ac:dyDescent="0.2">
      <c r="A74" s="19"/>
      <c r="B74" s="20"/>
      <c r="C74" s="34" t="s">
        <v>7021</v>
      </c>
      <c r="D74" s="11"/>
      <c r="E74" s="1217"/>
      <c r="F74" s="1223"/>
      <c r="G74" s="1224"/>
      <c r="H74" s="1225">
        <v>3.6</v>
      </c>
      <c r="I74" s="534"/>
      <c r="J74" s="1226"/>
      <c r="K74" s="1222"/>
      <c r="L74" s="12"/>
      <c r="M74" s="34"/>
    </row>
    <row r="75" spans="1:13" ht="13.5" customHeight="1" x14ac:dyDescent="0.2">
      <c r="A75" s="19"/>
      <c r="B75" s="20"/>
      <c r="C75" s="34" t="s">
        <v>7022</v>
      </c>
      <c r="D75" s="11"/>
      <c r="E75" s="1217"/>
      <c r="F75" s="1223"/>
      <c r="G75" s="1224"/>
      <c r="H75" s="1225"/>
      <c r="I75" s="534">
        <v>2050</v>
      </c>
      <c r="J75" s="1226"/>
      <c r="K75" s="1222"/>
      <c r="L75" s="12"/>
      <c r="M75" s="34"/>
    </row>
    <row r="76" spans="1:13" ht="13.5" customHeight="1" x14ac:dyDescent="0.2">
      <c r="A76" s="19"/>
      <c r="B76" s="20"/>
      <c r="C76" s="34" t="s">
        <v>7023</v>
      </c>
      <c r="D76" s="11"/>
      <c r="E76" s="1217"/>
      <c r="F76" s="1223"/>
      <c r="G76" s="1224"/>
      <c r="H76" s="1225"/>
      <c r="I76" s="534">
        <v>7500</v>
      </c>
      <c r="J76" s="1226"/>
      <c r="K76" s="1222"/>
      <c r="L76" s="12"/>
      <c r="M76" s="34"/>
    </row>
    <row r="77" spans="1:13" ht="13.5" customHeight="1" x14ac:dyDescent="0.2">
      <c r="A77" s="19"/>
      <c r="B77" s="20"/>
      <c r="C77" s="34" t="s">
        <v>7024</v>
      </c>
      <c r="D77" s="11"/>
      <c r="E77" s="1217"/>
      <c r="F77" s="1223"/>
      <c r="G77" s="1224"/>
      <c r="H77" s="1225"/>
      <c r="I77" s="534">
        <v>500</v>
      </c>
      <c r="J77" s="1226">
        <v>13810.910000000003</v>
      </c>
      <c r="K77" s="1222"/>
      <c r="L77" s="12"/>
      <c r="M77" s="34"/>
    </row>
    <row r="78" spans="1:13" ht="13.5" customHeight="1" x14ac:dyDescent="0.2">
      <c r="A78" s="19" t="s">
        <v>7025</v>
      </c>
      <c r="B78" s="20"/>
      <c r="C78" s="36" t="s">
        <v>114</v>
      </c>
      <c r="D78" s="11">
        <v>41000</v>
      </c>
      <c r="E78" s="1217">
        <v>-213.84</v>
      </c>
      <c r="F78" s="1223"/>
      <c r="G78" s="1224"/>
      <c r="H78" s="1225"/>
      <c r="I78" s="534"/>
      <c r="J78" s="1226"/>
      <c r="K78" s="1222"/>
      <c r="L78" s="12"/>
      <c r="M78" s="34"/>
    </row>
    <row r="79" spans="1:13" ht="13.5" customHeight="1" x14ac:dyDescent="0.2">
      <c r="A79" s="19"/>
      <c r="B79" s="20" t="s">
        <v>591</v>
      </c>
      <c r="C79" s="34" t="s">
        <v>7016</v>
      </c>
      <c r="D79" s="11">
        <v>572313</v>
      </c>
      <c r="E79" s="1217"/>
      <c r="F79" s="1229">
        <v>1020</v>
      </c>
      <c r="G79" s="1224"/>
      <c r="H79" s="1225"/>
      <c r="I79" s="534"/>
      <c r="J79" s="1226"/>
      <c r="K79" s="1222"/>
      <c r="L79" s="12"/>
      <c r="M79" s="34"/>
    </row>
    <row r="80" spans="1:13" ht="13.5" customHeight="1" x14ac:dyDescent="0.2">
      <c r="A80" s="19"/>
      <c r="B80" s="20" t="s">
        <v>591</v>
      </c>
      <c r="C80" s="34" t="s">
        <v>7016</v>
      </c>
      <c r="D80" s="11">
        <v>673702</v>
      </c>
      <c r="E80" s="1217"/>
      <c r="F80" s="1229">
        <v>110</v>
      </c>
      <c r="G80" s="1224"/>
      <c r="H80" s="1225"/>
      <c r="I80" s="534"/>
      <c r="J80" s="1226"/>
      <c r="K80" s="1222"/>
      <c r="L80" s="12"/>
      <c r="M80" s="34"/>
    </row>
    <row r="81" spans="1:13" ht="13.5" customHeight="1" x14ac:dyDescent="0.2">
      <c r="A81" s="19"/>
      <c r="B81" s="20"/>
      <c r="C81" s="34" t="s">
        <v>7026</v>
      </c>
      <c r="D81" s="11">
        <v>0</v>
      </c>
      <c r="E81" s="1217">
        <v>-14.08</v>
      </c>
      <c r="F81" s="1223"/>
      <c r="G81" s="1224"/>
      <c r="H81" s="1225"/>
      <c r="I81" s="534"/>
      <c r="J81" s="1226"/>
      <c r="K81" s="1222"/>
      <c r="L81" s="12"/>
      <c r="M81" s="34"/>
    </row>
    <row r="82" spans="1:13" ht="13.5" customHeight="1" x14ac:dyDescent="0.2">
      <c r="A82" s="19"/>
      <c r="B82" s="20"/>
      <c r="C82" s="34" t="s">
        <v>7027</v>
      </c>
      <c r="D82" s="11">
        <v>585265</v>
      </c>
      <c r="E82" s="1217">
        <v>-825.59</v>
      </c>
      <c r="F82" s="1223"/>
      <c r="G82" s="1224">
        <v>-607.69000000000005</v>
      </c>
      <c r="H82" s="1225"/>
      <c r="I82" s="534"/>
      <c r="J82" s="1226"/>
      <c r="K82" s="1222"/>
      <c r="L82" s="12"/>
      <c r="M82" s="34"/>
    </row>
    <row r="83" spans="1:13" ht="13.5" customHeight="1" x14ac:dyDescent="0.2">
      <c r="A83" s="19">
        <v>43147</v>
      </c>
      <c r="B83" s="20"/>
      <c r="C83" s="34" t="s">
        <v>7028</v>
      </c>
      <c r="D83" s="11"/>
      <c r="E83" s="1217"/>
      <c r="F83" s="1223"/>
      <c r="G83" s="1224"/>
      <c r="H83" s="1225"/>
      <c r="I83" s="534">
        <v>2296.13</v>
      </c>
      <c r="J83" s="1226"/>
      <c r="K83" s="1222"/>
      <c r="L83" s="12"/>
      <c r="M83" s="34"/>
    </row>
    <row r="84" spans="1:13" ht="13.5" customHeight="1" x14ac:dyDescent="0.2">
      <c r="A84" s="19"/>
      <c r="B84" s="20"/>
      <c r="C84" s="34" t="s">
        <v>7029</v>
      </c>
      <c r="D84" s="11"/>
      <c r="E84" s="1217"/>
      <c r="F84" s="1223"/>
      <c r="G84" s="1224"/>
      <c r="H84" s="1225">
        <v>76.62</v>
      </c>
      <c r="I84" s="534"/>
      <c r="J84" s="1226"/>
      <c r="K84" s="1222"/>
      <c r="L84" s="12"/>
      <c r="M84" s="34"/>
    </row>
    <row r="85" spans="1:13" ht="13.5" customHeight="1" x14ac:dyDescent="0.2">
      <c r="A85" s="19"/>
      <c r="B85" s="20"/>
      <c r="C85" s="34" t="s">
        <v>7030</v>
      </c>
      <c r="D85" s="11"/>
      <c r="E85" s="1217"/>
      <c r="F85" s="1223"/>
      <c r="G85" s="1224"/>
      <c r="H85" s="1225">
        <v>7.98</v>
      </c>
      <c r="I85" s="534"/>
      <c r="J85" s="1226"/>
      <c r="K85" s="1222"/>
      <c r="L85" s="12"/>
      <c r="M85" s="36"/>
    </row>
    <row r="86" spans="1:13" ht="13.5" customHeight="1" x14ac:dyDescent="0.2">
      <c r="A86" s="19"/>
      <c r="B86" s="20"/>
      <c r="C86" s="34" t="s">
        <v>339</v>
      </c>
      <c r="D86" s="11"/>
      <c r="E86" s="1217"/>
      <c r="F86" s="1223"/>
      <c r="G86" s="1224"/>
      <c r="H86" s="1225">
        <v>4.8499999999999996</v>
      </c>
      <c r="I86" s="534"/>
      <c r="J86" s="1226"/>
      <c r="K86" s="1222"/>
      <c r="L86" s="12"/>
      <c r="M86" s="34"/>
    </row>
    <row r="87" spans="1:13" ht="13.5" customHeight="1" x14ac:dyDescent="0.2">
      <c r="A87" s="19"/>
      <c r="B87" s="20"/>
      <c r="C87" s="34" t="s">
        <v>7031</v>
      </c>
      <c r="D87" s="11"/>
      <c r="E87" s="1217"/>
      <c r="F87" s="1223"/>
      <c r="G87" s="1224"/>
      <c r="H87" s="1225">
        <v>35.32</v>
      </c>
      <c r="I87" s="534"/>
      <c r="J87" s="1226"/>
      <c r="K87" s="1222"/>
      <c r="L87" s="12"/>
      <c r="M87" s="34"/>
    </row>
    <row r="88" spans="1:13" ht="13.5" customHeight="1" x14ac:dyDescent="0.2">
      <c r="A88" s="19"/>
      <c r="B88" s="20"/>
      <c r="C88" s="34" t="s">
        <v>7032</v>
      </c>
      <c r="D88" s="11"/>
      <c r="E88" s="1217"/>
      <c r="F88" s="1223"/>
      <c r="G88" s="1224"/>
      <c r="H88" s="1228">
        <v>1450</v>
      </c>
      <c r="I88" s="534"/>
      <c r="J88" s="1226"/>
      <c r="K88" s="1222"/>
      <c r="L88" s="12"/>
      <c r="M88" s="34"/>
    </row>
    <row r="89" spans="1:13" ht="13.5" customHeight="1" x14ac:dyDescent="0.2">
      <c r="A89" s="19"/>
      <c r="B89" s="20"/>
      <c r="C89" s="34" t="s">
        <v>471</v>
      </c>
      <c r="D89" s="11"/>
      <c r="E89" s="1217"/>
      <c r="F89" s="1223"/>
      <c r="G89" s="1224"/>
      <c r="H89" s="1228">
        <v>8000</v>
      </c>
      <c r="I89" s="534"/>
      <c r="J89" s="1226"/>
      <c r="K89" s="1222"/>
      <c r="L89" s="12"/>
      <c r="M89" s="34"/>
    </row>
    <row r="90" spans="1:13" ht="13.5" customHeight="1" x14ac:dyDescent="0.2">
      <c r="A90" s="19"/>
      <c r="B90" s="20"/>
      <c r="C90" s="34" t="s">
        <v>1452</v>
      </c>
      <c r="D90" s="11"/>
      <c r="E90" s="1217"/>
      <c r="F90" s="1223"/>
      <c r="G90" s="1224"/>
      <c r="H90" s="1225"/>
      <c r="I90" s="534">
        <v>185</v>
      </c>
      <c r="J90" s="1226"/>
      <c r="K90" s="1222"/>
      <c r="L90" s="12"/>
      <c r="M90" s="34"/>
    </row>
    <row r="91" spans="1:13" ht="13.5" customHeight="1" x14ac:dyDescent="0.2">
      <c r="A91" s="19"/>
      <c r="B91" s="20"/>
      <c r="C91" s="34" t="s">
        <v>7033</v>
      </c>
      <c r="D91" s="11"/>
      <c r="E91" s="1217"/>
      <c r="F91" s="1223"/>
      <c r="G91" s="1224"/>
      <c r="H91" s="1225">
        <v>22.6</v>
      </c>
      <c r="I91" s="534"/>
      <c r="J91" s="1226"/>
      <c r="K91" s="1222"/>
      <c r="L91" s="12"/>
      <c r="M91" s="34"/>
    </row>
    <row r="92" spans="1:13" ht="13.5" customHeight="1" x14ac:dyDescent="0.2">
      <c r="A92" s="19"/>
      <c r="B92" s="20"/>
      <c r="C92" s="34" t="s">
        <v>7034</v>
      </c>
      <c r="D92" s="11"/>
      <c r="E92" s="1217"/>
      <c r="F92" s="1223"/>
      <c r="G92" s="1224"/>
      <c r="H92" s="1225"/>
      <c r="I92" s="534">
        <v>190</v>
      </c>
      <c r="J92" s="1226"/>
      <c r="K92" s="1222"/>
      <c r="L92" s="12"/>
      <c r="M92" s="34"/>
    </row>
    <row r="93" spans="1:13" ht="13.5" customHeight="1" x14ac:dyDescent="0.2">
      <c r="A93" s="19"/>
      <c r="B93" s="20"/>
      <c r="C93" s="34" t="s">
        <v>7035</v>
      </c>
      <c r="D93" s="11"/>
      <c r="E93" s="1217"/>
      <c r="F93" s="1223"/>
      <c r="G93" s="1224"/>
      <c r="H93" s="1225"/>
      <c r="I93" s="534">
        <v>190</v>
      </c>
      <c r="J93" s="1226"/>
      <c r="K93" s="1222"/>
      <c r="L93" s="12"/>
      <c r="M93" s="34"/>
    </row>
    <row r="94" spans="1:13" ht="13.5" customHeight="1" x14ac:dyDescent="0.2">
      <c r="A94" s="19"/>
      <c r="B94" s="20"/>
      <c r="C94" s="34" t="s">
        <v>7036</v>
      </c>
      <c r="D94" s="11"/>
      <c r="E94" s="1217"/>
      <c r="F94" s="1223"/>
      <c r="G94" s="1224"/>
      <c r="H94" s="1225">
        <v>24.4</v>
      </c>
      <c r="I94" s="534"/>
      <c r="J94" s="1226"/>
      <c r="K94" s="1222"/>
      <c r="L94" s="12"/>
      <c r="M94" s="34"/>
    </row>
    <row r="95" spans="1:13" ht="13.5" customHeight="1" x14ac:dyDescent="0.2">
      <c r="A95" s="19"/>
      <c r="B95" s="20"/>
      <c r="C95" s="34" t="s">
        <v>701</v>
      </c>
      <c r="D95" s="11"/>
      <c r="E95" s="1217"/>
      <c r="F95" s="1223"/>
      <c r="G95" s="1224"/>
      <c r="H95" s="1225">
        <v>8.5</v>
      </c>
      <c r="I95" s="534"/>
      <c r="J95" s="1226"/>
      <c r="K95" s="1222"/>
      <c r="L95" s="12"/>
      <c r="M95" s="34"/>
    </row>
    <row r="96" spans="1:13" ht="13.5" customHeight="1" x14ac:dyDescent="0.2">
      <c r="A96" s="19"/>
      <c r="B96" s="20"/>
      <c r="C96" s="34" t="s">
        <v>36</v>
      </c>
      <c r="D96" s="11"/>
      <c r="E96" s="1217"/>
      <c r="F96" s="1223"/>
      <c r="G96" s="1224"/>
      <c r="H96" s="1225">
        <v>350</v>
      </c>
      <c r="I96" s="534"/>
      <c r="J96" s="1226"/>
      <c r="K96" s="1222"/>
      <c r="L96" s="12"/>
      <c r="M96" s="34"/>
    </row>
    <row r="97" spans="1:13" ht="13.5" customHeight="1" x14ac:dyDescent="0.2">
      <c r="A97" s="19"/>
      <c r="B97" s="20"/>
      <c r="C97" s="34" t="s">
        <v>7037</v>
      </c>
      <c r="D97" s="11"/>
      <c r="E97" s="1217"/>
      <c r="F97" s="1223"/>
      <c r="G97" s="1224"/>
      <c r="H97" s="1228">
        <v>2296.13</v>
      </c>
      <c r="I97" s="534"/>
      <c r="J97" s="1226">
        <v>4395.640000000004</v>
      </c>
      <c r="K97" s="1222"/>
      <c r="L97" s="12"/>
      <c r="M97" s="34"/>
    </row>
    <row r="98" spans="1:13" ht="13.5" customHeight="1" x14ac:dyDescent="0.2">
      <c r="A98" s="19"/>
      <c r="B98" s="20"/>
      <c r="C98" s="34" t="s">
        <v>86</v>
      </c>
      <c r="D98" s="11">
        <v>0</v>
      </c>
      <c r="E98" s="1217">
        <v>-69</v>
      </c>
      <c r="F98" s="1223"/>
      <c r="G98" s="1224"/>
      <c r="H98" s="1225"/>
      <c r="I98" s="534"/>
      <c r="J98" s="1226"/>
      <c r="K98" s="1222"/>
      <c r="L98" s="12"/>
      <c r="M98" s="34"/>
    </row>
    <row r="99" spans="1:13" ht="13.5" customHeight="1" x14ac:dyDescent="0.2">
      <c r="A99" s="19"/>
      <c r="B99" s="20"/>
      <c r="C99" s="34" t="s">
        <v>7038</v>
      </c>
      <c r="D99" s="11">
        <v>0</v>
      </c>
      <c r="E99" s="1217">
        <v>-367.26</v>
      </c>
      <c r="F99" s="1223"/>
      <c r="G99" s="1224">
        <v>-1043.95</v>
      </c>
      <c r="H99" s="1225"/>
      <c r="I99" s="534"/>
      <c r="J99" s="1226"/>
      <c r="K99" s="1222"/>
      <c r="L99" s="12"/>
      <c r="M99" s="34"/>
    </row>
    <row r="100" spans="1:13" ht="13.5" customHeight="1" x14ac:dyDescent="0.2">
      <c r="A100" s="19"/>
      <c r="B100" s="20" t="s">
        <v>591</v>
      </c>
      <c r="C100" s="34" t="s">
        <v>7032</v>
      </c>
      <c r="D100" s="11">
        <v>674010</v>
      </c>
      <c r="E100" s="1217"/>
      <c r="F100" s="1229">
        <v>1450</v>
      </c>
      <c r="G100" s="1224"/>
      <c r="H100" s="1225"/>
      <c r="I100" s="534"/>
      <c r="J100" s="1226"/>
      <c r="K100" s="1222"/>
      <c r="L100" s="12"/>
      <c r="M100" s="34"/>
    </row>
    <row r="101" spans="1:13" ht="13.5" customHeight="1" x14ac:dyDescent="0.2">
      <c r="A101" s="19"/>
      <c r="B101" s="20"/>
      <c r="C101" s="34" t="s">
        <v>7039</v>
      </c>
      <c r="D101" s="11">
        <v>0</v>
      </c>
      <c r="E101" s="1217">
        <v>-122.9</v>
      </c>
      <c r="F101" s="1223"/>
      <c r="G101" s="1224">
        <v>283.14999999999998</v>
      </c>
      <c r="H101" s="1225"/>
      <c r="I101" s="534"/>
      <c r="J101" s="1226"/>
      <c r="K101" s="1222"/>
      <c r="L101" s="12"/>
      <c r="M101" s="34"/>
    </row>
    <row r="102" spans="1:13" ht="13.5" customHeight="1" x14ac:dyDescent="0.2">
      <c r="A102" s="19" t="s">
        <v>7040</v>
      </c>
      <c r="B102" s="20"/>
      <c r="C102" s="34" t="s">
        <v>7041</v>
      </c>
      <c r="D102" s="11">
        <v>128</v>
      </c>
      <c r="E102" s="1217">
        <v>-300</v>
      </c>
      <c r="F102" s="1223"/>
      <c r="G102" s="1224">
        <v>-16.850000000000001</v>
      </c>
      <c r="H102" s="1225"/>
      <c r="I102" s="534"/>
      <c r="J102" s="1226"/>
      <c r="K102" s="1222"/>
      <c r="L102" s="12"/>
      <c r="M102" s="34"/>
    </row>
    <row r="103" spans="1:13" ht="13.5" customHeight="1" x14ac:dyDescent="0.2">
      <c r="A103" s="19">
        <v>43150</v>
      </c>
      <c r="B103" s="20"/>
      <c r="C103" s="34" t="s">
        <v>7042</v>
      </c>
      <c r="D103" s="11"/>
      <c r="E103" s="1217"/>
      <c r="F103" s="1223"/>
      <c r="G103" s="1224"/>
      <c r="H103" s="1225"/>
      <c r="I103" s="534">
        <v>3500</v>
      </c>
      <c r="J103" s="1226"/>
      <c r="K103" s="1222"/>
      <c r="L103" s="12"/>
      <c r="M103" s="34"/>
    </row>
    <row r="104" spans="1:13" ht="13.5" customHeight="1" x14ac:dyDescent="0.2">
      <c r="A104" s="19"/>
      <c r="B104" s="20"/>
      <c r="C104" s="34" t="s">
        <v>7043</v>
      </c>
      <c r="D104" s="11"/>
      <c r="E104" s="1217"/>
      <c r="F104" s="1223"/>
      <c r="G104" s="1224"/>
      <c r="H104" s="1225">
        <v>120</v>
      </c>
      <c r="I104" s="534"/>
      <c r="J104" s="1226"/>
      <c r="K104" s="1222"/>
      <c r="L104" s="12"/>
      <c r="M104" s="34"/>
    </row>
    <row r="105" spans="1:13" ht="13.5" customHeight="1" x14ac:dyDescent="0.2">
      <c r="A105" s="19"/>
      <c r="B105" s="20"/>
      <c r="C105" s="34" t="s">
        <v>7044</v>
      </c>
      <c r="D105" s="11"/>
      <c r="E105" s="1217"/>
      <c r="F105" s="1223"/>
      <c r="G105" s="1224"/>
      <c r="H105" s="1225">
        <v>20</v>
      </c>
      <c r="I105" s="534"/>
      <c r="J105" s="1226"/>
      <c r="K105" s="1222"/>
      <c r="L105" s="12"/>
      <c r="M105" s="36"/>
    </row>
    <row r="106" spans="1:13" ht="13.5" customHeight="1" x14ac:dyDescent="0.2">
      <c r="A106" s="19"/>
      <c r="B106" s="20"/>
      <c r="C106" s="34" t="s">
        <v>7045</v>
      </c>
      <c r="D106" s="11"/>
      <c r="E106" s="1217"/>
      <c r="F106" s="1223"/>
      <c r="G106" s="1224"/>
      <c r="H106" s="1225">
        <v>15</v>
      </c>
      <c r="I106" s="534"/>
      <c r="J106" s="1226"/>
      <c r="K106" s="1222"/>
      <c r="L106" s="12"/>
      <c r="M106" s="34"/>
    </row>
    <row r="107" spans="1:13" ht="13.5" customHeight="1" x14ac:dyDescent="0.2">
      <c r="A107" s="19"/>
      <c r="B107" s="20"/>
      <c r="C107" s="34" t="s">
        <v>692</v>
      </c>
      <c r="D107" s="11"/>
      <c r="E107" s="1217"/>
      <c r="F107" s="1223"/>
      <c r="G107" s="1224"/>
      <c r="H107" s="1225">
        <v>23.2</v>
      </c>
      <c r="I107" s="534"/>
      <c r="J107" s="1226">
        <v>7717.4400000000041</v>
      </c>
      <c r="K107" s="1222"/>
      <c r="L107" s="12"/>
      <c r="M107" s="34"/>
    </row>
    <row r="108" spans="1:13" ht="13.5" customHeight="1" x14ac:dyDescent="0.2">
      <c r="A108" s="19"/>
      <c r="B108" s="20"/>
      <c r="C108" s="34" t="s">
        <v>7046</v>
      </c>
      <c r="D108" s="11">
        <v>275865</v>
      </c>
      <c r="E108" s="1217">
        <v>-444.6</v>
      </c>
      <c r="F108" s="1223"/>
      <c r="G108" s="1224"/>
      <c r="H108" s="1225"/>
      <c r="I108" s="534"/>
      <c r="J108" s="1226"/>
      <c r="K108" s="1222"/>
      <c r="L108" s="12"/>
      <c r="M108" s="34"/>
    </row>
    <row r="109" spans="1:13" ht="13.5" customHeight="1" x14ac:dyDescent="0.2">
      <c r="A109" s="19"/>
      <c r="B109" s="20"/>
      <c r="C109" s="34" t="s">
        <v>7047</v>
      </c>
      <c r="D109" s="11">
        <v>401765</v>
      </c>
      <c r="E109" s="1217">
        <v>-10</v>
      </c>
      <c r="F109" s="1223"/>
      <c r="G109" s="1224"/>
      <c r="H109" s="1225"/>
      <c r="I109" s="534"/>
      <c r="J109" s="1226"/>
      <c r="K109" s="1222"/>
      <c r="L109" s="12"/>
      <c r="M109" s="34"/>
    </row>
    <row r="110" spans="1:13" ht="13.5" customHeight="1" x14ac:dyDescent="0.2">
      <c r="A110" s="19"/>
      <c r="B110" s="20"/>
      <c r="C110" s="34" t="s">
        <v>5196</v>
      </c>
      <c r="D110" s="11">
        <v>430065</v>
      </c>
      <c r="E110" s="1217">
        <v>-250</v>
      </c>
      <c r="F110" s="1223"/>
      <c r="G110" s="1224"/>
      <c r="H110" s="1225"/>
      <c r="I110" s="534"/>
      <c r="J110" s="1226"/>
      <c r="K110" s="1222"/>
      <c r="L110" s="12"/>
      <c r="M110" s="34"/>
    </row>
    <row r="111" spans="1:13" ht="13.5" customHeight="1" x14ac:dyDescent="0.2">
      <c r="A111" s="19"/>
      <c r="B111" s="20"/>
      <c r="C111" s="34" t="s">
        <v>18</v>
      </c>
      <c r="D111" s="11">
        <v>974000</v>
      </c>
      <c r="E111" s="1217">
        <v>-349.97</v>
      </c>
      <c r="F111" s="1223"/>
      <c r="G111" s="1224"/>
      <c r="H111" s="1225"/>
      <c r="I111" s="534"/>
      <c r="J111" s="1226"/>
      <c r="K111" s="1222"/>
      <c r="L111" s="12"/>
      <c r="M111" s="34"/>
    </row>
    <row r="112" spans="1:13" ht="13.5" customHeight="1" x14ac:dyDescent="0.2">
      <c r="A112" s="19"/>
      <c r="B112" s="20"/>
      <c r="C112" s="34" t="s">
        <v>7048</v>
      </c>
      <c r="D112" s="11">
        <v>0</v>
      </c>
      <c r="E112" s="1217">
        <v>-1374.78</v>
      </c>
      <c r="F112" s="1223"/>
      <c r="G112" s="1224"/>
      <c r="H112" s="1225"/>
      <c r="I112" s="534"/>
      <c r="J112" s="1226"/>
      <c r="K112" s="1222"/>
      <c r="L112" s="12"/>
      <c r="M112" s="34"/>
    </row>
    <row r="113" spans="1:13" ht="13.5" customHeight="1" x14ac:dyDescent="0.2">
      <c r="A113" s="19"/>
      <c r="B113" s="20"/>
      <c r="C113" s="56" t="s">
        <v>6788</v>
      </c>
      <c r="D113" s="11">
        <v>303306</v>
      </c>
      <c r="E113" s="1217"/>
      <c r="F113" s="1229">
        <v>5000</v>
      </c>
      <c r="G113" s="1224">
        <v>2553.8000000000002</v>
      </c>
      <c r="H113" s="1225"/>
      <c r="I113" s="534"/>
      <c r="J113" s="1226"/>
      <c r="K113" s="1222"/>
      <c r="L113" s="12"/>
      <c r="M113" s="34"/>
    </row>
    <row r="114" spans="1:13" ht="13.5" customHeight="1" x14ac:dyDescent="0.2">
      <c r="A114" s="19">
        <v>43151</v>
      </c>
      <c r="B114" s="20"/>
      <c r="C114" s="34" t="s">
        <v>7049</v>
      </c>
      <c r="D114" s="11"/>
      <c r="E114" s="1217"/>
      <c r="F114" s="1223"/>
      <c r="G114" s="1224"/>
      <c r="H114" s="1225"/>
      <c r="I114" s="534">
        <v>1040</v>
      </c>
      <c r="J114" s="1226"/>
      <c r="K114" s="1222"/>
      <c r="L114" s="12"/>
      <c r="M114" s="34"/>
    </row>
    <row r="115" spans="1:13" ht="13.5" customHeight="1" x14ac:dyDescent="0.2">
      <c r="A115" s="19"/>
      <c r="B115" s="20"/>
      <c r="C115" s="34" t="s">
        <v>7050</v>
      </c>
      <c r="D115" s="11"/>
      <c r="E115" s="1217"/>
      <c r="F115" s="1223"/>
      <c r="G115" s="1224"/>
      <c r="H115" s="1225">
        <v>14.7</v>
      </c>
      <c r="I115" s="534"/>
      <c r="J115" s="1226"/>
      <c r="K115" s="1222"/>
      <c r="L115" s="12"/>
      <c r="M115" s="34"/>
    </row>
    <row r="116" spans="1:13" ht="13.5" customHeight="1" x14ac:dyDescent="0.2">
      <c r="A116" s="19"/>
      <c r="B116" s="20"/>
      <c r="C116" s="34" t="s">
        <v>7051</v>
      </c>
      <c r="D116" s="11"/>
      <c r="E116" s="1217"/>
      <c r="F116" s="1223"/>
      <c r="G116" s="1224"/>
      <c r="H116" s="1225">
        <v>20.9</v>
      </c>
      <c r="I116" s="534"/>
      <c r="J116" s="1226">
        <v>8721.8400000000038</v>
      </c>
      <c r="K116" s="1222"/>
      <c r="L116" s="12"/>
      <c r="M116" s="34"/>
    </row>
    <row r="117" spans="1:13" ht="13.5" customHeight="1" x14ac:dyDescent="0.2">
      <c r="A117" s="19"/>
      <c r="B117" s="20"/>
      <c r="C117" s="34" t="s">
        <v>7052</v>
      </c>
      <c r="D117" s="11">
        <v>239374</v>
      </c>
      <c r="E117" s="1217"/>
      <c r="F117" s="1223">
        <v>340</v>
      </c>
      <c r="G117" s="1224"/>
      <c r="H117" s="1225"/>
      <c r="I117" s="534"/>
      <c r="J117" s="1226"/>
      <c r="K117" s="1222"/>
      <c r="L117" s="12"/>
      <c r="M117" s="34"/>
    </row>
    <row r="118" spans="1:13" ht="13.5" customHeight="1" x14ac:dyDescent="0.2">
      <c r="A118" s="19"/>
      <c r="B118" s="20" t="s">
        <v>591</v>
      </c>
      <c r="C118" s="34" t="s">
        <v>7052</v>
      </c>
      <c r="D118" s="11">
        <v>63230</v>
      </c>
      <c r="E118" s="1217"/>
      <c r="F118" s="1223">
        <v>600</v>
      </c>
      <c r="G118" s="1224">
        <v>3493.8</v>
      </c>
      <c r="H118" s="1225"/>
      <c r="I118" s="534"/>
      <c r="J118" s="1226"/>
      <c r="K118" s="1222"/>
      <c r="L118" s="12"/>
      <c r="M118" s="34"/>
    </row>
    <row r="119" spans="1:13" ht="13.5" customHeight="1" x14ac:dyDescent="0.2">
      <c r="A119" s="19">
        <v>43152</v>
      </c>
      <c r="B119" s="20"/>
      <c r="C119" s="34" t="s">
        <v>339</v>
      </c>
      <c r="D119" s="11"/>
      <c r="E119" s="1217"/>
      <c r="F119" s="1223"/>
      <c r="G119" s="1224"/>
      <c r="H119" s="1225">
        <v>19.399999999999999</v>
      </c>
      <c r="I119" s="534"/>
      <c r="J119" s="1226"/>
      <c r="K119" s="1222"/>
      <c r="L119" s="12"/>
      <c r="M119" s="34"/>
    </row>
    <row r="120" spans="1:13" ht="13.5" customHeight="1" x14ac:dyDescent="0.2">
      <c r="A120" s="19"/>
      <c r="B120" s="20"/>
      <c r="C120" s="34" t="s">
        <v>7053</v>
      </c>
      <c r="D120" s="11"/>
      <c r="E120" s="1217"/>
      <c r="F120" s="1223"/>
      <c r="G120" s="1224"/>
      <c r="H120" s="1225">
        <v>14.8</v>
      </c>
      <c r="I120" s="534"/>
      <c r="J120" s="1226"/>
      <c r="K120" s="1222"/>
      <c r="L120" s="12"/>
      <c r="M120" s="34"/>
    </row>
    <row r="121" spans="1:13" ht="13.5" customHeight="1" x14ac:dyDescent="0.2">
      <c r="A121" s="19"/>
      <c r="B121" s="20"/>
      <c r="C121" s="34" t="s">
        <v>7054</v>
      </c>
      <c r="D121" s="11"/>
      <c r="E121" s="1217"/>
      <c r="F121" s="1223"/>
      <c r="G121" s="1224"/>
      <c r="H121" s="1225">
        <v>5.25</v>
      </c>
      <c r="I121" s="534"/>
      <c r="J121" s="1226"/>
      <c r="K121" s="1222"/>
      <c r="L121" s="12"/>
      <c r="M121" s="34"/>
    </row>
    <row r="122" spans="1:13" ht="13.5" customHeight="1" x14ac:dyDescent="0.2">
      <c r="A122" s="19"/>
      <c r="B122" s="20"/>
      <c r="C122" s="34" t="s">
        <v>7055</v>
      </c>
      <c r="D122" s="11"/>
      <c r="E122" s="1217"/>
      <c r="F122" s="1223"/>
      <c r="G122" s="1224"/>
      <c r="H122" s="1225">
        <v>1</v>
      </c>
      <c r="I122" s="534"/>
      <c r="J122" s="1226">
        <v>8681.3900000000049</v>
      </c>
      <c r="K122" s="1222"/>
      <c r="L122" s="12"/>
      <c r="M122" s="34"/>
    </row>
    <row r="123" spans="1:13" ht="13.5" customHeight="1" x14ac:dyDescent="0.2">
      <c r="A123" s="19"/>
      <c r="B123" s="20"/>
      <c r="C123" s="34" t="s">
        <v>133</v>
      </c>
      <c r="D123" s="11">
        <v>174000</v>
      </c>
      <c r="E123" s="1217">
        <v>-685.17</v>
      </c>
      <c r="F123" s="1223"/>
      <c r="G123" s="1224"/>
      <c r="H123" s="1225"/>
      <c r="I123" s="534"/>
      <c r="J123" s="1226"/>
      <c r="K123" s="1222"/>
      <c r="L123" s="12"/>
      <c r="M123" s="34"/>
    </row>
    <row r="124" spans="1:13" ht="13.5" customHeight="1" x14ac:dyDescent="0.2">
      <c r="A124" s="19"/>
      <c r="B124" s="20" t="s">
        <v>591</v>
      </c>
      <c r="C124" s="34" t="s">
        <v>7056</v>
      </c>
      <c r="D124" s="11">
        <v>674978</v>
      </c>
      <c r="E124" s="1217"/>
      <c r="F124" s="1223">
        <v>5100</v>
      </c>
      <c r="G124" s="1224">
        <v>7908.63</v>
      </c>
      <c r="H124" s="1225"/>
      <c r="I124" s="534"/>
      <c r="J124" s="1226"/>
      <c r="K124" s="1222"/>
      <c r="L124" s="12"/>
      <c r="M124" s="34"/>
    </row>
    <row r="125" spans="1:13" ht="13.5" customHeight="1" x14ac:dyDescent="0.2">
      <c r="A125" s="19">
        <v>43153</v>
      </c>
      <c r="B125" s="20"/>
      <c r="C125" s="34" t="s">
        <v>7057</v>
      </c>
      <c r="D125" s="11"/>
      <c r="E125" s="1217"/>
      <c r="F125" s="1223"/>
      <c r="G125" s="1224"/>
      <c r="H125" s="1225">
        <v>75</v>
      </c>
      <c r="I125" s="534"/>
      <c r="J125" s="1226"/>
      <c r="K125" s="1222"/>
      <c r="L125" s="12"/>
      <c r="M125" s="34"/>
    </row>
    <row r="126" spans="1:13" ht="13.5" customHeight="1" x14ac:dyDescent="0.2">
      <c r="A126" s="19"/>
      <c r="B126" s="20"/>
      <c r="C126" s="34" t="s">
        <v>7058</v>
      </c>
      <c r="D126" s="11"/>
      <c r="E126" s="1217"/>
      <c r="F126" s="1223"/>
      <c r="G126" s="1224"/>
      <c r="H126" s="1225">
        <v>75</v>
      </c>
      <c r="I126" s="534"/>
      <c r="J126" s="1226"/>
      <c r="K126" s="1222"/>
      <c r="L126" s="12"/>
      <c r="M126" s="34"/>
    </row>
    <row r="127" spans="1:13" ht="13.5" customHeight="1" x14ac:dyDescent="0.2">
      <c r="A127" s="19"/>
      <c r="B127" s="20"/>
      <c r="C127" s="34" t="s">
        <v>7059</v>
      </c>
      <c r="D127" s="11"/>
      <c r="E127" s="1217"/>
      <c r="F127" s="1223"/>
      <c r="G127" s="1224"/>
      <c r="H127" s="1225">
        <v>75</v>
      </c>
      <c r="I127" s="534"/>
      <c r="J127" s="1226"/>
      <c r="K127" s="1222"/>
      <c r="L127" s="12"/>
      <c r="M127" s="34"/>
    </row>
    <row r="128" spans="1:13" ht="13.5" customHeight="1" x14ac:dyDescent="0.2">
      <c r="A128" s="19"/>
      <c r="B128" s="20"/>
      <c r="C128" s="34" t="s">
        <v>7060</v>
      </c>
      <c r="D128" s="11"/>
      <c r="E128" s="1217"/>
      <c r="F128" s="1223"/>
      <c r="G128" s="1224"/>
      <c r="H128" s="1225">
        <v>75</v>
      </c>
      <c r="I128" s="534"/>
      <c r="J128" s="1226"/>
      <c r="K128" s="1222"/>
      <c r="L128" s="12"/>
      <c r="M128" s="34"/>
    </row>
    <row r="129" spans="1:13" ht="13.5" customHeight="1" x14ac:dyDescent="0.2">
      <c r="A129" s="19"/>
      <c r="B129" s="20"/>
      <c r="C129" s="34" t="s">
        <v>7061</v>
      </c>
      <c r="D129" s="11"/>
      <c r="E129" s="1217"/>
      <c r="F129" s="1223"/>
      <c r="G129" s="1224"/>
      <c r="H129" s="1225">
        <v>14</v>
      </c>
      <c r="I129" s="534"/>
      <c r="J129" s="1226"/>
      <c r="K129" s="1222"/>
      <c r="L129" s="12"/>
      <c r="M129" s="34"/>
    </row>
    <row r="130" spans="1:13" ht="13.5" customHeight="1" x14ac:dyDescent="0.2">
      <c r="A130" s="19"/>
      <c r="B130" s="20"/>
      <c r="C130" s="34" t="s">
        <v>7062</v>
      </c>
      <c r="D130" s="11"/>
      <c r="E130" s="1217"/>
      <c r="F130" s="1223"/>
      <c r="G130" s="1224"/>
      <c r="H130" s="1225">
        <v>11</v>
      </c>
      <c r="I130" s="534"/>
      <c r="J130" s="1226"/>
      <c r="K130" s="1222"/>
      <c r="L130" s="12"/>
      <c r="M130" s="34"/>
    </row>
    <row r="131" spans="1:13" ht="13.5" customHeight="1" x14ac:dyDescent="0.2">
      <c r="A131" s="19"/>
      <c r="B131" s="20"/>
      <c r="C131" s="34" t="s">
        <v>7063</v>
      </c>
      <c r="D131" s="11"/>
      <c r="E131" s="1217"/>
      <c r="F131" s="1223"/>
      <c r="G131" s="1224"/>
      <c r="H131" s="1225">
        <v>32</v>
      </c>
      <c r="I131" s="534"/>
      <c r="J131" s="1226">
        <v>8324.3900000000049</v>
      </c>
      <c r="K131" s="1222"/>
      <c r="L131" s="12"/>
      <c r="M131" s="34"/>
    </row>
    <row r="132" spans="1:13" ht="13.5" customHeight="1" x14ac:dyDescent="0.2">
      <c r="A132" s="19" t="s">
        <v>7064</v>
      </c>
      <c r="B132" s="20"/>
      <c r="C132" s="34" t="s">
        <v>127</v>
      </c>
      <c r="D132" s="11">
        <v>0</v>
      </c>
      <c r="E132" s="1217">
        <v>-22.43</v>
      </c>
      <c r="F132" s="1223"/>
      <c r="G132" s="1224"/>
      <c r="H132" s="1225"/>
      <c r="I132" s="534"/>
      <c r="J132" s="1226"/>
      <c r="K132" s="1222"/>
      <c r="L132" s="12"/>
      <c r="M132" s="34"/>
    </row>
    <row r="133" spans="1:13" ht="13.5" customHeight="1" x14ac:dyDescent="0.2">
      <c r="A133" s="19"/>
      <c r="B133" s="20"/>
      <c r="C133" s="34" t="s">
        <v>128</v>
      </c>
      <c r="D133" s="11">
        <v>0</v>
      </c>
      <c r="E133" s="1217">
        <v>-25.02</v>
      </c>
      <c r="F133" s="1223"/>
      <c r="G133" s="1224"/>
      <c r="H133" s="1225"/>
      <c r="I133" s="534"/>
      <c r="J133" s="1226"/>
      <c r="K133" s="1222"/>
      <c r="L133" s="12"/>
      <c r="M133" s="34"/>
    </row>
    <row r="134" spans="1:13" ht="13.5" customHeight="1" x14ac:dyDescent="0.2">
      <c r="A134" s="19"/>
      <c r="B134" s="20"/>
      <c r="C134" s="34" t="s">
        <v>131</v>
      </c>
      <c r="D134" s="11">
        <v>0</v>
      </c>
      <c r="E134" s="1217">
        <v>-26.54</v>
      </c>
      <c r="F134" s="1223"/>
      <c r="G134" s="1224"/>
      <c r="H134" s="1225"/>
      <c r="I134" s="534"/>
      <c r="J134" s="1226"/>
      <c r="K134" s="1222"/>
      <c r="L134" s="12"/>
      <c r="M134" s="34"/>
    </row>
    <row r="135" spans="1:13" ht="13.5" customHeight="1" x14ac:dyDescent="0.2">
      <c r="A135" s="19"/>
      <c r="B135" s="20"/>
      <c r="C135" s="34" t="s">
        <v>5732</v>
      </c>
      <c r="D135" s="11">
        <v>0</v>
      </c>
      <c r="E135" s="1217">
        <v>-37.4</v>
      </c>
      <c r="F135" s="1223"/>
      <c r="G135" s="1224"/>
      <c r="H135" s="1225"/>
      <c r="I135" s="534"/>
      <c r="J135" s="1226"/>
      <c r="K135" s="1222"/>
      <c r="L135" s="12"/>
      <c r="M135" s="34"/>
    </row>
    <row r="136" spans="1:13" ht="13.5" customHeight="1" x14ac:dyDescent="0.2">
      <c r="A136" s="19"/>
      <c r="B136" s="20"/>
      <c r="C136" s="34" t="s">
        <v>129</v>
      </c>
      <c r="D136" s="11">
        <v>0</v>
      </c>
      <c r="E136" s="1217">
        <v>-38.29</v>
      </c>
      <c r="F136" s="1223"/>
      <c r="G136" s="1224"/>
      <c r="H136" s="1225"/>
      <c r="I136" s="534"/>
      <c r="J136" s="1226"/>
      <c r="K136" s="1222"/>
      <c r="L136" s="12"/>
      <c r="M136" s="21"/>
    </row>
    <row r="137" spans="1:13" ht="13.5" customHeight="1" x14ac:dyDescent="0.2">
      <c r="A137" s="19"/>
      <c r="B137" s="20"/>
      <c r="C137" s="34" t="s">
        <v>130</v>
      </c>
      <c r="D137" s="11">
        <v>0</v>
      </c>
      <c r="E137" s="1217">
        <v>-141.27000000000001</v>
      </c>
      <c r="F137" s="1223"/>
      <c r="G137" s="1224"/>
      <c r="H137" s="1225"/>
      <c r="I137" s="534"/>
      <c r="J137" s="1226"/>
      <c r="K137" s="1222"/>
      <c r="L137" s="12"/>
      <c r="M137" s="34"/>
    </row>
    <row r="138" spans="1:13" ht="13.5" customHeight="1" x14ac:dyDescent="0.2">
      <c r="A138" s="19"/>
      <c r="B138" s="20"/>
      <c r="C138" s="34" t="s">
        <v>7065</v>
      </c>
      <c r="D138" s="11">
        <v>0</v>
      </c>
      <c r="E138" s="1217">
        <v>-278.57</v>
      </c>
      <c r="F138" s="1223"/>
      <c r="G138" s="1224"/>
      <c r="H138" s="1225"/>
      <c r="I138" s="534"/>
      <c r="J138" s="1226"/>
      <c r="K138" s="1222"/>
      <c r="L138" s="12"/>
      <c r="M138" s="34"/>
    </row>
    <row r="139" spans="1:13" ht="13.5" customHeight="1" x14ac:dyDescent="0.2">
      <c r="A139" s="19"/>
      <c r="B139" s="20"/>
      <c r="C139" s="34" t="s">
        <v>6199</v>
      </c>
      <c r="D139" s="11">
        <v>964000</v>
      </c>
      <c r="E139" s="1217">
        <v>-117.72</v>
      </c>
      <c r="F139" s="1223"/>
      <c r="G139" s="1224"/>
      <c r="H139" s="1225"/>
      <c r="I139" s="534"/>
      <c r="J139" s="1226"/>
      <c r="K139" s="1222"/>
      <c r="L139" s="12"/>
      <c r="M139" s="34"/>
    </row>
    <row r="140" spans="1:13" ht="13.5" customHeight="1" x14ac:dyDescent="0.2">
      <c r="A140" s="19"/>
      <c r="B140" s="20"/>
      <c r="C140" s="34" t="s">
        <v>7066</v>
      </c>
      <c r="D140" s="11">
        <v>0</v>
      </c>
      <c r="E140" s="1217">
        <v>-142.01</v>
      </c>
      <c r="F140" s="1223"/>
      <c r="G140" s="1224">
        <v>7079.38</v>
      </c>
      <c r="H140" s="1225"/>
      <c r="I140" s="534"/>
      <c r="J140" s="1226"/>
      <c r="K140" s="1222"/>
      <c r="L140" s="12"/>
      <c r="M140" s="34"/>
    </row>
    <row r="141" spans="1:13" ht="13.5" customHeight="1" x14ac:dyDescent="0.2">
      <c r="A141" s="19">
        <v>43154</v>
      </c>
      <c r="B141" s="20"/>
      <c r="C141" s="34" t="s">
        <v>36</v>
      </c>
      <c r="D141" s="11"/>
      <c r="E141" s="1217"/>
      <c r="F141" s="1223"/>
      <c r="G141" s="1224"/>
      <c r="H141" s="1225">
        <v>350</v>
      </c>
      <c r="I141" s="534"/>
      <c r="J141" s="1226">
        <v>7974.3900000000049</v>
      </c>
      <c r="K141" s="1222"/>
      <c r="L141" s="12"/>
      <c r="M141" s="34"/>
    </row>
    <row r="142" spans="1:13" ht="13.5" customHeight="1" x14ac:dyDescent="0.2">
      <c r="A142" s="19"/>
      <c r="B142" s="20"/>
      <c r="C142" s="34" t="s">
        <v>7067</v>
      </c>
      <c r="D142" s="11">
        <v>0</v>
      </c>
      <c r="E142" s="1217">
        <v>-2000</v>
      </c>
      <c r="F142" s="1223"/>
      <c r="G142" s="1224"/>
      <c r="H142" s="1225"/>
      <c r="I142" s="534"/>
      <c r="J142" s="1226"/>
      <c r="K142" s="1222"/>
      <c r="L142" s="12"/>
      <c r="M142" s="34"/>
    </row>
    <row r="143" spans="1:13" ht="13.5" customHeight="1" x14ac:dyDescent="0.2">
      <c r="A143" s="19"/>
      <c r="B143" s="20"/>
      <c r="C143" s="34" t="s">
        <v>7068</v>
      </c>
      <c r="D143" s="11">
        <v>0</v>
      </c>
      <c r="E143" s="1217">
        <v>-2000</v>
      </c>
      <c r="F143" s="1223"/>
      <c r="G143" s="1224"/>
      <c r="H143" s="1225"/>
      <c r="I143" s="534"/>
      <c r="J143" s="1226"/>
      <c r="K143" s="1222"/>
      <c r="L143" s="12"/>
      <c r="M143" s="34"/>
    </row>
    <row r="144" spans="1:13" ht="13.5" customHeight="1" x14ac:dyDescent="0.2">
      <c r="A144" s="19"/>
      <c r="B144" s="20"/>
      <c r="C144" s="34" t="s">
        <v>20</v>
      </c>
      <c r="D144" s="11">
        <v>0</v>
      </c>
      <c r="E144" s="1217"/>
      <c r="F144" s="1223">
        <v>0.03</v>
      </c>
      <c r="G144" s="1230">
        <v>3079.41</v>
      </c>
      <c r="H144" s="1225"/>
      <c r="I144" s="534"/>
      <c r="J144" s="1226"/>
      <c r="K144" s="1222"/>
      <c r="L144" s="12"/>
      <c r="M144" s="34"/>
    </row>
    <row r="145" spans="1:13" ht="13.5" customHeight="1" x14ac:dyDescent="0.2">
      <c r="A145" s="19">
        <v>43157</v>
      </c>
      <c r="B145" s="20"/>
      <c r="C145" s="34" t="s">
        <v>7069</v>
      </c>
      <c r="D145" s="11"/>
      <c r="E145" s="1217"/>
      <c r="F145" s="1223"/>
      <c r="G145" s="1224"/>
      <c r="H145" s="1225">
        <v>24</v>
      </c>
      <c r="I145" s="534"/>
      <c r="J145" s="1226"/>
      <c r="K145" s="1222"/>
      <c r="L145" s="12"/>
      <c r="M145" s="34"/>
    </row>
    <row r="146" spans="1:13" ht="13.5" customHeight="1" x14ac:dyDescent="0.2">
      <c r="A146" s="19"/>
      <c r="B146" s="20"/>
      <c r="C146" s="34" t="s">
        <v>7070</v>
      </c>
      <c r="D146" s="11"/>
      <c r="E146" s="1217"/>
      <c r="F146" s="1223"/>
      <c r="G146" s="1224"/>
      <c r="H146" s="1225">
        <v>9.35</v>
      </c>
      <c r="I146" s="534"/>
      <c r="J146" s="1226">
        <v>7941.0400000000045</v>
      </c>
      <c r="K146" s="1222"/>
      <c r="L146" s="12"/>
      <c r="M146" s="34"/>
    </row>
    <row r="147" spans="1:13" ht="13.5" customHeight="1" x14ac:dyDescent="0.2">
      <c r="A147" s="19">
        <v>43159</v>
      </c>
      <c r="B147" s="20"/>
      <c r="C147" s="34" t="s">
        <v>7071</v>
      </c>
      <c r="D147" s="11"/>
      <c r="E147" s="1217"/>
      <c r="F147" s="1223"/>
      <c r="G147" s="1224"/>
      <c r="H147" s="1225">
        <v>15</v>
      </c>
      <c r="I147" s="534"/>
      <c r="J147" s="1226"/>
      <c r="K147" s="1222"/>
      <c r="L147" s="12"/>
      <c r="M147" s="34"/>
    </row>
    <row r="148" spans="1:13" ht="13.5" customHeight="1" x14ac:dyDescent="0.2">
      <c r="A148" s="19"/>
      <c r="B148" s="20"/>
      <c r="C148" s="34" t="s">
        <v>314</v>
      </c>
      <c r="D148" s="11"/>
      <c r="E148" s="1217"/>
      <c r="F148" s="1223"/>
      <c r="G148" s="1224"/>
      <c r="H148" s="1225">
        <v>3.48</v>
      </c>
      <c r="I148" s="534"/>
      <c r="J148" s="1226"/>
      <c r="K148" s="1222"/>
      <c r="L148" s="12"/>
      <c r="M148" s="34"/>
    </row>
    <row r="149" spans="1:13" ht="13.5" customHeight="1" x14ac:dyDescent="0.2">
      <c r="A149" s="19"/>
      <c r="B149" s="20"/>
      <c r="C149" s="34" t="s">
        <v>7072</v>
      </c>
      <c r="D149" s="11"/>
      <c r="E149" s="1217"/>
      <c r="F149" s="1223"/>
      <c r="G149" s="1224"/>
      <c r="H149" s="1225">
        <v>34.659999999999997</v>
      </c>
      <c r="I149" s="534"/>
      <c r="J149" s="1226"/>
      <c r="K149" s="1222"/>
      <c r="L149" s="12"/>
      <c r="M149" s="34"/>
    </row>
    <row r="150" spans="1:13" ht="13.5" customHeight="1" x14ac:dyDescent="0.2">
      <c r="A150" s="19"/>
      <c r="B150" s="20"/>
      <c r="C150" s="34" t="s">
        <v>7050</v>
      </c>
      <c r="D150" s="11"/>
      <c r="E150" s="1217"/>
      <c r="F150" s="1223"/>
      <c r="G150" s="1224"/>
      <c r="H150" s="1225">
        <v>14</v>
      </c>
      <c r="I150" s="534"/>
      <c r="J150" s="1226"/>
      <c r="K150" s="1222"/>
      <c r="L150" s="12"/>
      <c r="M150" s="34"/>
    </row>
    <row r="151" spans="1:13" ht="13.5" customHeight="1" x14ac:dyDescent="0.2">
      <c r="A151" s="19"/>
      <c r="B151" s="20"/>
      <c r="C151" s="34" t="s">
        <v>7051</v>
      </c>
      <c r="D151" s="11"/>
      <c r="E151" s="1217"/>
      <c r="F151" s="1223"/>
      <c r="G151" s="1224"/>
      <c r="H151" s="1225">
        <v>13.5</v>
      </c>
      <c r="I151" s="534"/>
      <c r="J151" s="1231">
        <v>7860.4000000000051</v>
      </c>
      <c r="K151" s="1222"/>
      <c r="L151" s="12"/>
      <c r="M151" s="34"/>
    </row>
    <row r="152" spans="1:13" ht="13.5" customHeight="1" thickBot="1" x14ac:dyDescent="0.25">
      <c r="A152" s="47"/>
      <c r="B152" s="48"/>
      <c r="C152" s="49"/>
      <c r="D152" s="50"/>
      <c r="E152" s="641"/>
      <c r="F152" s="1232"/>
      <c r="G152" s="1233"/>
      <c r="H152" s="1234"/>
      <c r="I152" s="1235"/>
      <c r="J152" s="1232"/>
      <c r="K152" s="1222"/>
      <c r="L152" s="12"/>
      <c r="M152" s="34"/>
    </row>
    <row r="153" spans="1:13" ht="13.5" customHeight="1" thickBot="1" x14ac:dyDescent="0.25">
      <c r="A153" s="2" t="s">
        <v>2</v>
      </c>
      <c r="B153" s="3"/>
      <c r="C153" s="3" t="s">
        <v>481</v>
      </c>
      <c r="D153" s="3" t="s">
        <v>4</v>
      </c>
      <c r="E153" s="1213" t="s">
        <v>5</v>
      </c>
      <c r="F153" s="1213" t="s">
        <v>6</v>
      </c>
      <c r="G153" s="1214" t="s">
        <v>7</v>
      </c>
      <c r="H153" s="1427" t="s">
        <v>482</v>
      </c>
      <c r="I153" s="1428"/>
      <c r="J153" s="1429"/>
      <c r="K153" s="1222"/>
      <c r="M153" s="36"/>
    </row>
    <row r="154" spans="1:13" ht="13.5" customHeight="1" x14ac:dyDescent="0.2">
      <c r="A154" s="8" t="s">
        <v>7073</v>
      </c>
      <c r="B154" s="56"/>
      <c r="C154" s="10" t="s">
        <v>8</v>
      </c>
      <c r="D154" s="11">
        <v>0</v>
      </c>
      <c r="E154" s="641"/>
      <c r="F154" s="1217"/>
      <c r="G154" s="1236">
        <v>0</v>
      </c>
      <c r="H154" s="721"/>
      <c r="I154" s="1237"/>
      <c r="J154" s="527">
        <v>24887.040000000001</v>
      </c>
      <c r="K154" s="1222"/>
      <c r="L154" s="51"/>
      <c r="M154" s="36"/>
    </row>
    <row r="155" spans="1:13" ht="13.5" customHeight="1" x14ac:dyDescent="0.2">
      <c r="A155" s="180" t="s">
        <v>7074</v>
      </c>
      <c r="B155" s="56" t="s">
        <v>483</v>
      </c>
      <c r="C155" s="36" t="s">
        <v>7075</v>
      </c>
      <c r="D155" s="11" t="s">
        <v>7076</v>
      </c>
      <c r="E155" s="1238">
        <v>-137.25</v>
      </c>
      <c r="F155" s="1217"/>
      <c r="G155" s="1239" t="s">
        <v>483</v>
      </c>
      <c r="H155" s="356"/>
      <c r="I155" s="536"/>
      <c r="J155" s="360">
        <v>24887.040000000001</v>
      </c>
      <c r="K155" s="1222"/>
      <c r="L155" s="30"/>
      <c r="M155" s="36"/>
    </row>
    <row r="156" spans="1:13" ht="13.5" customHeight="1" x14ac:dyDescent="0.2">
      <c r="A156" s="180"/>
      <c r="B156" s="56" t="s">
        <v>483</v>
      </c>
      <c r="C156" s="36" t="s">
        <v>174</v>
      </c>
      <c r="D156" s="11" t="s">
        <v>488</v>
      </c>
      <c r="E156" s="622"/>
      <c r="F156" s="1240">
        <v>137.25</v>
      </c>
      <c r="G156" s="1239">
        <v>0</v>
      </c>
      <c r="H156" s="356">
        <v>137.25</v>
      </c>
      <c r="I156" s="536"/>
      <c r="J156" s="360">
        <v>24749.79</v>
      </c>
      <c r="K156" s="1222"/>
      <c r="L156" s="30"/>
      <c r="M156" s="36"/>
    </row>
    <row r="157" spans="1:13" ht="13.5" customHeight="1" x14ac:dyDescent="0.2">
      <c r="A157" s="180" t="s">
        <v>7077</v>
      </c>
      <c r="B157" s="56" t="s">
        <v>483</v>
      </c>
      <c r="C157" s="36" t="s">
        <v>180</v>
      </c>
      <c r="D157" s="11" t="s">
        <v>488</v>
      </c>
      <c r="E157" s="1238">
        <v>-232.33</v>
      </c>
      <c r="F157" s="1217"/>
      <c r="G157" s="1239" t="s">
        <v>483</v>
      </c>
      <c r="H157" s="356"/>
      <c r="I157" s="536"/>
      <c r="J157" s="360">
        <v>24749.79</v>
      </c>
      <c r="K157" s="1222"/>
      <c r="L157" s="30"/>
      <c r="M157" s="34"/>
    </row>
    <row r="158" spans="1:13" ht="13.5" customHeight="1" x14ac:dyDescent="0.2">
      <c r="A158" s="180"/>
      <c r="B158" s="56" t="s">
        <v>483</v>
      </c>
      <c r="C158" s="36" t="s">
        <v>749</v>
      </c>
      <c r="D158" s="11" t="s">
        <v>7078</v>
      </c>
      <c r="E158" s="1238">
        <v>-504.83</v>
      </c>
      <c r="F158" s="1217"/>
      <c r="G158" s="1239" t="s">
        <v>483</v>
      </c>
      <c r="H158" s="356"/>
      <c r="I158" s="536"/>
      <c r="J158" s="360">
        <v>24749.79</v>
      </c>
      <c r="K158" s="1222"/>
      <c r="L158" s="30"/>
      <c r="M158" s="34"/>
    </row>
    <row r="159" spans="1:13" ht="13.5" customHeight="1" x14ac:dyDescent="0.2">
      <c r="A159" s="180"/>
      <c r="B159" s="56" t="s">
        <v>483</v>
      </c>
      <c r="C159" s="21" t="s">
        <v>751</v>
      </c>
      <c r="D159" s="11" t="s">
        <v>7079</v>
      </c>
      <c r="E159" s="1238">
        <v>-331.26</v>
      </c>
      <c r="F159" s="1217"/>
      <c r="G159" s="1239" t="s">
        <v>483</v>
      </c>
      <c r="H159" s="356"/>
      <c r="I159" s="536"/>
      <c r="J159" s="360">
        <v>24749.79</v>
      </c>
      <c r="K159" s="1222"/>
      <c r="L159" s="30"/>
      <c r="M159" s="34"/>
    </row>
    <row r="160" spans="1:13" ht="13.5" customHeight="1" x14ac:dyDescent="0.2">
      <c r="A160" s="180"/>
      <c r="B160" s="56" t="s">
        <v>483</v>
      </c>
      <c r="C160" s="36" t="s">
        <v>174</v>
      </c>
      <c r="D160" s="11" t="s">
        <v>488</v>
      </c>
      <c r="E160" s="622"/>
      <c r="F160" s="1240">
        <v>1068.42</v>
      </c>
      <c r="G160" s="1239">
        <v>0</v>
      </c>
      <c r="H160" s="356">
        <v>1068.42</v>
      </c>
      <c r="I160" s="536"/>
      <c r="J160" s="360">
        <v>23681.370000000003</v>
      </c>
      <c r="K160" s="1222"/>
      <c r="L160" s="30"/>
      <c r="M160" s="36"/>
    </row>
    <row r="161" spans="1:13" ht="13.5" customHeight="1" x14ac:dyDescent="0.2">
      <c r="A161" s="180" t="s">
        <v>7080</v>
      </c>
      <c r="B161" s="56" t="s">
        <v>483</v>
      </c>
      <c r="C161" s="32" t="s">
        <v>7081</v>
      </c>
      <c r="D161" s="11" t="s">
        <v>7082</v>
      </c>
      <c r="E161" s="1238">
        <v>-291.74</v>
      </c>
      <c r="F161" s="1217"/>
      <c r="G161" s="1239" t="s">
        <v>483</v>
      </c>
      <c r="H161" s="356"/>
      <c r="I161" s="536"/>
      <c r="J161" s="360">
        <v>23681.370000000003</v>
      </c>
      <c r="K161" s="1222"/>
      <c r="L161" s="30"/>
      <c r="M161" s="36"/>
    </row>
    <row r="162" spans="1:13" ht="13.5" customHeight="1" x14ac:dyDescent="0.2">
      <c r="A162" s="180"/>
      <c r="B162" s="56" t="s">
        <v>483</v>
      </c>
      <c r="C162" s="36" t="s">
        <v>174</v>
      </c>
      <c r="D162" s="11" t="s">
        <v>488</v>
      </c>
      <c r="E162" s="622"/>
      <c r="F162" s="1240">
        <v>291.74</v>
      </c>
      <c r="G162" s="1239">
        <v>0</v>
      </c>
      <c r="H162" s="356">
        <v>291.74</v>
      </c>
      <c r="I162" s="536"/>
      <c r="J162" s="360">
        <v>23389.63</v>
      </c>
      <c r="K162" s="1222"/>
      <c r="L162" s="30"/>
      <c r="M162" s="36"/>
    </row>
    <row r="163" spans="1:13" ht="13.5" customHeight="1" x14ac:dyDescent="0.2">
      <c r="A163" s="180" t="s">
        <v>7083</v>
      </c>
      <c r="B163" s="56" t="s">
        <v>483</v>
      </c>
      <c r="C163" s="36" t="s">
        <v>382</v>
      </c>
      <c r="D163" s="11" t="s">
        <v>7084</v>
      </c>
      <c r="E163" s="1238">
        <v>-264.14999999999998</v>
      </c>
      <c r="F163" s="1217"/>
      <c r="G163" s="1239" t="s">
        <v>483</v>
      </c>
      <c r="H163" s="356"/>
      <c r="I163" s="536"/>
      <c r="J163" s="360">
        <v>23389.63</v>
      </c>
      <c r="K163" s="1222"/>
      <c r="L163" s="30"/>
      <c r="M163" s="36"/>
    </row>
    <row r="164" spans="1:13" ht="13.5" customHeight="1" x14ac:dyDescent="0.2">
      <c r="A164" s="180"/>
      <c r="B164" s="56" t="s">
        <v>483</v>
      </c>
      <c r="C164" s="32" t="s">
        <v>7085</v>
      </c>
      <c r="D164" s="11" t="s">
        <v>1738</v>
      </c>
      <c r="E164" s="1238">
        <v>-480</v>
      </c>
      <c r="F164" s="1217"/>
      <c r="G164" s="1239" t="s">
        <v>483</v>
      </c>
      <c r="H164" s="356"/>
      <c r="I164" s="536"/>
      <c r="J164" s="360">
        <v>23389.63</v>
      </c>
      <c r="K164" s="1222"/>
      <c r="L164" s="30"/>
      <c r="M164" s="36"/>
    </row>
    <row r="165" spans="1:13" ht="13.5" customHeight="1" x14ac:dyDescent="0.2">
      <c r="A165" s="180"/>
      <c r="B165" s="56" t="s">
        <v>483</v>
      </c>
      <c r="C165" s="34" t="s">
        <v>7086</v>
      </c>
      <c r="D165" s="11" t="s">
        <v>7087</v>
      </c>
      <c r="E165" s="1238">
        <v>-393.36</v>
      </c>
      <c r="F165" s="1217"/>
      <c r="G165" s="1239" t="s">
        <v>483</v>
      </c>
      <c r="H165" s="356"/>
      <c r="I165" s="536"/>
      <c r="J165" s="360">
        <v>23389.63</v>
      </c>
      <c r="K165" s="1222"/>
      <c r="L165" s="30"/>
      <c r="M165" s="34"/>
    </row>
    <row r="166" spans="1:13" ht="13.5" customHeight="1" x14ac:dyDescent="0.2">
      <c r="A166" s="180"/>
      <c r="B166" s="56" t="s">
        <v>483</v>
      </c>
      <c r="C166" s="34" t="s">
        <v>7088</v>
      </c>
      <c r="D166" s="11" t="s">
        <v>7089</v>
      </c>
      <c r="E166" s="1238">
        <v>-393.36</v>
      </c>
      <c r="F166" s="1217"/>
      <c r="G166" s="1239" t="s">
        <v>483</v>
      </c>
      <c r="H166" s="356"/>
      <c r="I166" s="536"/>
      <c r="J166" s="360">
        <v>23389.63</v>
      </c>
      <c r="K166" s="1222"/>
      <c r="L166" s="30"/>
      <c r="M166" s="34"/>
    </row>
    <row r="167" spans="1:13" ht="13.5" customHeight="1" x14ac:dyDescent="0.2">
      <c r="A167" s="180"/>
      <c r="B167" s="56" t="s">
        <v>483</v>
      </c>
      <c r="C167" s="36" t="s">
        <v>174</v>
      </c>
      <c r="D167" s="11" t="s">
        <v>488</v>
      </c>
      <c r="E167" s="622"/>
      <c r="F167" s="1240">
        <v>1530.87</v>
      </c>
      <c r="G167" s="1239">
        <v>0</v>
      </c>
      <c r="H167" s="356">
        <v>1530.87</v>
      </c>
      <c r="I167" s="536"/>
      <c r="J167" s="360">
        <v>21858.760000000002</v>
      </c>
      <c r="K167" s="1222"/>
      <c r="L167" s="30"/>
      <c r="M167" s="36"/>
    </row>
    <row r="168" spans="1:13" ht="13.5" customHeight="1" x14ac:dyDescent="0.2">
      <c r="A168" s="180" t="s">
        <v>7090</v>
      </c>
      <c r="B168" s="56" t="s">
        <v>483</v>
      </c>
      <c r="C168" s="34" t="s">
        <v>7091</v>
      </c>
      <c r="D168" s="11" t="s">
        <v>7092</v>
      </c>
      <c r="E168" s="1238">
        <v>-749.6</v>
      </c>
      <c r="F168" s="1217"/>
      <c r="G168" s="1239" t="s">
        <v>483</v>
      </c>
      <c r="H168" s="356"/>
      <c r="I168" s="536"/>
      <c r="J168" s="360">
        <v>21858.760000000002</v>
      </c>
      <c r="K168" s="1222"/>
      <c r="L168" s="30"/>
      <c r="M168" s="34"/>
    </row>
    <row r="169" spans="1:13" ht="13.5" customHeight="1" x14ac:dyDescent="0.2">
      <c r="A169" s="180"/>
      <c r="B169" s="56" t="s">
        <v>483</v>
      </c>
      <c r="C169" s="36" t="s">
        <v>174</v>
      </c>
      <c r="D169" s="11" t="s">
        <v>488</v>
      </c>
      <c r="E169" s="622"/>
      <c r="F169" s="1240">
        <v>749.6</v>
      </c>
      <c r="G169" s="1239">
        <v>0</v>
      </c>
      <c r="H169" s="356">
        <v>749.6</v>
      </c>
      <c r="I169" s="536"/>
      <c r="J169" s="360">
        <v>21109.160000000003</v>
      </c>
      <c r="K169" s="1222"/>
      <c r="L169" s="30"/>
      <c r="M169" s="36"/>
    </row>
    <row r="170" spans="1:13" ht="13.5" customHeight="1" x14ac:dyDescent="0.2">
      <c r="A170" s="180" t="s">
        <v>7093</v>
      </c>
      <c r="B170" s="56" t="s">
        <v>483</v>
      </c>
      <c r="C170" s="36" t="s">
        <v>7094</v>
      </c>
      <c r="D170" s="11" t="s">
        <v>7095</v>
      </c>
      <c r="E170" s="1238">
        <v>-215</v>
      </c>
      <c r="F170" s="1217"/>
      <c r="G170" s="1239" t="s">
        <v>483</v>
      </c>
      <c r="H170" s="356"/>
      <c r="I170" s="536"/>
      <c r="J170" s="360">
        <v>21109.160000000003</v>
      </c>
      <c r="K170" s="1222"/>
      <c r="L170" s="30"/>
      <c r="M170" s="36"/>
    </row>
    <row r="171" spans="1:13" ht="13.5" customHeight="1" x14ac:dyDescent="0.2">
      <c r="A171" s="180"/>
      <c r="B171" s="56" t="s">
        <v>483</v>
      </c>
      <c r="C171" s="36" t="s">
        <v>174</v>
      </c>
      <c r="D171" s="11" t="s">
        <v>488</v>
      </c>
      <c r="E171" s="622"/>
      <c r="F171" s="1240">
        <v>215</v>
      </c>
      <c r="G171" s="1239">
        <v>0</v>
      </c>
      <c r="H171" s="356">
        <v>215</v>
      </c>
      <c r="I171" s="536"/>
      <c r="J171" s="360">
        <v>20894.160000000003</v>
      </c>
      <c r="K171" s="1222"/>
      <c r="L171" s="30"/>
      <c r="M171" s="36"/>
    </row>
    <row r="172" spans="1:13" ht="13.5" customHeight="1" x14ac:dyDescent="0.2">
      <c r="A172" s="180" t="s">
        <v>7096</v>
      </c>
      <c r="B172" s="56" t="s">
        <v>483</v>
      </c>
      <c r="C172" s="32" t="s">
        <v>7097</v>
      </c>
      <c r="D172" s="11" t="s">
        <v>488</v>
      </c>
      <c r="E172" s="622"/>
      <c r="F172" s="1240">
        <v>4731.47</v>
      </c>
      <c r="G172" s="1239" t="s">
        <v>483</v>
      </c>
      <c r="H172" s="356"/>
      <c r="I172" s="536"/>
      <c r="J172" s="360">
        <v>20894.160000000003</v>
      </c>
      <c r="K172" s="1222"/>
      <c r="L172" s="30"/>
      <c r="M172" s="36"/>
    </row>
    <row r="173" spans="1:13" ht="13.5" customHeight="1" x14ac:dyDescent="0.2">
      <c r="A173" s="180"/>
      <c r="B173" s="56" t="s">
        <v>483</v>
      </c>
      <c r="C173" s="36" t="s">
        <v>189</v>
      </c>
      <c r="D173" s="11" t="s">
        <v>488</v>
      </c>
      <c r="E173" s="1238">
        <v>-4731.47</v>
      </c>
      <c r="F173" s="1217"/>
      <c r="G173" s="1239">
        <v>0</v>
      </c>
      <c r="H173" s="356"/>
      <c r="I173" s="536">
        <v>4731.47</v>
      </c>
      <c r="J173" s="360">
        <v>25625.630000000005</v>
      </c>
      <c r="K173" s="1222"/>
      <c r="L173" s="30"/>
      <c r="M173" s="36"/>
    </row>
    <row r="174" spans="1:13" ht="13.5" customHeight="1" x14ac:dyDescent="0.2">
      <c r="A174" s="180" t="s">
        <v>7098</v>
      </c>
      <c r="B174" s="56" t="s">
        <v>483</v>
      </c>
      <c r="C174" s="34" t="s">
        <v>7099</v>
      </c>
      <c r="D174" s="11" t="s">
        <v>1388</v>
      </c>
      <c r="E174" s="1238">
        <v>-720.85</v>
      </c>
      <c r="F174" s="1217"/>
      <c r="G174" s="1239" t="s">
        <v>483</v>
      </c>
      <c r="H174" s="356"/>
      <c r="I174" s="536"/>
      <c r="J174" s="360">
        <v>25625.630000000005</v>
      </c>
      <c r="K174" s="1222"/>
      <c r="L174" s="30"/>
      <c r="M174" s="34"/>
    </row>
    <row r="175" spans="1:13" ht="13.5" customHeight="1" x14ac:dyDescent="0.2">
      <c r="A175" s="180"/>
      <c r="B175" s="56" t="s">
        <v>483</v>
      </c>
      <c r="C175" s="36" t="s">
        <v>7100</v>
      </c>
      <c r="D175" s="11" t="s">
        <v>1961</v>
      </c>
      <c r="E175" s="1238">
        <v>-100</v>
      </c>
      <c r="F175" s="1217"/>
      <c r="G175" s="1239" t="s">
        <v>483</v>
      </c>
      <c r="H175" s="356"/>
      <c r="I175" s="536"/>
      <c r="J175" s="360">
        <v>25625.630000000005</v>
      </c>
      <c r="K175" s="1222"/>
      <c r="L175" s="30"/>
      <c r="M175" s="36"/>
    </row>
    <row r="176" spans="1:13" ht="13.5" customHeight="1" x14ac:dyDescent="0.2">
      <c r="A176" s="180"/>
      <c r="B176" s="56" t="s">
        <v>483</v>
      </c>
      <c r="C176" s="36" t="s">
        <v>174</v>
      </c>
      <c r="D176" s="11" t="s">
        <v>488</v>
      </c>
      <c r="E176" s="622"/>
      <c r="F176" s="1240">
        <v>820.85</v>
      </c>
      <c r="G176" s="1239">
        <v>0</v>
      </c>
      <c r="H176" s="356">
        <v>820.85</v>
      </c>
      <c r="I176" s="536"/>
      <c r="J176" s="360">
        <v>24804.780000000006</v>
      </c>
      <c r="K176" s="1222"/>
      <c r="L176" s="30"/>
      <c r="M176" s="36"/>
    </row>
    <row r="177" spans="1:13" ht="13.5" customHeight="1" x14ac:dyDescent="0.2">
      <c r="A177" s="180" t="s">
        <v>7101</v>
      </c>
      <c r="B177" s="56" t="s">
        <v>591</v>
      </c>
      <c r="C177" s="34" t="s">
        <v>471</v>
      </c>
      <c r="D177" s="11" t="s">
        <v>7102</v>
      </c>
      <c r="E177" s="1238"/>
      <c r="F177" s="1241">
        <v>8000</v>
      </c>
      <c r="G177" s="1239">
        <v>8000</v>
      </c>
      <c r="H177" s="356"/>
      <c r="I177" s="536"/>
      <c r="J177" s="360">
        <v>24804.780000000006</v>
      </c>
      <c r="K177" s="1222"/>
      <c r="L177" s="30"/>
      <c r="M177" s="34"/>
    </row>
    <row r="178" spans="1:13" ht="13.5" customHeight="1" x14ac:dyDescent="0.2">
      <c r="A178" s="180" t="s">
        <v>7103</v>
      </c>
      <c r="B178" s="56" t="s">
        <v>591</v>
      </c>
      <c r="C178" s="34" t="s">
        <v>7037</v>
      </c>
      <c r="D178" s="11" t="s">
        <v>7104</v>
      </c>
      <c r="E178" s="1238"/>
      <c r="F178" s="1241">
        <v>2296.13</v>
      </c>
      <c r="G178" s="1239" t="s">
        <v>483</v>
      </c>
      <c r="H178" s="356"/>
      <c r="I178" s="536"/>
      <c r="J178" s="360">
        <v>24804.780000000006</v>
      </c>
      <c r="K178" s="1222"/>
      <c r="L178" s="30"/>
      <c r="M178" s="34"/>
    </row>
    <row r="179" spans="1:13" ht="13.5" customHeight="1" x14ac:dyDescent="0.2">
      <c r="A179" s="180"/>
      <c r="B179" s="56" t="s">
        <v>483</v>
      </c>
      <c r="C179" s="56" t="s">
        <v>6788</v>
      </c>
      <c r="D179" s="11" t="s">
        <v>7105</v>
      </c>
      <c r="E179" s="1242">
        <v>-5000</v>
      </c>
      <c r="F179" s="1240"/>
      <c r="G179" s="1239" t="s">
        <v>483</v>
      </c>
      <c r="H179" s="356"/>
      <c r="I179" s="536"/>
      <c r="J179" s="360">
        <v>24804.780000000006</v>
      </c>
      <c r="K179" s="1222"/>
      <c r="L179" s="30"/>
      <c r="M179" s="34"/>
    </row>
    <row r="180" spans="1:13" ht="13.5" customHeight="1" x14ac:dyDescent="0.2">
      <c r="A180" s="180"/>
      <c r="B180" s="56" t="s">
        <v>483</v>
      </c>
      <c r="C180" s="36" t="s">
        <v>1737</v>
      </c>
      <c r="D180" s="11" t="s">
        <v>7106</v>
      </c>
      <c r="E180" s="1242">
        <v>-8000</v>
      </c>
      <c r="F180" s="1217"/>
      <c r="G180" s="1239" t="s">
        <v>483</v>
      </c>
      <c r="H180" s="356"/>
      <c r="I180" s="536"/>
      <c r="J180" s="360">
        <v>24804.780000000006</v>
      </c>
      <c r="K180" s="1222"/>
      <c r="L180" s="30"/>
      <c r="M180" s="36"/>
    </row>
    <row r="181" spans="1:13" ht="13.5" customHeight="1" x14ac:dyDescent="0.2">
      <c r="A181" s="180"/>
      <c r="B181" s="56" t="s">
        <v>483</v>
      </c>
      <c r="C181" s="36" t="s">
        <v>174</v>
      </c>
      <c r="D181" s="11" t="s">
        <v>488</v>
      </c>
      <c r="E181" s="622"/>
      <c r="F181" s="1240">
        <v>5000</v>
      </c>
      <c r="G181" s="1239">
        <v>2296.13</v>
      </c>
      <c r="H181" s="356">
        <v>5000</v>
      </c>
      <c r="I181" s="536"/>
      <c r="J181" s="360">
        <v>19804.780000000006</v>
      </c>
      <c r="K181" s="1222"/>
      <c r="L181" s="30"/>
      <c r="M181" s="36"/>
    </row>
    <row r="182" spans="1:13" ht="13.5" customHeight="1" x14ac:dyDescent="0.2">
      <c r="A182" s="180" t="s">
        <v>7107</v>
      </c>
      <c r="B182" s="56" t="s">
        <v>483</v>
      </c>
      <c r="C182" s="36" t="s">
        <v>394</v>
      </c>
      <c r="D182" s="11" t="s">
        <v>1356</v>
      </c>
      <c r="E182" s="1238">
        <v>-1436.01</v>
      </c>
      <c r="F182" s="1217"/>
      <c r="G182" s="1239" t="s">
        <v>483</v>
      </c>
      <c r="H182" s="356"/>
      <c r="I182" s="536"/>
      <c r="J182" s="360">
        <v>19804.780000000006</v>
      </c>
      <c r="K182" s="1222"/>
      <c r="L182" s="30"/>
      <c r="M182" s="36"/>
    </row>
    <row r="183" spans="1:13" ht="13.5" customHeight="1" x14ac:dyDescent="0.2">
      <c r="A183" s="180"/>
      <c r="B183" s="56" t="s">
        <v>483</v>
      </c>
      <c r="C183" s="36" t="s">
        <v>174</v>
      </c>
      <c r="D183" s="11" t="s">
        <v>488</v>
      </c>
      <c r="E183" s="622"/>
      <c r="F183" s="1240">
        <v>1436.01</v>
      </c>
      <c r="G183" s="1239">
        <v>2296.13</v>
      </c>
      <c r="H183" s="356">
        <v>1436.01</v>
      </c>
      <c r="I183" s="536"/>
      <c r="J183" s="360">
        <v>18368.770000000008</v>
      </c>
      <c r="K183" s="1222"/>
      <c r="L183" s="30"/>
      <c r="M183" s="56"/>
    </row>
    <row r="184" spans="1:13" ht="13.5" customHeight="1" x14ac:dyDescent="0.2">
      <c r="A184" s="180" t="s">
        <v>7108</v>
      </c>
      <c r="B184" s="56" t="s">
        <v>483</v>
      </c>
      <c r="C184" s="34" t="s">
        <v>86</v>
      </c>
      <c r="D184" s="11" t="s">
        <v>488</v>
      </c>
      <c r="E184" s="1238">
        <v>-78</v>
      </c>
      <c r="F184" s="1217"/>
      <c r="G184" s="1239" t="s">
        <v>483</v>
      </c>
      <c r="H184" s="356"/>
      <c r="I184" s="536"/>
      <c r="J184" s="360">
        <v>18368.770000000008</v>
      </c>
      <c r="K184" s="1222"/>
      <c r="L184" s="30"/>
      <c r="M184" s="56"/>
    </row>
    <row r="185" spans="1:13" ht="13.5" customHeight="1" x14ac:dyDescent="0.2">
      <c r="A185" s="180"/>
      <c r="B185" s="56" t="s">
        <v>483</v>
      </c>
      <c r="C185" s="36" t="s">
        <v>189</v>
      </c>
      <c r="D185" s="11" t="s">
        <v>488</v>
      </c>
      <c r="E185" s="1238">
        <v>-2218.13</v>
      </c>
      <c r="F185" s="1217"/>
      <c r="G185" s="1239">
        <v>0</v>
      </c>
      <c r="H185" s="356"/>
      <c r="I185" s="536">
        <v>2218.13</v>
      </c>
      <c r="J185" s="360">
        <v>20586.900000000009</v>
      </c>
      <c r="K185" s="1222"/>
      <c r="L185" s="30"/>
      <c r="M185" s="36"/>
    </row>
    <row r="186" spans="1:13" ht="13.5" customHeight="1" x14ac:dyDescent="0.2">
      <c r="A186" s="180" t="s">
        <v>7109</v>
      </c>
      <c r="B186" s="56" t="s">
        <v>483</v>
      </c>
      <c r="C186" s="32" t="s">
        <v>199</v>
      </c>
      <c r="D186" s="11" t="s">
        <v>488</v>
      </c>
      <c r="E186" s="1238">
        <v>-134.56</v>
      </c>
      <c r="F186" s="1217"/>
      <c r="G186" s="1239" t="s">
        <v>483</v>
      </c>
      <c r="H186" s="356"/>
      <c r="I186" s="536"/>
      <c r="J186" s="360">
        <v>20586.900000000009</v>
      </c>
      <c r="K186" s="1222"/>
      <c r="L186" s="30"/>
      <c r="M186" s="34"/>
    </row>
    <row r="187" spans="1:13" ht="13.5" customHeight="1" x14ac:dyDescent="0.2">
      <c r="A187" s="180"/>
      <c r="B187" s="56" t="s">
        <v>483</v>
      </c>
      <c r="C187" s="36" t="s">
        <v>174</v>
      </c>
      <c r="D187" s="11" t="s">
        <v>488</v>
      </c>
      <c r="E187" s="622"/>
      <c r="F187" s="1240">
        <v>134.56</v>
      </c>
      <c r="G187" s="1239">
        <v>0</v>
      </c>
      <c r="H187" s="356">
        <v>134.56</v>
      </c>
      <c r="I187" s="536"/>
      <c r="J187" s="360">
        <v>20452.340000000007</v>
      </c>
      <c r="K187" s="1222"/>
      <c r="L187" s="30"/>
      <c r="M187" s="36"/>
    </row>
    <row r="188" spans="1:13" ht="13.5" customHeight="1" x14ac:dyDescent="0.2">
      <c r="A188" s="180" t="s">
        <v>7110</v>
      </c>
      <c r="B188" s="56" t="s">
        <v>483</v>
      </c>
      <c r="C188" s="34" t="s">
        <v>194</v>
      </c>
      <c r="D188" s="11" t="s">
        <v>488</v>
      </c>
      <c r="E188" s="1238">
        <v>-196.98</v>
      </c>
      <c r="F188" s="1217"/>
      <c r="G188" s="1239" t="s">
        <v>483</v>
      </c>
      <c r="H188" s="356"/>
      <c r="I188" s="536"/>
      <c r="J188" s="360">
        <v>20452.340000000007</v>
      </c>
      <c r="K188" s="1222"/>
      <c r="L188" s="30"/>
      <c r="M188" s="36"/>
    </row>
    <row r="189" spans="1:13" ht="13.5" customHeight="1" x14ac:dyDescent="0.2">
      <c r="A189" s="180"/>
      <c r="B189" s="56" t="s">
        <v>483</v>
      </c>
      <c r="C189" s="36" t="s">
        <v>195</v>
      </c>
      <c r="D189" s="11" t="s">
        <v>488</v>
      </c>
      <c r="E189" s="1238">
        <v>-909.13</v>
      </c>
      <c r="F189" s="1217"/>
      <c r="G189" s="1239" t="s">
        <v>483</v>
      </c>
      <c r="H189" s="356"/>
      <c r="I189" s="536"/>
      <c r="J189" s="360">
        <v>20452.340000000007</v>
      </c>
      <c r="K189" s="1222"/>
      <c r="L189" s="30"/>
      <c r="M189" s="36"/>
    </row>
    <row r="190" spans="1:13" ht="13.5" customHeight="1" x14ac:dyDescent="0.2">
      <c r="A190" s="180"/>
      <c r="B190" s="56" t="s">
        <v>483</v>
      </c>
      <c r="C190" s="36" t="s">
        <v>174</v>
      </c>
      <c r="D190" s="11" t="s">
        <v>488</v>
      </c>
      <c r="E190" s="622"/>
      <c r="F190" s="1240">
        <v>1106.1099999999999</v>
      </c>
      <c r="G190" s="1239">
        <v>0</v>
      </c>
      <c r="H190" s="356">
        <v>1106.1099999999999</v>
      </c>
      <c r="I190" s="536"/>
      <c r="J190" s="360">
        <v>19346.230000000007</v>
      </c>
      <c r="K190" s="1222"/>
      <c r="L190" s="30"/>
      <c r="M190" s="34"/>
    </row>
    <row r="191" spans="1:13" ht="13.5" customHeight="1" x14ac:dyDescent="0.2">
      <c r="A191" s="180" t="s">
        <v>7111</v>
      </c>
      <c r="B191" s="56" t="s">
        <v>483</v>
      </c>
      <c r="C191" s="34" t="s">
        <v>86</v>
      </c>
      <c r="D191" s="11" t="s">
        <v>488</v>
      </c>
      <c r="E191" s="1238">
        <v>-11.9</v>
      </c>
      <c r="F191" s="1217"/>
      <c r="G191" s="1239" t="s">
        <v>483</v>
      </c>
      <c r="H191" s="356"/>
      <c r="I191" s="536"/>
      <c r="J191" s="360">
        <v>19346.230000000007</v>
      </c>
      <c r="K191" s="1222"/>
      <c r="L191" s="30"/>
      <c r="M191" s="36"/>
    </row>
    <row r="192" spans="1:13" ht="13.5" customHeight="1" x14ac:dyDescent="0.2">
      <c r="A192" s="180"/>
      <c r="B192" s="56" t="s">
        <v>483</v>
      </c>
      <c r="C192" s="36" t="s">
        <v>7075</v>
      </c>
      <c r="D192" s="11" t="s">
        <v>7112</v>
      </c>
      <c r="E192" s="1238">
        <v>-193.1</v>
      </c>
      <c r="F192" s="1217"/>
      <c r="G192" s="1239" t="s">
        <v>483</v>
      </c>
      <c r="H192" s="356"/>
      <c r="I192" s="536"/>
      <c r="J192" s="360">
        <v>19346.230000000007</v>
      </c>
      <c r="K192" s="1222"/>
      <c r="L192" s="30"/>
      <c r="M192" s="36"/>
    </row>
    <row r="193" spans="1:15" ht="13.5" customHeight="1" x14ac:dyDescent="0.2">
      <c r="A193" s="180"/>
      <c r="B193" s="56" t="s">
        <v>483</v>
      </c>
      <c r="C193" s="36" t="s">
        <v>174</v>
      </c>
      <c r="D193" s="11" t="s">
        <v>488</v>
      </c>
      <c r="E193" s="622"/>
      <c r="F193" s="1240">
        <v>205</v>
      </c>
      <c r="G193" s="1239">
        <v>0</v>
      </c>
      <c r="H193" s="356">
        <v>205</v>
      </c>
      <c r="I193" s="536"/>
      <c r="J193" s="360">
        <v>19141.230000000007</v>
      </c>
      <c r="K193" s="1222"/>
      <c r="L193" s="30"/>
      <c r="M193" s="34"/>
    </row>
    <row r="194" spans="1:15" ht="13.5" customHeight="1" x14ac:dyDescent="0.2">
      <c r="A194" s="180" t="s">
        <v>7113</v>
      </c>
      <c r="B194" s="56" t="s">
        <v>591</v>
      </c>
      <c r="C194" s="36" t="s">
        <v>1737</v>
      </c>
      <c r="D194" s="11" t="s">
        <v>7114</v>
      </c>
      <c r="E194" s="622"/>
      <c r="F194" s="1241">
        <v>8000</v>
      </c>
      <c r="G194" s="1243">
        <v>8000</v>
      </c>
      <c r="H194" s="356"/>
      <c r="I194" s="536"/>
      <c r="J194" s="360">
        <v>19141.230000000007</v>
      </c>
      <c r="K194" s="1222"/>
      <c r="L194" s="30"/>
      <c r="M194" s="36"/>
    </row>
    <row r="195" spans="1:15" ht="13.5" customHeight="1" x14ac:dyDescent="0.2">
      <c r="A195" s="180"/>
      <c r="B195" s="56"/>
      <c r="C195" s="36" t="s">
        <v>20</v>
      </c>
      <c r="D195" s="11"/>
      <c r="E195" s="622"/>
      <c r="F195" s="1217"/>
      <c r="G195" s="1244"/>
      <c r="H195" s="356"/>
      <c r="I195" s="536">
        <v>4.5199999999931606</v>
      </c>
      <c r="J195" s="1245">
        <v>19145.75</v>
      </c>
      <c r="K195" s="1222"/>
      <c r="L195" s="30"/>
      <c r="M195" s="36"/>
    </row>
    <row r="196" spans="1:15" ht="13.5" customHeight="1" x14ac:dyDescent="0.2">
      <c r="A196" s="180"/>
      <c r="B196" s="56"/>
      <c r="C196" s="32" t="s">
        <v>5809</v>
      </c>
      <c r="D196" s="11"/>
      <c r="E196" s="622"/>
      <c r="F196" s="1217"/>
      <c r="G196" s="1244"/>
      <c r="H196" s="356"/>
      <c r="I196" s="536"/>
      <c r="J196" s="1245">
        <v>7321.89</v>
      </c>
      <c r="K196" s="1222"/>
      <c r="L196" s="30"/>
      <c r="M196" s="34"/>
    </row>
    <row r="197" spans="1:15" ht="13.5" customHeight="1" x14ac:dyDescent="0.2">
      <c r="A197" s="180"/>
      <c r="B197" s="56"/>
      <c r="C197" s="222" t="s">
        <v>5810</v>
      </c>
      <c r="D197" s="11"/>
      <c r="E197" s="622"/>
      <c r="F197" s="1217"/>
      <c r="G197" s="1244"/>
      <c r="H197" s="356"/>
      <c r="I197" s="536"/>
      <c r="J197" s="1245">
        <v>26467.64</v>
      </c>
      <c r="K197" s="1222"/>
      <c r="L197" s="30"/>
      <c r="M197" s="36"/>
    </row>
    <row r="198" spans="1:15" s="64" customFormat="1" ht="13.5" customHeight="1" thickBot="1" x14ac:dyDescent="0.25">
      <c r="A198" s="184"/>
      <c r="B198" s="63"/>
      <c r="C198" s="63"/>
      <c r="D198" s="50"/>
      <c r="E198" s="641"/>
      <c r="F198" s="1218"/>
      <c r="G198" s="1233"/>
      <c r="H198" s="721"/>
      <c r="I198" s="1237"/>
      <c r="J198" s="1246"/>
      <c r="K198" s="1222"/>
      <c r="L198" s="51"/>
      <c r="M198" s="36"/>
      <c r="N198" s="1"/>
      <c r="O198" s="65"/>
    </row>
    <row r="199" spans="1:15" ht="13.5" customHeight="1" thickBot="1" x14ac:dyDescent="0.25">
      <c r="A199" s="2" t="s">
        <v>2</v>
      </c>
      <c r="B199" s="3"/>
      <c r="C199" s="3" t="s">
        <v>525</v>
      </c>
      <c r="D199" s="3" t="s">
        <v>4</v>
      </c>
      <c r="E199" s="1213" t="s">
        <v>5</v>
      </c>
      <c r="F199" s="1213" t="s">
        <v>6</v>
      </c>
      <c r="G199" s="1214" t="s">
        <v>7</v>
      </c>
      <c r="H199" s="1247"/>
      <c r="I199" s="1248"/>
      <c r="J199" s="1249"/>
      <c r="K199" s="1222"/>
      <c r="M199" s="36"/>
    </row>
    <row r="200" spans="1:15" ht="13.5" customHeight="1" x14ac:dyDescent="0.2">
      <c r="A200" s="8" t="s">
        <v>7073</v>
      </c>
      <c r="B200" s="56"/>
      <c r="C200" s="10" t="s">
        <v>8</v>
      </c>
      <c r="D200" s="11"/>
      <c r="E200" s="641"/>
      <c r="F200" s="1217"/>
      <c r="G200" s="1236">
        <v>4531.7799999999988</v>
      </c>
      <c r="H200" s="721"/>
      <c r="I200" s="1237"/>
      <c r="J200" s="1246"/>
      <c r="K200" s="1222"/>
      <c r="L200" s="51"/>
      <c r="M200" s="36"/>
    </row>
    <row r="201" spans="1:15" ht="13.5" customHeight="1" x14ac:dyDescent="0.2">
      <c r="A201" s="180">
        <v>43132</v>
      </c>
      <c r="B201" s="56"/>
      <c r="C201" s="34" t="s">
        <v>6920</v>
      </c>
      <c r="D201" s="11"/>
      <c r="E201" s="641"/>
      <c r="F201" s="1240">
        <v>323</v>
      </c>
      <c r="G201" s="1250">
        <v>4854.7799999999988</v>
      </c>
      <c r="H201" s="721"/>
      <c r="I201" s="1237"/>
      <c r="J201" s="1246"/>
      <c r="K201" s="1222"/>
      <c r="L201" s="51"/>
      <c r="M201" s="36"/>
    </row>
    <row r="202" spans="1:15" s="64" customFormat="1" ht="13.5" customHeight="1" x14ac:dyDescent="0.2">
      <c r="A202" s="184">
        <v>43136</v>
      </c>
      <c r="B202" s="63"/>
      <c r="C202" s="36" t="s">
        <v>530</v>
      </c>
      <c r="D202" s="50"/>
      <c r="E202" s="1238">
        <v>849.06</v>
      </c>
      <c r="F202" s="1218"/>
      <c r="G202" s="1250">
        <v>4005.7199999999989</v>
      </c>
      <c r="H202" s="721"/>
      <c r="I202" s="1237"/>
      <c r="J202" s="1246"/>
      <c r="K202" s="1222"/>
      <c r="L202" s="51"/>
      <c r="M202" s="36"/>
      <c r="N202" s="1"/>
      <c r="O202" s="65"/>
    </row>
    <row r="203" spans="1:15" s="64" customFormat="1" ht="13.5" customHeight="1" x14ac:dyDescent="0.2">
      <c r="A203" s="184"/>
      <c r="B203" s="63"/>
      <c r="C203" s="36" t="s">
        <v>7115</v>
      </c>
      <c r="D203" s="50"/>
      <c r="E203" s="1238">
        <v>72.05</v>
      </c>
      <c r="F203" s="1218"/>
      <c r="G203" s="1250">
        <v>3933.6699999999987</v>
      </c>
      <c r="H203" s="721"/>
      <c r="I203" s="1237"/>
      <c r="J203" s="1246"/>
      <c r="K203" s="1222"/>
      <c r="L203" s="51"/>
      <c r="M203" s="36"/>
      <c r="N203" s="1"/>
      <c r="O203" s="65"/>
    </row>
    <row r="204" spans="1:15" s="64" customFormat="1" ht="13.5" customHeight="1" x14ac:dyDescent="0.2">
      <c r="A204" s="184">
        <v>43146</v>
      </c>
      <c r="B204" s="63"/>
      <c r="C204" s="36" t="s">
        <v>7116</v>
      </c>
      <c r="D204" s="50"/>
      <c r="E204" s="1238">
        <v>825.59</v>
      </c>
      <c r="F204" s="1218"/>
      <c r="G204" s="1250">
        <v>3108.0799999999986</v>
      </c>
      <c r="H204" s="721"/>
      <c r="I204" s="1237"/>
      <c r="J204" s="1246"/>
      <c r="K204" s="1222"/>
      <c r="L204" s="51"/>
      <c r="M204" s="36"/>
      <c r="N204" s="1"/>
      <c r="O204" s="65"/>
    </row>
    <row r="205" spans="1:15" s="64" customFormat="1" ht="13.5" customHeight="1" x14ac:dyDescent="0.2">
      <c r="A205" s="184">
        <v>43147</v>
      </c>
      <c r="B205" s="63"/>
      <c r="C205" s="36" t="s">
        <v>613</v>
      </c>
      <c r="D205" s="50"/>
      <c r="E205" s="1238">
        <v>22.6</v>
      </c>
      <c r="F205" s="1218"/>
      <c r="G205" s="1250">
        <v>3085.4799999999987</v>
      </c>
      <c r="H205" s="721"/>
      <c r="I205" s="1237"/>
      <c r="J205" s="1246"/>
      <c r="K205" s="1222"/>
      <c r="L205" s="51"/>
      <c r="M205" s="36"/>
      <c r="N205" s="1"/>
      <c r="O205" s="65"/>
    </row>
    <row r="206" spans="1:15" s="64" customFormat="1" ht="13.5" customHeight="1" x14ac:dyDescent="0.2">
      <c r="A206" s="184">
        <v>43150</v>
      </c>
      <c r="B206" s="63"/>
      <c r="C206" s="36" t="s">
        <v>7117</v>
      </c>
      <c r="D206" s="50"/>
      <c r="E206" s="641"/>
      <c r="F206" s="1240">
        <v>5000</v>
      </c>
      <c r="G206" s="1250">
        <v>8085.4799999999987</v>
      </c>
      <c r="H206" s="721"/>
      <c r="I206" s="1237"/>
      <c r="J206" s="1246"/>
      <c r="K206" s="1222"/>
      <c r="L206" s="51"/>
      <c r="M206" s="36"/>
      <c r="N206" s="1"/>
      <c r="O206" s="65"/>
    </row>
    <row r="207" spans="1:15" s="64" customFormat="1" ht="13.5" customHeight="1" x14ac:dyDescent="0.2">
      <c r="A207" s="184">
        <v>43153</v>
      </c>
      <c r="B207" s="63"/>
      <c r="C207" s="36" t="s">
        <v>7118</v>
      </c>
      <c r="D207" s="50"/>
      <c r="E207" s="1238">
        <v>189.9</v>
      </c>
      <c r="F207" s="1218"/>
      <c r="G207" s="1250">
        <v>7895.579999999999</v>
      </c>
      <c r="H207" s="721"/>
      <c r="I207" s="1237"/>
      <c r="J207" s="1246"/>
      <c r="K207" s="1222"/>
      <c r="L207" s="51"/>
      <c r="M207" s="34"/>
      <c r="N207" s="1"/>
      <c r="O207" s="65"/>
    </row>
    <row r="208" spans="1:15" s="64" customFormat="1" ht="13.5" customHeight="1" x14ac:dyDescent="0.2">
      <c r="A208" s="184"/>
      <c r="B208" s="63"/>
      <c r="C208" s="36" t="s">
        <v>618</v>
      </c>
      <c r="D208" s="50"/>
      <c r="E208" s="1238">
        <v>14.79</v>
      </c>
      <c r="F208" s="1218"/>
      <c r="G208" s="1236">
        <v>7880.7899999999991</v>
      </c>
      <c r="H208" s="721"/>
      <c r="I208" s="1237"/>
      <c r="J208" s="1246"/>
      <c r="K208" s="1222"/>
      <c r="L208" s="51"/>
      <c r="M208" s="36"/>
      <c r="N208" s="1"/>
      <c r="O208" s="65"/>
    </row>
    <row r="209" spans="1:13" ht="13.5" customHeight="1" thickBot="1" x14ac:dyDescent="0.25">
      <c r="A209" s="180"/>
      <c r="B209" s="56"/>
      <c r="C209" s="56"/>
      <c r="D209" s="11"/>
      <c r="E209" s="622"/>
      <c r="F209" s="1217"/>
      <c r="G209" s="1239"/>
      <c r="H209" s="356"/>
      <c r="I209" s="536"/>
      <c r="J209" s="360"/>
      <c r="K209" s="1222"/>
      <c r="L209" s="30"/>
      <c r="M209" s="36"/>
    </row>
    <row r="210" spans="1:13" ht="13.5" customHeight="1" thickBot="1" x14ac:dyDescent="0.25">
      <c r="A210" s="2" t="s">
        <v>2</v>
      </c>
      <c r="B210" s="3"/>
      <c r="C210" s="3" t="s">
        <v>536</v>
      </c>
      <c r="D210" s="3"/>
      <c r="E210" s="1213"/>
      <c r="F210" s="1213"/>
      <c r="G210" s="1214" t="s">
        <v>7</v>
      </c>
      <c r="H210" s="1215" t="s">
        <v>5</v>
      </c>
      <c r="I210" s="1213" t="s">
        <v>6</v>
      </c>
      <c r="J210" s="1216" t="s">
        <v>7</v>
      </c>
      <c r="K210" s="1222"/>
      <c r="M210" s="34"/>
    </row>
    <row r="211" spans="1:13" ht="13.5" customHeight="1" x14ac:dyDescent="0.2">
      <c r="A211" s="8">
        <v>43132</v>
      </c>
      <c r="B211" s="70"/>
      <c r="C211" s="10" t="s">
        <v>537</v>
      </c>
      <c r="D211" s="125"/>
      <c r="E211" s="1246"/>
      <c r="F211" s="1246"/>
      <c r="G211" s="1236"/>
      <c r="H211" s="721"/>
      <c r="I211" s="1237"/>
      <c r="J211" s="527">
        <v>668.09000000000219</v>
      </c>
      <c r="K211" s="1222"/>
      <c r="L211" s="107"/>
      <c r="M211" s="34"/>
    </row>
    <row r="212" spans="1:13" ht="13.5" customHeight="1" x14ac:dyDescent="0.2">
      <c r="A212" s="8"/>
      <c r="B212" s="70"/>
      <c r="C212" s="34" t="s">
        <v>77</v>
      </c>
      <c r="D212" s="125"/>
      <c r="E212" s="1246"/>
      <c r="F212" s="1246"/>
      <c r="G212" s="1236"/>
      <c r="H212" s="721"/>
      <c r="I212" s="1251">
        <v>300</v>
      </c>
      <c r="J212" s="525">
        <v>968.09000000000219</v>
      </c>
      <c r="K212" s="1222"/>
      <c r="L212" s="365"/>
      <c r="M212" s="34"/>
    </row>
    <row r="213" spans="1:13" ht="13.5" customHeight="1" x14ac:dyDescent="0.2">
      <c r="A213" s="91">
        <v>43137</v>
      </c>
      <c r="B213" s="9"/>
      <c r="C213" s="21" t="s">
        <v>7119</v>
      </c>
      <c r="D213" s="229"/>
      <c r="E213" s="360"/>
      <c r="F213" s="360"/>
      <c r="G213" s="1239"/>
      <c r="H213" s="356">
        <v>19.989999999999998</v>
      </c>
      <c r="I213" s="356"/>
      <c r="J213" s="525">
        <v>948.10000000000218</v>
      </c>
      <c r="K213" s="1222"/>
      <c r="L213" s="365"/>
      <c r="M213" s="34"/>
    </row>
    <row r="214" spans="1:13" ht="13.5" customHeight="1" x14ac:dyDescent="0.2">
      <c r="A214" s="91"/>
      <c r="B214" s="9"/>
      <c r="C214" s="34" t="s">
        <v>7120</v>
      </c>
      <c r="D214" s="229"/>
      <c r="E214" s="360"/>
      <c r="F214" s="360"/>
      <c r="G214" s="1239"/>
      <c r="H214" s="356">
        <v>7.99</v>
      </c>
      <c r="I214" s="356"/>
      <c r="J214" s="525">
        <v>940.11000000000217</v>
      </c>
      <c r="K214" s="1222"/>
      <c r="L214" s="365"/>
      <c r="M214" s="34"/>
    </row>
    <row r="215" spans="1:13" ht="13.5" customHeight="1" x14ac:dyDescent="0.2">
      <c r="A215" s="91"/>
      <c r="B215" s="9"/>
      <c r="C215" s="21" t="s">
        <v>1002</v>
      </c>
      <c r="D215" s="229"/>
      <c r="E215" s="360"/>
      <c r="F215" s="360"/>
      <c r="G215" s="1239"/>
      <c r="H215" s="356">
        <v>640.11</v>
      </c>
      <c r="I215" s="356"/>
      <c r="J215" s="525">
        <v>300.00000000000216</v>
      </c>
      <c r="K215" s="1222"/>
      <c r="L215" s="365"/>
      <c r="M215" s="34"/>
    </row>
    <row r="216" spans="1:13" ht="13.5" customHeight="1" x14ac:dyDescent="0.2">
      <c r="A216" s="91">
        <v>43138</v>
      </c>
      <c r="B216" s="9"/>
      <c r="C216" s="34" t="s">
        <v>77</v>
      </c>
      <c r="D216" s="229"/>
      <c r="E216" s="360"/>
      <c r="F216" s="360"/>
      <c r="G216" s="1239"/>
      <c r="H216" s="356"/>
      <c r="I216" s="1252">
        <v>2500</v>
      </c>
      <c r="J216" s="525">
        <v>2800.0000000000023</v>
      </c>
      <c r="K216" s="1222"/>
      <c r="L216" s="365"/>
      <c r="M216" s="34"/>
    </row>
    <row r="217" spans="1:13" ht="13.5" customHeight="1" x14ac:dyDescent="0.2">
      <c r="A217" s="91">
        <v>43139</v>
      </c>
      <c r="B217" s="9"/>
      <c r="C217" s="34" t="s">
        <v>7121</v>
      </c>
      <c r="D217" s="229"/>
      <c r="E217" s="360"/>
      <c r="F217" s="360"/>
      <c r="G217" s="1239"/>
      <c r="H217" s="356">
        <v>13.9</v>
      </c>
      <c r="I217" s="356"/>
      <c r="J217" s="525">
        <v>2786.1000000000022</v>
      </c>
      <c r="K217" s="1222"/>
      <c r="L217" s="365"/>
      <c r="M217" s="34"/>
    </row>
    <row r="218" spans="1:13" ht="13.5" customHeight="1" x14ac:dyDescent="0.2">
      <c r="A218" s="91"/>
      <c r="B218" s="9"/>
      <c r="C218" s="34" t="s">
        <v>7122</v>
      </c>
      <c r="D218" s="229"/>
      <c r="E218" s="360"/>
      <c r="F218" s="360"/>
      <c r="G218" s="1239"/>
      <c r="H218" s="356">
        <v>6.25</v>
      </c>
      <c r="I218" s="356"/>
      <c r="J218" s="525">
        <v>2779.8500000000022</v>
      </c>
      <c r="K218" s="1222"/>
      <c r="L218" s="365"/>
      <c r="M218" s="34"/>
    </row>
    <row r="219" spans="1:13" ht="13.5" customHeight="1" x14ac:dyDescent="0.2">
      <c r="A219" s="91"/>
      <c r="B219" s="9"/>
      <c r="C219" s="34" t="s">
        <v>7123</v>
      </c>
      <c r="D219" s="229"/>
      <c r="E219" s="360"/>
      <c r="F219" s="360"/>
      <c r="G219" s="1239"/>
      <c r="H219" s="356">
        <v>15</v>
      </c>
      <c r="I219" s="356"/>
      <c r="J219" s="525">
        <v>2764.8500000000022</v>
      </c>
      <c r="K219" s="1222"/>
      <c r="L219" s="365"/>
      <c r="M219" s="34"/>
    </row>
    <row r="220" spans="1:13" ht="13.5" customHeight="1" x14ac:dyDescent="0.2">
      <c r="A220" s="91"/>
      <c r="B220" s="9"/>
      <c r="C220" s="34" t="s">
        <v>7124</v>
      </c>
      <c r="D220" s="229"/>
      <c r="E220" s="360"/>
      <c r="F220" s="360"/>
      <c r="G220" s="1239"/>
      <c r="H220" s="356">
        <v>7</v>
      </c>
      <c r="I220" s="356"/>
      <c r="J220" s="525">
        <v>2757.8500000000022</v>
      </c>
      <c r="K220" s="1222"/>
      <c r="L220" s="365"/>
      <c r="M220" s="34"/>
    </row>
    <row r="221" spans="1:13" ht="13.5" customHeight="1" x14ac:dyDescent="0.2">
      <c r="A221" s="91">
        <v>43146</v>
      </c>
      <c r="B221" s="9"/>
      <c r="C221" s="34" t="s">
        <v>7125</v>
      </c>
      <c r="D221" s="229"/>
      <c r="E221" s="360"/>
      <c r="F221" s="360"/>
      <c r="G221" s="1239"/>
      <c r="H221" s="356">
        <v>100</v>
      </c>
      <c r="I221" s="356"/>
      <c r="J221" s="525">
        <v>2657.8500000000022</v>
      </c>
      <c r="K221" s="1222"/>
      <c r="L221" s="365"/>
      <c r="M221" s="34"/>
    </row>
    <row r="222" spans="1:13" ht="13.5" customHeight="1" x14ac:dyDescent="0.2">
      <c r="A222" s="91">
        <v>43148</v>
      </c>
      <c r="B222" s="9"/>
      <c r="C222" s="34" t="s">
        <v>1761</v>
      </c>
      <c r="D222" s="229"/>
      <c r="E222" s="360"/>
      <c r="F222" s="360"/>
      <c r="G222" s="1239"/>
      <c r="H222" s="356">
        <v>10</v>
      </c>
      <c r="I222" s="356"/>
      <c r="J222" s="525">
        <v>2647.8500000000022</v>
      </c>
      <c r="K222" s="1222"/>
      <c r="L222" s="365"/>
      <c r="M222" s="34"/>
    </row>
    <row r="223" spans="1:13" ht="13.5" customHeight="1" x14ac:dyDescent="0.2">
      <c r="A223" s="91">
        <v>43151</v>
      </c>
      <c r="B223" s="9"/>
      <c r="C223" s="34" t="s">
        <v>7126</v>
      </c>
      <c r="D223" s="229"/>
      <c r="E223" s="360"/>
      <c r="F223" s="360"/>
      <c r="G223" s="1239"/>
      <c r="H223" s="356">
        <v>9</v>
      </c>
      <c r="I223" s="356"/>
      <c r="J223" s="525">
        <v>2638.8500000000022</v>
      </c>
      <c r="K223" s="1222"/>
      <c r="L223" s="365"/>
      <c r="M223" s="34"/>
    </row>
    <row r="224" spans="1:13" ht="13.5" customHeight="1" x14ac:dyDescent="0.2">
      <c r="A224" s="91">
        <v>43153</v>
      </c>
      <c r="B224" s="9"/>
      <c r="C224" s="34" t="s">
        <v>7127</v>
      </c>
      <c r="D224" s="229"/>
      <c r="E224" s="360"/>
      <c r="F224" s="360"/>
      <c r="G224" s="1239"/>
      <c r="H224" s="356">
        <v>274</v>
      </c>
      <c r="I224" s="356"/>
      <c r="J224" s="525">
        <v>2364.8500000000022</v>
      </c>
      <c r="K224" s="1222"/>
      <c r="L224" s="365"/>
      <c r="M224" s="34"/>
    </row>
    <row r="225" spans="1:13" ht="13.5" customHeight="1" x14ac:dyDescent="0.2">
      <c r="A225" s="91"/>
      <c r="B225" s="9"/>
      <c r="C225" s="34" t="s">
        <v>7128</v>
      </c>
      <c r="D225" s="229"/>
      <c r="E225" s="360"/>
      <c r="F225" s="360"/>
      <c r="G225" s="1239"/>
      <c r="H225" s="356">
        <v>10</v>
      </c>
      <c r="I225" s="356"/>
      <c r="J225" s="525">
        <v>2354.8500000000022</v>
      </c>
      <c r="K225" s="1222"/>
      <c r="L225" s="365"/>
      <c r="M225" s="34"/>
    </row>
    <row r="226" spans="1:13" ht="13.5" customHeight="1" x14ac:dyDescent="0.2">
      <c r="A226" s="91"/>
      <c r="B226" s="9"/>
      <c r="C226" s="34" t="s">
        <v>7129</v>
      </c>
      <c r="D226" s="229"/>
      <c r="E226" s="360"/>
      <c r="F226" s="360"/>
      <c r="G226" s="1239"/>
      <c r="H226" s="356">
        <v>13.5</v>
      </c>
      <c r="I226" s="356"/>
      <c r="J226" s="525">
        <v>2341.3500000000022</v>
      </c>
      <c r="K226" s="1222"/>
      <c r="L226" s="365"/>
      <c r="M226" s="34"/>
    </row>
    <row r="227" spans="1:13" ht="13.5" customHeight="1" x14ac:dyDescent="0.2">
      <c r="A227" s="91">
        <v>43159</v>
      </c>
      <c r="B227" s="9"/>
      <c r="C227" s="34" t="s">
        <v>7130</v>
      </c>
      <c r="D227" s="229"/>
      <c r="E227" s="360"/>
      <c r="F227" s="360"/>
      <c r="G227" s="1239"/>
      <c r="H227" s="356">
        <v>175.91</v>
      </c>
      <c r="I227" s="356"/>
      <c r="J227" s="525">
        <v>2165.4400000000023</v>
      </c>
      <c r="K227" s="1222"/>
      <c r="L227" s="365"/>
      <c r="M227" s="34"/>
    </row>
    <row r="228" spans="1:13" ht="13.5" customHeight="1" x14ac:dyDescent="0.2">
      <c r="A228" s="91"/>
      <c r="B228" s="9"/>
      <c r="C228" s="34" t="s">
        <v>7131</v>
      </c>
      <c r="D228" s="229"/>
      <c r="E228" s="360"/>
      <c r="F228" s="360"/>
      <c r="G228" s="1239"/>
      <c r="H228" s="356"/>
      <c r="I228" s="356">
        <v>2500</v>
      </c>
      <c r="J228" s="525">
        <v>4665.4400000000023</v>
      </c>
      <c r="K228" s="1222"/>
      <c r="L228" s="365"/>
      <c r="M228" s="21"/>
    </row>
    <row r="229" spans="1:13" ht="13.5" customHeight="1" x14ac:dyDescent="0.2">
      <c r="A229" s="91"/>
      <c r="B229" s="9"/>
      <c r="C229" s="21" t="s">
        <v>1002</v>
      </c>
      <c r="D229" s="229"/>
      <c r="E229" s="360"/>
      <c r="F229" s="360"/>
      <c r="G229" s="1239"/>
      <c r="H229" s="356">
        <v>4615.4400000000005</v>
      </c>
      <c r="I229" s="356"/>
      <c r="J229" s="525">
        <v>50.000000000001819</v>
      </c>
      <c r="K229" s="1222"/>
      <c r="L229" s="365"/>
      <c r="M229" s="34"/>
    </row>
    <row r="230" spans="1:13" ht="13.5" customHeight="1" x14ac:dyDescent="0.2">
      <c r="A230" s="91"/>
      <c r="B230" s="9"/>
      <c r="C230" s="34" t="s">
        <v>7129</v>
      </c>
      <c r="D230" s="229"/>
      <c r="E230" s="360"/>
      <c r="F230" s="360"/>
      <c r="G230" s="1239"/>
      <c r="H230" s="356">
        <v>50</v>
      </c>
      <c r="I230" s="356"/>
      <c r="J230" s="1253">
        <v>1.8189894035458565E-12</v>
      </c>
      <c r="K230" s="1222"/>
      <c r="L230" s="365"/>
      <c r="M230" s="34"/>
    </row>
    <row r="231" spans="1:13" ht="13.5" customHeight="1" thickBot="1" x14ac:dyDescent="0.25">
      <c r="A231" s="207"/>
      <c r="B231" s="207"/>
      <c r="C231" s="208"/>
      <c r="D231" s="208"/>
      <c r="E231" s="1254"/>
      <c r="F231" s="1254"/>
      <c r="G231" s="1255"/>
      <c r="H231" s="1256"/>
      <c r="I231" s="1256"/>
      <c r="J231" s="1257"/>
      <c r="K231" s="1222"/>
      <c r="L231" s="365"/>
      <c r="M231" s="34"/>
    </row>
    <row r="232" spans="1:13" ht="13.5" customHeight="1" thickBot="1" x14ac:dyDescent="0.25">
      <c r="A232" s="213"/>
      <c r="B232" s="214"/>
      <c r="C232" s="215" t="s">
        <v>539</v>
      </c>
      <c r="D232" s="216"/>
      <c r="E232" s="1247"/>
      <c r="F232" s="1247"/>
      <c r="G232" s="1216" t="s">
        <v>7</v>
      </c>
      <c r="H232" s="1247"/>
      <c r="I232" s="1247"/>
      <c r="J232" s="1249"/>
      <c r="K232" s="1222"/>
      <c r="M232" s="36"/>
    </row>
    <row r="233" spans="1:13" ht="13.5" customHeight="1" x14ac:dyDescent="0.2">
      <c r="A233" s="74" t="s">
        <v>540</v>
      </c>
      <c r="B233" s="74"/>
      <c r="C233" s="218" t="s">
        <v>541</v>
      </c>
      <c r="D233" s="219"/>
      <c r="E233" s="1258"/>
      <c r="F233" s="1258"/>
      <c r="G233" s="232">
        <v>19145.75</v>
      </c>
      <c r="H233" s="1258"/>
      <c r="I233" s="1258"/>
      <c r="J233" s="1258"/>
      <c r="K233" s="1222"/>
    </row>
    <row r="234" spans="1:13" ht="13.5" customHeight="1" x14ac:dyDescent="0.2">
      <c r="A234" s="70" t="s">
        <v>1785</v>
      </c>
      <c r="B234" s="70"/>
      <c r="C234" s="63" t="s">
        <v>542</v>
      </c>
      <c r="D234" s="50"/>
      <c r="E234" s="1218"/>
      <c r="F234" s="1218"/>
      <c r="G234" s="232">
        <v>7321.89</v>
      </c>
      <c r="H234" s="1218"/>
      <c r="I234" s="1218"/>
      <c r="J234" s="1218"/>
      <c r="K234" s="1222"/>
    </row>
    <row r="235" spans="1:13" ht="13.5" customHeight="1" x14ac:dyDescent="0.2">
      <c r="A235" s="70"/>
      <c r="B235" s="70"/>
      <c r="C235" s="222" t="s">
        <v>543</v>
      </c>
      <c r="D235" s="50"/>
      <c r="E235" s="1218"/>
      <c r="F235" s="1218"/>
      <c r="G235" s="234">
        <v>26467.64</v>
      </c>
      <c r="H235" s="1218"/>
      <c r="I235" s="1218"/>
      <c r="J235" s="1218"/>
      <c r="K235" s="1222"/>
    </row>
    <row r="236" spans="1:13" ht="13.5" customHeight="1" x14ac:dyDescent="0.2">
      <c r="A236" s="70"/>
      <c r="B236" s="70"/>
      <c r="C236" s="63"/>
      <c r="D236" s="50"/>
      <c r="E236" s="1218"/>
      <c r="F236" s="1218"/>
      <c r="G236" s="234"/>
      <c r="H236" s="1218"/>
      <c r="I236" s="1218"/>
      <c r="J236" s="1218"/>
      <c r="K236" s="1222"/>
      <c r="L236" s="18"/>
    </row>
    <row r="237" spans="1:13" ht="13.5" customHeight="1" x14ac:dyDescent="0.2">
      <c r="A237" s="70"/>
      <c r="B237" s="70"/>
      <c r="C237" s="222" t="s">
        <v>544</v>
      </c>
      <c r="D237" s="50"/>
      <c r="E237" s="1218"/>
      <c r="F237" s="1218"/>
      <c r="G237" s="234">
        <v>18939.810000000005</v>
      </c>
      <c r="H237" s="1218"/>
      <c r="I237" s="1218"/>
      <c r="J237" s="1218"/>
      <c r="K237" s="1222"/>
    </row>
    <row r="238" spans="1:13" ht="13.5" customHeight="1" x14ac:dyDescent="0.2">
      <c r="A238" s="70"/>
      <c r="B238" s="70"/>
      <c r="C238" s="63"/>
      <c r="D238" s="50"/>
      <c r="E238" s="1218"/>
      <c r="F238" s="1218"/>
      <c r="G238" s="232"/>
      <c r="H238" s="1218"/>
      <c r="I238" s="1218"/>
      <c r="J238" s="1218"/>
      <c r="K238" s="1222"/>
    </row>
    <row r="239" spans="1:13" ht="13.5" customHeight="1" x14ac:dyDescent="0.2">
      <c r="A239" s="76"/>
      <c r="B239" s="76"/>
      <c r="C239" s="222" t="s">
        <v>545</v>
      </c>
      <c r="D239" s="78"/>
      <c r="E239" s="1259"/>
      <c r="F239" s="1259"/>
      <c r="G239" s="234">
        <v>45407.450000000004</v>
      </c>
      <c r="H239" s="1260"/>
      <c r="I239" s="1260"/>
      <c r="J239" s="1218"/>
      <c r="K239" s="1222"/>
    </row>
    <row r="240" spans="1:13" ht="13.5" customHeight="1" thickBot="1" x14ac:dyDescent="0.25">
      <c r="A240" s="76"/>
      <c r="B240" s="76"/>
      <c r="C240" s="78"/>
      <c r="D240" s="78"/>
      <c r="E240" s="1259"/>
      <c r="F240" s="1259"/>
      <c r="G240" s="232"/>
      <c r="H240" s="1260"/>
      <c r="I240" s="1260"/>
      <c r="J240" s="1218"/>
      <c r="K240" s="1222"/>
    </row>
    <row r="241" spans="1:11" ht="13.5" customHeight="1" thickBot="1" x14ac:dyDescent="0.25">
      <c r="A241" s="1060" t="s">
        <v>5829</v>
      </c>
      <c r="B241" s="214"/>
      <c r="C241" s="215" t="s">
        <v>5843</v>
      </c>
      <c r="D241" s="216"/>
      <c r="E241" s="1247"/>
      <c r="F241" s="1247"/>
      <c r="G241" s="1216" t="s">
        <v>7</v>
      </c>
      <c r="H241" s="1247"/>
      <c r="I241" s="1247"/>
      <c r="J241" s="1249"/>
      <c r="K241" s="1222"/>
    </row>
    <row r="242" spans="1:11" ht="13.5" customHeight="1" x14ac:dyDescent="0.2">
      <c r="A242" s="70"/>
      <c r="B242" s="70"/>
      <c r="C242" s="63" t="s">
        <v>5831</v>
      </c>
      <c r="D242" s="50"/>
      <c r="E242" s="1218"/>
      <c r="F242" s="1218"/>
      <c r="G242" s="232">
        <v>6000</v>
      </c>
      <c r="H242" s="1218"/>
      <c r="I242" s="1218"/>
      <c r="J242" s="1218"/>
      <c r="K242" s="1222"/>
    </row>
    <row r="243" spans="1:11" ht="13.5" customHeight="1" x14ac:dyDescent="0.2">
      <c r="A243" s="79">
        <v>42594</v>
      </c>
      <c r="B243" s="70"/>
      <c r="C243" s="63" t="s">
        <v>5844</v>
      </c>
      <c r="D243" s="50"/>
      <c r="E243" s="1218">
        <v>2000</v>
      </c>
      <c r="F243" s="1218"/>
      <c r="G243" s="232">
        <v>4000</v>
      </c>
      <c r="H243" s="1218"/>
      <c r="I243" s="1218"/>
      <c r="J243" s="1218"/>
      <c r="K243" s="1222"/>
    </row>
    <row r="244" spans="1:11" ht="13.5" customHeight="1" x14ac:dyDescent="0.2">
      <c r="A244" s="79">
        <v>42682</v>
      </c>
      <c r="B244" s="79"/>
      <c r="C244" s="63" t="s">
        <v>5845</v>
      </c>
      <c r="D244" s="78"/>
      <c r="E244" s="1218">
        <v>3500</v>
      </c>
      <c r="F244" s="1218"/>
      <c r="G244" s="232">
        <v>500</v>
      </c>
      <c r="H244" s="1260"/>
      <c r="I244" s="1260"/>
      <c r="J244" s="1218"/>
      <c r="K244" s="1222"/>
    </row>
    <row r="245" spans="1:11" ht="13.5" customHeight="1" x14ac:dyDescent="0.2">
      <c r="A245" s="79"/>
      <c r="B245" s="79"/>
      <c r="C245" s="78"/>
      <c r="D245" s="78"/>
      <c r="E245" s="1259"/>
      <c r="F245" s="1259"/>
      <c r="G245" s="232"/>
      <c r="H245" s="1260"/>
      <c r="I245" s="1260"/>
      <c r="J245" s="1218"/>
      <c r="K245" s="1222"/>
    </row>
    <row r="246" spans="1:11" ht="13.5" customHeight="1" thickBot="1" x14ac:dyDescent="0.25">
      <c r="A246" s="79"/>
      <c r="B246" s="79"/>
      <c r="C246" s="78"/>
      <c r="D246" s="78"/>
      <c r="E246" s="1259"/>
      <c r="F246" s="1259"/>
      <c r="G246" s="232"/>
      <c r="H246" s="1260"/>
      <c r="I246" s="1260"/>
      <c r="J246" s="1218"/>
      <c r="K246" s="1222"/>
    </row>
    <row r="247" spans="1:11" ht="13.5" customHeight="1" thickBot="1" x14ac:dyDescent="0.25">
      <c r="A247" s="1060" t="s">
        <v>5829</v>
      </c>
      <c r="B247" s="214"/>
      <c r="C247" s="215" t="s">
        <v>5846</v>
      </c>
      <c r="D247" s="216"/>
      <c r="E247" s="1247"/>
      <c r="F247" s="1247"/>
      <c r="G247" s="1216" t="s">
        <v>7</v>
      </c>
      <c r="H247" s="1260"/>
      <c r="I247" s="1260"/>
      <c r="J247" s="1218"/>
      <c r="K247" s="1222"/>
    </row>
    <row r="248" spans="1:11" ht="13.5" customHeight="1" x14ac:dyDescent="0.2">
      <c r="A248" s="79"/>
      <c r="B248" s="70"/>
      <c r="C248" s="63" t="s">
        <v>5831</v>
      </c>
      <c r="D248" s="50"/>
      <c r="E248" s="1218"/>
      <c r="F248" s="1218"/>
      <c r="G248" s="232">
        <v>1400</v>
      </c>
      <c r="H248" s="1260"/>
      <c r="I248" s="1260"/>
      <c r="J248" s="1218"/>
      <c r="K248" s="1222"/>
    </row>
    <row r="249" spans="1:11" ht="13.5" customHeight="1" x14ac:dyDescent="0.2">
      <c r="A249" s="79">
        <v>42465</v>
      </c>
      <c r="B249" s="70"/>
      <c r="C249" s="63" t="s">
        <v>5847</v>
      </c>
      <c r="D249" s="50"/>
      <c r="E249" s="1218">
        <v>123.9</v>
      </c>
      <c r="F249" s="1218"/>
      <c r="G249" s="232">
        <v>1276.0999999999999</v>
      </c>
      <c r="H249" s="1260"/>
      <c r="I249" s="1260"/>
      <c r="J249" s="1218"/>
      <c r="K249" s="1222"/>
    </row>
    <row r="250" spans="1:11" ht="13.5" customHeight="1" x14ac:dyDescent="0.2">
      <c r="A250" s="79"/>
      <c r="B250" s="70"/>
      <c r="C250" s="63" t="s">
        <v>5848</v>
      </c>
      <c r="D250" s="50"/>
      <c r="E250" s="1218">
        <v>150</v>
      </c>
      <c r="F250" s="1218"/>
      <c r="G250" s="232">
        <v>1126.0999999999999</v>
      </c>
      <c r="H250" s="1260"/>
      <c r="I250" s="1260"/>
      <c r="J250" s="1218"/>
      <c r="K250" s="1222"/>
    </row>
    <row r="251" spans="1:11" ht="13.5" customHeight="1" x14ac:dyDescent="0.2">
      <c r="A251" s="79">
        <v>42543</v>
      </c>
      <c r="B251" s="70"/>
      <c r="C251" s="63" t="s">
        <v>5849</v>
      </c>
      <c r="D251" s="50"/>
      <c r="E251" s="1218">
        <v>176.9</v>
      </c>
      <c r="F251" s="1218"/>
      <c r="G251" s="232">
        <v>949.19999999999993</v>
      </c>
      <c r="H251" s="1218"/>
      <c r="I251" s="1218"/>
      <c r="J251" s="1218"/>
      <c r="K251" s="1222"/>
    </row>
    <row r="252" spans="1:11" ht="13.5" customHeight="1" x14ac:dyDescent="0.2">
      <c r="A252" s="79"/>
      <c r="B252" s="79"/>
      <c r="C252" s="63" t="s">
        <v>5850</v>
      </c>
      <c r="D252" s="78"/>
      <c r="E252" s="1218">
        <v>105.5</v>
      </c>
      <c r="F252" s="1218"/>
      <c r="G252" s="232">
        <v>843.69999999999993</v>
      </c>
      <c r="H252" s="1218"/>
      <c r="I252" s="1218"/>
      <c r="J252" s="1218"/>
      <c r="K252" s="1222"/>
    </row>
    <row r="253" spans="1:11" ht="13.5" customHeight="1" x14ac:dyDescent="0.2">
      <c r="A253" s="79"/>
      <c r="B253" s="79"/>
      <c r="C253" s="78" t="s">
        <v>5851</v>
      </c>
      <c r="D253" s="78"/>
      <c r="E253" s="1218">
        <v>37.5</v>
      </c>
      <c r="F253" s="1218"/>
      <c r="G253" s="232">
        <v>806.19999999999993</v>
      </c>
      <c r="H253" s="1260"/>
      <c r="I253" s="1260"/>
      <c r="J253" s="1218"/>
      <c r="K253" s="1222"/>
    </row>
    <row r="254" spans="1:11" ht="13.5" customHeight="1" x14ac:dyDescent="0.2">
      <c r="A254" s="79">
        <v>42576</v>
      </c>
      <c r="B254" s="79"/>
      <c r="C254" s="78" t="s">
        <v>5852</v>
      </c>
      <c r="D254" s="78"/>
      <c r="E254" s="1218">
        <v>39.9</v>
      </c>
      <c r="F254" s="1218"/>
      <c r="G254" s="232">
        <v>766.3</v>
      </c>
      <c r="H254" s="1260"/>
      <c r="I254" s="1260"/>
      <c r="J254" s="1218"/>
      <c r="K254" s="1222"/>
    </row>
    <row r="255" spans="1:11" ht="13.5" customHeight="1" x14ac:dyDescent="0.2">
      <c r="A255" s="79">
        <v>42600</v>
      </c>
      <c r="B255" s="79"/>
      <c r="C255" s="850" t="s">
        <v>5853</v>
      </c>
      <c r="D255" s="78"/>
      <c r="E255" s="1218">
        <v>11.8</v>
      </c>
      <c r="F255" s="1218"/>
      <c r="G255" s="232">
        <v>754.5</v>
      </c>
      <c r="H255" s="1260"/>
      <c r="I255" s="1260"/>
      <c r="J255" s="1218"/>
      <c r="K255" s="1222"/>
    </row>
    <row r="256" spans="1:11" ht="13.5" customHeight="1" x14ac:dyDescent="0.2">
      <c r="A256" s="79">
        <v>42611</v>
      </c>
      <c r="B256" s="79"/>
      <c r="C256" s="63" t="s">
        <v>5854</v>
      </c>
      <c r="D256" s="78"/>
      <c r="E256" s="1218">
        <v>176.9</v>
      </c>
      <c r="F256" s="1218"/>
      <c r="G256" s="232">
        <v>577.6</v>
      </c>
      <c r="H256" s="1260"/>
      <c r="I256" s="1260"/>
      <c r="J256" s="1218"/>
      <c r="K256" s="1222"/>
    </row>
    <row r="257" spans="1:11" ht="13.5" customHeight="1" x14ac:dyDescent="0.2">
      <c r="A257" s="79">
        <v>42633</v>
      </c>
      <c r="B257" s="70"/>
      <c r="C257" s="63" t="s">
        <v>5855</v>
      </c>
      <c r="D257" s="50"/>
      <c r="E257" s="1218">
        <v>5</v>
      </c>
      <c r="F257" s="1218"/>
      <c r="G257" s="232">
        <v>572.6</v>
      </c>
      <c r="H257" s="1218"/>
      <c r="I257" s="1218"/>
      <c r="J257" s="1218"/>
      <c r="K257" s="1222"/>
    </row>
    <row r="258" spans="1:11" ht="13.5" customHeight="1" x14ac:dyDescent="0.2">
      <c r="A258" s="79">
        <v>42664</v>
      </c>
      <c r="B258" s="80"/>
      <c r="C258" s="81" t="s">
        <v>5856</v>
      </c>
      <c r="D258" s="50"/>
      <c r="E258" s="1218">
        <v>95</v>
      </c>
      <c r="F258" s="1218"/>
      <c r="G258" s="232">
        <v>477.6</v>
      </c>
      <c r="H258" s="1218"/>
      <c r="I258" s="1218"/>
      <c r="J258" s="1218"/>
      <c r="K258" s="1222"/>
    </row>
    <row r="259" spans="1:11" ht="13.5" customHeight="1" x14ac:dyDescent="0.2">
      <c r="A259" s="79">
        <v>42704</v>
      </c>
      <c r="B259" s="79"/>
      <c r="C259" s="78" t="s">
        <v>5857</v>
      </c>
      <c r="D259" s="78"/>
      <c r="E259" s="1218">
        <v>31.7</v>
      </c>
      <c r="F259" s="1218"/>
      <c r="G259" s="232">
        <v>445.90000000000003</v>
      </c>
      <c r="H259" s="1260"/>
      <c r="I259" s="1260"/>
      <c r="J259" s="1218"/>
      <c r="K259" s="1222"/>
    </row>
    <row r="260" spans="1:11" ht="13.5" customHeight="1" x14ac:dyDescent="0.2">
      <c r="A260" s="79">
        <v>42705</v>
      </c>
      <c r="B260" s="79"/>
      <c r="C260" s="78" t="s">
        <v>5858</v>
      </c>
      <c r="D260" s="50"/>
      <c r="E260" s="1218">
        <v>14.4</v>
      </c>
      <c r="F260" s="1218"/>
      <c r="G260" s="232">
        <v>431.50000000000006</v>
      </c>
      <c r="H260" s="1260"/>
      <c r="I260" s="1260"/>
      <c r="J260" s="1218"/>
      <c r="K260" s="1222"/>
    </row>
    <row r="261" spans="1:11" ht="13.5" customHeight="1" x14ac:dyDescent="0.2">
      <c r="A261" s="79">
        <v>42716</v>
      </c>
      <c r="B261" s="79"/>
      <c r="C261" s="78" t="s">
        <v>5847</v>
      </c>
      <c r="D261" s="78"/>
      <c r="E261" s="1218">
        <v>120</v>
      </c>
      <c r="F261" s="1218"/>
      <c r="G261" s="232">
        <v>311.50000000000006</v>
      </c>
      <c r="H261" s="1260"/>
      <c r="I261" s="1260"/>
      <c r="J261" s="1218"/>
      <c r="K261" s="1222"/>
    </row>
    <row r="262" spans="1:11" ht="13.5" customHeight="1" x14ac:dyDescent="0.2">
      <c r="A262" s="79">
        <v>42718</v>
      </c>
      <c r="B262" s="79"/>
      <c r="C262" s="78" t="s">
        <v>5859</v>
      </c>
      <c r="D262" s="50"/>
      <c r="E262" s="1218">
        <v>23.7</v>
      </c>
      <c r="F262" s="1218"/>
      <c r="G262" s="232">
        <v>287.80000000000007</v>
      </c>
      <c r="H262" s="1260"/>
      <c r="I262" s="1260"/>
      <c r="J262" s="1218"/>
      <c r="K262" s="1222"/>
    </row>
    <row r="263" spans="1:11" ht="13.5" customHeight="1" x14ac:dyDescent="0.2">
      <c r="A263" s="79">
        <v>42759</v>
      </c>
      <c r="B263" s="80"/>
      <c r="C263" s="1062" t="s">
        <v>5860</v>
      </c>
      <c r="D263" s="78"/>
      <c r="E263" s="1218">
        <v>1</v>
      </c>
      <c r="F263" s="1218"/>
      <c r="G263" s="232">
        <v>286.80000000000007</v>
      </c>
      <c r="H263" s="1218"/>
      <c r="I263" s="1218"/>
      <c r="J263" s="1218"/>
      <c r="K263" s="1222"/>
    </row>
    <row r="264" spans="1:11" ht="13.5" customHeight="1" x14ac:dyDescent="0.2">
      <c r="A264" s="79">
        <v>42765</v>
      </c>
      <c r="B264" s="79"/>
      <c r="C264" s="78" t="s">
        <v>5861</v>
      </c>
      <c r="D264" s="50"/>
      <c r="E264" s="1218">
        <v>45</v>
      </c>
      <c r="F264" s="1218"/>
      <c r="G264" s="232">
        <v>241.80000000000007</v>
      </c>
      <c r="H264" s="1260"/>
      <c r="I264" s="1260"/>
      <c r="J264" s="1218"/>
      <c r="K264" s="1222"/>
    </row>
    <row r="265" spans="1:11" ht="13.5" customHeight="1" x14ac:dyDescent="0.2">
      <c r="A265" s="79">
        <v>43231</v>
      </c>
      <c r="B265" s="79"/>
      <c r="C265" s="78" t="s">
        <v>7132</v>
      </c>
      <c r="D265" s="50"/>
      <c r="E265" s="1218">
        <v>65.900000000000006</v>
      </c>
      <c r="F265" s="1218"/>
      <c r="G265" s="232">
        <v>175.90000000000006</v>
      </c>
      <c r="H265" s="1260"/>
      <c r="I265" s="1260"/>
      <c r="J265" s="1218"/>
      <c r="K265" s="1222"/>
    </row>
    <row r="266" spans="1:11" ht="13.5" customHeight="1" x14ac:dyDescent="0.2">
      <c r="A266" s="79">
        <v>43238</v>
      </c>
      <c r="B266" s="79"/>
      <c r="C266" s="32" t="s">
        <v>7133</v>
      </c>
      <c r="D266" s="50"/>
      <c r="E266" s="1218">
        <v>179.9</v>
      </c>
      <c r="F266" s="1218"/>
      <c r="G266" s="232">
        <v>-3.9999999999999432</v>
      </c>
      <c r="H266" s="1260"/>
      <c r="I266" s="1260"/>
      <c r="J266" s="1218"/>
      <c r="K266" s="1222"/>
    </row>
    <row r="267" spans="1:11" ht="13.5" customHeight="1" x14ac:dyDescent="0.2">
      <c r="A267" s="79">
        <v>42899</v>
      </c>
      <c r="B267" s="79"/>
      <c r="C267" s="78" t="s">
        <v>5862</v>
      </c>
      <c r="D267" s="78"/>
      <c r="E267" s="1218">
        <v>130</v>
      </c>
      <c r="F267" s="1218"/>
      <c r="G267" s="232">
        <v>-133.99999999999994</v>
      </c>
      <c r="H267" s="1260"/>
      <c r="I267" s="1260"/>
      <c r="J267" s="1218"/>
      <c r="K267" s="1222"/>
    </row>
    <row r="268" spans="1:11" ht="13.5" customHeight="1" x14ac:dyDescent="0.2">
      <c r="A268" s="79">
        <v>42956</v>
      </c>
      <c r="B268" s="79"/>
      <c r="C268" s="78" t="s">
        <v>7134</v>
      </c>
      <c r="D268" s="78"/>
      <c r="E268" s="1218">
        <v>30</v>
      </c>
      <c r="F268" s="1218"/>
      <c r="G268" s="232">
        <v>-163.99999999999994</v>
      </c>
      <c r="H268" s="1260"/>
      <c r="I268" s="1260"/>
      <c r="J268" s="1218"/>
      <c r="K268" s="1222"/>
    </row>
    <row r="269" spans="1:11" ht="13.5" customHeight="1" x14ac:dyDescent="0.2">
      <c r="A269" s="79">
        <v>43153</v>
      </c>
      <c r="B269" s="79"/>
      <c r="C269" s="32" t="s">
        <v>7135</v>
      </c>
      <c r="D269" s="78"/>
      <c r="E269" s="1218">
        <v>189.9</v>
      </c>
      <c r="F269" s="1218"/>
      <c r="G269" s="232">
        <v>-353.9</v>
      </c>
      <c r="H269" s="1260"/>
      <c r="I269" s="1260"/>
      <c r="J269" s="1218"/>
      <c r="K269" s="1222"/>
    </row>
    <row r="270" spans="1:11" ht="13.5" customHeight="1" x14ac:dyDescent="0.2">
      <c r="A270" s="74"/>
      <c r="B270" s="80"/>
      <c r="C270" s="81"/>
      <c r="D270" s="50"/>
      <c r="E270" s="1218"/>
      <c r="F270" s="1218"/>
      <c r="G270" s="232"/>
      <c r="H270" s="1218"/>
      <c r="I270" s="1218"/>
      <c r="J270" s="1218"/>
      <c r="K270" s="1222"/>
    </row>
    <row r="271" spans="1:11" ht="13.5" customHeight="1" x14ac:dyDescent="0.2">
      <c r="A271" s="79"/>
      <c r="B271" s="79"/>
      <c r="C271" s="78"/>
      <c r="D271" s="78"/>
      <c r="E271" s="1218"/>
      <c r="F271" s="1218"/>
      <c r="G271" s="232"/>
      <c r="H271" s="1260"/>
      <c r="I271" s="1260"/>
      <c r="J271" s="1218"/>
      <c r="K271" s="1222"/>
    </row>
  </sheetData>
  <mergeCells count="4">
    <mergeCell ref="A1:C1"/>
    <mergeCell ref="D1:G1"/>
    <mergeCell ref="H1:J1"/>
    <mergeCell ref="H153:J153"/>
  </mergeCells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2:J267"/>
  <sheetViews>
    <sheetView topLeftCell="A77" zoomScaleNormal="100" workbookViewId="0">
      <selection activeCell="B90" sqref="B90"/>
    </sheetView>
  </sheetViews>
  <sheetFormatPr defaultColWidth="9" defaultRowHeight="12.75" x14ac:dyDescent="0.2"/>
  <cols>
    <col min="1" max="1" width="9.875" style="96" customWidth="1"/>
    <col min="2" max="2" width="76.75" style="1" bestFit="1" customWidth="1"/>
    <col min="3" max="4" width="12.375" style="529" bestFit="1" customWidth="1"/>
    <col min="5" max="5" width="11.75" style="1" bestFit="1" customWidth="1"/>
    <col min="6" max="6" width="15.5" style="1" customWidth="1"/>
    <col min="7" max="7" width="10.875" style="529" bestFit="1" customWidth="1"/>
    <col min="8" max="8" width="10.5" style="1" bestFit="1" customWidth="1"/>
    <col min="9" max="9" width="9" style="1"/>
    <col min="10" max="10" width="10.5" style="1" bestFit="1" customWidth="1"/>
    <col min="11" max="16384" width="9" style="1"/>
  </cols>
  <sheetData>
    <row r="2" spans="1:10" x14ac:dyDescent="0.2">
      <c r="F2" s="97" t="s">
        <v>218</v>
      </c>
      <c r="G2" s="97" t="s">
        <v>219</v>
      </c>
      <c r="H2" s="97" t="s">
        <v>220</v>
      </c>
      <c r="I2" s="97" t="s">
        <v>221</v>
      </c>
      <c r="J2" s="97" t="s">
        <v>222</v>
      </c>
    </row>
    <row r="3" spans="1:10" ht="13.5" customHeight="1" x14ac:dyDescent="0.2">
      <c r="A3" s="137" t="s">
        <v>222</v>
      </c>
      <c r="B3" s="34" t="s">
        <v>6994</v>
      </c>
      <c r="C3" s="1261"/>
      <c r="D3" s="1262">
        <v>940</v>
      </c>
      <c r="F3" s="100">
        <v>1020</v>
      </c>
      <c r="G3" s="402">
        <v>80</v>
      </c>
      <c r="H3" s="402"/>
      <c r="I3" s="402"/>
      <c r="J3" s="618">
        <v>940</v>
      </c>
    </row>
    <row r="4" spans="1:10" ht="13.5" customHeight="1" x14ac:dyDescent="0.2">
      <c r="A4" s="137" t="s">
        <v>222</v>
      </c>
      <c r="B4" s="34" t="s">
        <v>7052</v>
      </c>
      <c r="C4" s="1263"/>
      <c r="D4" s="1264">
        <v>260</v>
      </c>
      <c r="F4" s="100">
        <v>340</v>
      </c>
      <c r="G4" s="402">
        <v>80</v>
      </c>
      <c r="H4" s="402"/>
      <c r="I4" s="402"/>
      <c r="J4" s="618">
        <f t="shared" ref="J4:J10" si="0">F4-G4-H4-I4</f>
        <v>260</v>
      </c>
    </row>
    <row r="5" spans="1:10" ht="13.5" customHeight="1" x14ac:dyDescent="0.2">
      <c r="A5" s="137" t="s">
        <v>222</v>
      </c>
      <c r="B5" s="34" t="s">
        <v>7052</v>
      </c>
      <c r="C5" s="1263"/>
      <c r="D5" s="1264">
        <v>600</v>
      </c>
      <c r="F5" s="100">
        <v>600</v>
      </c>
      <c r="G5" s="402"/>
      <c r="H5" s="402"/>
      <c r="I5" s="402"/>
      <c r="J5" s="618">
        <f t="shared" si="0"/>
        <v>600</v>
      </c>
    </row>
    <row r="6" spans="1:10" ht="13.5" customHeight="1" x14ac:dyDescent="0.2">
      <c r="A6" s="137" t="s">
        <v>222</v>
      </c>
      <c r="B6" s="34" t="s">
        <v>7013</v>
      </c>
      <c r="C6" s="1263"/>
      <c r="D6" s="1264">
        <v>940</v>
      </c>
      <c r="F6" s="100">
        <v>1020</v>
      </c>
      <c r="G6" s="402">
        <v>80</v>
      </c>
      <c r="H6" s="402"/>
      <c r="I6" s="402"/>
      <c r="J6" s="618">
        <f t="shared" si="0"/>
        <v>940</v>
      </c>
    </row>
    <row r="7" spans="1:10" ht="13.5" customHeight="1" x14ac:dyDescent="0.2">
      <c r="A7" s="137" t="s">
        <v>222</v>
      </c>
      <c r="B7" s="34" t="s">
        <v>7049</v>
      </c>
      <c r="C7" s="1263"/>
      <c r="D7" s="1264">
        <v>960</v>
      </c>
      <c r="F7" s="100">
        <v>1040</v>
      </c>
      <c r="G7" s="402">
        <v>80</v>
      </c>
      <c r="H7" s="402"/>
      <c r="I7" s="402"/>
      <c r="J7" s="618">
        <f t="shared" si="0"/>
        <v>960</v>
      </c>
    </row>
    <row r="8" spans="1:10" ht="13.5" customHeight="1" x14ac:dyDescent="0.2">
      <c r="A8" s="137" t="s">
        <v>222</v>
      </c>
      <c r="B8" s="34" t="s">
        <v>7056</v>
      </c>
      <c r="C8" s="1263"/>
      <c r="D8" s="1264">
        <v>4920</v>
      </c>
      <c r="F8" s="100">
        <v>5100</v>
      </c>
      <c r="G8" s="402">
        <v>80</v>
      </c>
      <c r="H8" s="402">
        <v>100</v>
      </c>
      <c r="I8" s="402"/>
      <c r="J8" s="618">
        <f>F8-G8-H8-I8</f>
        <v>4920</v>
      </c>
    </row>
    <row r="9" spans="1:10" ht="13.5" customHeight="1" x14ac:dyDescent="0.2">
      <c r="A9" s="137" t="s">
        <v>222</v>
      </c>
      <c r="B9" s="34" t="s">
        <v>7000</v>
      </c>
      <c r="C9" s="1263"/>
      <c r="D9" s="1264">
        <v>1430</v>
      </c>
      <c r="F9" s="100">
        <v>1430</v>
      </c>
      <c r="G9" s="402"/>
      <c r="H9" s="402"/>
      <c r="I9" s="402"/>
      <c r="J9" s="618">
        <f t="shared" si="0"/>
        <v>1430</v>
      </c>
    </row>
    <row r="10" spans="1:10" ht="13.5" customHeight="1" x14ac:dyDescent="0.2">
      <c r="A10" s="137" t="s">
        <v>222</v>
      </c>
      <c r="B10" s="34" t="s">
        <v>7017</v>
      </c>
      <c r="C10" s="1263"/>
      <c r="D10" s="1264">
        <v>1200</v>
      </c>
      <c r="F10" s="100">
        <v>1302.43</v>
      </c>
      <c r="G10" s="402">
        <v>80</v>
      </c>
      <c r="H10" s="402">
        <v>22.43</v>
      </c>
      <c r="I10" s="402"/>
      <c r="J10" s="618">
        <f t="shared" si="0"/>
        <v>1200</v>
      </c>
    </row>
    <row r="11" spans="1:10" ht="13.5" customHeight="1" x14ac:dyDescent="0.2">
      <c r="A11" s="137" t="s">
        <v>222</v>
      </c>
      <c r="B11" s="34" t="s">
        <v>6976</v>
      </c>
      <c r="C11" s="1263"/>
      <c r="D11" s="1264">
        <v>950</v>
      </c>
      <c r="F11" s="100">
        <v>1030</v>
      </c>
      <c r="G11" s="402">
        <v>80</v>
      </c>
      <c r="H11" s="402"/>
      <c r="I11" s="402"/>
      <c r="J11" s="618">
        <f>F11-G11-H11-I11</f>
        <v>950</v>
      </c>
    </row>
    <row r="12" spans="1:10" ht="13.5" customHeight="1" x14ac:dyDescent="0.2">
      <c r="A12" s="137" t="s">
        <v>222</v>
      </c>
      <c r="B12" s="34" t="s">
        <v>6079</v>
      </c>
      <c r="C12" s="1263"/>
      <c r="D12" s="1264">
        <v>900</v>
      </c>
      <c r="F12" s="100">
        <v>900</v>
      </c>
      <c r="G12" s="403"/>
      <c r="H12" s="403"/>
      <c r="I12" s="403"/>
      <c r="J12" s="1066"/>
    </row>
    <row r="13" spans="1:10" ht="13.5" customHeight="1" x14ac:dyDescent="0.2">
      <c r="A13" s="137" t="s">
        <v>222</v>
      </c>
      <c r="B13" s="34" t="s">
        <v>10</v>
      </c>
      <c r="C13" s="1263"/>
      <c r="D13" s="1264">
        <v>560</v>
      </c>
      <c r="F13" s="24"/>
      <c r="G13" s="24"/>
      <c r="H13" s="24"/>
      <c r="I13" s="24"/>
      <c r="J13" s="24"/>
    </row>
    <row r="14" spans="1:10" ht="13.5" customHeight="1" x14ac:dyDescent="0.2">
      <c r="A14" s="137" t="s">
        <v>222</v>
      </c>
      <c r="B14" s="34" t="s">
        <v>6996</v>
      </c>
      <c r="C14" s="1263"/>
      <c r="D14" s="1264">
        <v>1971.41</v>
      </c>
      <c r="F14" s="100">
        <v>1971.41</v>
      </c>
      <c r="G14" s="101"/>
      <c r="H14" s="102"/>
      <c r="I14" s="24"/>
      <c r="J14" s="618">
        <f t="shared" ref="J14:J19" si="1">F14-G14-H14-I14</f>
        <v>1971.41</v>
      </c>
    </row>
    <row r="15" spans="1:10" ht="13.5" customHeight="1" x14ac:dyDescent="0.2">
      <c r="A15" s="137" t="s">
        <v>222</v>
      </c>
      <c r="B15" s="34" t="s">
        <v>7005</v>
      </c>
      <c r="C15" s="1263"/>
      <c r="D15" s="1264">
        <v>1200</v>
      </c>
      <c r="F15" s="100">
        <v>1226.8499999999999</v>
      </c>
      <c r="G15" s="101"/>
      <c r="H15" s="102">
        <v>26.85</v>
      </c>
      <c r="I15" s="24"/>
      <c r="J15" s="618">
        <f t="shared" si="1"/>
        <v>1200</v>
      </c>
    </row>
    <row r="16" spans="1:10" ht="13.5" customHeight="1" x14ac:dyDescent="0.2">
      <c r="A16" s="137" t="s">
        <v>222</v>
      </c>
      <c r="B16" s="34" t="s">
        <v>7042</v>
      </c>
      <c r="C16" s="1263"/>
      <c r="D16" s="1264">
        <v>3500</v>
      </c>
      <c r="F16" s="100">
        <v>3500</v>
      </c>
      <c r="G16" s="101"/>
      <c r="H16" s="102"/>
      <c r="I16" s="24"/>
      <c r="J16" s="618">
        <f t="shared" si="1"/>
        <v>3500</v>
      </c>
    </row>
    <row r="17" spans="1:10" ht="13.5" customHeight="1" x14ac:dyDescent="0.2">
      <c r="A17" s="137" t="s">
        <v>222</v>
      </c>
      <c r="B17" s="34" t="s">
        <v>7022</v>
      </c>
      <c r="C17" s="1263"/>
      <c r="D17" s="1264">
        <v>2050</v>
      </c>
      <c r="F17" s="100">
        <v>2050</v>
      </c>
      <c r="G17" s="101"/>
      <c r="H17" s="102"/>
      <c r="I17" s="24"/>
      <c r="J17" s="618">
        <f t="shared" si="1"/>
        <v>2050</v>
      </c>
    </row>
    <row r="18" spans="1:10" ht="13.5" customHeight="1" x14ac:dyDescent="0.2">
      <c r="A18" s="137" t="s">
        <v>222</v>
      </c>
      <c r="B18" s="34" t="s">
        <v>7131</v>
      </c>
      <c r="C18" s="1265"/>
      <c r="D18" s="1266">
        <v>2500</v>
      </c>
      <c r="E18" s="18"/>
      <c r="F18" s="100">
        <v>2500</v>
      </c>
      <c r="G18" s="101"/>
      <c r="H18" s="102"/>
      <c r="I18" s="24"/>
      <c r="J18" s="618">
        <f t="shared" si="1"/>
        <v>2500</v>
      </c>
    </row>
    <row r="19" spans="1:10" ht="13.5" customHeight="1" x14ac:dyDescent="0.2">
      <c r="A19" s="137" t="s">
        <v>222</v>
      </c>
      <c r="B19" s="34" t="s">
        <v>7001</v>
      </c>
      <c r="C19" s="1263"/>
      <c r="D19" s="1264">
        <v>5000</v>
      </c>
      <c r="F19" s="100">
        <v>5000</v>
      </c>
      <c r="G19" s="101"/>
      <c r="H19" s="102"/>
      <c r="I19" s="24"/>
      <c r="J19" s="618">
        <f t="shared" si="1"/>
        <v>5000</v>
      </c>
    </row>
    <row r="20" spans="1:10" ht="13.5" customHeight="1" x14ac:dyDescent="0.2">
      <c r="A20" s="137" t="s">
        <v>222</v>
      </c>
      <c r="B20" s="34" t="s">
        <v>7034</v>
      </c>
      <c r="C20" s="1263"/>
      <c r="D20" s="1267">
        <v>190</v>
      </c>
      <c r="G20" s="529">
        <f>SUM(G3:G19)</f>
        <v>560</v>
      </c>
    </row>
    <row r="21" spans="1:10" ht="13.5" customHeight="1" x14ac:dyDescent="0.2">
      <c r="A21" s="137" t="s">
        <v>222</v>
      </c>
      <c r="B21" s="34" t="s">
        <v>7015</v>
      </c>
      <c r="C21" s="1263"/>
      <c r="D21" s="1267">
        <v>185</v>
      </c>
    </row>
    <row r="22" spans="1:10" ht="13.5" customHeight="1" x14ac:dyDescent="0.2">
      <c r="A22" s="137" t="s">
        <v>222</v>
      </c>
      <c r="B22" s="34" t="s">
        <v>7035</v>
      </c>
      <c r="C22" s="1263"/>
      <c r="D22" s="1267">
        <v>190</v>
      </c>
    </row>
    <row r="23" spans="1:10" ht="13.5" customHeight="1" x14ac:dyDescent="0.2">
      <c r="A23" s="137" t="s">
        <v>222</v>
      </c>
      <c r="B23" s="34" t="s">
        <v>7019</v>
      </c>
      <c r="C23" s="1263"/>
      <c r="D23" s="1267">
        <v>190</v>
      </c>
    </row>
    <row r="24" spans="1:10" ht="13.5" customHeight="1" x14ac:dyDescent="0.2">
      <c r="A24" s="137" t="s">
        <v>222</v>
      </c>
      <c r="B24" s="34" t="s">
        <v>1452</v>
      </c>
      <c r="C24" s="1263"/>
      <c r="D24" s="1267">
        <v>185</v>
      </c>
    </row>
    <row r="25" spans="1:10" ht="13.5" customHeight="1" x14ac:dyDescent="0.2">
      <c r="A25" s="137" t="s">
        <v>222</v>
      </c>
      <c r="B25" s="34" t="s">
        <v>7006</v>
      </c>
      <c r="C25" s="1263"/>
      <c r="D25" s="1267">
        <v>150</v>
      </c>
      <c r="H25" s="365"/>
    </row>
    <row r="26" spans="1:10" ht="13.5" customHeight="1" x14ac:dyDescent="0.2">
      <c r="A26" s="137" t="s">
        <v>222</v>
      </c>
      <c r="B26" s="34" t="s">
        <v>6972</v>
      </c>
      <c r="C26" s="1263"/>
      <c r="D26" s="1267">
        <v>220</v>
      </c>
      <c r="H26" s="365"/>
    </row>
    <row r="27" spans="1:10" ht="13.5" customHeight="1" x14ac:dyDescent="0.2">
      <c r="A27" s="137" t="s">
        <v>222</v>
      </c>
      <c r="B27" s="34" t="s">
        <v>7012</v>
      </c>
      <c r="C27" s="1263"/>
      <c r="D27" s="1267">
        <v>60</v>
      </c>
    </row>
    <row r="28" spans="1:10" ht="13.5" customHeight="1" x14ac:dyDescent="0.2">
      <c r="A28" s="137" t="s">
        <v>222</v>
      </c>
      <c r="B28" s="34" t="s">
        <v>7020</v>
      </c>
      <c r="C28" s="1263"/>
      <c r="D28" s="1267">
        <v>60</v>
      </c>
      <c r="E28" s="365"/>
    </row>
    <row r="29" spans="1:10" ht="13.5" customHeight="1" x14ac:dyDescent="0.2">
      <c r="A29" s="137" t="s">
        <v>222</v>
      </c>
      <c r="B29" s="34" t="s">
        <v>6989</v>
      </c>
      <c r="C29" s="1263"/>
      <c r="D29" s="1267">
        <v>80</v>
      </c>
    </row>
    <row r="30" spans="1:10" ht="13.5" customHeight="1" x14ac:dyDescent="0.2">
      <c r="A30" s="137"/>
      <c r="B30" s="34"/>
      <c r="C30" s="1263"/>
      <c r="D30" s="1268">
        <f>SUM(D3:D29)</f>
        <v>31391.41</v>
      </c>
      <c r="E30" s="1269">
        <f>SUM(D20:D29)</f>
        <v>1510</v>
      </c>
    </row>
    <row r="31" spans="1:10" ht="13.5" customHeight="1" x14ac:dyDescent="0.2">
      <c r="A31" s="137"/>
      <c r="B31" s="34"/>
      <c r="C31" s="1263"/>
      <c r="D31" s="1264"/>
    </row>
    <row r="32" spans="1:10" ht="13.5" customHeight="1" x14ac:dyDescent="0.2">
      <c r="A32" s="137" t="s">
        <v>222</v>
      </c>
      <c r="B32" s="34" t="s">
        <v>7136</v>
      </c>
      <c r="C32" s="1263"/>
      <c r="D32" s="1264">
        <v>2250</v>
      </c>
      <c r="F32" s="100">
        <v>2296.13</v>
      </c>
      <c r="G32" s="109"/>
      <c r="H32" s="109"/>
      <c r="I32" s="109">
        <v>46.13</v>
      </c>
      <c r="J32" s="618">
        <f>F32-G32-H32-I32</f>
        <v>2250</v>
      </c>
    </row>
    <row r="33" spans="1:10" ht="13.5" customHeight="1" x14ac:dyDescent="0.2">
      <c r="A33" s="137" t="s">
        <v>222</v>
      </c>
      <c r="B33" s="34" t="s">
        <v>7023</v>
      </c>
      <c r="C33" s="1263"/>
      <c r="D33" s="1264">
        <v>7500</v>
      </c>
      <c r="F33" s="100">
        <v>7500</v>
      </c>
      <c r="G33" s="109"/>
      <c r="H33" s="109"/>
      <c r="I33" s="109"/>
      <c r="J33" s="618">
        <f>F33-G33-H33-I33</f>
        <v>7500</v>
      </c>
    </row>
    <row r="34" spans="1:10" ht="13.5" customHeight="1" x14ac:dyDescent="0.2">
      <c r="A34" s="137" t="s">
        <v>222</v>
      </c>
      <c r="B34" s="34" t="s">
        <v>7024</v>
      </c>
      <c r="C34" s="1263"/>
      <c r="D34" s="1264">
        <v>500</v>
      </c>
      <c r="F34" s="100">
        <v>500</v>
      </c>
      <c r="G34" s="109"/>
      <c r="H34" s="109"/>
      <c r="I34" s="109"/>
      <c r="J34" s="618">
        <f>F34-G34-H34-I34</f>
        <v>500</v>
      </c>
    </row>
    <row r="35" spans="1:10" ht="13.5" customHeight="1" x14ac:dyDescent="0.2">
      <c r="A35" s="137" t="s">
        <v>222</v>
      </c>
      <c r="B35" s="34" t="s">
        <v>7097</v>
      </c>
      <c r="C35" s="1270"/>
      <c r="D35" s="1264">
        <v>4731.47</v>
      </c>
      <c r="F35" s="100">
        <v>4731.47</v>
      </c>
      <c r="G35" s="109"/>
      <c r="H35" s="109"/>
      <c r="I35" s="109"/>
      <c r="J35" s="618">
        <f>F35-G35-H35-I35</f>
        <v>4731.47</v>
      </c>
    </row>
    <row r="36" spans="1:10" ht="13.5" customHeight="1" x14ac:dyDescent="0.2">
      <c r="A36" s="137" t="s">
        <v>222</v>
      </c>
      <c r="B36" s="34" t="s">
        <v>3542</v>
      </c>
      <c r="C36" s="1270"/>
      <c r="D36" s="1264">
        <v>46.13</v>
      </c>
      <c r="F36" s="668"/>
      <c r="G36" s="642"/>
      <c r="H36" s="642"/>
      <c r="I36" s="642"/>
      <c r="J36" s="405"/>
    </row>
    <row r="37" spans="1:10" ht="13.5" customHeight="1" x14ac:dyDescent="0.2">
      <c r="A37" s="137"/>
      <c r="B37" s="34"/>
      <c r="C37" s="1270"/>
      <c r="D37" s="1268">
        <f>SUM(D32:D36)</f>
        <v>15027.6</v>
      </c>
      <c r="F37" s="885"/>
      <c r="G37" s="1044">
        <f>SUM(G35,G19)</f>
        <v>0</v>
      </c>
      <c r="H37" s="1044">
        <f>SUM(H28:H35)</f>
        <v>0</v>
      </c>
      <c r="I37" s="1045">
        <f>SUM(I28:I35)</f>
        <v>46.13</v>
      </c>
      <c r="J37" s="887"/>
    </row>
    <row r="38" spans="1:10" ht="13.5" customHeight="1" x14ac:dyDescent="0.2">
      <c r="A38" s="137"/>
      <c r="B38" s="34"/>
      <c r="C38" s="1270"/>
      <c r="D38" s="1264"/>
    </row>
    <row r="39" spans="1:10" ht="13.5" customHeight="1" x14ac:dyDescent="0.2">
      <c r="A39" s="137" t="s">
        <v>223</v>
      </c>
      <c r="B39" s="34" t="s">
        <v>189</v>
      </c>
      <c r="C39" s="1270">
        <v>4731.47</v>
      </c>
      <c r="D39" s="1264"/>
    </row>
    <row r="40" spans="1:10" ht="13.5" customHeight="1" x14ac:dyDescent="0.2">
      <c r="A40" s="137" t="s">
        <v>223</v>
      </c>
      <c r="B40" s="34" t="s">
        <v>189</v>
      </c>
      <c r="C40" s="1270">
        <v>2218.13</v>
      </c>
      <c r="D40" s="1264"/>
    </row>
    <row r="41" spans="1:10" ht="13.5" customHeight="1" x14ac:dyDescent="0.2">
      <c r="A41" s="137" t="s">
        <v>223</v>
      </c>
      <c r="B41" s="34" t="s">
        <v>174</v>
      </c>
      <c r="C41" s="1270">
        <v>-134.56</v>
      </c>
      <c r="D41" s="1264"/>
    </row>
    <row r="42" spans="1:10" ht="13.5" customHeight="1" x14ac:dyDescent="0.2">
      <c r="A42" s="137" t="s">
        <v>223</v>
      </c>
      <c r="B42" s="34" t="s">
        <v>174</v>
      </c>
      <c r="C42" s="1270">
        <v>-137.25</v>
      </c>
      <c r="D42" s="1264"/>
    </row>
    <row r="43" spans="1:10" ht="13.5" customHeight="1" x14ac:dyDescent="0.2">
      <c r="A43" s="137" t="s">
        <v>223</v>
      </c>
      <c r="B43" s="34" t="s">
        <v>174</v>
      </c>
      <c r="C43" s="1270">
        <v>-205</v>
      </c>
      <c r="D43" s="1264"/>
    </row>
    <row r="44" spans="1:10" ht="13.5" customHeight="1" x14ac:dyDescent="0.2">
      <c r="A44" s="137" t="s">
        <v>223</v>
      </c>
      <c r="B44" s="34" t="s">
        <v>174</v>
      </c>
      <c r="C44" s="1270">
        <v>-215</v>
      </c>
      <c r="D44" s="1264"/>
    </row>
    <row r="45" spans="1:10" ht="13.5" customHeight="1" x14ac:dyDescent="0.2">
      <c r="A45" s="137" t="s">
        <v>223</v>
      </c>
      <c r="B45" s="34" t="s">
        <v>174</v>
      </c>
      <c r="C45" s="1270">
        <v>-291.74</v>
      </c>
      <c r="D45" s="1264"/>
    </row>
    <row r="46" spans="1:10" ht="13.5" customHeight="1" x14ac:dyDescent="0.2">
      <c r="A46" s="137" t="s">
        <v>223</v>
      </c>
      <c r="B46" s="34" t="s">
        <v>174</v>
      </c>
      <c r="C46" s="1270">
        <v>-749.6</v>
      </c>
      <c r="D46" s="1264"/>
    </row>
    <row r="47" spans="1:10" ht="13.5" customHeight="1" x14ac:dyDescent="0.2">
      <c r="A47" s="137" t="s">
        <v>223</v>
      </c>
      <c r="B47" s="34" t="s">
        <v>174</v>
      </c>
      <c r="C47" s="1270">
        <v>-820.85</v>
      </c>
      <c r="D47" s="1264"/>
    </row>
    <row r="48" spans="1:10" ht="13.5" customHeight="1" x14ac:dyDescent="0.2">
      <c r="A48" s="137" t="s">
        <v>223</v>
      </c>
      <c r="B48" s="34" t="s">
        <v>174</v>
      </c>
      <c r="C48" s="1270">
        <v>-1068.42</v>
      </c>
      <c r="D48" s="1264"/>
    </row>
    <row r="49" spans="1:4" ht="13.5" customHeight="1" x14ac:dyDescent="0.2">
      <c r="A49" s="137" t="s">
        <v>223</v>
      </c>
      <c r="B49" s="34" t="s">
        <v>174</v>
      </c>
      <c r="C49" s="1270">
        <v>-1106.1099999999999</v>
      </c>
      <c r="D49" s="1264"/>
    </row>
    <row r="50" spans="1:4" ht="13.5" customHeight="1" x14ac:dyDescent="0.2">
      <c r="A50" s="137" t="s">
        <v>223</v>
      </c>
      <c r="B50" s="34" t="s">
        <v>174</v>
      </c>
      <c r="C50" s="1270">
        <v>-1436.01</v>
      </c>
      <c r="D50" s="1264"/>
    </row>
    <row r="51" spans="1:4" ht="13.5" customHeight="1" x14ac:dyDescent="0.2">
      <c r="A51" s="137" t="s">
        <v>223</v>
      </c>
      <c r="B51" s="34" t="s">
        <v>174</v>
      </c>
      <c r="C51" s="1270">
        <v>-1530.87</v>
      </c>
      <c r="D51" s="1264"/>
    </row>
    <row r="52" spans="1:4" ht="13.5" customHeight="1" x14ac:dyDescent="0.2">
      <c r="A52" s="137" t="s">
        <v>223</v>
      </c>
      <c r="B52" s="34" t="s">
        <v>174</v>
      </c>
      <c r="C52" s="1270">
        <v>-5000</v>
      </c>
      <c r="D52" s="1264"/>
    </row>
    <row r="53" spans="1:4" ht="13.5" customHeight="1" x14ac:dyDescent="0.2">
      <c r="A53" s="137"/>
      <c r="B53" s="34"/>
      <c r="C53" s="1271">
        <f>SUM(C39:C52)</f>
        <v>-5745.81</v>
      </c>
      <c r="D53" s="1264"/>
    </row>
    <row r="54" spans="1:4" ht="13.5" customHeight="1" x14ac:dyDescent="0.2">
      <c r="A54" s="137"/>
      <c r="B54" s="34"/>
      <c r="C54" s="1270"/>
      <c r="D54" s="1264"/>
    </row>
    <row r="55" spans="1:4" ht="13.5" customHeight="1" x14ac:dyDescent="0.2">
      <c r="A55" s="137" t="s">
        <v>224</v>
      </c>
      <c r="B55" s="34" t="s">
        <v>128</v>
      </c>
      <c r="C55" s="1270">
        <v>25.02</v>
      </c>
      <c r="D55" s="1264"/>
    </row>
    <row r="56" spans="1:4" ht="13.5" customHeight="1" x14ac:dyDescent="0.2">
      <c r="A56" s="137" t="s">
        <v>224</v>
      </c>
      <c r="B56" s="34" t="s">
        <v>62</v>
      </c>
      <c r="C56" s="1270">
        <v>351.98</v>
      </c>
      <c r="D56" s="1264"/>
    </row>
    <row r="57" spans="1:4" ht="13.5" customHeight="1" x14ac:dyDescent="0.2">
      <c r="A57" s="137" t="s">
        <v>224</v>
      </c>
      <c r="B57" s="34" t="s">
        <v>6199</v>
      </c>
      <c r="C57" s="1270">
        <v>117.72</v>
      </c>
      <c r="D57" s="1264"/>
    </row>
    <row r="58" spans="1:4" ht="13.5" customHeight="1" x14ac:dyDescent="0.2">
      <c r="A58" s="137" t="s">
        <v>224</v>
      </c>
      <c r="B58" s="34" t="s">
        <v>7029</v>
      </c>
      <c r="C58" s="1263">
        <v>76.62</v>
      </c>
      <c r="D58" s="1264"/>
    </row>
    <row r="59" spans="1:4" ht="13.5" customHeight="1" x14ac:dyDescent="0.2">
      <c r="A59" s="137" t="s">
        <v>224</v>
      </c>
      <c r="B59" s="34" t="s">
        <v>6951</v>
      </c>
      <c r="C59" s="1263">
        <v>400</v>
      </c>
      <c r="D59" s="1264"/>
    </row>
    <row r="60" spans="1:4" ht="13.5" customHeight="1" x14ac:dyDescent="0.2">
      <c r="A60" s="137"/>
      <c r="B60" s="34"/>
      <c r="C60" s="1272">
        <f>SUM(C55:C59)</f>
        <v>971.34</v>
      </c>
      <c r="D60" s="1264"/>
    </row>
    <row r="61" spans="1:4" ht="13.5" customHeight="1" x14ac:dyDescent="0.2">
      <c r="A61" s="137"/>
      <c r="B61" s="34"/>
      <c r="C61" s="1263"/>
      <c r="D61" s="1264"/>
    </row>
    <row r="62" spans="1:4" ht="13.5" customHeight="1" x14ac:dyDescent="0.2">
      <c r="A62" s="137" t="s">
        <v>224</v>
      </c>
      <c r="B62" s="34" t="s">
        <v>7010</v>
      </c>
      <c r="C62" s="1263">
        <v>75</v>
      </c>
      <c r="D62" s="1264"/>
    </row>
    <row r="63" spans="1:4" ht="13.5" customHeight="1" x14ac:dyDescent="0.2">
      <c r="A63" s="137" t="s">
        <v>224</v>
      </c>
      <c r="B63" s="34" t="s">
        <v>7060</v>
      </c>
      <c r="C63" s="1263">
        <v>75</v>
      </c>
      <c r="D63" s="1264"/>
    </row>
    <row r="64" spans="1:4" ht="13.5" customHeight="1" x14ac:dyDescent="0.2">
      <c r="A64" s="137" t="s">
        <v>224</v>
      </c>
      <c r="B64" s="34" t="s">
        <v>7058</v>
      </c>
      <c r="C64" s="1263">
        <v>75</v>
      </c>
      <c r="D64" s="1264"/>
    </row>
    <row r="65" spans="1:7" ht="13.5" customHeight="1" x14ac:dyDescent="0.2">
      <c r="A65" s="137" t="s">
        <v>224</v>
      </c>
      <c r="B65" s="34" t="s">
        <v>7008</v>
      </c>
      <c r="C65" s="1263">
        <v>75</v>
      </c>
      <c r="D65" s="1264"/>
    </row>
    <row r="66" spans="1:7" ht="13.5" customHeight="1" x14ac:dyDescent="0.2">
      <c r="A66" s="137" t="s">
        <v>224</v>
      </c>
      <c r="B66" s="34" t="s">
        <v>7009</v>
      </c>
      <c r="C66" s="1263">
        <v>75</v>
      </c>
      <c r="D66" s="1264"/>
    </row>
    <row r="67" spans="1:7" ht="13.5" customHeight="1" x14ac:dyDescent="0.2">
      <c r="A67" s="137" t="s">
        <v>224</v>
      </c>
      <c r="B67" s="34" t="s">
        <v>7059</v>
      </c>
      <c r="C67" s="1263">
        <v>75</v>
      </c>
      <c r="D67" s="1264"/>
    </row>
    <row r="68" spans="1:7" ht="13.5" customHeight="1" x14ac:dyDescent="0.2">
      <c r="A68" s="137" t="s">
        <v>224</v>
      </c>
      <c r="B68" s="34" t="s">
        <v>7057</v>
      </c>
      <c r="C68" s="1263">
        <v>75</v>
      </c>
      <c r="D68" s="1264"/>
    </row>
    <row r="69" spans="1:7" ht="13.5" customHeight="1" x14ac:dyDescent="0.2">
      <c r="A69" s="137" t="s">
        <v>224</v>
      </c>
      <c r="B69" s="36" t="s">
        <v>7007</v>
      </c>
      <c r="C69" s="1263">
        <v>75</v>
      </c>
      <c r="D69" s="1264">
        <f>C70-D70</f>
        <v>400</v>
      </c>
    </row>
    <row r="70" spans="1:7" ht="13.5" customHeight="1" x14ac:dyDescent="0.2">
      <c r="A70" s="137"/>
      <c r="B70" s="34"/>
      <c r="C70" s="1263">
        <f>SUM(C62:C69)</f>
        <v>600</v>
      </c>
      <c r="D70" s="1264">
        <f>C70/3</f>
        <v>200</v>
      </c>
    </row>
    <row r="71" spans="1:7" ht="13.5" customHeight="1" x14ac:dyDescent="0.2">
      <c r="A71" s="137"/>
      <c r="B71" s="34"/>
      <c r="C71" s="1263"/>
      <c r="D71" s="1264"/>
    </row>
    <row r="72" spans="1:7" ht="13.5" customHeight="1" x14ac:dyDescent="0.2">
      <c r="A72" s="137" t="s">
        <v>225</v>
      </c>
      <c r="B72" s="34" t="s">
        <v>7099</v>
      </c>
      <c r="C72" s="1271">
        <v>720.85</v>
      </c>
      <c r="D72" s="1264"/>
    </row>
    <row r="73" spans="1:7" ht="13.5" customHeight="1" x14ac:dyDescent="0.2">
      <c r="A73" s="137"/>
      <c r="B73" s="34"/>
      <c r="C73" s="1270"/>
      <c r="D73" s="1264"/>
    </row>
    <row r="74" spans="1:7" ht="13.5" customHeight="1" x14ac:dyDescent="0.2">
      <c r="A74" s="137" t="s">
        <v>226</v>
      </c>
      <c r="B74" s="34" t="s">
        <v>7066</v>
      </c>
      <c r="C74" s="1270">
        <v>142.01</v>
      </c>
      <c r="D74" s="1264"/>
    </row>
    <row r="75" spans="1:7" ht="13.5" customHeight="1" x14ac:dyDescent="0.2">
      <c r="A75" s="137" t="s">
        <v>226</v>
      </c>
      <c r="B75" s="34" t="s">
        <v>7137</v>
      </c>
      <c r="C75" s="1270">
        <v>-100</v>
      </c>
      <c r="D75" s="1264"/>
    </row>
    <row r="76" spans="1:7" ht="13.5" customHeight="1" x14ac:dyDescent="0.2">
      <c r="A76" s="137" t="s">
        <v>226</v>
      </c>
      <c r="B76" s="34" t="s">
        <v>7138</v>
      </c>
      <c r="C76" s="1270">
        <v>-22.43</v>
      </c>
      <c r="D76" s="1264"/>
    </row>
    <row r="77" spans="1:7" ht="13.5" customHeight="1" x14ac:dyDescent="0.2">
      <c r="A77" s="137" t="s">
        <v>226</v>
      </c>
      <c r="B77" s="34" t="s">
        <v>6953</v>
      </c>
      <c r="C77" s="1270">
        <v>-26.85</v>
      </c>
      <c r="D77" s="1264"/>
    </row>
    <row r="78" spans="1:7" ht="13.5" customHeight="1" x14ac:dyDescent="0.2">
      <c r="A78" s="137" t="s">
        <v>226</v>
      </c>
      <c r="B78" s="34" t="s">
        <v>127</v>
      </c>
      <c r="C78" s="1270">
        <v>22.43</v>
      </c>
      <c r="D78" s="1264"/>
      <c r="F78" s="34" t="s">
        <v>6973</v>
      </c>
      <c r="G78" s="1263">
        <v>4.05</v>
      </c>
    </row>
    <row r="79" spans="1:7" ht="13.5" customHeight="1" x14ac:dyDescent="0.2">
      <c r="A79" s="137" t="s">
        <v>226</v>
      </c>
      <c r="B79" s="34" t="s">
        <v>129</v>
      </c>
      <c r="C79" s="1270">
        <v>38.29</v>
      </c>
      <c r="D79" s="1264"/>
      <c r="F79" s="34" t="s">
        <v>6997</v>
      </c>
      <c r="G79" s="1263">
        <v>2.75</v>
      </c>
    </row>
    <row r="80" spans="1:7" ht="13.5" customHeight="1" x14ac:dyDescent="0.2">
      <c r="A80" s="137" t="s">
        <v>226</v>
      </c>
      <c r="B80" s="34" t="s">
        <v>131</v>
      </c>
      <c r="C80" s="1270">
        <v>26.54</v>
      </c>
      <c r="D80" s="1264"/>
      <c r="F80" s="34" t="s">
        <v>7122</v>
      </c>
      <c r="G80" s="1265">
        <v>6.25</v>
      </c>
    </row>
    <row r="81" spans="1:7" ht="13.5" customHeight="1" x14ac:dyDescent="0.2">
      <c r="A81" s="137" t="s">
        <v>226</v>
      </c>
      <c r="B81" s="34" t="s">
        <v>558</v>
      </c>
      <c r="C81" s="1270">
        <v>65.37</v>
      </c>
      <c r="D81" s="1264"/>
      <c r="F81" s="34" t="s">
        <v>7121</v>
      </c>
      <c r="G81" s="1265">
        <v>13.9</v>
      </c>
    </row>
    <row r="82" spans="1:7" ht="13.5" customHeight="1" x14ac:dyDescent="0.2">
      <c r="A82" s="137" t="s">
        <v>226</v>
      </c>
      <c r="B82" s="34" t="s">
        <v>7031</v>
      </c>
      <c r="C82" s="1263">
        <v>35.32</v>
      </c>
      <c r="D82" s="1264"/>
      <c r="F82" s="34" t="s">
        <v>7123</v>
      </c>
      <c r="G82" s="1265">
        <v>15</v>
      </c>
    </row>
    <row r="83" spans="1:7" ht="13.5" customHeight="1" x14ac:dyDescent="0.2">
      <c r="A83" s="137" t="s">
        <v>226</v>
      </c>
      <c r="B83" s="34" t="s">
        <v>1761</v>
      </c>
      <c r="C83" s="1265">
        <v>10</v>
      </c>
      <c r="D83" s="1266"/>
      <c r="E83" s="18"/>
      <c r="F83" s="34" t="s">
        <v>7129</v>
      </c>
      <c r="G83" s="1265">
        <v>13.5</v>
      </c>
    </row>
    <row r="84" spans="1:7" ht="13.5" customHeight="1" x14ac:dyDescent="0.2">
      <c r="A84" s="137" t="s">
        <v>226</v>
      </c>
      <c r="B84" s="34" t="s">
        <v>7047</v>
      </c>
      <c r="C84" s="1270">
        <v>10</v>
      </c>
      <c r="D84" s="1264"/>
      <c r="F84" s="34" t="s">
        <v>7129</v>
      </c>
      <c r="G84" s="1265">
        <v>50</v>
      </c>
    </row>
    <row r="85" spans="1:7" ht="13.5" customHeight="1" x14ac:dyDescent="0.2">
      <c r="A85" s="137" t="s">
        <v>226</v>
      </c>
      <c r="B85" s="36" t="s">
        <v>6990</v>
      </c>
      <c r="C85" s="1261">
        <v>-20</v>
      </c>
      <c r="D85" s="1262"/>
      <c r="F85" s="34" t="s">
        <v>6992</v>
      </c>
      <c r="G85" s="1270">
        <v>153.52000000000001</v>
      </c>
    </row>
    <row r="86" spans="1:7" ht="13.5" customHeight="1" x14ac:dyDescent="0.2">
      <c r="A86" s="137" t="s">
        <v>226</v>
      </c>
      <c r="B86" s="34" t="s">
        <v>7126</v>
      </c>
      <c r="C86" s="1265">
        <v>9</v>
      </c>
      <c r="D86" s="1266"/>
      <c r="E86" s="18"/>
      <c r="F86" s="34" t="s">
        <v>6991</v>
      </c>
      <c r="G86" s="1270">
        <v>147.07</v>
      </c>
    </row>
    <row r="87" spans="1:7" ht="13.5" customHeight="1" x14ac:dyDescent="0.2">
      <c r="A87" s="137" t="s">
        <v>226</v>
      </c>
      <c r="B87" s="34" t="s">
        <v>227</v>
      </c>
      <c r="C87" s="1265">
        <v>203.02</v>
      </c>
      <c r="D87" s="1266"/>
      <c r="E87" s="18"/>
      <c r="G87" s="529">
        <f>SUM(G78:G86)</f>
        <v>406.04</v>
      </c>
    </row>
    <row r="88" spans="1:7" ht="13.5" customHeight="1" x14ac:dyDescent="0.2">
      <c r="A88" s="137"/>
      <c r="B88" s="34"/>
      <c r="C88" s="1273">
        <f>SUM(C74:C87)</f>
        <v>392.7</v>
      </c>
      <c r="D88" s="1266"/>
      <c r="E88" s="18"/>
    </row>
    <row r="89" spans="1:7" ht="13.5" customHeight="1" x14ac:dyDescent="0.2">
      <c r="A89" s="137"/>
      <c r="B89" s="34"/>
      <c r="C89" s="1265"/>
      <c r="D89" s="1266"/>
      <c r="E89" s="18"/>
    </row>
    <row r="90" spans="1:7" ht="13.5" customHeight="1" x14ac:dyDescent="0.2">
      <c r="A90" s="137" t="s">
        <v>226</v>
      </c>
      <c r="B90" s="34" t="s">
        <v>199</v>
      </c>
      <c r="C90" s="1270">
        <v>134.56</v>
      </c>
      <c r="D90" s="1264"/>
    </row>
    <row r="91" spans="1:7" ht="13.5" customHeight="1" x14ac:dyDescent="0.2">
      <c r="A91" s="137" t="s">
        <v>226</v>
      </c>
      <c r="B91" s="34" t="s">
        <v>180</v>
      </c>
      <c r="C91" s="1270">
        <v>232.33</v>
      </c>
      <c r="D91" s="1264"/>
    </row>
    <row r="92" spans="1:7" ht="13.5" customHeight="1" x14ac:dyDescent="0.2">
      <c r="A92" s="137" t="s">
        <v>226</v>
      </c>
      <c r="B92" s="34" t="s">
        <v>7063</v>
      </c>
      <c r="C92" s="1263">
        <v>32</v>
      </c>
      <c r="D92" s="1264"/>
      <c r="E92" s="18"/>
    </row>
    <row r="93" spans="1:7" ht="13.5" customHeight="1" x14ac:dyDescent="0.2">
      <c r="A93" s="137" t="s">
        <v>226</v>
      </c>
      <c r="B93" s="34" t="s">
        <v>7072</v>
      </c>
      <c r="C93" s="1263">
        <v>34.659999999999997</v>
      </c>
      <c r="D93" s="1264"/>
      <c r="E93" s="18"/>
    </row>
    <row r="94" spans="1:7" ht="13.5" customHeight="1" x14ac:dyDescent="0.2">
      <c r="A94" s="137" t="s">
        <v>226</v>
      </c>
      <c r="B94" s="34" t="s">
        <v>6983</v>
      </c>
      <c r="C94" s="1263">
        <v>4.8</v>
      </c>
      <c r="D94" s="1264"/>
      <c r="E94" s="18"/>
    </row>
    <row r="95" spans="1:7" ht="13.5" customHeight="1" x14ac:dyDescent="0.2">
      <c r="A95" s="137" t="s">
        <v>242</v>
      </c>
      <c r="B95" s="34" t="s">
        <v>7068</v>
      </c>
      <c r="C95" s="1274">
        <v>2000</v>
      </c>
      <c r="D95" s="1262"/>
    </row>
    <row r="96" spans="1:7" ht="13.5" customHeight="1" x14ac:dyDescent="0.2">
      <c r="A96" s="137" t="s">
        <v>226</v>
      </c>
      <c r="B96" s="34" t="s">
        <v>228</v>
      </c>
      <c r="C96" s="1263">
        <v>203.02</v>
      </c>
      <c r="D96" s="1264"/>
      <c r="E96" s="18"/>
    </row>
    <row r="97" spans="1:5" ht="13.5" customHeight="1" x14ac:dyDescent="0.2">
      <c r="A97" s="137"/>
      <c r="B97" s="34"/>
      <c r="C97" s="1272">
        <f>SUM(C90:C96)</f>
        <v>2641.37</v>
      </c>
      <c r="D97" s="1264"/>
      <c r="E97" s="18"/>
    </row>
    <row r="98" spans="1:5" ht="13.5" customHeight="1" x14ac:dyDescent="0.2">
      <c r="A98" s="137"/>
      <c r="B98" s="34"/>
      <c r="C98" s="1263"/>
      <c r="D98" s="1264"/>
      <c r="E98" s="18"/>
    </row>
    <row r="99" spans="1:5" ht="13.5" customHeight="1" x14ac:dyDescent="0.2">
      <c r="A99" s="137" t="s">
        <v>229</v>
      </c>
      <c r="B99" s="34" t="s">
        <v>5732</v>
      </c>
      <c r="C99" s="1270">
        <v>37.4</v>
      </c>
      <c r="D99" s="1264"/>
    </row>
    <row r="100" spans="1:5" ht="13.5" customHeight="1" x14ac:dyDescent="0.2">
      <c r="A100" s="137" t="s">
        <v>229</v>
      </c>
      <c r="B100" s="34" t="s">
        <v>6951</v>
      </c>
      <c r="C100" s="1270">
        <v>200</v>
      </c>
      <c r="D100" s="1264"/>
    </row>
    <row r="101" spans="1:5" ht="13.5" customHeight="1" x14ac:dyDescent="0.2">
      <c r="A101" s="137" t="s">
        <v>229</v>
      </c>
      <c r="B101" s="34" t="s">
        <v>6079</v>
      </c>
      <c r="C101" s="1270">
        <v>900</v>
      </c>
      <c r="D101" s="1264"/>
    </row>
    <row r="102" spans="1:5" ht="13.5" customHeight="1" x14ac:dyDescent="0.2">
      <c r="A102" s="137" t="s">
        <v>229</v>
      </c>
      <c r="B102" s="34" t="s">
        <v>7051</v>
      </c>
      <c r="C102" s="1263">
        <v>13.5</v>
      </c>
      <c r="D102" s="1264"/>
    </row>
    <row r="103" spans="1:5" ht="13.5" customHeight="1" x14ac:dyDescent="0.2">
      <c r="A103" s="137" t="s">
        <v>229</v>
      </c>
      <c r="B103" s="34" t="s">
        <v>7051</v>
      </c>
      <c r="C103" s="1263">
        <v>20.9</v>
      </c>
      <c r="D103" s="1264"/>
    </row>
    <row r="104" spans="1:5" ht="13.5" customHeight="1" x14ac:dyDescent="0.2">
      <c r="A104" s="137" t="s">
        <v>229</v>
      </c>
      <c r="B104" s="36" t="s">
        <v>6975</v>
      </c>
      <c r="C104" s="1263">
        <v>7.8</v>
      </c>
      <c r="D104" s="1264"/>
    </row>
    <row r="105" spans="1:5" ht="13.5" customHeight="1" x14ac:dyDescent="0.2">
      <c r="A105" s="137" t="s">
        <v>229</v>
      </c>
      <c r="B105" s="34" t="s">
        <v>6999</v>
      </c>
      <c r="C105" s="1263">
        <v>13.7</v>
      </c>
      <c r="D105" s="1264"/>
    </row>
    <row r="106" spans="1:5" ht="13.5" customHeight="1" x14ac:dyDescent="0.2">
      <c r="A106" s="137" t="s">
        <v>229</v>
      </c>
      <c r="B106" s="34" t="s">
        <v>7030</v>
      </c>
      <c r="C106" s="1263">
        <v>7.98</v>
      </c>
      <c r="D106" s="1264"/>
    </row>
    <row r="107" spans="1:5" ht="13.5" customHeight="1" x14ac:dyDescent="0.2">
      <c r="A107" s="137" t="s">
        <v>229</v>
      </c>
      <c r="B107" s="34" t="s">
        <v>7002</v>
      </c>
      <c r="C107" s="1263">
        <v>800</v>
      </c>
      <c r="D107" s="1264"/>
    </row>
    <row r="108" spans="1:5" ht="13.5" customHeight="1" x14ac:dyDescent="0.2">
      <c r="A108" s="137"/>
      <c r="B108" s="34"/>
      <c r="C108" s="1272">
        <f>SUM(C99:C107)</f>
        <v>2001.2800000000002</v>
      </c>
      <c r="D108" s="1264">
        <f>C108/2</f>
        <v>1000.6400000000001</v>
      </c>
    </row>
    <row r="109" spans="1:5" ht="13.5" customHeight="1" x14ac:dyDescent="0.2">
      <c r="A109" s="137"/>
      <c r="B109" s="34"/>
      <c r="C109" s="1263"/>
      <c r="D109" s="1264"/>
    </row>
    <row r="110" spans="1:5" ht="13.5" customHeight="1" x14ac:dyDescent="0.2">
      <c r="A110" s="137" t="s">
        <v>418</v>
      </c>
      <c r="B110" s="34" t="s">
        <v>382</v>
      </c>
      <c r="C110" s="1271">
        <v>132.07499999999999</v>
      </c>
      <c r="D110" s="1270">
        <v>264.14999999999998</v>
      </c>
    </row>
    <row r="111" spans="1:5" ht="13.5" customHeight="1" x14ac:dyDescent="0.2">
      <c r="A111" s="137"/>
      <c r="B111" s="34" t="s">
        <v>177</v>
      </c>
      <c r="C111" s="1271">
        <v>132.07499999999999</v>
      </c>
      <c r="D111" s="1270"/>
    </row>
    <row r="112" spans="1:5" ht="13.5" customHeight="1" x14ac:dyDescent="0.2">
      <c r="A112" s="137"/>
      <c r="B112" s="34"/>
      <c r="C112" s="1275"/>
      <c r="D112" s="1270"/>
    </row>
    <row r="113" spans="1:4" ht="13.5" customHeight="1" x14ac:dyDescent="0.2">
      <c r="A113" s="137" t="s">
        <v>419</v>
      </c>
      <c r="B113" s="34" t="s">
        <v>394</v>
      </c>
      <c r="C113" s="1271">
        <v>718.005</v>
      </c>
      <c r="D113" s="1270">
        <v>1436.01</v>
      </c>
    </row>
    <row r="114" spans="1:4" ht="13.5" customHeight="1" x14ac:dyDescent="0.2">
      <c r="A114" s="137"/>
      <c r="B114" s="34" t="s">
        <v>198</v>
      </c>
      <c r="C114" s="1271">
        <v>718.005</v>
      </c>
      <c r="D114" s="1264"/>
    </row>
    <row r="115" spans="1:4" ht="13.5" customHeight="1" x14ac:dyDescent="0.2">
      <c r="A115" s="137"/>
      <c r="B115" s="34"/>
      <c r="C115" s="1270"/>
      <c r="D115" s="1264"/>
    </row>
    <row r="116" spans="1:4" ht="13.5" customHeight="1" x14ac:dyDescent="0.2">
      <c r="A116" s="137"/>
      <c r="B116" s="34"/>
      <c r="C116" s="1270"/>
      <c r="D116" s="1264"/>
    </row>
    <row r="117" spans="1:4" ht="13.5" customHeight="1" x14ac:dyDescent="0.2">
      <c r="A117" s="137" t="s">
        <v>232</v>
      </c>
      <c r="B117" s="34" t="s">
        <v>7139</v>
      </c>
      <c r="C117" s="1270">
        <v>749.6</v>
      </c>
      <c r="D117" s="1264"/>
    </row>
    <row r="118" spans="1:4" ht="13.5" customHeight="1" x14ac:dyDescent="0.2">
      <c r="A118" s="137" t="s">
        <v>232</v>
      </c>
      <c r="B118" s="34" t="s">
        <v>7140</v>
      </c>
      <c r="C118" s="1270">
        <v>393.36</v>
      </c>
      <c r="D118" s="1264"/>
    </row>
    <row r="119" spans="1:4" ht="13.5" customHeight="1" x14ac:dyDescent="0.2">
      <c r="A119" s="137" t="s">
        <v>232</v>
      </c>
      <c r="B119" s="34" t="s">
        <v>7141</v>
      </c>
      <c r="C119" s="1270">
        <v>393.36</v>
      </c>
      <c r="D119" s="1264"/>
    </row>
    <row r="120" spans="1:4" ht="13.5" customHeight="1" x14ac:dyDescent="0.2">
      <c r="A120" s="137" t="s">
        <v>232</v>
      </c>
      <c r="B120" s="34" t="s">
        <v>7142</v>
      </c>
      <c r="C120" s="1263">
        <v>14</v>
      </c>
      <c r="D120" s="1264"/>
    </row>
    <row r="121" spans="1:4" ht="13.5" customHeight="1" x14ac:dyDescent="0.2">
      <c r="A121" s="137" t="s">
        <v>232</v>
      </c>
      <c r="B121" s="34" t="s">
        <v>7142</v>
      </c>
      <c r="C121" s="1263">
        <v>14.7</v>
      </c>
      <c r="D121" s="1264"/>
    </row>
    <row r="122" spans="1:4" ht="13.5" customHeight="1" x14ac:dyDescent="0.2">
      <c r="A122" s="137" t="s">
        <v>232</v>
      </c>
      <c r="B122" s="34" t="s">
        <v>7143</v>
      </c>
      <c r="C122" s="1263">
        <v>10.5</v>
      </c>
      <c r="D122" s="1264"/>
    </row>
    <row r="123" spans="1:4" ht="13.5" customHeight="1" x14ac:dyDescent="0.2">
      <c r="A123" s="137" t="s">
        <v>232</v>
      </c>
      <c r="B123" s="34" t="s">
        <v>7144</v>
      </c>
      <c r="C123" s="1263">
        <v>10.5</v>
      </c>
      <c r="D123" s="1264"/>
    </row>
    <row r="124" spans="1:4" ht="13.5" customHeight="1" x14ac:dyDescent="0.2">
      <c r="A124" s="137" t="s">
        <v>232</v>
      </c>
      <c r="B124" s="34" t="s">
        <v>7145</v>
      </c>
      <c r="C124" s="1263">
        <v>3.48</v>
      </c>
      <c r="D124" s="1264"/>
    </row>
    <row r="125" spans="1:4" ht="13.5" customHeight="1" x14ac:dyDescent="0.2">
      <c r="A125" s="137" t="s">
        <v>232</v>
      </c>
      <c r="B125" s="34" t="s">
        <v>6959</v>
      </c>
      <c r="C125" s="1263">
        <v>18.96</v>
      </c>
      <c r="D125" s="1264"/>
    </row>
    <row r="126" spans="1:4" ht="13.5" customHeight="1" x14ac:dyDescent="0.2">
      <c r="A126" s="137" t="s">
        <v>232</v>
      </c>
      <c r="B126" s="34" t="s">
        <v>6960</v>
      </c>
      <c r="C126" s="1263">
        <v>4.8499999999999996</v>
      </c>
      <c r="D126" s="1264"/>
    </row>
    <row r="127" spans="1:4" ht="13.5" customHeight="1" x14ac:dyDescent="0.2">
      <c r="A127" s="137" t="s">
        <v>232</v>
      </c>
      <c r="B127" s="34" t="s">
        <v>6960</v>
      </c>
      <c r="C127" s="1263">
        <v>19.399999999999999</v>
      </c>
      <c r="D127" s="1264"/>
    </row>
    <row r="128" spans="1:4" ht="13.5" customHeight="1" x14ac:dyDescent="0.2">
      <c r="A128" s="137" t="s">
        <v>232</v>
      </c>
      <c r="B128" s="34" t="s">
        <v>855</v>
      </c>
      <c r="C128" s="1263">
        <v>350</v>
      </c>
      <c r="D128" s="1264"/>
    </row>
    <row r="129" spans="1:4" ht="13.5" customHeight="1" x14ac:dyDescent="0.2">
      <c r="A129" s="137" t="s">
        <v>232</v>
      </c>
      <c r="B129" s="34" t="s">
        <v>855</v>
      </c>
      <c r="C129" s="1263">
        <v>350</v>
      </c>
      <c r="D129" s="1264"/>
    </row>
    <row r="130" spans="1:4" ht="13.5" customHeight="1" x14ac:dyDescent="0.2">
      <c r="A130" s="137" t="s">
        <v>232</v>
      </c>
      <c r="B130" s="34" t="s">
        <v>855</v>
      </c>
      <c r="C130" s="1263">
        <v>350</v>
      </c>
      <c r="D130" s="1264"/>
    </row>
    <row r="131" spans="1:4" ht="13.5" customHeight="1" x14ac:dyDescent="0.2">
      <c r="A131" s="137" t="s">
        <v>232</v>
      </c>
      <c r="B131" s="34" t="s">
        <v>855</v>
      </c>
      <c r="C131" s="1263">
        <v>350</v>
      </c>
      <c r="D131" s="1264"/>
    </row>
    <row r="132" spans="1:4" ht="13.5" customHeight="1" x14ac:dyDescent="0.2">
      <c r="A132" s="137" t="s">
        <v>232</v>
      </c>
      <c r="B132" s="34" t="s">
        <v>107</v>
      </c>
      <c r="C132" s="1263">
        <v>200</v>
      </c>
      <c r="D132" s="1264"/>
    </row>
    <row r="133" spans="1:4" ht="13.5" customHeight="1" x14ac:dyDescent="0.2">
      <c r="A133" s="137" t="s">
        <v>232</v>
      </c>
      <c r="B133" s="34" t="s">
        <v>6844</v>
      </c>
      <c r="C133" s="1263">
        <v>180</v>
      </c>
      <c r="D133" s="1264"/>
    </row>
    <row r="134" spans="1:4" ht="13.5" customHeight="1" x14ac:dyDescent="0.2">
      <c r="A134" s="137" t="s">
        <v>232</v>
      </c>
      <c r="B134" s="34" t="s">
        <v>173</v>
      </c>
      <c r="C134" s="1270">
        <v>504.83</v>
      </c>
      <c r="D134" s="1264"/>
    </row>
    <row r="135" spans="1:4" ht="13.5" customHeight="1" x14ac:dyDescent="0.2">
      <c r="A135" s="137" t="s">
        <v>232</v>
      </c>
      <c r="B135" s="21" t="s">
        <v>172</v>
      </c>
      <c r="C135" s="1270">
        <v>331.26</v>
      </c>
      <c r="D135" s="1264"/>
    </row>
    <row r="136" spans="1:4" ht="13.5" customHeight="1" x14ac:dyDescent="0.2">
      <c r="A136" s="137" t="s">
        <v>232</v>
      </c>
      <c r="B136" s="34" t="s">
        <v>7146</v>
      </c>
      <c r="C136" s="1263">
        <v>120</v>
      </c>
      <c r="D136" s="1264"/>
    </row>
    <row r="137" spans="1:4" ht="13.5" customHeight="1" x14ac:dyDescent="0.2">
      <c r="A137" s="137" t="s">
        <v>232</v>
      </c>
      <c r="B137" s="34" t="s">
        <v>7147</v>
      </c>
      <c r="C137" s="1270">
        <v>100</v>
      </c>
      <c r="D137" s="1264"/>
    </row>
    <row r="138" spans="1:4" ht="13.5" customHeight="1" x14ac:dyDescent="0.2">
      <c r="A138" s="137"/>
      <c r="B138" s="34"/>
      <c r="C138" s="1270">
        <f>SUM(C117:C137)</f>
        <v>4468.8</v>
      </c>
      <c r="D138" s="1268">
        <f>C138/2</f>
        <v>2234.4</v>
      </c>
    </row>
    <row r="139" spans="1:4" ht="13.5" customHeight="1" x14ac:dyDescent="0.2">
      <c r="A139" s="137"/>
      <c r="B139" s="34"/>
      <c r="C139" s="1270"/>
      <c r="D139" s="1264"/>
    </row>
    <row r="140" spans="1:4" ht="13.5" customHeight="1" x14ac:dyDescent="0.2">
      <c r="A140" s="137" t="s">
        <v>234</v>
      </c>
      <c r="B140" s="34" t="s">
        <v>7124</v>
      </c>
      <c r="C140" s="1265">
        <v>7</v>
      </c>
      <c r="D140" s="1266"/>
    </row>
    <row r="141" spans="1:4" ht="13.5" customHeight="1" x14ac:dyDescent="0.2">
      <c r="A141" s="137" t="s">
        <v>234</v>
      </c>
      <c r="B141" s="34" t="s">
        <v>7062</v>
      </c>
      <c r="C141" s="1263">
        <v>11</v>
      </c>
      <c r="D141" s="1264"/>
    </row>
    <row r="142" spans="1:4" ht="13.5" customHeight="1" x14ac:dyDescent="0.2">
      <c r="A142" s="137" t="s">
        <v>234</v>
      </c>
      <c r="B142" s="34" t="s">
        <v>7071</v>
      </c>
      <c r="C142" s="1263">
        <v>15</v>
      </c>
      <c r="D142" s="1264"/>
    </row>
    <row r="143" spans="1:4" ht="13.5" customHeight="1" x14ac:dyDescent="0.2">
      <c r="A143" s="137" t="s">
        <v>234</v>
      </c>
      <c r="B143" s="34" t="s">
        <v>701</v>
      </c>
      <c r="C143" s="1263">
        <v>8.5</v>
      </c>
      <c r="D143" s="1264"/>
    </row>
    <row r="144" spans="1:4" ht="13.5" customHeight="1" x14ac:dyDescent="0.2">
      <c r="A144" s="137" t="s">
        <v>234</v>
      </c>
      <c r="B144" s="34" t="s">
        <v>7003</v>
      </c>
      <c r="C144" s="1263">
        <v>5.5</v>
      </c>
      <c r="D144" s="1264"/>
    </row>
    <row r="145" spans="1:5" ht="13.5" customHeight="1" x14ac:dyDescent="0.2">
      <c r="A145" s="137" t="s">
        <v>234</v>
      </c>
      <c r="B145" s="34" t="s">
        <v>7036</v>
      </c>
      <c r="C145" s="1263">
        <v>24.4</v>
      </c>
      <c r="D145" s="1264"/>
    </row>
    <row r="146" spans="1:5" ht="13.5" customHeight="1" x14ac:dyDescent="0.2">
      <c r="A146" s="137" t="s">
        <v>234</v>
      </c>
      <c r="B146" s="34" t="s">
        <v>7021</v>
      </c>
      <c r="C146" s="1263">
        <v>3.6</v>
      </c>
      <c r="D146" s="1264"/>
    </row>
    <row r="147" spans="1:5" ht="13.5" customHeight="1" x14ac:dyDescent="0.2">
      <c r="A147" s="137" t="s">
        <v>234</v>
      </c>
      <c r="B147" s="34" t="s">
        <v>7053</v>
      </c>
      <c r="C147" s="1263">
        <v>14.8</v>
      </c>
      <c r="D147" s="1264"/>
    </row>
    <row r="148" spans="1:5" ht="13.5" customHeight="1" x14ac:dyDescent="0.2">
      <c r="A148" s="137" t="s">
        <v>234</v>
      </c>
      <c r="B148" s="34" t="s">
        <v>692</v>
      </c>
      <c r="C148" s="1263">
        <v>23.2</v>
      </c>
      <c r="D148" s="1264"/>
    </row>
    <row r="149" spans="1:5" ht="13.5" customHeight="1" x14ac:dyDescent="0.2">
      <c r="A149" s="137" t="s">
        <v>234</v>
      </c>
      <c r="B149" s="34" t="s">
        <v>7070</v>
      </c>
      <c r="C149" s="1263">
        <v>9.35</v>
      </c>
      <c r="D149" s="1264"/>
      <c r="E149" s="18"/>
    </row>
    <row r="150" spans="1:5" ht="13.5" customHeight="1" x14ac:dyDescent="0.2">
      <c r="A150" s="137" t="s">
        <v>234</v>
      </c>
      <c r="B150" s="34" t="s">
        <v>7069</v>
      </c>
      <c r="C150" s="1263">
        <v>24</v>
      </c>
      <c r="D150" s="1264"/>
    </row>
    <row r="151" spans="1:5" ht="13.5" customHeight="1" x14ac:dyDescent="0.2">
      <c r="A151" s="137" t="s">
        <v>234</v>
      </c>
      <c r="B151" s="34" t="s">
        <v>7011</v>
      </c>
      <c r="C151" s="1263">
        <v>47</v>
      </c>
      <c r="D151" s="1264"/>
    </row>
    <row r="152" spans="1:5" ht="13.5" customHeight="1" x14ac:dyDescent="0.2">
      <c r="A152" s="137" t="s">
        <v>234</v>
      </c>
      <c r="B152" s="36" t="s">
        <v>7128</v>
      </c>
      <c r="C152" s="1276">
        <v>10</v>
      </c>
      <c r="D152" s="1276"/>
    </row>
    <row r="153" spans="1:5" ht="13.5" customHeight="1" x14ac:dyDescent="0.2">
      <c r="A153" s="137" t="s">
        <v>234</v>
      </c>
      <c r="B153" s="36" t="s">
        <v>7075</v>
      </c>
      <c r="C153" s="1274">
        <v>193.1</v>
      </c>
      <c r="D153" s="1262"/>
    </row>
    <row r="154" spans="1:5" ht="13.5" customHeight="1" x14ac:dyDescent="0.2">
      <c r="A154" s="137" t="s">
        <v>234</v>
      </c>
      <c r="B154" s="36" t="s">
        <v>7075</v>
      </c>
      <c r="C154" s="1274">
        <v>137.25</v>
      </c>
      <c r="D154" s="1262"/>
    </row>
    <row r="155" spans="1:5" ht="13.5" customHeight="1" x14ac:dyDescent="0.2">
      <c r="A155" s="137" t="s">
        <v>234</v>
      </c>
      <c r="B155" s="36" t="s">
        <v>7039</v>
      </c>
      <c r="C155" s="1274">
        <v>122.9</v>
      </c>
      <c r="D155" s="1262"/>
    </row>
    <row r="156" spans="1:5" ht="13.5" customHeight="1" x14ac:dyDescent="0.2">
      <c r="A156" s="137"/>
      <c r="B156" s="34"/>
      <c r="C156" s="1277">
        <f>SUM(C140:C155)</f>
        <v>656.6</v>
      </c>
      <c r="D156" s="1262"/>
    </row>
    <row r="157" spans="1:5" ht="13.5" customHeight="1" x14ac:dyDescent="0.2">
      <c r="A157" s="137"/>
      <c r="B157" s="34"/>
      <c r="C157" s="1274"/>
      <c r="D157" s="1262"/>
    </row>
    <row r="158" spans="1:5" ht="13.5" customHeight="1" x14ac:dyDescent="0.2">
      <c r="A158" s="137" t="s">
        <v>234</v>
      </c>
      <c r="B158" s="34" t="s">
        <v>6978</v>
      </c>
      <c r="C158" s="1261">
        <v>4.4000000000000004</v>
      </c>
      <c r="D158" s="1262"/>
    </row>
    <row r="159" spans="1:5" ht="13.5" customHeight="1" x14ac:dyDescent="0.2">
      <c r="A159" s="137" t="s">
        <v>234</v>
      </c>
      <c r="B159" s="36" t="s">
        <v>1292</v>
      </c>
      <c r="C159" s="1261">
        <v>16.75</v>
      </c>
      <c r="D159" s="1262"/>
    </row>
    <row r="160" spans="1:5" ht="13.5" customHeight="1" x14ac:dyDescent="0.2">
      <c r="A160" s="137" t="s">
        <v>234</v>
      </c>
      <c r="B160" s="36" t="s">
        <v>6988</v>
      </c>
      <c r="C160" s="1261">
        <v>72.05</v>
      </c>
      <c r="D160" s="1262"/>
    </row>
    <row r="161" spans="1:5" ht="13.5" customHeight="1" x14ac:dyDescent="0.2">
      <c r="A161" s="137" t="s">
        <v>234</v>
      </c>
      <c r="B161" s="36" t="s">
        <v>6982</v>
      </c>
      <c r="C161" s="1261">
        <v>1.5</v>
      </c>
      <c r="D161" s="1262"/>
    </row>
    <row r="162" spans="1:5" ht="13.5" customHeight="1" x14ac:dyDescent="0.2">
      <c r="A162" s="137" t="s">
        <v>234</v>
      </c>
      <c r="B162" s="36" t="s">
        <v>7054</v>
      </c>
      <c r="C162" s="1261">
        <v>5.25</v>
      </c>
      <c r="D162" s="1262"/>
    </row>
    <row r="163" spans="1:5" ht="13.5" customHeight="1" x14ac:dyDescent="0.2">
      <c r="A163" s="137" t="s">
        <v>234</v>
      </c>
      <c r="B163" s="36" t="s">
        <v>7004</v>
      </c>
      <c r="C163" s="1261">
        <v>8.9</v>
      </c>
      <c r="D163" s="1262"/>
      <c r="E163" s="18"/>
    </row>
    <row r="164" spans="1:5" ht="13.5" customHeight="1" x14ac:dyDescent="0.2">
      <c r="A164" s="137" t="s">
        <v>234</v>
      </c>
      <c r="B164" s="34" t="s">
        <v>6979</v>
      </c>
      <c r="C164" s="1261">
        <v>13.65</v>
      </c>
      <c r="D164" s="1262"/>
    </row>
    <row r="165" spans="1:5" ht="13.5" customHeight="1" x14ac:dyDescent="0.2">
      <c r="A165" s="137" t="s">
        <v>234</v>
      </c>
      <c r="B165" s="34" t="s">
        <v>6984</v>
      </c>
      <c r="C165" s="1261">
        <v>25.9</v>
      </c>
      <c r="D165" s="1262"/>
    </row>
    <row r="166" spans="1:5" ht="13.5" customHeight="1" x14ac:dyDescent="0.2">
      <c r="A166" s="137" t="s">
        <v>234</v>
      </c>
      <c r="B166" s="36" t="s">
        <v>7033</v>
      </c>
      <c r="C166" s="1261">
        <v>22.6</v>
      </c>
      <c r="D166" s="1262"/>
    </row>
    <row r="167" spans="1:5" ht="13.5" customHeight="1" x14ac:dyDescent="0.2">
      <c r="A167" s="137" t="s">
        <v>234</v>
      </c>
      <c r="B167" s="34" t="s">
        <v>6985</v>
      </c>
      <c r="C167" s="1261">
        <v>7.3</v>
      </c>
      <c r="D167" s="1262"/>
    </row>
    <row r="168" spans="1:5" ht="13.5" customHeight="1" x14ac:dyDescent="0.2">
      <c r="A168" s="137" t="s">
        <v>234</v>
      </c>
      <c r="B168" s="36" t="s">
        <v>7014</v>
      </c>
      <c r="C168" s="1261">
        <v>7</v>
      </c>
      <c r="D168" s="1262"/>
    </row>
    <row r="169" spans="1:5" ht="13.5" customHeight="1" x14ac:dyDescent="0.2">
      <c r="A169" s="137" t="s">
        <v>234</v>
      </c>
      <c r="B169" s="36" t="s">
        <v>6981</v>
      </c>
      <c r="C169" s="1261">
        <v>4</v>
      </c>
      <c r="D169" s="1262"/>
    </row>
    <row r="170" spans="1:5" ht="13.5" customHeight="1" x14ac:dyDescent="0.2">
      <c r="A170" s="137" t="s">
        <v>234</v>
      </c>
      <c r="B170" s="36" t="s">
        <v>6986</v>
      </c>
      <c r="C170" s="1261">
        <v>3.5</v>
      </c>
      <c r="D170" s="1262"/>
    </row>
    <row r="171" spans="1:5" ht="13.5" customHeight="1" x14ac:dyDescent="0.2">
      <c r="A171" s="137" t="s">
        <v>234</v>
      </c>
      <c r="B171" s="36" t="s">
        <v>7055</v>
      </c>
      <c r="C171" s="1261">
        <v>1</v>
      </c>
      <c r="D171" s="1262"/>
    </row>
    <row r="172" spans="1:5" ht="13.5" customHeight="1" x14ac:dyDescent="0.2">
      <c r="A172" s="137" t="s">
        <v>234</v>
      </c>
      <c r="B172" s="36" t="s">
        <v>7045</v>
      </c>
      <c r="C172" s="1261">
        <v>15</v>
      </c>
      <c r="D172" s="1262"/>
    </row>
    <row r="173" spans="1:5" ht="13.5" customHeight="1" x14ac:dyDescent="0.2">
      <c r="A173" s="137" t="s">
        <v>234</v>
      </c>
      <c r="B173" s="34" t="s">
        <v>6980</v>
      </c>
      <c r="C173" s="1261">
        <v>8.6999999999999993</v>
      </c>
      <c r="D173" s="1262"/>
    </row>
    <row r="174" spans="1:5" ht="13.5" customHeight="1" x14ac:dyDescent="0.2">
      <c r="A174" s="137" t="s">
        <v>234</v>
      </c>
      <c r="B174" s="36" t="s">
        <v>7061</v>
      </c>
      <c r="C174" s="1261">
        <v>14</v>
      </c>
      <c r="D174" s="1262"/>
    </row>
    <row r="175" spans="1:5" ht="13.5" customHeight="1" x14ac:dyDescent="0.2">
      <c r="A175" s="137" t="s">
        <v>234</v>
      </c>
      <c r="B175" s="36" t="s">
        <v>7081</v>
      </c>
      <c r="C175" s="1274">
        <v>291.74</v>
      </c>
      <c r="D175" s="1262"/>
    </row>
    <row r="176" spans="1:5" ht="13.5" customHeight="1" x14ac:dyDescent="0.2">
      <c r="A176" s="137"/>
      <c r="B176" s="34"/>
      <c r="C176" s="1277">
        <f>SUM(C158:C175)</f>
        <v>523.24</v>
      </c>
      <c r="D176" s="1262"/>
    </row>
    <row r="177" spans="1:5" ht="13.5" customHeight="1" x14ac:dyDescent="0.2">
      <c r="A177" s="137"/>
      <c r="B177" s="34"/>
      <c r="C177" s="1274"/>
      <c r="D177" s="1262"/>
    </row>
    <row r="178" spans="1:5" ht="13.5" customHeight="1" x14ac:dyDescent="0.2">
      <c r="A178" s="137" t="s">
        <v>235</v>
      </c>
      <c r="B178" s="34" t="s">
        <v>195</v>
      </c>
      <c r="C178" s="1274">
        <v>909.13</v>
      </c>
      <c r="D178" s="1262"/>
    </row>
    <row r="179" spans="1:5" ht="13.5" customHeight="1" x14ac:dyDescent="0.2">
      <c r="A179" s="137" t="s">
        <v>235</v>
      </c>
      <c r="B179" s="36" t="s">
        <v>194</v>
      </c>
      <c r="C179" s="1274">
        <v>196.98</v>
      </c>
      <c r="D179" s="1262"/>
    </row>
    <row r="180" spans="1:5" ht="13.5" customHeight="1" x14ac:dyDescent="0.2">
      <c r="A180" s="137"/>
      <c r="B180" s="36"/>
      <c r="C180" s="1277">
        <f>SUM(C178:C179)</f>
        <v>1106.1099999999999</v>
      </c>
      <c r="D180" s="1262"/>
    </row>
    <row r="181" spans="1:5" ht="13.5" customHeight="1" x14ac:dyDescent="0.2">
      <c r="A181" s="137"/>
      <c r="B181" s="36"/>
      <c r="C181" s="1274"/>
      <c r="D181" s="1262"/>
    </row>
    <row r="182" spans="1:5" ht="13.5" customHeight="1" x14ac:dyDescent="0.2">
      <c r="A182" s="137" t="s">
        <v>236</v>
      </c>
      <c r="B182" s="56" t="s">
        <v>1002</v>
      </c>
      <c r="C182" s="1276">
        <v>640.11</v>
      </c>
      <c r="D182" s="1276"/>
    </row>
    <row r="183" spans="1:5" ht="13.5" customHeight="1" x14ac:dyDescent="0.2">
      <c r="A183" s="137" t="s">
        <v>236</v>
      </c>
      <c r="B183" s="56" t="s">
        <v>1002</v>
      </c>
      <c r="C183" s="1276">
        <v>4615.4400000000005</v>
      </c>
      <c r="D183" s="1276"/>
    </row>
    <row r="184" spans="1:5" ht="13.5" customHeight="1" x14ac:dyDescent="0.2">
      <c r="A184" s="137" t="s">
        <v>236</v>
      </c>
      <c r="B184" s="36" t="s">
        <v>7041</v>
      </c>
      <c r="C184" s="1274">
        <v>300</v>
      </c>
      <c r="D184" s="1262"/>
    </row>
    <row r="185" spans="1:5" ht="13.5" customHeight="1" x14ac:dyDescent="0.2">
      <c r="A185" s="137" t="s">
        <v>236</v>
      </c>
      <c r="B185" s="34" t="s">
        <v>130</v>
      </c>
      <c r="C185" s="1274">
        <v>141.27000000000001</v>
      </c>
      <c r="D185" s="1262"/>
    </row>
    <row r="186" spans="1:5" ht="13.5" customHeight="1" x14ac:dyDescent="0.2">
      <c r="A186" s="137" t="s">
        <v>236</v>
      </c>
      <c r="B186" s="36" t="s">
        <v>53</v>
      </c>
      <c r="C186" s="1274">
        <v>511.71</v>
      </c>
      <c r="D186" s="1262"/>
    </row>
    <row r="187" spans="1:5" ht="13.5" customHeight="1" x14ac:dyDescent="0.2">
      <c r="A187" s="137" t="s">
        <v>236</v>
      </c>
      <c r="B187" s="36" t="s">
        <v>6993</v>
      </c>
      <c r="C187" s="1274">
        <v>500</v>
      </c>
      <c r="D187" s="1262"/>
    </row>
    <row r="188" spans="1:5" ht="13.5" customHeight="1" x14ac:dyDescent="0.2">
      <c r="A188" s="137" t="s">
        <v>236</v>
      </c>
      <c r="B188" s="36" t="s">
        <v>55</v>
      </c>
      <c r="C188" s="1274">
        <v>350</v>
      </c>
      <c r="D188" s="1262"/>
    </row>
    <row r="189" spans="1:5" ht="13.5" customHeight="1" x14ac:dyDescent="0.2">
      <c r="A189" s="137" t="s">
        <v>236</v>
      </c>
      <c r="B189" s="34" t="s">
        <v>7038</v>
      </c>
      <c r="C189" s="1274">
        <v>367.26</v>
      </c>
      <c r="D189" s="1262"/>
    </row>
    <row r="190" spans="1:5" ht="13.5" customHeight="1" x14ac:dyDescent="0.2">
      <c r="A190" s="137" t="s">
        <v>236</v>
      </c>
      <c r="B190" s="36" t="s">
        <v>7026</v>
      </c>
      <c r="C190" s="1274">
        <v>14.08</v>
      </c>
      <c r="D190" s="1262"/>
    </row>
    <row r="191" spans="1:5" ht="13.5" customHeight="1" x14ac:dyDescent="0.2">
      <c r="A191" s="137" t="s">
        <v>236</v>
      </c>
      <c r="B191" s="36" t="s">
        <v>7048</v>
      </c>
      <c r="C191" s="1274">
        <v>1374.78</v>
      </c>
      <c r="D191" s="1262"/>
      <c r="E191" s="18"/>
    </row>
    <row r="192" spans="1:5" ht="13.5" customHeight="1" x14ac:dyDescent="0.2">
      <c r="A192" s="137" t="s">
        <v>236</v>
      </c>
      <c r="B192" s="34" t="s">
        <v>7067</v>
      </c>
      <c r="C192" s="1274">
        <v>2000</v>
      </c>
      <c r="D192" s="1262"/>
      <c r="E192" s="18"/>
    </row>
    <row r="193" spans="1:7" ht="13.5" customHeight="1" x14ac:dyDescent="0.2">
      <c r="A193" s="137" t="s">
        <v>236</v>
      </c>
      <c r="B193" s="36" t="s">
        <v>7065</v>
      </c>
      <c r="C193" s="1274">
        <v>278.57</v>
      </c>
      <c r="D193" s="1262"/>
    </row>
    <row r="194" spans="1:7" ht="13.5" customHeight="1" x14ac:dyDescent="0.2">
      <c r="A194" s="137" t="s">
        <v>236</v>
      </c>
      <c r="B194" s="36" t="s">
        <v>133</v>
      </c>
      <c r="C194" s="1274">
        <v>685.17</v>
      </c>
      <c r="D194" s="1262"/>
    </row>
    <row r="195" spans="1:7" ht="13.5" customHeight="1" x14ac:dyDescent="0.2">
      <c r="A195" s="137" t="s">
        <v>236</v>
      </c>
      <c r="B195" s="34" t="s">
        <v>82</v>
      </c>
      <c r="C195" s="1274">
        <v>306.79000000000002</v>
      </c>
      <c r="D195" s="1262"/>
    </row>
    <row r="196" spans="1:7" ht="13.5" customHeight="1" x14ac:dyDescent="0.2">
      <c r="A196" s="137" t="s">
        <v>236</v>
      </c>
      <c r="B196" s="36" t="s">
        <v>18</v>
      </c>
      <c r="C196" s="1274">
        <v>349.97</v>
      </c>
      <c r="D196" s="1262"/>
    </row>
    <row r="197" spans="1:7" ht="13.5" customHeight="1" x14ac:dyDescent="0.2">
      <c r="A197" s="137" t="s">
        <v>236</v>
      </c>
      <c r="B197" s="36" t="s">
        <v>114</v>
      </c>
      <c r="C197" s="1274">
        <v>213.84</v>
      </c>
      <c r="D197" s="1262"/>
    </row>
    <row r="198" spans="1:7" ht="13.5" customHeight="1" x14ac:dyDescent="0.2">
      <c r="A198" s="137" t="s">
        <v>236</v>
      </c>
      <c r="B198" s="36" t="s">
        <v>6977</v>
      </c>
      <c r="C198" s="1261">
        <v>6.3</v>
      </c>
      <c r="D198" s="1262"/>
    </row>
    <row r="199" spans="1:7" ht="13.5" customHeight="1" x14ac:dyDescent="0.2">
      <c r="A199" s="137"/>
      <c r="B199" s="36"/>
      <c r="C199" s="1278">
        <f>SUM(C182:C198)</f>
        <v>12655.29</v>
      </c>
      <c r="D199" s="1279">
        <f>C199-5986.28-2996.29</f>
        <v>3672.7200000000012</v>
      </c>
    </row>
    <row r="200" spans="1:7" ht="13.5" customHeight="1" x14ac:dyDescent="0.2">
      <c r="A200" s="137"/>
      <c r="B200" s="36"/>
      <c r="C200" s="1261"/>
      <c r="D200" s="1262"/>
    </row>
    <row r="201" spans="1:7" ht="13.5" customHeight="1" x14ac:dyDescent="0.2">
      <c r="A201" s="137" t="s">
        <v>236</v>
      </c>
      <c r="B201" s="36" t="s">
        <v>866</v>
      </c>
      <c r="C201" s="1278">
        <v>5000</v>
      </c>
      <c r="D201" s="1262"/>
    </row>
    <row r="202" spans="1:7" ht="13.5" customHeight="1" x14ac:dyDescent="0.2">
      <c r="A202" s="137"/>
      <c r="B202" s="36"/>
      <c r="C202" s="1261"/>
      <c r="D202" s="1262"/>
    </row>
    <row r="203" spans="1:7" ht="13.5" customHeight="1" x14ac:dyDescent="0.2">
      <c r="A203" s="137"/>
      <c r="B203" s="36"/>
      <c r="C203" s="1261"/>
      <c r="D203" s="1262"/>
      <c r="F203" s="34"/>
      <c r="G203" s="1261"/>
    </row>
    <row r="204" spans="1:7" ht="13.5" customHeight="1" x14ac:dyDescent="0.2">
      <c r="A204" s="137" t="s">
        <v>237</v>
      </c>
      <c r="B204" s="36" t="s">
        <v>7094</v>
      </c>
      <c r="C204" s="1274">
        <v>215</v>
      </c>
      <c r="D204" s="1262"/>
      <c r="F204" s="34" t="s">
        <v>7085</v>
      </c>
      <c r="G204" s="1261">
        <v>480</v>
      </c>
    </row>
    <row r="205" spans="1:7" ht="13.5" customHeight="1" x14ac:dyDescent="0.2">
      <c r="A205" s="137" t="s">
        <v>237</v>
      </c>
      <c r="B205" s="36" t="s">
        <v>422</v>
      </c>
      <c r="C205" s="1274">
        <v>250</v>
      </c>
      <c r="D205" s="1262"/>
      <c r="F205" s="34" t="s">
        <v>7044</v>
      </c>
      <c r="G205" s="1261">
        <v>20</v>
      </c>
    </row>
    <row r="206" spans="1:7" ht="13.5" customHeight="1" x14ac:dyDescent="0.2">
      <c r="A206" s="137"/>
      <c r="B206" s="222"/>
      <c r="C206" s="1278">
        <f>SUM(C204:C205)</f>
        <v>465</v>
      </c>
      <c r="D206" s="1280"/>
    </row>
    <row r="207" spans="1:7" ht="13.5" customHeight="1" x14ac:dyDescent="0.2">
      <c r="A207" s="137"/>
      <c r="B207" s="36"/>
      <c r="C207" s="1274"/>
      <c r="D207" s="1262"/>
    </row>
    <row r="208" spans="1:7" ht="13.5" customHeight="1" x14ac:dyDescent="0.2">
      <c r="A208" s="137" t="s">
        <v>237</v>
      </c>
      <c r="B208" s="36" t="s">
        <v>423</v>
      </c>
      <c r="C208" s="1277">
        <v>250</v>
      </c>
      <c r="D208" s="1262"/>
    </row>
    <row r="209" spans="1:4" ht="13.5" customHeight="1" x14ac:dyDescent="0.2">
      <c r="A209" s="137"/>
      <c r="B209" s="34"/>
      <c r="C209" s="1261"/>
      <c r="D209" s="1280"/>
    </row>
    <row r="210" spans="1:4" ht="13.5" customHeight="1" x14ac:dyDescent="0.2">
      <c r="A210" s="137" t="s">
        <v>238</v>
      </c>
      <c r="B210" s="34" t="s">
        <v>5558</v>
      </c>
      <c r="C210" s="1274">
        <v>0.27</v>
      </c>
      <c r="D210" s="1280"/>
    </row>
    <row r="211" spans="1:4" ht="13.5" customHeight="1" x14ac:dyDescent="0.2">
      <c r="A211" s="137" t="s">
        <v>238</v>
      </c>
      <c r="B211" s="34" t="s">
        <v>20</v>
      </c>
      <c r="C211" s="1261">
        <v>-0.03</v>
      </c>
      <c r="D211" s="1280"/>
    </row>
    <row r="212" spans="1:4" ht="13.5" customHeight="1" x14ac:dyDescent="0.2">
      <c r="A212" s="137" t="s">
        <v>238</v>
      </c>
      <c r="B212" s="34" t="s">
        <v>20</v>
      </c>
      <c r="C212" s="1261">
        <v>-0.03</v>
      </c>
      <c r="D212" s="1280"/>
    </row>
    <row r="213" spans="1:4" ht="13.5" customHeight="1" x14ac:dyDescent="0.2">
      <c r="A213" s="137" t="s">
        <v>238</v>
      </c>
      <c r="B213" s="34" t="s">
        <v>86</v>
      </c>
      <c r="C213" s="1274">
        <v>78</v>
      </c>
      <c r="D213" s="1280"/>
    </row>
    <row r="214" spans="1:4" ht="13.5" customHeight="1" x14ac:dyDescent="0.2">
      <c r="A214" s="137" t="s">
        <v>238</v>
      </c>
      <c r="B214" s="34" t="s">
        <v>86</v>
      </c>
      <c r="C214" s="1274">
        <v>69</v>
      </c>
      <c r="D214" s="1280"/>
    </row>
    <row r="215" spans="1:4" ht="13.5" customHeight="1" x14ac:dyDescent="0.2">
      <c r="A215" s="137" t="s">
        <v>238</v>
      </c>
      <c r="B215" s="34" t="s">
        <v>86</v>
      </c>
      <c r="C215" s="1274">
        <v>11.9</v>
      </c>
      <c r="D215" s="1280"/>
    </row>
    <row r="216" spans="1:4" ht="13.5" customHeight="1" x14ac:dyDescent="0.2">
      <c r="A216" s="137"/>
      <c r="B216" s="34"/>
      <c r="C216" s="1281">
        <f>SUM(C210:C215)</f>
        <v>159.10999999999999</v>
      </c>
      <c r="D216" s="1282">
        <f>C216/2</f>
        <v>79.554999999999993</v>
      </c>
    </row>
    <row r="217" spans="1:4" ht="13.5" customHeight="1" x14ac:dyDescent="0.2">
      <c r="A217" s="137"/>
      <c r="B217" s="34"/>
      <c r="C217" s="1274"/>
      <c r="D217" s="1280"/>
    </row>
    <row r="218" spans="1:4" ht="13.5" customHeight="1" x14ac:dyDescent="0.2">
      <c r="A218" s="137" t="s">
        <v>239</v>
      </c>
      <c r="B218" s="34" t="s">
        <v>7125</v>
      </c>
      <c r="C218" s="1276">
        <v>100</v>
      </c>
      <c r="D218" s="1283"/>
    </row>
    <row r="219" spans="1:4" ht="13.5" customHeight="1" x14ac:dyDescent="0.2">
      <c r="A219" s="137" t="s">
        <v>239</v>
      </c>
      <c r="B219" s="34" t="s">
        <v>7127</v>
      </c>
      <c r="C219" s="1276">
        <v>274</v>
      </c>
      <c r="D219" s="1283"/>
    </row>
    <row r="220" spans="1:4" ht="13.5" customHeight="1" x14ac:dyDescent="0.2">
      <c r="A220" s="137" t="s">
        <v>239</v>
      </c>
      <c r="B220" s="34" t="s">
        <v>5196</v>
      </c>
      <c r="C220" s="1274">
        <v>250</v>
      </c>
      <c r="D220" s="1280"/>
    </row>
    <row r="221" spans="1:4" ht="13.5" customHeight="1" x14ac:dyDescent="0.2">
      <c r="A221" s="137" t="s">
        <v>239</v>
      </c>
      <c r="B221" s="34" t="s">
        <v>5196</v>
      </c>
      <c r="C221" s="1274">
        <v>140</v>
      </c>
      <c r="D221" s="1280"/>
    </row>
    <row r="222" spans="1:4" ht="13.5" customHeight="1" x14ac:dyDescent="0.2">
      <c r="A222" s="137" t="s">
        <v>239</v>
      </c>
      <c r="B222" s="34" t="s">
        <v>5196</v>
      </c>
      <c r="C222" s="1274">
        <v>100</v>
      </c>
      <c r="D222" s="1280"/>
    </row>
    <row r="223" spans="1:4" ht="13.5" customHeight="1" x14ac:dyDescent="0.2">
      <c r="A223" s="137"/>
      <c r="B223" s="34"/>
      <c r="C223" s="1281">
        <f>SUM(C218:C222)</f>
        <v>864</v>
      </c>
      <c r="D223" s="1282">
        <f>C223/2</f>
        <v>432</v>
      </c>
    </row>
    <row r="224" spans="1:4" ht="13.5" customHeight="1" x14ac:dyDescent="0.2">
      <c r="A224" s="137"/>
      <c r="B224" s="34"/>
      <c r="C224" s="1274"/>
      <c r="D224" s="1280"/>
    </row>
    <row r="225" spans="1:5" ht="13.5" customHeight="1" x14ac:dyDescent="0.2">
      <c r="A225" s="137" t="s">
        <v>421</v>
      </c>
      <c r="B225" s="34" t="s">
        <v>6995</v>
      </c>
      <c r="C225" s="1261">
        <v>69.900000000000006</v>
      </c>
      <c r="D225" s="1280"/>
    </row>
    <row r="226" spans="1:5" ht="13.5" customHeight="1" x14ac:dyDescent="0.2">
      <c r="A226" s="137" t="s">
        <v>421</v>
      </c>
      <c r="B226" s="34" t="s">
        <v>7018</v>
      </c>
      <c r="C226" s="1261">
        <v>166.5</v>
      </c>
      <c r="D226" s="1280"/>
    </row>
    <row r="227" spans="1:5" ht="13.5" customHeight="1" x14ac:dyDescent="0.2">
      <c r="A227" s="137" t="s">
        <v>421</v>
      </c>
      <c r="B227" s="21" t="s">
        <v>7119</v>
      </c>
      <c r="C227" s="1276">
        <v>19.989999999999998</v>
      </c>
      <c r="D227" s="1283"/>
      <c r="E227" s="18"/>
    </row>
    <row r="228" spans="1:5" ht="13.5" customHeight="1" x14ac:dyDescent="0.2">
      <c r="A228" s="137" t="s">
        <v>421</v>
      </c>
      <c r="B228" s="34" t="s">
        <v>7120</v>
      </c>
      <c r="C228" s="1276">
        <v>7.99</v>
      </c>
      <c r="D228" s="1283"/>
      <c r="E228" s="18"/>
    </row>
    <row r="229" spans="1:5" ht="13.5" customHeight="1" x14ac:dyDescent="0.2">
      <c r="A229" s="137" t="s">
        <v>421</v>
      </c>
      <c r="B229" s="34" t="s">
        <v>7130</v>
      </c>
      <c r="C229" s="1276">
        <v>175.91</v>
      </c>
      <c r="D229" s="1283"/>
    </row>
    <row r="230" spans="1:5" ht="13.5" customHeight="1" x14ac:dyDescent="0.2">
      <c r="A230" s="137" t="s">
        <v>421</v>
      </c>
      <c r="B230" s="34" t="s">
        <v>7046</v>
      </c>
      <c r="C230" s="1274">
        <v>444.6</v>
      </c>
      <c r="D230" s="1280"/>
    </row>
    <row r="231" spans="1:5" ht="13.5" customHeight="1" x14ac:dyDescent="0.2">
      <c r="A231" s="137" t="s">
        <v>421</v>
      </c>
      <c r="B231" s="36" t="s">
        <v>7027</v>
      </c>
      <c r="C231" s="1274">
        <v>825.59</v>
      </c>
      <c r="D231" s="1280"/>
    </row>
    <row r="232" spans="1:5" ht="13.5" customHeight="1" x14ac:dyDescent="0.2">
      <c r="C232" s="1284">
        <f>SUM(C225:C231)</f>
        <v>1710.48</v>
      </c>
      <c r="D232" s="1285"/>
    </row>
    <row r="233" spans="1:5" ht="13.5" customHeight="1" x14ac:dyDescent="0.2">
      <c r="C233" s="1285"/>
      <c r="D233" s="1285"/>
    </row>
    <row r="234" spans="1:5" ht="13.5" customHeight="1" x14ac:dyDescent="0.2">
      <c r="C234" s="1285"/>
      <c r="D234" s="1285"/>
    </row>
    <row r="235" spans="1:5" ht="13.5" customHeight="1" x14ac:dyDescent="0.2">
      <c r="C235" s="1285"/>
      <c r="D235" s="1285"/>
    </row>
    <row r="236" spans="1:5" ht="13.5" customHeight="1" x14ac:dyDescent="0.2">
      <c r="C236" s="1285"/>
      <c r="D236" s="1285"/>
      <c r="E236" s="18"/>
    </row>
    <row r="237" spans="1:5" ht="13.5" customHeight="1" x14ac:dyDescent="0.2">
      <c r="C237" s="1285"/>
      <c r="D237" s="1285"/>
      <c r="E237" s="18"/>
    </row>
    <row r="238" spans="1:5" ht="13.5" customHeight="1" x14ac:dyDescent="0.2">
      <c r="C238" s="1285"/>
      <c r="D238" s="1285"/>
      <c r="E238" s="18"/>
    </row>
    <row r="239" spans="1:5" ht="13.5" customHeight="1" x14ac:dyDescent="0.2">
      <c r="C239" s="1285"/>
      <c r="D239" s="1285"/>
    </row>
    <row r="240" spans="1:5" ht="13.5" customHeight="1" x14ac:dyDescent="0.2">
      <c r="C240" s="1285"/>
      <c r="D240" s="1285"/>
    </row>
    <row r="241" spans="3:4" x14ac:dyDescent="0.2">
      <c r="C241" s="1285"/>
      <c r="D241" s="1285"/>
    </row>
    <row r="242" spans="3:4" x14ac:dyDescent="0.2">
      <c r="C242" s="1285"/>
      <c r="D242" s="1285"/>
    </row>
    <row r="243" spans="3:4" x14ac:dyDescent="0.2">
      <c r="C243" s="1285"/>
      <c r="D243" s="1285"/>
    </row>
    <row r="244" spans="3:4" x14ac:dyDescent="0.2">
      <c r="C244" s="1285"/>
      <c r="D244" s="1285"/>
    </row>
    <row r="245" spans="3:4" x14ac:dyDescent="0.2">
      <c r="C245" s="1285"/>
      <c r="D245" s="1285"/>
    </row>
    <row r="246" spans="3:4" x14ac:dyDescent="0.2">
      <c r="C246" s="1285"/>
      <c r="D246" s="1285"/>
    </row>
    <row r="247" spans="3:4" x14ac:dyDescent="0.2">
      <c r="C247" s="1285"/>
      <c r="D247" s="1285"/>
    </row>
    <row r="248" spans="3:4" x14ac:dyDescent="0.2">
      <c r="C248" s="1285"/>
      <c r="D248" s="1285"/>
    </row>
    <row r="249" spans="3:4" x14ac:dyDescent="0.2">
      <c r="C249" s="1285"/>
      <c r="D249" s="1285"/>
    </row>
    <row r="250" spans="3:4" x14ac:dyDescent="0.2">
      <c r="C250" s="1285"/>
      <c r="D250" s="1285"/>
    </row>
    <row r="251" spans="3:4" x14ac:dyDescent="0.2">
      <c r="C251" s="1285"/>
      <c r="D251" s="1285"/>
    </row>
    <row r="252" spans="3:4" x14ac:dyDescent="0.2">
      <c r="C252" s="1285"/>
      <c r="D252" s="1285"/>
    </row>
    <row r="253" spans="3:4" x14ac:dyDescent="0.2">
      <c r="C253" s="1285"/>
      <c r="D253" s="1285"/>
    </row>
    <row r="254" spans="3:4" x14ac:dyDescent="0.2">
      <c r="C254" s="1285"/>
      <c r="D254" s="1285"/>
    </row>
    <row r="255" spans="3:4" x14ac:dyDescent="0.2">
      <c r="C255" s="1285"/>
      <c r="D255" s="1285"/>
    </row>
    <row r="256" spans="3:4" x14ac:dyDescent="0.2">
      <c r="C256" s="1285"/>
      <c r="D256" s="1285"/>
    </row>
    <row r="257" spans="3:4" x14ac:dyDescent="0.2">
      <c r="C257" s="1285"/>
      <c r="D257" s="1285"/>
    </row>
    <row r="258" spans="3:4" x14ac:dyDescent="0.2">
      <c r="C258" s="1285"/>
      <c r="D258" s="1285"/>
    </row>
    <row r="259" spans="3:4" x14ac:dyDescent="0.2">
      <c r="C259" s="1285"/>
      <c r="D259" s="1285"/>
    </row>
    <row r="260" spans="3:4" x14ac:dyDescent="0.2">
      <c r="C260" s="1285"/>
      <c r="D260" s="1285"/>
    </row>
    <row r="261" spans="3:4" x14ac:dyDescent="0.2">
      <c r="C261" s="1285"/>
      <c r="D261" s="1285"/>
    </row>
    <row r="262" spans="3:4" x14ac:dyDescent="0.2">
      <c r="C262" s="1285"/>
      <c r="D262" s="1285"/>
    </row>
    <row r="263" spans="3:4" x14ac:dyDescent="0.2">
      <c r="C263" s="1285"/>
      <c r="D263" s="1285"/>
    </row>
    <row r="264" spans="3:4" x14ac:dyDescent="0.2">
      <c r="C264" s="1285"/>
      <c r="D264" s="1285"/>
    </row>
    <row r="265" spans="3:4" x14ac:dyDescent="0.2">
      <c r="C265" s="1285"/>
      <c r="D265" s="1285"/>
    </row>
    <row r="266" spans="3:4" x14ac:dyDescent="0.2">
      <c r="C266" s="1285"/>
      <c r="D266" s="1285"/>
    </row>
    <row r="267" spans="3:4" x14ac:dyDescent="0.2">
      <c r="C267" s="1285"/>
      <c r="D267" s="1285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344"/>
  <sheetViews>
    <sheetView zoomScale="80" zoomScaleNormal="80" workbookViewId="0">
      <selection activeCell="C11" sqref="C11"/>
    </sheetView>
  </sheetViews>
  <sheetFormatPr defaultColWidth="9" defaultRowHeight="12.75" x14ac:dyDescent="0.2"/>
  <cols>
    <col min="1" max="1" width="14" style="1" customWidth="1"/>
    <col min="2" max="2" width="1.875" style="1" customWidth="1"/>
    <col min="3" max="3" width="95.875" style="1" customWidth="1"/>
    <col min="4" max="4" width="12" style="1" customWidth="1"/>
    <col min="5" max="5" width="12.375" style="1" customWidth="1"/>
    <col min="6" max="6" width="10.75" style="1" customWidth="1"/>
    <col min="7" max="7" width="11.875" style="1" customWidth="1"/>
    <col min="8" max="9" width="10.75" style="18" customWidth="1"/>
    <col min="10" max="10" width="10.875" style="66" customWidth="1"/>
    <col min="11" max="11" width="9" style="1"/>
    <col min="12" max="12" width="10.375" style="1" customWidth="1"/>
    <col min="13" max="14" width="9" style="1"/>
    <col min="15" max="15" width="10.875" style="40" bestFit="1" customWidth="1"/>
    <col min="16" max="16384" width="9" style="1"/>
  </cols>
  <sheetData>
    <row r="1" spans="1:12" ht="13.5" customHeight="1" thickBot="1" x14ac:dyDescent="0.25">
      <c r="A1" s="1418" t="s">
        <v>7148</v>
      </c>
      <c r="B1" s="1418"/>
      <c r="C1" s="1419"/>
      <c r="D1" s="1420" t="s">
        <v>0</v>
      </c>
      <c r="E1" s="1421"/>
      <c r="F1" s="1421"/>
      <c r="G1" s="1422"/>
      <c r="H1" s="1423" t="s">
        <v>1</v>
      </c>
      <c r="I1" s="1423"/>
      <c r="J1" s="1424"/>
    </row>
    <row r="2" spans="1:12" ht="13.5" customHeight="1" thickBot="1" x14ac:dyDescent="0.25">
      <c r="A2" s="2" t="s">
        <v>2</v>
      </c>
      <c r="B2" s="3"/>
      <c r="C2" s="3" t="s">
        <v>3</v>
      </c>
      <c r="D2" s="3" t="s">
        <v>4</v>
      </c>
      <c r="E2" s="3" t="s">
        <v>5</v>
      </c>
      <c r="F2" s="3" t="s">
        <v>6</v>
      </c>
      <c r="G2" s="5" t="s">
        <v>7</v>
      </c>
      <c r="H2" s="6" t="s">
        <v>5</v>
      </c>
      <c r="I2" s="4" t="s">
        <v>6</v>
      </c>
      <c r="J2" s="7" t="s">
        <v>7</v>
      </c>
    </row>
    <row r="3" spans="1:12" ht="13.5" customHeight="1" x14ac:dyDescent="0.2">
      <c r="A3" s="8">
        <v>43160</v>
      </c>
      <c r="B3" s="9"/>
      <c r="C3" s="10" t="s">
        <v>8</v>
      </c>
      <c r="D3" s="11"/>
      <c r="E3" s="12"/>
      <c r="F3" s="13"/>
      <c r="G3" s="14">
        <v>3079.41</v>
      </c>
      <c r="H3" s="15"/>
      <c r="I3" s="16"/>
      <c r="J3" s="17">
        <v>7860.4000000000051</v>
      </c>
      <c r="K3" s="18">
        <f>G3</f>
        <v>3079.41</v>
      </c>
      <c r="L3" s="12">
        <f>J3</f>
        <v>7860.4000000000051</v>
      </c>
    </row>
    <row r="4" spans="1:12" ht="13.5" customHeight="1" x14ac:dyDescent="0.2">
      <c r="A4" s="19">
        <v>43160</v>
      </c>
      <c r="B4" s="20"/>
      <c r="C4" s="34" t="s">
        <v>7149</v>
      </c>
      <c r="D4" s="11"/>
      <c r="E4" s="12"/>
      <c r="F4" s="22"/>
      <c r="G4" s="23"/>
      <c r="H4" s="24"/>
      <c r="I4" s="25">
        <v>220</v>
      </c>
      <c r="J4" s="26"/>
      <c r="K4" s="18">
        <f>K3+F4+E4</f>
        <v>3079.41</v>
      </c>
      <c r="L4" s="12">
        <f>L3+I4-H4</f>
        <v>8080.4000000000051</v>
      </c>
    </row>
    <row r="5" spans="1:12" ht="13.5" customHeight="1" x14ac:dyDescent="0.2">
      <c r="A5" s="19"/>
      <c r="B5" s="20"/>
      <c r="C5" s="34" t="s">
        <v>7150</v>
      </c>
      <c r="D5" s="11"/>
      <c r="E5" s="12"/>
      <c r="F5" s="22"/>
      <c r="G5" s="23"/>
      <c r="H5" s="24"/>
      <c r="I5" s="25">
        <v>942</v>
      </c>
      <c r="J5" s="26"/>
      <c r="K5" s="18">
        <f t="shared" ref="K5:K68" si="0">K4+F5+E5</f>
        <v>3079.41</v>
      </c>
      <c r="L5" s="12">
        <f t="shared" ref="L5:L68" si="1">L4+I5-H5</f>
        <v>9022.4000000000051</v>
      </c>
    </row>
    <row r="6" spans="1:12" ht="13.5" customHeight="1" x14ac:dyDescent="0.2">
      <c r="A6" s="19"/>
      <c r="B6" s="20"/>
      <c r="C6" s="34" t="s">
        <v>470</v>
      </c>
      <c r="D6" s="11"/>
      <c r="E6" s="12"/>
      <c r="F6" s="22"/>
      <c r="G6" s="23"/>
      <c r="H6" s="174">
        <v>2500</v>
      </c>
      <c r="I6" s="25"/>
      <c r="J6" s="26"/>
      <c r="K6" s="18">
        <f t="shared" si="0"/>
        <v>3079.41</v>
      </c>
      <c r="L6" s="12">
        <f t="shared" si="1"/>
        <v>6522.4000000000051</v>
      </c>
    </row>
    <row r="7" spans="1:12" ht="13.5" customHeight="1" x14ac:dyDescent="0.2">
      <c r="A7" s="19"/>
      <c r="B7" s="20"/>
      <c r="C7" s="34" t="s">
        <v>891</v>
      </c>
      <c r="D7" s="11"/>
      <c r="E7" s="12"/>
      <c r="F7" s="22"/>
      <c r="G7" s="23"/>
      <c r="H7" s="24">
        <v>50</v>
      </c>
      <c r="I7" s="25"/>
      <c r="J7" s="26">
        <v>6472.4000000000051</v>
      </c>
      <c r="K7" s="18">
        <f t="shared" si="0"/>
        <v>3079.41</v>
      </c>
      <c r="L7" s="12">
        <f t="shared" si="1"/>
        <v>6472.4000000000051</v>
      </c>
    </row>
    <row r="8" spans="1:12" ht="13.5" customHeight="1" x14ac:dyDescent="0.2">
      <c r="A8" s="19"/>
      <c r="B8" s="20" t="s">
        <v>591</v>
      </c>
      <c r="C8" s="34" t="s">
        <v>470</v>
      </c>
      <c r="D8" s="11">
        <v>672734</v>
      </c>
      <c r="E8" s="12"/>
      <c r="F8" s="162">
        <v>1000</v>
      </c>
      <c r="G8" s="23"/>
      <c r="H8" s="24"/>
      <c r="I8" s="25"/>
      <c r="J8" s="26"/>
      <c r="K8" s="18">
        <f t="shared" si="0"/>
        <v>4079.41</v>
      </c>
      <c r="L8" s="12">
        <f t="shared" si="1"/>
        <v>6472.4000000000051</v>
      </c>
    </row>
    <row r="9" spans="1:12" ht="13.5" customHeight="1" x14ac:dyDescent="0.2">
      <c r="A9" s="19"/>
      <c r="B9" s="20" t="s">
        <v>591</v>
      </c>
      <c r="C9" s="34" t="s">
        <v>470</v>
      </c>
      <c r="D9" s="11">
        <v>674032</v>
      </c>
      <c r="E9" s="12"/>
      <c r="F9" s="162">
        <v>1500</v>
      </c>
      <c r="G9" s="23"/>
      <c r="H9" s="24"/>
      <c r="I9" s="25"/>
      <c r="J9" s="26"/>
      <c r="K9" s="18">
        <f t="shared" si="0"/>
        <v>5579.41</v>
      </c>
      <c r="L9" s="12">
        <f t="shared" si="1"/>
        <v>6472.4000000000051</v>
      </c>
    </row>
    <row r="10" spans="1:12" ht="13.5" customHeight="1" x14ac:dyDescent="0.2">
      <c r="A10" s="19"/>
      <c r="B10" s="20"/>
      <c r="C10" s="34" t="s">
        <v>5557</v>
      </c>
      <c r="D10" s="11">
        <v>0</v>
      </c>
      <c r="E10" s="12">
        <v>-1.1299999999999999</v>
      </c>
      <c r="F10" s="22"/>
      <c r="G10" s="23"/>
      <c r="H10" s="24"/>
      <c r="I10" s="25"/>
      <c r="J10" s="26"/>
      <c r="K10" s="18">
        <f t="shared" si="0"/>
        <v>5578.28</v>
      </c>
      <c r="L10" s="12">
        <f t="shared" si="1"/>
        <v>6472.4000000000051</v>
      </c>
    </row>
    <row r="11" spans="1:12" ht="13.5" customHeight="1" x14ac:dyDescent="0.2">
      <c r="A11" s="19"/>
      <c r="B11" s="20"/>
      <c r="C11" s="34" t="s">
        <v>5558</v>
      </c>
      <c r="D11" s="11">
        <v>0</v>
      </c>
      <c r="E11" s="12">
        <v>-12.21</v>
      </c>
      <c r="F11" s="22"/>
      <c r="G11" s="23"/>
      <c r="H11" s="24"/>
      <c r="I11" s="25"/>
      <c r="J11" s="26"/>
      <c r="K11" s="18">
        <f t="shared" si="0"/>
        <v>5566.07</v>
      </c>
      <c r="L11" s="12">
        <f t="shared" si="1"/>
        <v>6472.4000000000051</v>
      </c>
    </row>
    <row r="12" spans="1:12" ht="13.5" customHeight="1" x14ac:dyDescent="0.2">
      <c r="A12" s="19"/>
      <c r="B12" s="20"/>
      <c r="C12" s="34" t="s">
        <v>20</v>
      </c>
      <c r="D12" s="11">
        <v>0</v>
      </c>
      <c r="E12" s="12">
        <v>-70.69</v>
      </c>
      <c r="F12" s="22"/>
      <c r="G12" s="23">
        <v>5495.38</v>
      </c>
      <c r="H12" s="24"/>
      <c r="I12" s="25"/>
      <c r="J12" s="26"/>
      <c r="K12" s="18">
        <f t="shared" si="0"/>
        <v>5495.38</v>
      </c>
      <c r="L12" s="12">
        <f t="shared" si="1"/>
        <v>6472.4000000000051</v>
      </c>
    </row>
    <row r="13" spans="1:12" ht="13.5" customHeight="1" x14ac:dyDescent="0.2">
      <c r="A13" s="19">
        <v>43161</v>
      </c>
      <c r="B13" s="20"/>
      <c r="C13" s="34" t="s">
        <v>7151</v>
      </c>
      <c r="D13" s="11"/>
      <c r="E13" s="12"/>
      <c r="F13" s="22"/>
      <c r="G13" s="23"/>
      <c r="H13" s="24">
        <v>75</v>
      </c>
      <c r="I13" s="25"/>
      <c r="J13" s="26"/>
      <c r="K13" s="18">
        <f t="shared" si="0"/>
        <v>5495.38</v>
      </c>
      <c r="L13" s="12">
        <f t="shared" si="1"/>
        <v>6397.4000000000051</v>
      </c>
    </row>
    <row r="14" spans="1:12" ht="13.5" customHeight="1" x14ac:dyDescent="0.2">
      <c r="A14" s="19"/>
      <c r="B14" s="20"/>
      <c r="C14" s="34" t="s">
        <v>7152</v>
      </c>
      <c r="D14" s="11"/>
      <c r="E14" s="12"/>
      <c r="F14" s="22"/>
      <c r="G14" s="23"/>
      <c r="H14" s="24">
        <v>75</v>
      </c>
      <c r="I14" s="25"/>
      <c r="J14" s="26"/>
      <c r="K14" s="18">
        <f t="shared" si="0"/>
        <v>5495.38</v>
      </c>
      <c r="L14" s="12">
        <f t="shared" si="1"/>
        <v>6322.4000000000051</v>
      </c>
    </row>
    <row r="15" spans="1:12" ht="13.5" customHeight="1" x14ac:dyDescent="0.2">
      <c r="A15" s="19"/>
      <c r="B15" s="20"/>
      <c r="C15" s="34" t="s">
        <v>7153</v>
      </c>
      <c r="D15" s="11"/>
      <c r="E15" s="12"/>
      <c r="F15" s="22"/>
      <c r="G15" s="23"/>
      <c r="H15" s="24">
        <v>75</v>
      </c>
      <c r="I15" s="25"/>
      <c r="J15" s="26"/>
      <c r="K15" s="18">
        <f t="shared" si="0"/>
        <v>5495.38</v>
      </c>
      <c r="L15" s="12">
        <f t="shared" si="1"/>
        <v>6247.4000000000051</v>
      </c>
    </row>
    <row r="16" spans="1:12" ht="13.5" customHeight="1" x14ac:dyDescent="0.2">
      <c r="A16" s="19"/>
      <c r="B16" s="20"/>
      <c r="C16" s="34" t="s">
        <v>36</v>
      </c>
      <c r="D16" s="11"/>
      <c r="E16" s="12"/>
      <c r="F16" s="22"/>
      <c r="G16" s="23"/>
      <c r="H16" s="24">
        <v>350</v>
      </c>
      <c r="I16" s="25"/>
      <c r="J16" s="26">
        <v>5897.4000000000051</v>
      </c>
      <c r="K16" s="18">
        <f t="shared" si="0"/>
        <v>5495.38</v>
      </c>
      <c r="L16" s="12">
        <f t="shared" si="1"/>
        <v>5897.4000000000051</v>
      </c>
    </row>
    <row r="17" spans="1:12" ht="13.5" customHeight="1" x14ac:dyDescent="0.2">
      <c r="A17" s="19"/>
      <c r="B17" s="20"/>
      <c r="C17" s="34" t="s">
        <v>7154</v>
      </c>
      <c r="D17" s="11">
        <v>900516</v>
      </c>
      <c r="E17" s="168">
        <v>-1500</v>
      </c>
      <c r="F17" s="22"/>
      <c r="G17" s="23"/>
      <c r="H17" s="24"/>
      <c r="I17" s="25"/>
      <c r="J17" s="26"/>
      <c r="K17" s="18">
        <f t="shared" si="0"/>
        <v>3995.38</v>
      </c>
      <c r="L17" s="12">
        <f t="shared" si="1"/>
        <v>5897.4000000000051</v>
      </c>
    </row>
    <row r="18" spans="1:12" ht="13.5" customHeight="1" x14ac:dyDescent="0.2">
      <c r="A18" s="19"/>
      <c r="B18" s="20"/>
      <c r="C18" s="34" t="s">
        <v>20</v>
      </c>
      <c r="D18" s="11">
        <v>0</v>
      </c>
      <c r="E18" s="12"/>
      <c r="F18" s="22">
        <v>0.03</v>
      </c>
      <c r="G18" s="23">
        <v>3995.41</v>
      </c>
      <c r="H18" s="24"/>
      <c r="I18" s="25"/>
      <c r="J18" s="26"/>
      <c r="K18" s="18">
        <f t="shared" si="0"/>
        <v>3995.4100000000003</v>
      </c>
      <c r="L18" s="12">
        <f t="shared" si="1"/>
        <v>5897.4000000000051</v>
      </c>
    </row>
    <row r="19" spans="1:12" ht="13.5" customHeight="1" x14ac:dyDescent="0.2">
      <c r="A19" s="19">
        <v>43164</v>
      </c>
      <c r="B19" s="20"/>
      <c r="C19" s="34" t="s">
        <v>7155</v>
      </c>
      <c r="D19" s="11"/>
      <c r="E19" s="12"/>
      <c r="F19" s="22"/>
      <c r="G19" s="23"/>
      <c r="H19" s="24">
        <v>28</v>
      </c>
      <c r="I19" s="25"/>
      <c r="J19" s="26"/>
      <c r="K19" s="18">
        <f t="shared" si="0"/>
        <v>3995.4100000000003</v>
      </c>
      <c r="L19" s="12">
        <f t="shared" si="1"/>
        <v>5869.4000000000051</v>
      </c>
    </row>
    <row r="20" spans="1:12" ht="13.5" customHeight="1" x14ac:dyDescent="0.2">
      <c r="A20" s="19"/>
      <c r="B20" s="20"/>
      <c r="C20" s="34" t="s">
        <v>7156</v>
      </c>
      <c r="D20" s="11"/>
      <c r="E20" s="12"/>
      <c r="F20" s="22"/>
      <c r="G20" s="23"/>
      <c r="H20" s="24">
        <v>78</v>
      </c>
      <c r="I20" s="25"/>
      <c r="J20" s="26"/>
      <c r="K20" s="18">
        <f t="shared" si="0"/>
        <v>3995.4100000000003</v>
      </c>
      <c r="L20" s="12">
        <f t="shared" si="1"/>
        <v>5791.4000000000051</v>
      </c>
    </row>
    <row r="21" spans="1:12" ht="13.5" customHeight="1" x14ac:dyDescent="0.2">
      <c r="A21" s="19"/>
      <c r="B21" s="20"/>
      <c r="C21" s="34" t="s">
        <v>7157</v>
      </c>
      <c r="D21" s="11"/>
      <c r="E21" s="12"/>
      <c r="F21" s="22"/>
      <c r="G21" s="23"/>
      <c r="H21" s="24"/>
      <c r="I21" s="25">
        <v>1252.46</v>
      </c>
      <c r="J21" s="26">
        <v>7043.8600000000051</v>
      </c>
      <c r="K21" s="18">
        <f t="shared" si="0"/>
        <v>3995.4100000000003</v>
      </c>
      <c r="L21" s="12">
        <f t="shared" si="1"/>
        <v>7043.8600000000051</v>
      </c>
    </row>
    <row r="22" spans="1:12" ht="13.5" customHeight="1" x14ac:dyDescent="0.2">
      <c r="A22" s="19"/>
      <c r="B22" s="20"/>
      <c r="C22" s="34" t="s">
        <v>7158</v>
      </c>
      <c r="D22" s="11">
        <v>40465</v>
      </c>
      <c r="E22" s="12">
        <v>-116.9</v>
      </c>
      <c r="F22" s="22"/>
      <c r="G22" s="23"/>
      <c r="H22" s="24"/>
      <c r="I22" s="25"/>
      <c r="J22" s="26"/>
      <c r="K22" s="18">
        <f t="shared" si="0"/>
        <v>3878.51</v>
      </c>
      <c r="L22" s="12">
        <f t="shared" si="1"/>
        <v>7043.8600000000051</v>
      </c>
    </row>
    <row r="23" spans="1:12" ht="13.5" customHeight="1" x14ac:dyDescent="0.2">
      <c r="A23" s="19"/>
      <c r="B23" s="20"/>
      <c r="C23" s="34" t="s">
        <v>7066</v>
      </c>
      <c r="D23" s="11">
        <v>0</v>
      </c>
      <c r="E23" s="12">
        <v>-78.48</v>
      </c>
      <c r="F23" s="22"/>
      <c r="G23" s="23"/>
      <c r="H23" s="24"/>
      <c r="I23" s="25"/>
      <c r="J23" s="26"/>
      <c r="K23" s="18">
        <f t="shared" si="0"/>
        <v>3800.03</v>
      </c>
      <c r="L23" s="12">
        <f t="shared" si="1"/>
        <v>7043.8600000000051</v>
      </c>
    </row>
    <row r="24" spans="1:12" ht="13.5" customHeight="1" x14ac:dyDescent="0.2">
      <c r="A24" s="19"/>
      <c r="B24" s="20"/>
      <c r="C24" s="34" t="s">
        <v>20</v>
      </c>
      <c r="D24" s="11">
        <v>0</v>
      </c>
      <c r="E24" s="12"/>
      <c r="F24" s="22">
        <v>0.01</v>
      </c>
      <c r="G24" s="23">
        <v>3800.04</v>
      </c>
      <c r="H24" s="24"/>
      <c r="I24" s="25"/>
      <c r="J24" s="26"/>
      <c r="K24" s="18">
        <f t="shared" si="0"/>
        <v>3800.0400000000004</v>
      </c>
      <c r="L24" s="12">
        <f t="shared" si="1"/>
        <v>7043.8600000000051</v>
      </c>
    </row>
    <row r="25" spans="1:12" ht="13.5" customHeight="1" x14ac:dyDescent="0.2">
      <c r="A25" s="19">
        <v>43165</v>
      </c>
      <c r="B25" s="20"/>
      <c r="C25" s="34" t="s">
        <v>458</v>
      </c>
      <c r="D25" s="11"/>
      <c r="E25" s="12"/>
      <c r="F25" s="22"/>
      <c r="G25" s="23"/>
      <c r="H25" s="174">
        <v>190</v>
      </c>
      <c r="I25" s="25"/>
      <c r="J25" s="26"/>
      <c r="K25" s="18">
        <f t="shared" si="0"/>
        <v>3800.0400000000004</v>
      </c>
      <c r="L25" s="12">
        <f t="shared" si="1"/>
        <v>6853.8600000000051</v>
      </c>
    </row>
    <row r="26" spans="1:12" ht="13.5" customHeight="1" x14ac:dyDescent="0.2">
      <c r="A26" s="19"/>
      <c r="B26" s="20"/>
      <c r="C26" s="34" t="s">
        <v>7159</v>
      </c>
      <c r="D26" s="11"/>
      <c r="E26" s="12"/>
      <c r="F26" s="22"/>
      <c r="G26" s="23"/>
      <c r="H26" s="24">
        <v>20</v>
      </c>
      <c r="I26" s="25"/>
      <c r="J26" s="26">
        <v>6833.8600000000051</v>
      </c>
      <c r="K26" s="18">
        <f t="shared" si="0"/>
        <v>3800.0400000000004</v>
      </c>
      <c r="L26" s="12">
        <f t="shared" si="1"/>
        <v>6833.8600000000051</v>
      </c>
    </row>
    <row r="27" spans="1:12" ht="13.5" customHeight="1" x14ac:dyDescent="0.2">
      <c r="A27" s="19"/>
      <c r="B27" s="20"/>
      <c r="C27" s="34" t="s">
        <v>55</v>
      </c>
      <c r="D27" s="11">
        <v>0</v>
      </c>
      <c r="E27" s="12">
        <v>-350</v>
      </c>
      <c r="F27" s="22"/>
      <c r="G27" s="23"/>
      <c r="H27" s="24"/>
      <c r="I27" s="25"/>
      <c r="J27" s="26"/>
      <c r="K27" s="18">
        <f t="shared" si="0"/>
        <v>3450.0400000000004</v>
      </c>
      <c r="L27" s="12">
        <f t="shared" si="1"/>
        <v>6833.8600000000051</v>
      </c>
    </row>
    <row r="28" spans="1:12" ht="13.5" customHeight="1" x14ac:dyDescent="0.2">
      <c r="A28" s="19"/>
      <c r="B28" s="20"/>
      <c r="C28" s="34" t="s">
        <v>20</v>
      </c>
      <c r="D28" s="11">
        <v>0</v>
      </c>
      <c r="E28" s="12"/>
      <c r="F28" s="22">
        <v>0.02</v>
      </c>
      <c r="G28" s="23">
        <v>3450.06</v>
      </c>
      <c r="H28" s="24"/>
      <c r="I28" s="25"/>
      <c r="J28" s="26"/>
      <c r="K28" s="18">
        <f t="shared" si="0"/>
        <v>3450.0600000000004</v>
      </c>
      <c r="L28" s="12">
        <f t="shared" si="1"/>
        <v>6833.8600000000051</v>
      </c>
    </row>
    <row r="29" spans="1:12" ht="13.5" customHeight="1" x14ac:dyDescent="0.2">
      <c r="A29" s="19">
        <v>43166</v>
      </c>
      <c r="B29" s="20"/>
      <c r="C29" s="34" t="s">
        <v>7160</v>
      </c>
      <c r="D29" s="11"/>
      <c r="E29" s="12"/>
      <c r="F29" s="22"/>
      <c r="G29" s="23"/>
      <c r="H29" s="24"/>
      <c r="I29" s="25">
        <v>190</v>
      </c>
      <c r="J29" s="26"/>
      <c r="K29" s="18">
        <f t="shared" si="0"/>
        <v>3450.0600000000004</v>
      </c>
      <c r="L29" s="12">
        <f t="shared" si="1"/>
        <v>7023.8600000000051</v>
      </c>
    </row>
    <row r="30" spans="1:12" ht="13.5" customHeight="1" x14ac:dyDescent="0.2">
      <c r="A30" s="19"/>
      <c r="B30" s="20"/>
      <c r="C30" s="34" t="s">
        <v>7161</v>
      </c>
      <c r="D30" s="11"/>
      <c r="E30" s="12"/>
      <c r="F30" s="22"/>
      <c r="G30" s="23"/>
      <c r="H30" s="24">
        <v>14.48</v>
      </c>
      <c r="I30" s="25"/>
      <c r="J30" s="26"/>
      <c r="K30" s="18">
        <f t="shared" si="0"/>
        <v>3450.0600000000004</v>
      </c>
      <c r="L30" s="12">
        <f t="shared" si="1"/>
        <v>7009.3800000000056</v>
      </c>
    </row>
    <row r="31" spans="1:12" ht="13.5" customHeight="1" x14ac:dyDescent="0.2">
      <c r="A31" s="19"/>
      <c r="B31" s="20"/>
      <c r="C31" s="34" t="s">
        <v>7162</v>
      </c>
      <c r="D31" s="11"/>
      <c r="E31" s="12"/>
      <c r="F31" s="22"/>
      <c r="G31" s="23"/>
      <c r="H31" s="24">
        <v>8</v>
      </c>
      <c r="I31" s="25"/>
      <c r="J31" s="26"/>
      <c r="K31" s="18">
        <f t="shared" si="0"/>
        <v>3450.0600000000004</v>
      </c>
      <c r="L31" s="12">
        <f t="shared" si="1"/>
        <v>7001.3800000000056</v>
      </c>
    </row>
    <row r="32" spans="1:12" ht="13.5" customHeight="1" x14ac:dyDescent="0.2">
      <c r="A32" s="19"/>
      <c r="B32" s="20"/>
      <c r="C32" s="34" t="s">
        <v>7163</v>
      </c>
      <c r="D32" s="11"/>
      <c r="E32" s="12"/>
      <c r="F32" s="22"/>
      <c r="G32" s="23"/>
      <c r="H32" s="24">
        <v>12</v>
      </c>
      <c r="I32" s="25"/>
      <c r="J32" s="26"/>
      <c r="K32" s="18">
        <f t="shared" si="0"/>
        <v>3450.0600000000004</v>
      </c>
      <c r="L32" s="12">
        <f t="shared" si="1"/>
        <v>6989.3800000000056</v>
      </c>
    </row>
    <row r="33" spans="1:12" ht="13.5" customHeight="1" x14ac:dyDescent="0.2">
      <c r="A33" s="19"/>
      <c r="B33" s="20"/>
      <c r="C33" s="34" t="s">
        <v>77</v>
      </c>
      <c r="D33" s="11"/>
      <c r="E33" s="12"/>
      <c r="F33" s="22"/>
      <c r="G33" s="23"/>
      <c r="H33" s="44">
        <v>500</v>
      </c>
      <c r="I33" s="25"/>
      <c r="J33" s="26"/>
      <c r="K33" s="18">
        <f t="shared" si="0"/>
        <v>3450.0600000000004</v>
      </c>
      <c r="L33" s="12">
        <f t="shared" si="1"/>
        <v>6489.3800000000056</v>
      </c>
    </row>
    <row r="34" spans="1:12" ht="13.5" customHeight="1" x14ac:dyDescent="0.2">
      <c r="A34" s="19"/>
      <c r="B34" s="20"/>
      <c r="C34" s="34" t="s">
        <v>7164</v>
      </c>
      <c r="D34" s="11"/>
      <c r="E34" s="12"/>
      <c r="F34" s="22"/>
      <c r="G34" s="23"/>
      <c r="H34" s="24">
        <v>900</v>
      </c>
      <c r="I34" s="25"/>
      <c r="J34" s="26">
        <v>5589.3800000000056</v>
      </c>
      <c r="K34" s="18">
        <f t="shared" si="0"/>
        <v>3450.0600000000004</v>
      </c>
      <c r="L34" s="12">
        <f t="shared" si="1"/>
        <v>5589.3800000000056</v>
      </c>
    </row>
    <row r="35" spans="1:12" ht="13.5" customHeight="1" x14ac:dyDescent="0.2">
      <c r="A35" s="19">
        <v>43167</v>
      </c>
      <c r="B35" s="20"/>
      <c r="C35" s="34" t="s">
        <v>7165</v>
      </c>
      <c r="D35" s="11"/>
      <c r="E35" s="12"/>
      <c r="F35" s="22"/>
      <c r="G35" s="23"/>
      <c r="H35" s="24"/>
      <c r="I35" s="25">
        <v>1232.95</v>
      </c>
      <c r="J35" s="26"/>
      <c r="K35" s="18">
        <f t="shared" si="0"/>
        <v>3450.0600000000004</v>
      </c>
      <c r="L35" s="12">
        <f t="shared" si="1"/>
        <v>6822.3300000000054</v>
      </c>
    </row>
    <row r="36" spans="1:12" ht="13.5" customHeight="1" x14ac:dyDescent="0.2">
      <c r="A36" s="19"/>
      <c r="B36" s="20"/>
      <c r="C36" s="34" t="s">
        <v>7166</v>
      </c>
      <c r="D36" s="11"/>
      <c r="E36" s="12"/>
      <c r="F36" s="22"/>
      <c r="G36" s="23"/>
      <c r="H36" s="24"/>
      <c r="I36" s="25">
        <v>150</v>
      </c>
      <c r="J36" s="26"/>
      <c r="K36" s="18">
        <f t="shared" si="0"/>
        <v>3450.0600000000004</v>
      </c>
      <c r="L36" s="12">
        <f t="shared" si="1"/>
        <v>6972.3300000000054</v>
      </c>
    </row>
    <row r="37" spans="1:12" ht="13.5" customHeight="1" x14ac:dyDescent="0.2">
      <c r="A37" s="19"/>
      <c r="B37" s="20"/>
      <c r="C37" s="34" t="s">
        <v>7167</v>
      </c>
      <c r="D37" s="11"/>
      <c r="E37" s="12"/>
      <c r="F37" s="22"/>
      <c r="G37" s="23"/>
      <c r="H37" s="24"/>
      <c r="I37" s="25">
        <v>2148.66</v>
      </c>
      <c r="J37" s="26"/>
      <c r="K37" s="18">
        <f t="shared" si="0"/>
        <v>3450.0600000000004</v>
      </c>
      <c r="L37" s="12">
        <f t="shared" si="1"/>
        <v>9120.9900000000052</v>
      </c>
    </row>
    <row r="38" spans="1:12" ht="13.5" customHeight="1" x14ac:dyDescent="0.2">
      <c r="A38" s="19"/>
      <c r="B38" s="20"/>
      <c r="C38" s="34" t="s">
        <v>7168</v>
      </c>
      <c r="D38" s="11"/>
      <c r="E38" s="12"/>
      <c r="F38" s="22"/>
      <c r="G38" s="23"/>
      <c r="H38" s="24">
        <v>200</v>
      </c>
      <c r="I38" s="25"/>
      <c r="J38" s="26"/>
      <c r="K38" s="18">
        <f t="shared" si="0"/>
        <v>3450.0600000000004</v>
      </c>
      <c r="L38" s="12">
        <f t="shared" si="1"/>
        <v>8920.9900000000052</v>
      </c>
    </row>
    <row r="39" spans="1:12" ht="13.5" customHeight="1" x14ac:dyDescent="0.2">
      <c r="A39" s="19"/>
      <c r="B39" s="20"/>
      <c r="C39" s="34" t="s">
        <v>7169</v>
      </c>
      <c r="D39" s="11"/>
      <c r="E39" s="12"/>
      <c r="F39" s="22"/>
      <c r="G39" s="23"/>
      <c r="H39" s="24">
        <v>120</v>
      </c>
      <c r="I39" s="25"/>
      <c r="J39" s="26"/>
      <c r="K39" s="18">
        <f t="shared" si="0"/>
        <v>3450.0600000000004</v>
      </c>
      <c r="L39" s="12">
        <f t="shared" si="1"/>
        <v>8800.9900000000052</v>
      </c>
    </row>
    <row r="40" spans="1:12" ht="13.5" customHeight="1" x14ac:dyDescent="0.2">
      <c r="A40" s="19"/>
      <c r="B40" s="20"/>
      <c r="C40" s="34" t="s">
        <v>7170</v>
      </c>
      <c r="D40" s="11"/>
      <c r="E40" s="12"/>
      <c r="F40" s="22"/>
      <c r="G40" s="23"/>
      <c r="H40" s="24">
        <v>24</v>
      </c>
      <c r="I40" s="25"/>
      <c r="J40" s="26">
        <v>8776.9900000000052</v>
      </c>
      <c r="K40" s="18">
        <f t="shared" si="0"/>
        <v>3450.0600000000004</v>
      </c>
      <c r="L40" s="12">
        <f t="shared" si="1"/>
        <v>8776.9900000000052</v>
      </c>
    </row>
    <row r="41" spans="1:12" ht="13.5" customHeight="1" x14ac:dyDescent="0.2">
      <c r="A41" s="19"/>
      <c r="B41" s="20" t="s">
        <v>591</v>
      </c>
      <c r="C41" s="34" t="s">
        <v>458</v>
      </c>
      <c r="D41" s="11">
        <v>111946</v>
      </c>
      <c r="E41" s="12"/>
      <c r="F41" s="162">
        <v>190</v>
      </c>
      <c r="G41" s="23"/>
      <c r="H41" s="24"/>
      <c r="I41" s="25"/>
      <c r="J41" s="26"/>
      <c r="K41" s="18">
        <f t="shared" si="0"/>
        <v>3640.0600000000004</v>
      </c>
      <c r="L41" s="12">
        <f t="shared" si="1"/>
        <v>8776.9900000000052</v>
      </c>
    </row>
    <row r="42" spans="1:12" ht="13.5" customHeight="1" x14ac:dyDescent="0.2">
      <c r="A42" s="19"/>
      <c r="B42" s="20"/>
      <c r="C42" s="36" t="s">
        <v>7171</v>
      </c>
      <c r="D42" s="11">
        <v>0</v>
      </c>
      <c r="E42" s="12">
        <v>-40.549999999999997</v>
      </c>
      <c r="F42" s="22"/>
      <c r="G42" s="23"/>
      <c r="H42" s="24"/>
      <c r="I42" s="25"/>
      <c r="J42" s="26"/>
      <c r="K42" s="18">
        <f t="shared" si="0"/>
        <v>3599.51</v>
      </c>
      <c r="L42" s="12">
        <f t="shared" si="1"/>
        <v>8776.9900000000052</v>
      </c>
    </row>
    <row r="43" spans="1:12" ht="13.5" customHeight="1" x14ac:dyDescent="0.2">
      <c r="A43" s="19"/>
      <c r="B43" s="20"/>
      <c r="C43" s="34" t="s">
        <v>7172</v>
      </c>
      <c r="D43" s="11">
        <v>0</v>
      </c>
      <c r="E43" s="12">
        <v>-53.73</v>
      </c>
      <c r="F43" s="22"/>
      <c r="G43" s="23"/>
      <c r="H43" s="24"/>
      <c r="I43" s="25"/>
      <c r="J43" s="26"/>
      <c r="K43" s="18">
        <f t="shared" si="0"/>
        <v>3545.78</v>
      </c>
      <c r="L43" s="12">
        <f t="shared" si="1"/>
        <v>8776.9900000000052</v>
      </c>
    </row>
    <row r="44" spans="1:12" ht="13.5" customHeight="1" x14ac:dyDescent="0.2">
      <c r="A44" s="19"/>
      <c r="B44" s="20"/>
      <c r="C44" s="34" t="s">
        <v>7173</v>
      </c>
      <c r="D44" s="11">
        <v>0</v>
      </c>
      <c r="E44" s="12">
        <v>-65.87</v>
      </c>
      <c r="F44" s="22"/>
      <c r="G44" s="23"/>
      <c r="H44" s="24"/>
      <c r="I44" s="25"/>
      <c r="J44" s="26"/>
      <c r="K44" s="18">
        <f t="shared" si="0"/>
        <v>3479.9100000000003</v>
      </c>
      <c r="L44" s="12">
        <f t="shared" si="1"/>
        <v>8776.9900000000052</v>
      </c>
    </row>
    <row r="45" spans="1:12" ht="13.5" customHeight="1" x14ac:dyDescent="0.2">
      <c r="A45" s="19"/>
      <c r="B45" s="20"/>
      <c r="C45" s="34" t="s">
        <v>1320</v>
      </c>
      <c r="D45" s="11">
        <v>0</v>
      </c>
      <c r="E45" s="12">
        <v>-2000</v>
      </c>
      <c r="F45" s="22"/>
      <c r="G45" s="23"/>
      <c r="H45" s="24"/>
      <c r="I45" s="25"/>
      <c r="J45" s="26"/>
      <c r="K45" s="18">
        <f t="shared" si="0"/>
        <v>1479.9100000000003</v>
      </c>
      <c r="L45" s="12">
        <f t="shared" si="1"/>
        <v>8776.9900000000052</v>
      </c>
    </row>
    <row r="46" spans="1:12" ht="13.5" customHeight="1" x14ac:dyDescent="0.2">
      <c r="A46" s="19"/>
      <c r="B46" s="20"/>
      <c r="C46" s="34" t="s">
        <v>7174</v>
      </c>
      <c r="D46" s="11">
        <v>0</v>
      </c>
      <c r="E46" s="12">
        <v>-42.88</v>
      </c>
      <c r="F46" s="22"/>
      <c r="G46" s="23"/>
      <c r="H46" s="24"/>
      <c r="I46" s="25"/>
      <c r="J46" s="26"/>
      <c r="K46" s="18">
        <f t="shared" si="0"/>
        <v>1437.0300000000002</v>
      </c>
      <c r="L46" s="12">
        <f t="shared" si="1"/>
        <v>8776.9900000000052</v>
      </c>
    </row>
    <row r="47" spans="1:12" ht="13.5" customHeight="1" x14ac:dyDescent="0.2">
      <c r="A47" s="19"/>
      <c r="B47" s="20"/>
      <c r="C47" s="34" t="s">
        <v>7175</v>
      </c>
      <c r="D47" s="11">
        <v>0</v>
      </c>
      <c r="E47" s="12">
        <v>-39.200000000000003</v>
      </c>
      <c r="F47" s="22"/>
      <c r="G47" s="23"/>
      <c r="H47" s="24"/>
      <c r="I47" s="25"/>
      <c r="J47" s="26"/>
      <c r="K47" s="18">
        <f t="shared" si="0"/>
        <v>1397.8300000000002</v>
      </c>
      <c r="L47" s="12">
        <f t="shared" si="1"/>
        <v>8776.9900000000052</v>
      </c>
    </row>
    <row r="48" spans="1:12" ht="13.5" customHeight="1" x14ac:dyDescent="0.2">
      <c r="A48" s="19"/>
      <c r="B48" s="20"/>
      <c r="C48" s="34" t="s">
        <v>7176</v>
      </c>
      <c r="D48" s="11">
        <v>0</v>
      </c>
      <c r="E48" s="12">
        <v>-39.880000000000003</v>
      </c>
      <c r="F48" s="22"/>
      <c r="G48" s="23"/>
      <c r="H48" s="24"/>
      <c r="I48" s="25"/>
      <c r="J48" s="26"/>
      <c r="K48" s="18">
        <f t="shared" si="0"/>
        <v>1357.95</v>
      </c>
      <c r="L48" s="12">
        <f t="shared" si="1"/>
        <v>8776.9900000000052</v>
      </c>
    </row>
    <row r="49" spans="1:12" ht="13.5" customHeight="1" x14ac:dyDescent="0.2">
      <c r="A49" s="19"/>
      <c r="B49" s="20"/>
      <c r="C49" s="34" t="s">
        <v>20</v>
      </c>
      <c r="D49" s="11">
        <v>0</v>
      </c>
      <c r="E49" s="12"/>
      <c r="F49" s="22">
        <v>0.08</v>
      </c>
      <c r="G49" s="23">
        <v>1358.03</v>
      </c>
      <c r="H49" s="24"/>
      <c r="I49" s="25"/>
      <c r="J49" s="26"/>
      <c r="K49" s="18">
        <f t="shared" si="0"/>
        <v>1358.03</v>
      </c>
      <c r="L49" s="12">
        <f t="shared" si="1"/>
        <v>8776.9900000000052</v>
      </c>
    </row>
    <row r="50" spans="1:12" ht="13.5" customHeight="1" x14ac:dyDescent="0.2">
      <c r="A50" s="19">
        <v>43168</v>
      </c>
      <c r="B50" s="20"/>
      <c r="C50" s="34" t="s">
        <v>7177</v>
      </c>
      <c r="D50" s="11"/>
      <c r="E50" s="12"/>
      <c r="F50" s="22"/>
      <c r="G50" s="23"/>
      <c r="H50" s="24">
        <v>4</v>
      </c>
      <c r="I50" s="25"/>
      <c r="J50" s="26"/>
      <c r="K50" s="18">
        <f t="shared" si="0"/>
        <v>1358.03</v>
      </c>
      <c r="L50" s="12">
        <f t="shared" si="1"/>
        <v>8772.9900000000052</v>
      </c>
    </row>
    <row r="51" spans="1:12" ht="13.5" customHeight="1" x14ac:dyDescent="0.2">
      <c r="A51" s="19"/>
      <c r="B51" s="20"/>
      <c r="C51" s="34" t="s">
        <v>701</v>
      </c>
      <c r="D51" s="11"/>
      <c r="E51" s="12"/>
      <c r="F51" s="22"/>
      <c r="G51" s="23"/>
      <c r="H51" s="24">
        <v>8.5</v>
      </c>
      <c r="I51" s="25"/>
      <c r="J51" s="26"/>
      <c r="K51" s="18">
        <f t="shared" si="0"/>
        <v>1358.03</v>
      </c>
      <c r="L51" s="12">
        <f t="shared" si="1"/>
        <v>8764.4900000000052</v>
      </c>
    </row>
    <row r="52" spans="1:12" ht="13.5" customHeight="1" x14ac:dyDescent="0.2">
      <c r="A52" s="19"/>
      <c r="B52" s="20"/>
      <c r="C52" s="34" t="s">
        <v>7178</v>
      </c>
      <c r="D52" s="11"/>
      <c r="E52" s="12"/>
      <c r="F52" s="22"/>
      <c r="G52" s="23"/>
      <c r="H52" s="24">
        <v>1.2</v>
      </c>
      <c r="I52" s="25"/>
      <c r="J52" s="26"/>
      <c r="K52" s="18">
        <f t="shared" si="0"/>
        <v>1358.03</v>
      </c>
      <c r="L52" s="12">
        <f t="shared" si="1"/>
        <v>8763.2900000000045</v>
      </c>
    </row>
    <row r="53" spans="1:12" ht="13.5" customHeight="1" x14ac:dyDescent="0.2">
      <c r="A53" s="19"/>
      <c r="B53" s="20"/>
      <c r="C53" s="34" t="s">
        <v>7179</v>
      </c>
      <c r="D53" s="11"/>
      <c r="E53" s="12"/>
      <c r="F53" s="22"/>
      <c r="G53" s="23"/>
      <c r="H53" s="24">
        <v>2</v>
      </c>
      <c r="I53" s="25"/>
      <c r="J53" s="26"/>
      <c r="K53" s="18">
        <f t="shared" si="0"/>
        <v>1358.03</v>
      </c>
      <c r="L53" s="12">
        <f t="shared" si="1"/>
        <v>8761.2900000000045</v>
      </c>
    </row>
    <row r="54" spans="1:12" ht="13.5" customHeight="1" x14ac:dyDescent="0.2">
      <c r="A54" s="19"/>
      <c r="B54" s="20"/>
      <c r="C54" s="34" t="s">
        <v>7180</v>
      </c>
      <c r="D54" s="11"/>
      <c r="E54" s="12"/>
      <c r="F54" s="22"/>
      <c r="G54" s="23"/>
      <c r="H54" s="24">
        <v>7.5</v>
      </c>
      <c r="I54" s="25"/>
      <c r="J54" s="26"/>
      <c r="K54" s="18">
        <f t="shared" si="0"/>
        <v>1358.03</v>
      </c>
      <c r="L54" s="12">
        <f t="shared" si="1"/>
        <v>8753.7900000000045</v>
      </c>
    </row>
    <row r="55" spans="1:12" ht="13.5" customHeight="1" x14ac:dyDescent="0.2">
      <c r="A55" s="19"/>
      <c r="B55" s="20"/>
      <c r="C55" s="34" t="s">
        <v>7181</v>
      </c>
      <c r="D55" s="11"/>
      <c r="E55" s="12"/>
      <c r="F55" s="22"/>
      <c r="G55" s="23"/>
      <c r="H55" s="24">
        <v>4.5999999999999996</v>
      </c>
      <c r="I55" s="25"/>
      <c r="J55" s="26"/>
      <c r="K55" s="18">
        <f t="shared" si="0"/>
        <v>1358.03</v>
      </c>
      <c r="L55" s="12">
        <f t="shared" si="1"/>
        <v>8749.1900000000041</v>
      </c>
    </row>
    <row r="56" spans="1:12" ht="13.5" customHeight="1" x14ac:dyDescent="0.2">
      <c r="A56" s="19"/>
      <c r="B56" s="20"/>
      <c r="C56" s="34" t="s">
        <v>7182</v>
      </c>
      <c r="D56" s="11"/>
      <c r="E56" s="12"/>
      <c r="F56" s="22"/>
      <c r="G56" s="23"/>
      <c r="H56" s="24">
        <v>16</v>
      </c>
      <c r="I56" s="25"/>
      <c r="J56" s="26"/>
      <c r="K56" s="18">
        <f t="shared" si="0"/>
        <v>1358.03</v>
      </c>
      <c r="L56" s="12">
        <f t="shared" si="1"/>
        <v>8733.1900000000041</v>
      </c>
    </row>
    <row r="57" spans="1:12" ht="13.5" customHeight="1" x14ac:dyDescent="0.2">
      <c r="A57" s="19"/>
      <c r="B57" s="20"/>
      <c r="C57" s="34" t="s">
        <v>7183</v>
      </c>
      <c r="D57" s="11"/>
      <c r="E57" s="12"/>
      <c r="F57" s="22"/>
      <c r="G57" s="23"/>
      <c r="H57" s="24">
        <v>21.8</v>
      </c>
      <c r="I57" s="25"/>
      <c r="J57" s="26"/>
      <c r="K57" s="18">
        <f t="shared" si="0"/>
        <v>1358.03</v>
      </c>
      <c r="L57" s="12">
        <f t="shared" si="1"/>
        <v>8711.3900000000049</v>
      </c>
    </row>
    <row r="58" spans="1:12" ht="13.5" customHeight="1" x14ac:dyDescent="0.2">
      <c r="A58" s="19"/>
      <c r="B58" s="20"/>
      <c r="C58" s="34" t="s">
        <v>7184</v>
      </c>
      <c r="D58" s="11"/>
      <c r="E58" s="12"/>
      <c r="F58" s="22"/>
      <c r="G58" s="23"/>
      <c r="H58" s="24">
        <v>1.95</v>
      </c>
      <c r="I58" s="25"/>
      <c r="J58" s="26"/>
      <c r="K58" s="18">
        <f t="shared" si="0"/>
        <v>1358.03</v>
      </c>
      <c r="L58" s="12">
        <f t="shared" si="1"/>
        <v>8709.4400000000041</v>
      </c>
    </row>
    <row r="59" spans="1:12" ht="13.5" customHeight="1" x14ac:dyDescent="0.2">
      <c r="A59" s="19"/>
      <c r="B59" s="20"/>
      <c r="C59" s="34" t="s">
        <v>7185</v>
      </c>
      <c r="D59" s="11"/>
      <c r="E59" s="12"/>
      <c r="F59" s="22"/>
      <c r="G59" s="23"/>
      <c r="H59" s="24">
        <v>3.4</v>
      </c>
      <c r="I59" s="25"/>
      <c r="J59" s="26"/>
      <c r="K59" s="18">
        <f t="shared" si="0"/>
        <v>1358.03</v>
      </c>
      <c r="L59" s="12">
        <f t="shared" si="1"/>
        <v>8706.0400000000045</v>
      </c>
    </row>
    <row r="60" spans="1:12" ht="13.5" customHeight="1" x14ac:dyDescent="0.2">
      <c r="A60" s="19"/>
      <c r="B60" s="20"/>
      <c r="C60" s="34" t="s">
        <v>7186</v>
      </c>
      <c r="D60" s="11"/>
      <c r="E60" s="12"/>
      <c r="F60" s="22"/>
      <c r="G60" s="23"/>
      <c r="H60" s="24"/>
      <c r="I60" s="25">
        <v>2388.1999999999998</v>
      </c>
      <c r="J60" s="26"/>
      <c r="K60" s="18">
        <f t="shared" si="0"/>
        <v>1358.03</v>
      </c>
      <c r="L60" s="12">
        <f t="shared" si="1"/>
        <v>11094.240000000005</v>
      </c>
    </row>
    <row r="61" spans="1:12" ht="13.5" customHeight="1" x14ac:dyDescent="0.2">
      <c r="A61" s="19"/>
      <c r="B61" s="20"/>
      <c r="C61" s="34" t="s">
        <v>7037</v>
      </c>
      <c r="D61" s="11"/>
      <c r="E61" s="12"/>
      <c r="F61" s="22"/>
      <c r="G61" s="23"/>
      <c r="H61" s="174">
        <v>2388.1999999999998</v>
      </c>
      <c r="I61" s="25"/>
      <c r="J61" s="26"/>
      <c r="K61" s="18">
        <f t="shared" si="0"/>
        <v>1358.03</v>
      </c>
      <c r="L61" s="12">
        <f t="shared" si="1"/>
        <v>8706.0400000000045</v>
      </c>
    </row>
    <row r="62" spans="1:12" ht="13.5" customHeight="1" x14ac:dyDescent="0.2">
      <c r="A62" s="19"/>
      <c r="B62" s="20"/>
      <c r="C62" s="34" t="s">
        <v>7187</v>
      </c>
      <c r="D62" s="11"/>
      <c r="E62" s="12"/>
      <c r="F62" s="22"/>
      <c r="G62" s="23"/>
      <c r="H62" s="24"/>
      <c r="I62" s="25">
        <v>5072.82</v>
      </c>
      <c r="J62" s="26"/>
      <c r="K62" s="18">
        <f t="shared" si="0"/>
        <v>1358.03</v>
      </c>
      <c r="L62" s="12">
        <f t="shared" si="1"/>
        <v>13778.860000000004</v>
      </c>
    </row>
    <row r="63" spans="1:12" ht="13.5" customHeight="1" x14ac:dyDescent="0.2">
      <c r="A63" s="19"/>
      <c r="B63" s="20"/>
      <c r="C63" s="34" t="s">
        <v>7188</v>
      </c>
      <c r="D63" s="11"/>
      <c r="E63" s="12"/>
      <c r="F63" s="22"/>
      <c r="G63" s="23"/>
      <c r="H63" s="24"/>
      <c r="I63" s="25">
        <v>1488.22</v>
      </c>
      <c r="J63" s="26"/>
      <c r="K63" s="18">
        <f t="shared" si="0"/>
        <v>1358.03</v>
      </c>
      <c r="L63" s="12">
        <f t="shared" si="1"/>
        <v>15267.080000000004</v>
      </c>
    </row>
    <row r="64" spans="1:12" ht="13.5" customHeight="1" x14ac:dyDescent="0.2">
      <c r="A64" s="19"/>
      <c r="B64" s="20"/>
      <c r="C64" s="34" t="s">
        <v>7189</v>
      </c>
      <c r="D64" s="11"/>
      <c r="E64" s="12"/>
      <c r="F64" s="22"/>
      <c r="G64" s="23"/>
      <c r="H64" s="24">
        <v>36</v>
      </c>
      <c r="I64" s="25"/>
      <c r="J64" s="26"/>
      <c r="K64" s="18">
        <f t="shared" si="0"/>
        <v>1358.03</v>
      </c>
      <c r="L64" s="12">
        <f t="shared" si="1"/>
        <v>15231.080000000004</v>
      </c>
    </row>
    <row r="65" spans="1:12" ht="13.5" customHeight="1" x14ac:dyDescent="0.2">
      <c r="A65" s="19"/>
      <c r="B65" s="20"/>
      <c r="C65" s="34" t="s">
        <v>7050</v>
      </c>
      <c r="D65" s="11"/>
      <c r="E65" s="12"/>
      <c r="F65" s="22"/>
      <c r="G65" s="23"/>
      <c r="H65" s="24">
        <v>10.5</v>
      </c>
      <c r="I65" s="25"/>
      <c r="J65" s="26"/>
      <c r="K65" s="18">
        <f t="shared" si="0"/>
        <v>1358.03</v>
      </c>
      <c r="L65" s="12">
        <f t="shared" si="1"/>
        <v>15220.580000000004</v>
      </c>
    </row>
    <row r="66" spans="1:12" ht="13.5" customHeight="1" x14ac:dyDescent="0.2">
      <c r="A66" s="19"/>
      <c r="B66" s="20"/>
      <c r="C66" s="34" t="s">
        <v>7051</v>
      </c>
      <c r="D66" s="11"/>
      <c r="E66" s="12"/>
      <c r="F66" s="22"/>
      <c r="G66" s="23"/>
      <c r="H66" s="24">
        <v>16.399999999999999</v>
      </c>
      <c r="I66" s="25"/>
      <c r="J66" s="26"/>
      <c r="K66" s="18">
        <f t="shared" si="0"/>
        <v>1358.03</v>
      </c>
      <c r="L66" s="12">
        <f t="shared" si="1"/>
        <v>15204.180000000004</v>
      </c>
    </row>
    <row r="67" spans="1:12" ht="13.5" customHeight="1" x14ac:dyDescent="0.2">
      <c r="A67" s="19"/>
      <c r="B67" s="20"/>
      <c r="C67" s="34" t="s">
        <v>7190</v>
      </c>
      <c r="D67" s="11"/>
      <c r="E67" s="12"/>
      <c r="F67" s="22"/>
      <c r="G67" s="23"/>
      <c r="H67" s="24">
        <v>1600</v>
      </c>
      <c r="I67" s="25"/>
      <c r="J67" s="26"/>
      <c r="K67" s="18">
        <f t="shared" si="0"/>
        <v>1358.03</v>
      </c>
      <c r="L67" s="12">
        <f t="shared" si="1"/>
        <v>13604.180000000004</v>
      </c>
    </row>
    <row r="68" spans="1:12" ht="13.5" customHeight="1" x14ac:dyDescent="0.2">
      <c r="A68" s="19"/>
      <c r="B68" s="20"/>
      <c r="C68" s="34" t="s">
        <v>7191</v>
      </c>
      <c r="D68" s="11"/>
      <c r="E68" s="12"/>
      <c r="F68" s="22"/>
      <c r="G68" s="23"/>
      <c r="H68" s="24">
        <v>21.15</v>
      </c>
      <c r="I68" s="25"/>
      <c r="J68" s="26"/>
      <c r="K68" s="18">
        <f t="shared" si="0"/>
        <v>1358.03</v>
      </c>
      <c r="L68" s="12">
        <f t="shared" si="1"/>
        <v>13583.030000000004</v>
      </c>
    </row>
    <row r="69" spans="1:12" ht="13.5" customHeight="1" x14ac:dyDescent="0.2">
      <c r="A69" s="19"/>
      <c r="B69" s="20"/>
      <c r="C69" s="34" t="s">
        <v>7192</v>
      </c>
      <c r="D69" s="11"/>
      <c r="E69" s="12"/>
      <c r="F69" s="22"/>
      <c r="G69" s="23"/>
      <c r="H69" s="24"/>
      <c r="I69" s="25">
        <v>2500</v>
      </c>
      <c r="J69" s="26"/>
      <c r="K69" s="18">
        <f t="shared" ref="K69:K132" si="2">K68+F69+E69</f>
        <v>1358.03</v>
      </c>
      <c r="L69" s="12">
        <f t="shared" ref="L69:L132" si="3">L68+I69-H69</f>
        <v>16083.030000000004</v>
      </c>
    </row>
    <row r="70" spans="1:12" ht="13.5" customHeight="1" x14ac:dyDescent="0.2">
      <c r="A70" s="19"/>
      <c r="B70" s="20"/>
      <c r="C70" s="34" t="s">
        <v>77</v>
      </c>
      <c r="D70" s="11"/>
      <c r="E70" s="12"/>
      <c r="F70" s="22"/>
      <c r="G70" s="23"/>
      <c r="H70" s="44">
        <v>10000</v>
      </c>
      <c r="I70" s="25"/>
      <c r="J70" s="26"/>
      <c r="K70" s="18">
        <f t="shared" si="2"/>
        <v>1358.03</v>
      </c>
      <c r="L70" s="12">
        <f t="shared" si="3"/>
        <v>6083.0300000000043</v>
      </c>
    </row>
    <row r="71" spans="1:12" ht="13.5" customHeight="1" x14ac:dyDescent="0.2">
      <c r="A71" s="19"/>
      <c r="B71" s="20"/>
      <c r="C71" s="34" t="s">
        <v>36</v>
      </c>
      <c r="D71" s="11"/>
      <c r="E71" s="12"/>
      <c r="F71" s="22"/>
      <c r="G71" s="23"/>
      <c r="H71" s="24">
        <v>350</v>
      </c>
      <c r="I71" s="25"/>
      <c r="J71" s="26">
        <v>5733.0300000000043</v>
      </c>
      <c r="K71" s="18">
        <f t="shared" si="2"/>
        <v>1358.03</v>
      </c>
      <c r="L71" s="12">
        <f t="shared" si="3"/>
        <v>5733.0300000000043</v>
      </c>
    </row>
    <row r="72" spans="1:12" ht="13.5" customHeight="1" x14ac:dyDescent="0.2">
      <c r="A72" s="19" t="s">
        <v>7193</v>
      </c>
      <c r="B72" s="20" t="s">
        <v>591</v>
      </c>
      <c r="C72" s="34" t="s">
        <v>7154</v>
      </c>
      <c r="D72" s="11">
        <v>672790</v>
      </c>
      <c r="E72" s="12"/>
      <c r="F72" s="162">
        <v>1500</v>
      </c>
      <c r="G72" s="23">
        <v>2858.03</v>
      </c>
      <c r="H72" s="24"/>
      <c r="I72" s="25"/>
      <c r="J72" s="26"/>
      <c r="K72" s="18">
        <f t="shared" si="2"/>
        <v>2858.0299999999997</v>
      </c>
      <c r="L72" s="12">
        <f t="shared" si="3"/>
        <v>5733.0300000000043</v>
      </c>
    </row>
    <row r="73" spans="1:12" ht="13.5" customHeight="1" x14ac:dyDescent="0.2">
      <c r="A73" s="19">
        <v>43171</v>
      </c>
      <c r="B73" s="20"/>
      <c r="C73" s="34" t="s">
        <v>38</v>
      </c>
      <c r="D73" s="11"/>
      <c r="E73" s="12"/>
      <c r="F73" s="22"/>
      <c r="G73" s="23"/>
      <c r="H73" s="24">
        <v>5000</v>
      </c>
      <c r="I73" s="25"/>
      <c r="J73" s="26"/>
      <c r="K73" s="18">
        <f t="shared" si="2"/>
        <v>2858.0299999999997</v>
      </c>
      <c r="L73" s="12">
        <f t="shared" si="3"/>
        <v>733.03000000000429</v>
      </c>
    </row>
    <row r="74" spans="1:12" ht="13.5" customHeight="1" x14ac:dyDescent="0.2">
      <c r="A74" s="19"/>
      <c r="B74" s="20"/>
      <c r="C74" s="34" t="s">
        <v>7194</v>
      </c>
      <c r="D74" s="11"/>
      <c r="E74" s="12"/>
      <c r="F74" s="22"/>
      <c r="G74" s="23"/>
      <c r="H74" s="24"/>
      <c r="I74" s="25">
        <v>1394.34</v>
      </c>
      <c r="J74" s="26"/>
      <c r="K74" s="18">
        <f t="shared" si="2"/>
        <v>2858.0299999999997</v>
      </c>
      <c r="L74" s="12">
        <f t="shared" si="3"/>
        <v>2127.3700000000044</v>
      </c>
    </row>
    <row r="75" spans="1:12" ht="13.5" customHeight="1" x14ac:dyDescent="0.2">
      <c r="A75" s="19"/>
      <c r="B75" s="20"/>
      <c r="C75" s="34" t="s">
        <v>7195</v>
      </c>
      <c r="D75" s="11"/>
      <c r="E75" s="12"/>
      <c r="F75" s="22"/>
      <c r="G75" s="23"/>
      <c r="H75" s="24"/>
      <c r="I75" s="25">
        <v>2050</v>
      </c>
      <c r="J75" s="26">
        <v>4177.3700000000044</v>
      </c>
      <c r="K75" s="18">
        <f t="shared" si="2"/>
        <v>2858.0299999999997</v>
      </c>
      <c r="L75" s="12">
        <f t="shared" si="3"/>
        <v>4177.3700000000044</v>
      </c>
    </row>
    <row r="76" spans="1:12" ht="13.5" customHeight="1" x14ac:dyDescent="0.2">
      <c r="A76" s="19" t="s">
        <v>7196</v>
      </c>
      <c r="B76" s="20"/>
      <c r="C76" s="34" t="s">
        <v>558</v>
      </c>
      <c r="D76" s="11">
        <v>0</v>
      </c>
      <c r="E76" s="12">
        <v>-51.21</v>
      </c>
      <c r="F76" s="22"/>
      <c r="G76" s="23"/>
      <c r="H76" s="24"/>
      <c r="I76" s="25"/>
      <c r="J76" s="26"/>
      <c r="K76" s="18">
        <f t="shared" si="2"/>
        <v>2806.8199999999997</v>
      </c>
      <c r="L76" s="12">
        <f t="shared" si="3"/>
        <v>4177.3700000000044</v>
      </c>
    </row>
    <row r="77" spans="1:12" ht="13.5" customHeight="1" x14ac:dyDescent="0.2">
      <c r="A77" s="19"/>
      <c r="B77" s="20"/>
      <c r="C77" s="34" t="s">
        <v>62</v>
      </c>
      <c r="D77" s="11">
        <v>0</v>
      </c>
      <c r="E77" s="12">
        <v>-405.63</v>
      </c>
      <c r="F77" s="22"/>
      <c r="G77" s="23"/>
      <c r="H77" s="24"/>
      <c r="I77" s="25"/>
      <c r="J77" s="26"/>
      <c r="K77" s="18">
        <f t="shared" si="2"/>
        <v>2401.1899999999996</v>
      </c>
      <c r="L77" s="12">
        <f t="shared" si="3"/>
        <v>4177.3700000000044</v>
      </c>
    </row>
    <row r="78" spans="1:12" ht="13.5" customHeight="1" x14ac:dyDescent="0.2">
      <c r="A78" s="19"/>
      <c r="B78" s="20"/>
      <c r="C78" s="34" t="s">
        <v>7197</v>
      </c>
      <c r="D78" s="11">
        <v>401000</v>
      </c>
      <c r="E78" s="12">
        <v>-118.67</v>
      </c>
      <c r="F78" s="22"/>
      <c r="G78" s="23"/>
      <c r="H78" s="24"/>
      <c r="I78" s="25"/>
      <c r="J78" s="26"/>
      <c r="K78" s="18">
        <f t="shared" si="2"/>
        <v>2282.5199999999995</v>
      </c>
      <c r="L78" s="12">
        <f t="shared" si="3"/>
        <v>4177.3700000000044</v>
      </c>
    </row>
    <row r="79" spans="1:12" ht="13.5" customHeight="1" x14ac:dyDescent="0.2">
      <c r="A79" s="19"/>
      <c r="B79" s="20"/>
      <c r="C79" s="34" t="s">
        <v>82</v>
      </c>
      <c r="D79" s="11">
        <v>441000</v>
      </c>
      <c r="E79" s="12">
        <v>-306.79000000000002</v>
      </c>
      <c r="F79" s="22"/>
      <c r="G79" s="23"/>
      <c r="H79" s="24"/>
      <c r="I79" s="25"/>
      <c r="J79" s="26"/>
      <c r="K79" s="18">
        <f t="shared" si="2"/>
        <v>1975.7299999999996</v>
      </c>
      <c r="L79" s="12">
        <f t="shared" si="3"/>
        <v>4177.3700000000044</v>
      </c>
    </row>
    <row r="80" spans="1:12" ht="13.5" customHeight="1" x14ac:dyDescent="0.2">
      <c r="A80" s="19"/>
      <c r="B80" s="20"/>
      <c r="C80" s="34" t="s">
        <v>7198</v>
      </c>
      <c r="D80" s="11">
        <v>129</v>
      </c>
      <c r="E80" s="12">
        <v>-300</v>
      </c>
      <c r="F80" s="22"/>
      <c r="G80" s="23"/>
      <c r="H80" s="24"/>
      <c r="I80" s="25"/>
      <c r="J80" s="26"/>
      <c r="K80" s="18">
        <f t="shared" si="2"/>
        <v>1675.7299999999996</v>
      </c>
      <c r="L80" s="12">
        <f t="shared" si="3"/>
        <v>4177.3700000000044</v>
      </c>
    </row>
    <row r="81" spans="1:12" ht="13.5" customHeight="1" x14ac:dyDescent="0.2">
      <c r="A81" s="19"/>
      <c r="B81" s="20"/>
      <c r="C81" s="34" t="s">
        <v>20</v>
      </c>
      <c r="D81" s="11">
        <v>0</v>
      </c>
      <c r="E81" s="12"/>
      <c r="F81" s="22">
        <v>0.03</v>
      </c>
      <c r="G81" s="23">
        <v>1675.76</v>
      </c>
      <c r="H81" s="24"/>
      <c r="I81" s="25"/>
      <c r="J81" s="26"/>
      <c r="K81" s="18">
        <f t="shared" si="2"/>
        <v>1675.7599999999995</v>
      </c>
      <c r="L81" s="12">
        <f t="shared" si="3"/>
        <v>4177.3700000000044</v>
      </c>
    </row>
    <row r="82" spans="1:12" ht="13.5" customHeight="1" x14ac:dyDescent="0.2">
      <c r="A82" s="19">
        <v>43172</v>
      </c>
      <c r="B82" s="20"/>
      <c r="C82" s="34" t="s">
        <v>7199</v>
      </c>
      <c r="D82" s="11"/>
      <c r="E82" s="12"/>
      <c r="F82" s="22"/>
      <c r="G82" s="23"/>
      <c r="H82" s="24"/>
      <c r="I82" s="25">
        <v>185</v>
      </c>
      <c r="J82" s="26"/>
      <c r="K82" s="18">
        <f t="shared" si="2"/>
        <v>1675.7599999999995</v>
      </c>
      <c r="L82" s="12">
        <f t="shared" si="3"/>
        <v>4362.3700000000044</v>
      </c>
    </row>
    <row r="83" spans="1:12" ht="13.5" customHeight="1" x14ac:dyDescent="0.2">
      <c r="A83" s="19"/>
      <c r="B83" s="20"/>
      <c r="C83" s="34" t="s">
        <v>7200</v>
      </c>
      <c r="D83" s="11"/>
      <c r="E83" s="12"/>
      <c r="F83" s="22"/>
      <c r="G83" s="23"/>
      <c r="H83" s="24">
        <v>10.9</v>
      </c>
      <c r="I83" s="25"/>
      <c r="J83" s="26"/>
      <c r="K83" s="18">
        <f t="shared" si="2"/>
        <v>1675.7599999999995</v>
      </c>
      <c r="L83" s="12">
        <f t="shared" si="3"/>
        <v>4351.4700000000048</v>
      </c>
    </row>
    <row r="84" spans="1:12" ht="13.5" customHeight="1" x14ac:dyDescent="0.2">
      <c r="A84" s="19"/>
      <c r="B84" s="20"/>
      <c r="C84" s="34" t="s">
        <v>7201</v>
      </c>
      <c r="D84" s="11"/>
      <c r="E84" s="12"/>
      <c r="F84" s="22"/>
      <c r="G84" s="23"/>
      <c r="H84" s="174">
        <v>1385</v>
      </c>
      <c r="I84" s="25"/>
      <c r="J84" s="26"/>
      <c r="K84" s="18">
        <f t="shared" si="2"/>
        <v>1675.7599999999995</v>
      </c>
      <c r="L84" s="12">
        <f t="shared" si="3"/>
        <v>2966.4700000000048</v>
      </c>
    </row>
    <row r="85" spans="1:12" ht="13.5" customHeight="1" x14ac:dyDescent="0.2">
      <c r="A85" s="19"/>
      <c r="B85" s="20"/>
      <c r="C85" s="34" t="s">
        <v>7202</v>
      </c>
      <c r="D85" s="11"/>
      <c r="E85" s="12"/>
      <c r="F85" s="22"/>
      <c r="G85" s="23"/>
      <c r="H85" s="24"/>
      <c r="I85" s="25">
        <v>190</v>
      </c>
      <c r="J85" s="26"/>
      <c r="K85" s="18">
        <f t="shared" si="2"/>
        <v>1675.7599999999995</v>
      </c>
      <c r="L85" s="12">
        <f t="shared" si="3"/>
        <v>3156.4700000000048</v>
      </c>
    </row>
    <row r="86" spans="1:12" ht="13.5" customHeight="1" x14ac:dyDescent="0.2">
      <c r="A86" s="19"/>
      <c r="B86" s="20"/>
      <c r="C86" s="34" t="s">
        <v>7203</v>
      </c>
      <c r="D86" s="11"/>
      <c r="E86" s="12"/>
      <c r="F86" s="22"/>
      <c r="G86" s="23"/>
      <c r="H86" s="24"/>
      <c r="I86" s="25">
        <v>60</v>
      </c>
      <c r="J86" s="26"/>
      <c r="K86" s="18">
        <f t="shared" si="2"/>
        <v>1675.7599999999995</v>
      </c>
      <c r="L86" s="12">
        <f t="shared" si="3"/>
        <v>3216.4700000000048</v>
      </c>
    </row>
    <row r="87" spans="1:12" ht="13.5" customHeight="1" x14ac:dyDescent="0.2">
      <c r="A87" s="19"/>
      <c r="B87" s="20"/>
      <c r="C87" s="34" t="s">
        <v>7204</v>
      </c>
      <c r="D87" s="11"/>
      <c r="E87" s="12"/>
      <c r="F87" s="22"/>
      <c r="G87" s="23"/>
      <c r="H87" s="24"/>
      <c r="I87" s="25">
        <v>60</v>
      </c>
      <c r="J87" s="26"/>
      <c r="K87" s="18">
        <f t="shared" si="2"/>
        <v>1675.7599999999995</v>
      </c>
      <c r="L87" s="12">
        <f t="shared" si="3"/>
        <v>3276.4700000000048</v>
      </c>
    </row>
    <row r="88" spans="1:12" ht="13.5" customHeight="1" x14ac:dyDescent="0.2">
      <c r="A88" s="19"/>
      <c r="B88" s="20"/>
      <c r="C88" s="34" t="s">
        <v>107</v>
      </c>
      <c r="D88" s="11"/>
      <c r="E88" s="12"/>
      <c r="F88" s="22"/>
      <c r="G88" s="23"/>
      <c r="H88" s="24">
        <v>200</v>
      </c>
      <c r="I88" s="25"/>
      <c r="J88" s="26">
        <v>3076.4700000000048</v>
      </c>
      <c r="K88" s="18">
        <f t="shared" si="2"/>
        <v>1675.7599999999995</v>
      </c>
      <c r="L88" s="12">
        <f t="shared" si="3"/>
        <v>3076.4700000000048</v>
      </c>
    </row>
    <row r="89" spans="1:12" ht="13.5" customHeight="1" x14ac:dyDescent="0.2">
      <c r="A89" s="19"/>
      <c r="B89" s="20" t="s">
        <v>591</v>
      </c>
      <c r="C89" s="34" t="s">
        <v>7201</v>
      </c>
      <c r="D89" s="11">
        <v>672767</v>
      </c>
      <c r="E89" s="12"/>
      <c r="F89" s="162">
        <v>1200</v>
      </c>
      <c r="G89" s="23"/>
      <c r="H89" s="24"/>
      <c r="I89" s="25"/>
      <c r="J89" s="26"/>
      <c r="K89" s="18">
        <f t="shared" si="2"/>
        <v>2875.7599999999993</v>
      </c>
      <c r="L89" s="12">
        <f t="shared" si="3"/>
        <v>3076.4700000000048</v>
      </c>
    </row>
    <row r="90" spans="1:12" ht="13.5" customHeight="1" x14ac:dyDescent="0.2">
      <c r="A90" s="19"/>
      <c r="B90" s="20" t="s">
        <v>591</v>
      </c>
      <c r="C90" s="34" t="s">
        <v>7201</v>
      </c>
      <c r="D90" s="11">
        <v>672789</v>
      </c>
      <c r="E90" s="12"/>
      <c r="F90" s="162">
        <v>185</v>
      </c>
      <c r="G90" s="23">
        <v>3060.76</v>
      </c>
      <c r="H90" s="24"/>
      <c r="I90" s="25"/>
      <c r="J90" s="26"/>
      <c r="K90" s="18">
        <f t="shared" si="2"/>
        <v>3060.7599999999993</v>
      </c>
      <c r="L90" s="12">
        <f t="shared" si="3"/>
        <v>3076.4700000000048</v>
      </c>
    </row>
    <row r="91" spans="1:12" ht="13.5" customHeight="1" x14ac:dyDescent="0.2">
      <c r="A91" s="19">
        <v>43173</v>
      </c>
      <c r="B91" s="20"/>
      <c r="C91" s="34" t="s">
        <v>7205</v>
      </c>
      <c r="D91" s="11"/>
      <c r="E91" s="12"/>
      <c r="F91" s="22"/>
      <c r="G91" s="23"/>
      <c r="H91" s="24">
        <v>11.9</v>
      </c>
      <c r="I91" s="25"/>
      <c r="J91" s="26"/>
      <c r="K91" s="18">
        <f t="shared" si="2"/>
        <v>3060.7599999999993</v>
      </c>
      <c r="L91" s="12">
        <f t="shared" si="3"/>
        <v>3064.5700000000047</v>
      </c>
    </row>
    <row r="92" spans="1:12" ht="13.5" customHeight="1" x14ac:dyDescent="0.2">
      <c r="A92" s="19"/>
      <c r="B92" s="20"/>
      <c r="C92" s="34" t="s">
        <v>7206</v>
      </c>
      <c r="D92" s="11"/>
      <c r="E92" s="12"/>
      <c r="F92" s="22"/>
      <c r="G92" s="23"/>
      <c r="H92" s="24">
        <v>4.9000000000000004</v>
      </c>
      <c r="I92" s="25"/>
      <c r="J92" s="26"/>
      <c r="K92" s="18">
        <f t="shared" si="2"/>
        <v>3060.7599999999993</v>
      </c>
      <c r="L92" s="12">
        <f t="shared" si="3"/>
        <v>3059.6700000000046</v>
      </c>
    </row>
    <row r="93" spans="1:12" ht="13.5" customHeight="1" x14ac:dyDescent="0.2">
      <c r="A93" s="19"/>
      <c r="B93" s="20"/>
      <c r="C93" s="34" t="s">
        <v>7207</v>
      </c>
      <c r="D93" s="11"/>
      <c r="E93" s="12"/>
      <c r="F93" s="22"/>
      <c r="G93" s="23"/>
      <c r="H93" s="24"/>
      <c r="I93" s="25">
        <v>1338.6</v>
      </c>
      <c r="J93" s="26"/>
      <c r="K93" s="18">
        <f t="shared" si="2"/>
        <v>3060.7599999999993</v>
      </c>
      <c r="L93" s="12">
        <f t="shared" si="3"/>
        <v>4398.2700000000041</v>
      </c>
    </row>
    <row r="94" spans="1:12" ht="13.5" customHeight="1" x14ac:dyDescent="0.2">
      <c r="A94" s="19"/>
      <c r="B94" s="20"/>
      <c r="C94" s="34" t="s">
        <v>7208</v>
      </c>
      <c r="D94" s="11"/>
      <c r="E94" s="12"/>
      <c r="F94" s="22"/>
      <c r="G94" s="23"/>
      <c r="H94" s="24"/>
      <c r="I94" s="25">
        <v>185</v>
      </c>
      <c r="J94" s="26"/>
      <c r="K94" s="18">
        <f t="shared" si="2"/>
        <v>3060.7599999999993</v>
      </c>
      <c r="L94" s="12">
        <f t="shared" si="3"/>
        <v>4583.2700000000041</v>
      </c>
    </row>
    <row r="95" spans="1:12" ht="13.5" customHeight="1" x14ac:dyDescent="0.2">
      <c r="A95" s="19"/>
      <c r="B95" s="20"/>
      <c r="C95" s="34" t="s">
        <v>7209</v>
      </c>
      <c r="D95" s="11"/>
      <c r="E95" s="12"/>
      <c r="F95" s="22"/>
      <c r="G95" s="23"/>
      <c r="H95" s="24"/>
      <c r="I95" s="25">
        <v>1256</v>
      </c>
      <c r="J95" s="26"/>
      <c r="K95" s="18">
        <f t="shared" si="2"/>
        <v>3060.7599999999993</v>
      </c>
      <c r="L95" s="12">
        <f t="shared" si="3"/>
        <v>5839.2700000000041</v>
      </c>
    </row>
    <row r="96" spans="1:12" ht="13.5" customHeight="1" x14ac:dyDescent="0.2">
      <c r="A96" s="19"/>
      <c r="B96" s="20"/>
      <c r="C96" s="34" t="s">
        <v>7210</v>
      </c>
      <c r="D96" s="11"/>
      <c r="E96" s="12"/>
      <c r="F96" s="22"/>
      <c r="G96" s="23"/>
      <c r="H96" s="174">
        <v>1256</v>
      </c>
      <c r="I96" s="25"/>
      <c r="J96" s="26"/>
      <c r="K96" s="18">
        <f t="shared" si="2"/>
        <v>3060.7599999999993</v>
      </c>
      <c r="L96" s="12">
        <f t="shared" si="3"/>
        <v>4583.2700000000041</v>
      </c>
    </row>
    <row r="97" spans="1:12" ht="13.5" customHeight="1" x14ac:dyDescent="0.2">
      <c r="A97" s="19"/>
      <c r="B97" s="20"/>
      <c r="C97" s="34" t="s">
        <v>7211</v>
      </c>
      <c r="D97" s="11"/>
      <c r="E97" s="12"/>
      <c r="F97" s="22"/>
      <c r="G97" s="23"/>
      <c r="H97" s="24">
        <v>18.95</v>
      </c>
      <c r="I97" s="25"/>
      <c r="J97" s="26"/>
      <c r="K97" s="18">
        <f t="shared" si="2"/>
        <v>3060.7599999999993</v>
      </c>
      <c r="L97" s="12">
        <f t="shared" si="3"/>
        <v>4564.3200000000043</v>
      </c>
    </row>
    <row r="98" spans="1:12" ht="13.5" customHeight="1" x14ac:dyDescent="0.2">
      <c r="A98" s="19"/>
      <c r="B98" s="20"/>
      <c r="C98" s="34" t="s">
        <v>7212</v>
      </c>
      <c r="D98" s="11"/>
      <c r="E98" s="12"/>
      <c r="F98" s="22"/>
      <c r="G98" s="23"/>
      <c r="H98" s="24">
        <v>13.3</v>
      </c>
      <c r="I98" s="25"/>
      <c r="J98" s="26"/>
      <c r="K98" s="18">
        <f t="shared" si="2"/>
        <v>3060.7599999999993</v>
      </c>
      <c r="L98" s="12">
        <f t="shared" si="3"/>
        <v>4551.0200000000041</v>
      </c>
    </row>
    <row r="99" spans="1:12" ht="13.5" customHeight="1" x14ac:dyDescent="0.2">
      <c r="A99" s="19"/>
      <c r="B99" s="20"/>
      <c r="C99" s="34" t="s">
        <v>7213</v>
      </c>
      <c r="D99" s="11"/>
      <c r="E99" s="12"/>
      <c r="F99" s="22"/>
      <c r="G99" s="23"/>
      <c r="H99" s="24">
        <v>19.100000000000001</v>
      </c>
      <c r="I99" s="25"/>
      <c r="J99" s="26">
        <v>4531.9200000000037</v>
      </c>
      <c r="K99" s="18">
        <f t="shared" si="2"/>
        <v>3060.7599999999993</v>
      </c>
      <c r="L99" s="12">
        <f t="shared" si="3"/>
        <v>4531.9200000000037</v>
      </c>
    </row>
    <row r="100" spans="1:12" ht="13.5" customHeight="1" x14ac:dyDescent="0.2">
      <c r="A100" s="19"/>
      <c r="B100" s="20" t="s">
        <v>591</v>
      </c>
      <c r="C100" s="34" t="s">
        <v>7210</v>
      </c>
      <c r="D100" s="11">
        <v>672756</v>
      </c>
      <c r="E100" s="12"/>
      <c r="F100" s="162">
        <v>1256</v>
      </c>
      <c r="G100" s="23">
        <v>4316.76</v>
      </c>
      <c r="H100" s="24"/>
      <c r="I100" s="25"/>
      <c r="J100" s="26"/>
      <c r="K100" s="18">
        <f t="shared" si="2"/>
        <v>4316.7599999999993</v>
      </c>
      <c r="L100" s="12">
        <f t="shared" si="3"/>
        <v>4531.9200000000037</v>
      </c>
    </row>
    <row r="101" spans="1:12" ht="13.5" customHeight="1" x14ac:dyDescent="0.2">
      <c r="A101" s="19">
        <v>43174</v>
      </c>
      <c r="B101" s="20"/>
      <c r="C101" s="34" t="s">
        <v>7214</v>
      </c>
      <c r="D101" s="11"/>
      <c r="E101" s="12"/>
      <c r="F101" s="22"/>
      <c r="G101" s="23"/>
      <c r="H101" s="24"/>
      <c r="I101" s="25">
        <v>3587.45</v>
      </c>
      <c r="J101" s="26"/>
      <c r="K101" s="18">
        <f t="shared" si="2"/>
        <v>4316.7599999999993</v>
      </c>
      <c r="L101" s="12">
        <f t="shared" si="3"/>
        <v>8119.3700000000035</v>
      </c>
    </row>
    <row r="102" spans="1:12" ht="13.5" customHeight="1" x14ac:dyDescent="0.2">
      <c r="A102" s="19"/>
      <c r="B102" s="20"/>
      <c r="C102" s="34" t="s">
        <v>7215</v>
      </c>
      <c r="D102" s="11"/>
      <c r="E102" s="12"/>
      <c r="F102" s="22"/>
      <c r="G102" s="23"/>
      <c r="H102" s="24">
        <v>49</v>
      </c>
      <c r="I102" s="25"/>
      <c r="J102" s="26"/>
      <c r="K102" s="18">
        <f t="shared" si="2"/>
        <v>4316.7599999999993</v>
      </c>
      <c r="L102" s="12">
        <f t="shared" si="3"/>
        <v>8070.3700000000035</v>
      </c>
    </row>
    <row r="103" spans="1:12" ht="13.5" customHeight="1" x14ac:dyDescent="0.2">
      <c r="A103" s="19"/>
      <c r="B103" s="20"/>
      <c r="C103" s="34" t="s">
        <v>7216</v>
      </c>
      <c r="D103" s="11"/>
      <c r="E103" s="12"/>
      <c r="F103" s="22"/>
      <c r="G103" s="23"/>
      <c r="H103" s="24">
        <v>4.9000000000000004</v>
      </c>
      <c r="I103" s="25"/>
      <c r="J103" s="26"/>
      <c r="K103" s="18">
        <f t="shared" si="2"/>
        <v>4316.7599999999993</v>
      </c>
      <c r="L103" s="12">
        <f t="shared" si="3"/>
        <v>8065.4700000000039</v>
      </c>
    </row>
    <row r="104" spans="1:12" ht="13.5" customHeight="1" x14ac:dyDescent="0.2">
      <c r="A104" s="19"/>
      <c r="B104" s="20"/>
      <c r="C104" s="34" t="s">
        <v>7217</v>
      </c>
      <c r="D104" s="11"/>
      <c r="E104" s="12"/>
      <c r="F104" s="22"/>
      <c r="G104" s="23"/>
      <c r="H104" s="24">
        <v>21.3</v>
      </c>
      <c r="I104" s="25"/>
      <c r="J104" s="26"/>
      <c r="K104" s="18">
        <f t="shared" si="2"/>
        <v>4316.7599999999993</v>
      </c>
      <c r="L104" s="12">
        <f t="shared" si="3"/>
        <v>8044.1700000000037</v>
      </c>
    </row>
    <row r="105" spans="1:12" ht="13.5" customHeight="1" x14ac:dyDescent="0.2">
      <c r="A105" s="19"/>
      <c r="B105" s="20"/>
      <c r="C105" s="34" t="s">
        <v>701</v>
      </c>
      <c r="D105" s="11"/>
      <c r="E105" s="12"/>
      <c r="F105" s="22"/>
      <c r="G105" s="23"/>
      <c r="H105" s="24">
        <v>12.75</v>
      </c>
      <c r="I105" s="25"/>
      <c r="J105" s="26"/>
      <c r="K105" s="18">
        <f t="shared" si="2"/>
        <v>4316.7599999999993</v>
      </c>
      <c r="L105" s="12">
        <f t="shared" si="3"/>
        <v>8031.4200000000037</v>
      </c>
    </row>
    <row r="106" spans="1:12" ht="13.5" customHeight="1" x14ac:dyDescent="0.2">
      <c r="A106" s="19"/>
      <c r="B106" s="20"/>
      <c r="C106" s="34" t="s">
        <v>7218</v>
      </c>
      <c r="D106" s="11"/>
      <c r="E106" s="12"/>
      <c r="F106" s="22"/>
      <c r="G106" s="23"/>
      <c r="H106" s="24">
        <v>75</v>
      </c>
      <c r="I106" s="25"/>
      <c r="J106" s="26"/>
      <c r="K106" s="18">
        <f t="shared" si="2"/>
        <v>4316.7599999999993</v>
      </c>
      <c r="L106" s="12">
        <f t="shared" si="3"/>
        <v>7956.4200000000037</v>
      </c>
    </row>
    <row r="107" spans="1:12" ht="13.5" customHeight="1" x14ac:dyDescent="0.2">
      <c r="A107" s="19"/>
      <c r="B107" s="20"/>
      <c r="C107" s="34" t="s">
        <v>7219</v>
      </c>
      <c r="D107" s="11"/>
      <c r="E107" s="12"/>
      <c r="F107" s="22"/>
      <c r="G107" s="23"/>
      <c r="H107" s="24">
        <v>75</v>
      </c>
      <c r="I107" s="25"/>
      <c r="J107" s="26"/>
      <c r="K107" s="18">
        <f t="shared" si="2"/>
        <v>4316.7599999999993</v>
      </c>
      <c r="L107" s="12">
        <f t="shared" si="3"/>
        <v>7881.4200000000037</v>
      </c>
    </row>
    <row r="108" spans="1:12" ht="13.5" customHeight="1" x14ac:dyDescent="0.2">
      <c r="A108" s="19"/>
      <c r="B108" s="20"/>
      <c r="C108" s="34" t="s">
        <v>7220</v>
      </c>
      <c r="D108" s="11"/>
      <c r="E108" s="12"/>
      <c r="F108" s="22"/>
      <c r="G108" s="23"/>
      <c r="H108" s="24">
        <v>75</v>
      </c>
      <c r="I108" s="25"/>
      <c r="J108" s="26"/>
      <c r="K108" s="18">
        <f t="shared" si="2"/>
        <v>4316.7599999999993</v>
      </c>
      <c r="L108" s="12">
        <f t="shared" si="3"/>
        <v>7806.4200000000037</v>
      </c>
    </row>
    <row r="109" spans="1:12" ht="13.5" customHeight="1" x14ac:dyDescent="0.2">
      <c r="A109" s="19"/>
      <c r="B109" s="20"/>
      <c r="C109" s="34" t="s">
        <v>7221</v>
      </c>
      <c r="D109" s="11"/>
      <c r="E109" s="12"/>
      <c r="F109" s="22"/>
      <c r="G109" s="23"/>
      <c r="H109" s="24">
        <v>75</v>
      </c>
      <c r="I109" s="25"/>
      <c r="J109" s="26"/>
      <c r="K109" s="18">
        <f t="shared" si="2"/>
        <v>4316.7599999999993</v>
      </c>
      <c r="L109" s="12">
        <f t="shared" si="3"/>
        <v>7731.4200000000037</v>
      </c>
    </row>
    <row r="110" spans="1:12" ht="13.5" customHeight="1" x14ac:dyDescent="0.2">
      <c r="A110" s="19"/>
      <c r="B110" s="20"/>
      <c r="C110" s="34" t="s">
        <v>7222</v>
      </c>
      <c r="D110" s="11"/>
      <c r="E110" s="12"/>
      <c r="F110" s="22"/>
      <c r="G110" s="23"/>
      <c r="H110" s="24"/>
      <c r="I110" s="25">
        <v>7977.7</v>
      </c>
      <c r="J110" s="26"/>
      <c r="K110" s="18">
        <f t="shared" si="2"/>
        <v>4316.7599999999993</v>
      </c>
      <c r="L110" s="12">
        <f t="shared" si="3"/>
        <v>15709.120000000003</v>
      </c>
    </row>
    <row r="111" spans="1:12" ht="13.5" customHeight="1" x14ac:dyDescent="0.2">
      <c r="A111" s="19"/>
      <c r="B111" s="20"/>
      <c r="C111" s="34" t="s">
        <v>7024</v>
      </c>
      <c r="D111" s="11"/>
      <c r="E111" s="12"/>
      <c r="F111" s="22"/>
      <c r="G111" s="23"/>
      <c r="H111" s="24"/>
      <c r="I111" s="25">
        <v>500</v>
      </c>
      <c r="J111" s="26">
        <v>16209.120000000003</v>
      </c>
      <c r="K111" s="18">
        <f t="shared" si="2"/>
        <v>4316.7599999999993</v>
      </c>
      <c r="L111" s="12">
        <f t="shared" si="3"/>
        <v>16209.120000000003</v>
      </c>
    </row>
    <row r="112" spans="1:12" ht="13.5" customHeight="1" x14ac:dyDescent="0.2">
      <c r="A112" s="19" t="s">
        <v>7223</v>
      </c>
      <c r="B112" s="20"/>
      <c r="C112" s="34" t="s">
        <v>86</v>
      </c>
      <c r="D112" s="11">
        <v>0</v>
      </c>
      <c r="E112" s="12">
        <v>-69</v>
      </c>
      <c r="F112" s="22"/>
      <c r="G112" s="23"/>
      <c r="H112" s="24"/>
      <c r="I112" s="25"/>
      <c r="J112" s="26"/>
      <c r="K112" s="18">
        <f t="shared" si="2"/>
        <v>4247.7599999999993</v>
      </c>
      <c r="L112" s="12">
        <f t="shared" si="3"/>
        <v>16209.120000000003</v>
      </c>
    </row>
    <row r="113" spans="1:12" ht="13.5" customHeight="1" x14ac:dyDescent="0.2">
      <c r="A113" s="19"/>
      <c r="B113" s="20"/>
      <c r="C113" s="34" t="s">
        <v>114</v>
      </c>
      <c r="D113" s="11">
        <v>851000</v>
      </c>
      <c r="E113" s="12">
        <v>-213.84</v>
      </c>
      <c r="F113" s="22"/>
      <c r="G113" s="23"/>
      <c r="H113" s="24"/>
      <c r="I113" s="25"/>
      <c r="J113" s="26"/>
      <c r="K113" s="18">
        <f t="shared" si="2"/>
        <v>4033.9199999999992</v>
      </c>
      <c r="L113" s="12">
        <f t="shared" si="3"/>
        <v>16209.120000000003</v>
      </c>
    </row>
    <row r="114" spans="1:12" ht="13.5" customHeight="1" x14ac:dyDescent="0.2">
      <c r="A114" s="19"/>
      <c r="B114" s="20"/>
      <c r="C114" s="34" t="s">
        <v>7224</v>
      </c>
      <c r="D114" s="11">
        <v>60</v>
      </c>
      <c r="E114" s="12">
        <v>-1100</v>
      </c>
      <c r="F114" s="22"/>
      <c r="G114" s="23"/>
      <c r="H114" s="24"/>
      <c r="I114" s="25"/>
      <c r="J114" s="26"/>
      <c r="K114" s="18">
        <f t="shared" si="2"/>
        <v>2933.9199999999992</v>
      </c>
      <c r="L114" s="12">
        <f t="shared" si="3"/>
        <v>16209.120000000003</v>
      </c>
    </row>
    <row r="115" spans="1:12" ht="13.5" customHeight="1" x14ac:dyDescent="0.2">
      <c r="A115" s="19"/>
      <c r="B115" s="20"/>
      <c r="C115" s="34" t="s">
        <v>20</v>
      </c>
      <c r="D115" s="11">
        <v>0</v>
      </c>
      <c r="E115" s="12"/>
      <c r="F115" s="22">
        <v>0.03</v>
      </c>
      <c r="G115" s="23">
        <v>2933.95</v>
      </c>
      <c r="H115" s="24"/>
      <c r="I115" s="25"/>
      <c r="J115" s="26"/>
      <c r="K115" s="18">
        <f t="shared" si="2"/>
        <v>2933.9499999999994</v>
      </c>
      <c r="L115" s="12">
        <f t="shared" si="3"/>
        <v>16209.120000000003</v>
      </c>
    </row>
    <row r="116" spans="1:12" ht="13.5" customHeight="1" x14ac:dyDescent="0.2">
      <c r="A116" s="19">
        <v>43175</v>
      </c>
      <c r="B116" s="20"/>
      <c r="C116" s="34" t="s">
        <v>7225</v>
      </c>
      <c r="D116" s="11"/>
      <c r="E116" s="12"/>
      <c r="F116" s="22"/>
      <c r="G116" s="23"/>
      <c r="H116" s="24">
        <v>400</v>
      </c>
      <c r="I116" s="25"/>
      <c r="J116" s="26"/>
      <c r="K116" s="18">
        <f t="shared" si="2"/>
        <v>2933.9499999999994</v>
      </c>
      <c r="L116" s="12">
        <f t="shared" si="3"/>
        <v>15809.120000000003</v>
      </c>
    </row>
    <row r="117" spans="1:12" ht="13.5" customHeight="1" x14ac:dyDescent="0.2">
      <c r="A117" s="19"/>
      <c r="B117" s="20"/>
      <c r="C117" s="34" t="s">
        <v>36</v>
      </c>
      <c r="D117" s="11"/>
      <c r="E117" s="12"/>
      <c r="F117" s="22"/>
      <c r="G117" s="23"/>
      <c r="H117" s="24">
        <v>350</v>
      </c>
      <c r="I117" s="25"/>
      <c r="J117" s="26"/>
      <c r="K117" s="18">
        <f t="shared" si="2"/>
        <v>2933.9499999999994</v>
      </c>
      <c r="L117" s="12">
        <f t="shared" si="3"/>
        <v>15459.120000000003</v>
      </c>
    </row>
    <row r="118" spans="1:12" ht="13.5" customHeight="1" x14ac:dyDescent="0.2">
      <c r="A118" s="19">
        <v>43178</v>
      </c>
      <c r="B118" s="20"/>
      <c r="C118" s="34" t="s">
        <v>7226</v>
      </c>
      <c r="D118" s="11"/>
      <c r="E118" s="12"/>
      <c r="F118" s="22"/>
      <c r="G118" s="23"/>
      <c r="H118" s="24">
        <v>10.9</v>
      </c>
      <c r="I118" s="25"/>
      <c r="J118" s="1131"/>
      <c r="K118" s="18">
        <f t="shared" si="2"/>
        <v>2933.9499999999994</v>
      </c>
      <c r="L118" s="12">
        <f t="shared" si="3"/>
        <v>15448.220000000003</v>
      </c>
    </row>
    <row r="119" spans="1:12" ht="13.5" customHeight="1" x14ac:dyDescent="0.2">
      <c r="A119" s="19"/>
      <c r="B119" s="20"/>
      <c r="C119" s="34" t="s">
        <v>7227</v>
      </c>
      <c r="D119" s="11"/>
      <c r="E119" s="12"/>
      <c r="F119" s="22"/>
      <c r="G119" s="23"/>
      <c r="H119" s="24">
        <v>16.75</v>
      </c>
      <c r="I119" s="25"/>
      <c r="J119" s="1131"/>
      <c r="K119" s="18">
        <f t="shared" si="2"/>
        <v>2933.9499999999994</v>
      </c>
      <c r="L119" s="12">
        <f t="shared" si="3"/>
        <v>15431.470000000003</v>
      </c>
    </row>
    <row r="120" spans="1:12" ht="13.5" customHeight="1" x14ac:dyDescent="0.2">
      <c r="A120" s="19"/>
      <c r="B120" s="20"/>
      <c r="C120" s="34" t="s">
        <v>7228</v>
      </c>
      <c r="D120" s="11"/>
      <c r="E120" s="12"/>
      <c r="F120" s="22"/>
      <c r="G120" s="23"/>
      <c r="H120" s="24">
        <v>12.2</v>
      </c>
      <c r="I120" s="25"/>
      <c r="J120" s="1131"/>
      <c r="K120" s="18">
        <f t="shared" si="2"/>
        <v>2933.9499999999994</v>
      </c>
      <c r="L120" s="12">
        <f t="shared" si="3"/>
        <v>15419.270000000002</v>
      </c>
    </row>
    <row r="121" spans="1:12" ht="13.5" customHeight="1" x14ac:dyDescent="0.2">
      <c r="A121" s="19"/>
      <c r="B121" s="20"/>
      <c r="C121" s="34" t="s">
        <v>7229</v>
      </c>
      <c r="D121" s="11"/>
      <c r="E121" s="12"/>
      <c r="F121" s="22"/>
      <c r="G121" s="23"/>
      <c r="H121" s="24">
        <v>60</v>
      </c>
      <c r="I121" s="25"/>
      <c r="J121" s="1131">
        <v>15359.270000000002</v>
      </c>
      <c r="K121" s="18">
        <f t="shared" si="2"/>
        <v>2933.9499999999994</v>
      </c>
      <c r="L121" s="12">
        <f t="shared" si="3"/>
        <v>15359.270000000002</v>
      </c>
    </row>
    <row r="122" spans="1:12" ht="13.5" customHeight="1" x14ac:dyDescent="0.2">
      <c r="A122" s="19"/>
      <c r="B122" s="20"/>
      <c r="C122" s="34" t="s">
        <v>7230</v>
      </c>
      <c r="D122" s="11">
        <v>360165</v>
      </c>
      <c r="E122" s="12">
        <v>-716</v>
      </c>
      <c r="F122" s="22"/>
      <c r="G122" s="23"/>
      <c r="H122" s="24"/>
      <c r="I122" s="25"/>
      <c r="J122" s="26"/>
      <c r="K122" s="18">
        <f t="shared" si="2"/>
        <v>2217.9499999999994</v>
      </c>
      <c r="L122" s="12">
        <f t="shared" si="3"/>
        <v>15359.270000000002</v>
      </c>
    </row>
    <row r="123" spans="1:12" ht="13.5" customHeight="1" x14ac:dyDescent="0.2">
      <c r="A123" s="19"/>
      <c r="B123" s="20"/>
      <c r="C123" s="34" t="s">
        <v>6199</v>
      </c>
      <c r="D123" s="11">
        <v>0</v>
      </c>
      <c r="E123" s="12">
        <v>-131.88999999999999</v>
      </c>
      <c r="F123" s="22"/>
      <c r="G123" s="23"/>
      <c r="H123" s="24"/>
      <c r="I123" s="25"/>
      <c r="J123" s="26"/>
      <c r="K123" s="18">
        <f t="shared" si="2"/>
        <v>2086.0599999999995</v>
      </c>
      <c r="L123" s="12">
        <f t="shared" si="3"/>
        <v>15359.270000000002</v>
      </c>
    </row>
    <row r="124" spans="1:12" ht="13.5" customHeight="1" x14ac:dyDescent="0.2">
      <c r="A124" s="19"/>
      <c r="B124" s="20"/>
      <c r="C124" s="34" t="s">
        <v>18</v>
      </c>
      <c r="D124" s="11">
        <v>0</v>
      </c>
      <c r="E124" s="12">
        <v>-350.94</v>
      </c>
      <c r="F124" s="22"/>
      <c r="G124" s="23"/>
      <c r="H124" s="24"/>
      <c r="I124" s="25"/>
      <c r="J124" s="26"/>
      <c r="K124" s="18">
        <f t="shared" si="2"/>
        <v>1735.1199999999994</v>
      </c>
      <c r="L124" s="12">
        <f t="shared" si="3"/>
        <v>15359.270000000002</v>
      </c>
    </row>
    <row r="125" spans="1:12" ht="13.5" customHeight="1" x14ac:dyDescent="0.2">
      <c r="A125" s="19"/>
      <c r="B125" s="20"/>
      <c r="C125" s="34" t="s">
        <v>53</v>
      </c>
      <c r="D125" s="11">
        <v>0</v>
      </c>
      <c r="E125" s="12">
        <v>-512.05999999999995</v>
      </c>
      <c r="F125" s="22"/>
      <c r="G125" s="23">
        <v>1223.06</v>
      </c>
      <c r="H125" s="24"/>
      <c r="I125" s="25"/>
      <c r="J125" s="26"/>
      <c r="K125" s="18">
        <f t="shared" si="2"/>
        <v>1223.0599999999995</v>
      </c>
      <c r="L125" s="12">
        <f t="shared" si="3"/>
        <v>15359.270000000002</v>
      </c>
    </row>
    <row r="126" spans="1:12" ht="13.5" customHeight="1" x14ac:dyDescent="0.2">
      <c r="A126" s="19" t="s">
        <v>7231</v>
      </c>
      <c r="B126" s="20"/>
      <c r="C126" s="34" t="s">
        <v>7038</v>
      </c>
      <c r="D126" s="11">
        <v>921000</v>
      </c>
      <c r="E126" s="12">
        <v>-615.30999999999995</v>
      </c>
      <c r="F126" s="22"/>
      <c r="G126" s="23"/>
      <c r="H126" s="24"/>
      <c r="I126" s="25"/>
      <c r="J126" s="26"/>
      <c r="K126" s="18">
        <f t="shared" si="2"/>
        <v>607.74999999999955</v>
      </c>
      <c r="L126" s="12">
        <f t="shared" si="3"/>
        <v>15359.270000000002</v>
      </c>
    </row>
    <row r="127" spans="1:12" ht="13.5" customHeight="1" x14ac:dyDescent="0.2">
      <c r="A127" s="19"/>
      <c r="B127" s="20"/>
      <c r="C127" s="34" t="s">
        <v>867</v>
      </c>
      <c r="D127" s="11">
        <v>0</v>
      </c>
      <c r="E127" s="12">
        <v>-500</v>
      </c>
      <c r="F127" s="22"/>
      <c r="G127" s="23"/>
      <c r="H127" s="24"/>
      <c r="I127" s="25"/>
      <c r="J127" s="26"/>
      <c r="K127" s="18">
        <f t="shared" si="2"/>
        <v>107.74999999999955</v>
      </c>
      <c r="L127" s="12">
        <f t="shared" si="3"/>
        <v>15359.270000000002</v>
      </c>
    </row>
    <row r="128" spans="1:12" ht="13.5" customHeight="1" x14ac:dyDescent="0.2">
      <c r="A128" s="19"/>
      <c r="B128" s="20"/>
      <c r="C128" s="34" t="s">
        <v>7232</v>
      </c>
      <c r="D128" s="11">
        <v>0</v>
      </c>
      <c r="E128" s="12">
        <v>-1115.51</v>
      </c>
      <c r="F128" s="22"/>
      <c r="G128" s="23"/>
      <c r="H128" s="24"/>
      <c r="I128" s="25"/>
      <c r="J128" s="26"/>
      <c r="K128" s="18">
        <f t="shared" si="2"/>
        <v>-1007.7600000000004</v>
      </c>
      <c r="L128" s="12">
        <f t="shared" si="3"/>
        <v>15359.270000000002</v>
      </c>
    </row>
    <row r="129" spans="1:12" ht="13.5" customHeight="1" x14ac:dyDescent="0.2">
      <c r="A129" s="19"/>
      <c r="B129" s="20" t="s">
        <v>591</v>
      </c>
      <c r="C129" s="34" t="s">
        <v>7233</v>
      </c>
      <c r="D129" s="11">
        <v>347543</v>
      </c>
      <c r="E129" s="12"/>
      <c r="F129" s="22">
        <v>1135.98</v>
      </c>
      <c r="G129" s="23"/>
      <c r="H129" s="24"/>
      <c r="I129" s="25"/>
      <c r="J129" s="26"/>
      <c r="K129" s="18">
        <f t="shared" si="2"/>
        <v>128.21999999999957</v>
      </c>
      <c r="L129" s="12">
        <f t="shared" si="3"/>
        <v>15359.270000000002</v>
      </c>
    </row>
    <row r="130" spans="1:12" ht="13.5" customHeight="1" x14ac:dyDescent="0.2">
      <c r="A130" s="19"/>
      <c r="B130" s="20"/>
      <c r="C130" s="34" t="s">
        <v>7234</v>
      </c>
      <c r="D130" s="11">
        <v>360017</v>
      </c>
      <c r="E130" s="12"/>
      <c r="F130" s="409">
        <v>3000</v>
      </c>
      <c r="G130" s="23"/>
      <c r="H130" s="24"/>
      <c r="I130" s="25"/>
      <c r="J130" s="26"/>
      <c r="K130" s="18">
        <f t="shared" si="2"/>
        <v>3128.2199999999993</v>
      </c>
      <c r="L130" s="12">
        <f t="shared" si="3"/>
        <v>15359.270000000002</v>
      </c>
    </row>
    <row r="131" spans="1:12" ht="13.5" customHeight="1" x14ac:dyDescent="0.2">
      <c r="A131" s="19"/>
      <c r="B131" s="20"/>
      <c r="C131" s="34" t="s">
        <v>7234</v>
      </c>
      <c r="D131" s="11">
        <v>360028</v>
      </c>
      <c r="E131" s="12"/>
      <c r="F131" s="409">
        <v>2000</v>
      </c>
      <c r="G131" s="23">
        <v>5128.25</v>
      </c>
      <c r="H131" s="24"/>
      <c r="I131" s="25"/>
      <c r="J131" s="26"/>
      <c r="K131" s="18">
        <f t="shared" si="2"/>
        <v>5128.2199999999993</v>
      </c>
      <c r="L131" s="12">
        <f t="shared" si="3"/>
        <v>15359.270000000002</v>
      </c>
    </row>
    <row r="132" spans="1:12" ht="13.5" customHeight="1" x14ac:dyDescent="0.2">
      <c r="A132" s="19" t="s">
        <v>7235</v>
      </c>
      <c r="B132" s="20"/>
      <c r="C132" s="34" t="s">
        <v>133</v>
      </c>
      <c r="D132" s="11">
        <v>701000</v>
      </c>
      <c r="E132" s="12">
        <v>-685.17</v>
      </c>
      <c r="F132" s="22"/>
      <c r="G132" s="23"/>
      <c r="H132" s="24"/>
      <c r="I132" s="25"/>
      <c r="J132" s="26"/>
      <c r="K132" s="18">
        <f t="shared" si="2"/>
        <v>4443.0499999999993</v>
      </c>
      <c r="L132" s="12">
        <f t="shared" si="3"/>
        <v>15359.270000000002</v>
      </c>
    </row>
    <row r="133" spans="1:12" ht="13.5" customHeight="1" x14ac:dyDescent="0.2">
      <c r="A133" s="19"/>
      <c r="B133" s="20"/>
      <c r="C133" s="34" t="s">
        <v>20</v>
      </c>
      <c r="D133" s="11">
        <v>0</v>
      </c>
      <c r="E133" s="12"/>
      <c r="F133" s="22">
        <v>0.01</v>
      </c>
      <c r="G133" s="23">
        <v>4443.09</v>
      </c>
      <c r="H133" s="24"/>
      <c r="I133" s="25"/>
      <c r="J133" s="26"/>
      <c r="K133" s="18">
        <f t="shared" ref="K133:K189" si="4">K132+F133+E133</f>
        <v>4443.0599999999995</v>
      </c>
      <c r="L133" s="12">
        <f t="shared" ref="L133:L189" si="5">L132+I133-H133</f>
        <v>15359.270000000002</v>
      </c>
    </row>
    <row r="134" spans="1:12" ht="13.5" customHeight="1" x14ac:dyDescent="0.2">
      <c r="A134" s="19">
        <v>43181</v>
      </c>
      <c r="B134" s="20"/>
      <c r="C134" s="34" t="s">
        <v>7236</v>
      </c>
      <c r="D134" s="11"/>
      <c r="E134" s="12"/>
      <c r="F134" s="22"/>
      <c r="G134" s="23"/>
      <c r="H134" s="24">
        <v>59.6</v>
      </c>
      <c r="I134" s="25"/>
      <c r="J134" s="1131"/>
      <c r="K134" s="18">
        <f t="shared" si="4"/>
        <v>4443.0599999999995</v>
      </c>
      <c r="L134" s="12">
        <f t="shared" si="5"/>
        <v>15299.670000000002</v>
      </c>
    </row>
    <row r="135" spans="1:12" ht="13.5" customHeight="1" x14ac:dyDescent="0.2">
      <c r="A135" s="19"/>
      <c r="B135" s="20"/>
      <c r="C135" s="34" t="s">
        <v>5995</v>
      </c>
      <c r="D135" s="11"/>
      <c r="E135" s="12"/>
      <c r="F135" s="22"/>
      <c r="G135" s="23"/>
      <c r="H135" s="174">
        <v>8477</v>
      </c>
      <c r="I135" s="25"/>
      <c r="J135" s="1131"/>
      <c r="K135" s="18">
        <f t="shared" si="4"/>
        <v>4443.0599999999995</v>
      </c>
      <c r="L135" s="12">
        <f t="shared" si="5"/>
        <v>6822.6700000000019</v>
      </c>
    </row>
    <row r="136" spans="1:12" ht="13.5" customHeight="1" x14ac:dyDescent="0.2">
      <c r="A136" s="19"/>
      <c r="B136" s="20"/>
      <c r="C136" s="34" t="s">
        <v>7237</v>
      </c>
      <c r="D136" s="11"/>
      <c r="E136" s="12"/>
      <c r="F136" s="22"/>
      <c r="G136" s="23"/>
      <c r="H136" s="24">
        <v>13.18</v>
      </c>
      <c r="I136" s="25"/>
      <c r="J136" s="1131"/>
      <c r="K136" s="18">
        <f t="shared" si="4"/>
        <v>4443.0599999999995</v>
      </c>
      <c r="L136" s="12">
        <f t="shared" si="5"/>
        <v>6809.4900000000016</v>
      </c>
    </row>
    <row r="137" spans="1:12" ht="13.5" customHeight="1" x14ac:dyDescent="0.2">
      <c r="A137" s="19"/>
      <c r="B137" s="20"/>
      <c r="C137" s="34" t="s">
        <v>7238</v>
      </c>
      <c r="D137" s="11"/>
      <c r="E137" s="12"/>
      <c r="F137" s="22"/>
      <c r="G137" s="23"/>
      <c r="H137" s="24">
        <v>13.34</v>
      </c>
      <c r="I137" s="25"/>
      <c r="J137" s="1131"/>
      <c r="K137" s="18">
        <f t="shared" si="4"/>
        <v>4443.0599999999995</v>
      </c>
      <c r="L137" s="12">
        <f t="shared" si="5"/>
        <v>6796.1500000000015</v>
      </c>
    </row>
    <row r="138" spans="1:12" ht="13.5" customHeight="1" x14ac:dyDescent="0.2">
      <c r="A138" s="19"/>
      <c r="B138" s="20"/>
      <c r="C138" s="34" t="s">
        <v>7239</v>
      </c>
      <c r="D138" s="11"/>
      <c r="E138" s="12"/>
      <c r="F138" s="22"/>
      <c r="G138" s="23"/>
      <c r="H138" s="24">
        <v>3.98</v>
      </c>
      <c r="I138" s="25"/>
      <c r="J138" s="1131"/>
      <c r="K138" s="18">
        <f t="shared" si="4"/>
        <v>4443.0599999999995</v>
      </c>
      <c r="L138" s="12">
        <f t="shared" si="5"/>
        <v>6792.1700000000019</v>
      </c>
    </row>
    <row r="139" spans="1:12" ht="13.5" customHeight="1" x14ac:dyDescent="0.2">
      <c r="A139" s="19"/>
      <c r="B139" s="20"/>
      <c r="C139" s="34" t="s">
        <v>7030</v>
      </c>
      <c r="D139" s="11"/>
      <c r="E139" s="12"/>
      <c r="F139" s="22"/>
      <c r="G139" s="23"/>
      <c r="H139" s="24">
        <v>13.8</v>
      </c>
      <c r="I139" s="25"/>
      <c r="J139" s="1131"/>
      <c r="K139" s="18">
        <f t="shared" si="4"/>
        <v>4443.0599999999995</v>
      </c>
      <c r="L139" s="12">
        <f t="shared" si="5"/>
        <v>6778.3700000000017</v>
      </c>
    </row>
    <row r="140" spans="1:12" ht="13.5" customHeight="1" x14ac:dyDescent="0.2">
      <c r="A140" s="19"/>
      <c r="B140" s="20"/>
      <c r="C140" s="34" t="s">
        <v>7054</v>
      </c>
      <c r="D140" s="11"/>
      <c r="E140" s="12"/>
      <c r="F140" s="22"/>
      <c r="G140" s="23"/>
      <c r="H140" s="24">
        <v>5.2</v>
      </c>
      <c r="I140" s="25"/>
      <c r="J140" s="1131"/>
      <c r="K140" s="18">
        <f t="shared" si="4"/>
        <v>4443.0599999999995</v>
      </c>
      <c r="L140" s="12">
        <f t="shared" si="5"/>
        <v>6773.1700000000019</v>
      </c>
    </row>
    <row r="141" spans="1:12" ht="13.5" customHeight="1" x14ac:dyDescent="0.2">
      <c r="A141" s="19"/>
      <c r="B141" s="20"/>
      <c r="C141" s="34" t="s">
        <v>7240</v>
      </c>
      <c r="D141" s="11"/>
      <c r="E141" s="12"/>
      <c r="F141" s="22"/>
      <c r="G141" s="23"/>
      <c r="H141" s="24">
        <v>1.5</v>
      </c>
      <c r="I141" s="25"/>
      <c r="J141" s="1131">
        <v>6771.6700000000019</v>
      </c>
      <c r="K141" s="18">
        <f t="shared" si="4"/>
        <v>4443.0599999999995</v>
      </c>
      <c r="L141" s="12">
        <f t="shared" si="5"/>
        <v>6771.6700000000019</v>
      </c>
    </row>
    <row r="142" spans="1:12" ht="13.5" customHeight="1" x14ac:dyDescent="0.2">
      <c r="A142" s="19"/>
      <c r="B142" s="20"/>
      <c r="C142" s="34" t="s">
        <v>127</v>
      </c>
      <c r="D142" s="11">
        <v>0</v>
      </c>
      <c r="E142" s="12">
        <v>-23.45</v>
      </c>
      <c r="F142" s="22"/>
      <c r="G142" s="23"/>
      <c r="H142" s="24"/>
      <c r="I142" s="25"/>
      <c r="J142" s="26"/>
      <c r="K142" s="18">
        <f t="shared" si="4"/>
        <v>4419.6099999999997</v>
      </c>
      <c r="L142" s="12">
        <f t="shared" si="5"/>
        <v>6771.6700000000019</v>
      </c>
    </row>
    <row r="143" spans="1:12" ht="13.5" customHeight="1" x14ac:dyDescent="0.2">
      <c r="A143" s="19"/>
      <c r="B143" s="20"/>
      <c r="C143" s="34" t="s">
        <v>131</v>
      </c>
      <c r="D143" s="11">
        <v>0</v>
      </c>
      <c r="E143" s="12">
        <v>-26.51</v>
      </c>
      <c r="F143" s="22"/>
      <c r="G143" s="23"/>
      <c r="H143" s="24"/>
      <c r="I143" s="25"/>
      <c r="J143" s="26"/>
      <c r="K143" s="18">
        <f t="shared" si="4"/>
        <v>4393.0999999999995</v>
      </c>
      <c r="L143" s="12">
        <f t="shared" si="5"/>
        <v>6771.6700000000019</v>
      </c>
    </row>
    <row r="144" spans="1:12" ht="13.5" customHeight="1" x14ac:dyDescent="0.2">
      <c r="A144" s="19"/>
      <c r="B144" s="20" t="s">
        <v>591</v>
      </c>
      <c r="C144" s="34" t="s">
        <v>128</v>
      </c>
      <c r="D144" s="11">
        <v>0</v>
      </c>
      <c r="E144" s="12">
        <v>-28.26</v>
      </c>
      <c r="F144" s="22"/>
      <c r="G144" s="23"/>
      <c r="H144" s="24"/>
      <c r="I144" s="25"/>
      <c r="J144" s="26"/>
      <c r="K144" s="18">
        <f t="shared" si="4"/>
        <v>4364.8399999999992</v>
      </c>
      <c r="L144" s="12">
        <f t="shared" si="5"/>
        <v>6771.6700000000019</v>
      </c>
    </row>
    <row r="145" spans="1:12" ht="13.5" customHeight="1" x14ac:dyDescent="0.2">
      <c r="A145" s="19"/>
      <c r="B145" s="20" t="s">
        <v>591</v>
      </c>
      <c r="C145" s="34" t="s">
        <v>5732</v>
      </c>
      <c r="D145" s="11">
        <v>0</v>
      </c>
      <c r="E145" s="12">
        <v>-39.1</v>
      </c>
      <c r="F145" s="22"/>
      <c r="G145" s="23"/>
      <c r="H145" s="24"/>
      <c r="I145" s="25"/>
      <c r="J145" s="26"/>
      <c r="K145" s="18">
        <f t="shared" si="4"/>
        <v>4325.7399999999989</v>
      </c>
      <c r="L145" s="12">
        <f t="shared" si="5"/>
        <v>6771.6700000000019</v>
      </c>
    </row>
    <row r="146" spans="1:12" ht="13.5" customHeight="1" x14ac:dyDescent="0.2">
      <c r="A146" s="19"/>
      <c r="B146" s="20"/>
      <c r="C146" s="34" t="s">
        <v>129</v>
      </c>
      <c r="D146" s="11">
        <v>0</v>
      </c>
      <c r="E146" s="12">
        <v>-39.1</v>
      </c>
      <c r="F146" s="22"/>
      <c r="G146" s="23"/>
      <c r="H146" s="24"/>
      <c r="I146" s="25"/>
      <c r="J146" s="26"/>
      <c r="K146" s="18">
        <f t="shared" si="4"/>
        <v>4286.6399999999985</v>
      </c>
      <c r="L146" s="12">
        <f t="shared" si="5"/>
        <v>6771.6700000000019</v>
      </c>
    </row>
    <row r="147" spans="1:12" ht="13.5" customHeight="1" x14ac:dyDescent="0.2">
      <c r="A147" s="19"/>
      <c r="B147" s="20"/>
      <c r="C147" s="34" t="s">
        <v>130</v>
      </c>
      <c r="D147" s="11">
        <v>0</v>
      </c>
      <c r="E147" s="12">
        <v>-117.21</v>
      </c>
      <c r="F147" s="22"/>
      <c r="G147" s="23"/>
      <c r="H147" s="24"/>
      <c r="I147" s="25"/>
      <c r="J147" s="26"/>
      <c r="K147" s="18">
        <f t="shared" si="4"/>
        <v>4169.4299999999985</v>
      </c>
      <c r="L147" s="12">
        <f t="shared" si="5"/>
        <v>6771.6700000000019</v>
      </c>
    </row>
    <row r="148" spans="1:12" ht="13.5" customHeight="1" x14ac:dyDescent="0.2">
      <c r="A148" s="19"/>
      <c r="B148" s="20"/>
      <c r="C148" s="34" t="s">
        <v>20</v>
      </c>
      <c r="D148" s="11">
        <v>0</v>
      </c>
      <c r="E148" s="12"/>
      <c r="F148" s="22">
        <v>0.01</v>
      </c>
      <c r="G148" s="23">
        <v>4169.47</v>
      </c>
      <c r="H148" s="24"/>
      <c r="I148" s="25"/>
      <c r="J148" s="26"/>
      <c r="K148" s="18">
        <f t="shared" si="4"/>
        <v>4169.4399999999987</v>
      </c>
      <c r="L148" s="12">
        <f t="shared" si="5"/>
        <v>6771.6700000000019</v>
      </c>
    </row>
    <row r="149" spans="1:12" ht="13.5" customHeight="1" x14ac:dyDescent="0.2">
      <c r="A149" s="19">
        <v>43182</v>
      </c>
      <c r="B149" s="20"/>
      <c r="C149" s="34" t="s">
        <v>7241</v>
      </c>
      <c r="D149" s="11"/>
      <c r="E149" s="12"/>
      <c r="F149" s="22"/>
      <c r="G149" s="23"/>
      <c r="H149" s="24">
        <v>320</v>
      </c>
      <c r="I149" s="25"/>
      <c r="J149" s="1131"/>
      <c r="K149" s="18">
        <f t="shared" si="4"/>
        <v>4169.4399999999987</v>
      </c>
      <c r="L149" s="12">
        <f t="shared" si="5"/>
        <v>6451.6700000000019</v>
      </c>
    </row>
    <row r="150" spans="1:12" ht="13.5" customHeight="1" x14ac:dyDescent="0.2">
      <c r="A150" s="19"/>
      <c r="B150" s="20"/>
      <c r="C150" s="34" t="s">
        <v>7242</v>
      </c>
      <c r="D150" s="11"/>
      <c r="E150" s="12"/>
      <c r="F150" s="22"/>
      <c r="G150" s="23"/>
      <c r="H150" s="24">
        <v>7</v>
      </c>
      <c r="I150" s="25"/>
      <c r="J150" s="1131"/>
      <c r="K150" s="18">
        <f t="shared" si="4"/>
        <v>4169.4399999999987</v>
      </c>
      <c r="L150" s="12">
        <f t="shared" si="5"/>
        <v>6444.6700000000019</v>
      </c>
    </row>
    <row r="151" spans="1:12" ht="13.5" customHeight="1" x14ac:dyDescent="0.2">
      <c r="A151" s="19"/>
      <c r="B151" s="20"/>
      <c r="C151" s="34" t="s">
        <v>7243</v>
      </c>
      <c r="D151" s="11"/>
      <c r="E151" s="12"/>
      <c r="F151" s="22"/>
      <c r="G151" s="23"/>
      <c r="H151" s="24">
        <v>10.33</v>
      </c>
      <c r="I151" s="25"/>
      <c r="J151" s="1131"/>
      <c r="K151" s="18">
        <f t="shared" si="4"/>
        <v>4169.4399999999987</v>
      </c>
      <c r="L151" s="12">
        <f t="shared" si="5"/>
        <v>6434.340000000002</v>
      </c>
    </row>
    <row r="152" spans="1:12" ht="13.5" customHeight="1" x14ac:dyDescent="0.2">
      <c r="A152" s="19"/>
      <c r="B152" s="20"/>
      <c r="C152" s="34" t="s">
        <v>7244</v>
      </c>
      <c r="D152" s="11"/>
      <c r="E152" s="12"/>
      <c r="F152" s="22"/>
      <c r="G152" s="23"/>
      <c r="H152" s="24">
        <v>120</v>
      </c>
      <c r="I152" s="25"/>
      <c r="J152" s="1131"/>
      <c r="K152" s="18">
        <f t="shared" si="4"/>
        <v>4169.4399999999987</v>
      </c>
      <c r="L152" s="12">
        <f t="shared" si="5"/>
        <v>6314.340000000002</v>
      </c>
    </row>
    <row r="153" spans="1:12" ht="13.5" customHeight="1" x14ac:dyDescent="0.2">
      <c r="A153" s="19"/>
      <c r="B153" s="20"/>
      <c r="C153" s="34" t="s">
        <v>36</v>
      </c>
      <c r="D153" s="11"/>
      <c r="E153" s="12"/>
      <c r="F153" s="22"/>
      <c r="G153" s="23"/>
      <c r="H153" s="24">
        <v>350</v>
      </c>
      <c r="I153" s="25"/>
      <c r="J153" s="1131">
        <v>5964.340000000002</v>
      </c>
      <c r="K153" s="18">
        <f t="shared" si="4"/>
        <v>4169.4399999999987</v>
      </c>
      <c r="L153" s="12">
        <f t="shared" si="5"/>
        <v>5964.340000000002</v>
      </c>
    </row>
    <row r="154" spans="1:12" ht="13.5" customHeight="1" x14ac:dyDescent="0.2">
      <c r="A154" s="19">
        <v>43185</v>
      </c>
      <c r="B154" s="20"/>
      <c r="C154" s="34" t="s">
        <v>7245</v>
      </c>
      <c r="D154" s="11"/>
      <c r="E154" s="12"/>
      <c r="F154" s="22"/>
      <c r="G154" s="23"/>
      <c r="H154" s="24">
        <v>70</v>
      </c>
      <c r="I154" s="25"/>
      <c r="J154" s="1131"/>
      <c r="K154" s="18">
        <f t="shared" si="4"/>
        <v>4169.4399999999987</v>
      </c>
      <c r="L154" s="12">
        <f t="shared" si="5"/>
        <v>5894.340000000002</v>
      </c>
    </row>
    <row r="155" spans="1:12" ht="13.5" customHeight="1" x14ac:dyDescent="0.2">
      <c r="A155" s="19"/>
      <c r="B155" s="20"/>
      <c r="C155" s="34" t="s">
        <v>7246</v>
      </c>
      <c r="D155" s="11"/>
      <c r="E155" s="12"/>
      <c r="F155" s="22"/>
      <c r="G155" s="23"/>
      <c r="H155" s="24">
        <v>5</v>
      </c>
      <c r="I155" s="25"/>
      <c r="J155" s="1131"/>
      <c r="K155" s="18">
        <f t="shared" si="4"/>
        <v>4169.4399999999987</v>
      </c>
      <c r="L155" s="12">
        <f t="shared" si="5"/>
        <v>5889.340000000002</v>
      </c>
    </row>
    <row r="156" spans="1:12" ht="13.5" customHeight="1" x14ac:dyDescent="0.2">
      <c r="A156" s="19"/>
      <c r="B156" s="20"/>
      <c r="C156" s="34" t="s">
        <v>7247</v>
      </c>
      <c r="D156" s="11"/>
      <c r="E156" s="12"/>
      <c r="F156" s="22"/>
      <c r="G156" s="23"/>
      <c r="H156" s="24">
        <v>5</v>
      </c>
      <c r="I156" s="25"/>
      <c r="J156" s="1131">
        <v>5884.340000000002</v>
      </c>
      <c r="K156" s="18">
        <f t="shared" si="4"/>
        <v>4169.4399999999987</v>
      </c>
      <c r="L156" s="12">
        <f t="shared" si="5"/>
        <v>5884.340000000002</v>
      </c>
    </row>
    <row r="157" spans="1:12" ht="13.5" customHeight="1" x14ac:dyDescent="0.2">
      <c r="A157" s="19"/>
      <c r="B157" s="20"/>
      <c r="C157" s="34" t="s">
        <v>7248</v>
      </c>
      <c r="D157" s="11">
        <v>0</v>
      </c>
      <c r="E157" s="12">
        <v>-278.57</v>
      </c>
      <c r="F157" s="22"/>
      <c r="G157" s="23"/>
      <c r="H157" s="24"/>
      <c r="I157" s="25"/>
      <c r="J157" s="26"/>
      <c r="K157" s="18">
        <f t="shared" si="4"/>
        <v>3890.8699999999985</v>
      </c>
      <c r="L157" s="12">
        <f t="shared" si="5"/>
        <v>5884.340000000002</v>
      </c>
    </row>
    <row r="158" spans="1:12" ht="13.5" customHeight="1" x14ac:dyDescent="0.2">
      <c r="A158" s="19"/>
      <c r="B158" s="20"/>
      <c r="C158" s="34" t="s">
        <v>20</v>
      </c>
      <c r="D158" s="11">
        <v>0</v>
      </c>
      <c r="E158" s="12"/>
      <c r="F158" s="22">
        <v>0.01</v>
      </c>
      <c r="G158" s="23">
        <v>3890.91</v>
      </c>
      <c r="H158" s="24"/>
      <c r="I158" s="25"/>
      <c r="J158" s="26"/>
      <c r="K158" s="18">
        <f t="shared" si="4"/>
        <v>3890.8799999999987</v>
      </c>
      <c r="L158" s="12">
        <f t="shared" si="5"/>
        <v>5884.340000000002</v>
      </c>
    </row>
    <row r="159" spans="1:12" ht="13.5" customHeight="1" x14ac:dyDescent="0.2">
      <c r="A159" s="19">
        <v>43186</v>
      </c>
      <c r="B159" s="20"/>
      <c r="C159" s="34" t="s">
        <v>7249</v>
      </c>
      <c r="D159" s="11"/>
      <c r="E159" s="12"/>
      <c r="F159" s="22"/>
      <c r="G159" s="23"/>
      <c r="H159" s="24">
        <v>48.1</v>
      </c>
      <c r="I159" s="25"/>
      <c r="J159" s="1131"/>
      <c r="K159" s="18">
        <f t="shared" si="4"/>
        <v>3890.8799999999987</v>
      </c>
      <c r="L159" s="12">
        <f t="shared" si="5"/>
        <v>5836.2400000000016</v>
      </c>
    </row>
    <row r="160" spans="1:12" ht="13.5" customHeight="1" x14ac:dyDescent="0.2">
      <c r="A160" s="19"/>
      <c r="B160" s="20"/>
      <c r="C160" s="34" t="s">
        <v>7250</v>
      </c>
      <c r="D160" s="11"/>
      <c r="E160" s="12"/>
      <c r="F160" s="22"/>
      <c r="G160" s="23"/>
      <c r="H160" s="24">
        <v>17.649999999999999</v>
      </c>
      <c r="I160" s="25"/>
      <c r="J160" s="1131"/>
      <c r="K160" s="18">
        <f t="shared" si="4"/>
        <v>3890.8799999999987</v>
      </c>
      <c r="L160" s="12">
        <f t="shared" si="5"/>
        <v>5818.590000000002</v>
      </c>
    </row>
    <row r="161" spans="1:12" ht="13.5" customHeight="1" x14ac:dyDescent="0.2">
      <c r="A161" s="19"/>
      <c r="B161" s="20"/>
      <c r="C161" s="34" t="s">
        <v>7251</v>
      </c>
      <c r="D161" s="11"/>
      <c r="E161" s="12"/>
      <c r="F161" s="22"/>
      <c r="G161" s="23"/>
      <c r="H161" s="44">
        <v>2000</v>
      </c>
      <c r="I161" s="25"/>
      <c r="J161" s="1131"/>
      <c r="K161" s="18">
        <f t="shared" si="4"/>
        <v>3890.8799999999987</v>
      </c>
      <c r="L161" s="12">
        <f t="shared" si="5"/>
        <v>3818.590000000002</v>
      </c>
    </row>
    <row r="162" spans="1:12" ht="13.5" customHeight="1" x14ac:dyDescent="0.2">
      <c r="A162" s="19"/>
      <c r="B162" s="20"/>
      <c r="C162" s="34" t="s">
        <v>7252</v>
      </c>
      <c r="D162" s="11"/>
      <c r="E162" s="12"/>
      <c r="F162" s="22"/>
      <c r="G162" s="23"/>
      <c r="H162" s="44">
        <v>2275</v>
      </c>
      <c r="I162" s="25"/>
      <c r="J162" s="1131"/>
      <c r="K162" s="18">
        <f t="shared" si="4"/>
        <v>3890.8799999999987</v>
      </c>
      <c r="L162" s="12">
        <f t="shared" si="5"/>
        <v>1543.590000000002</v>
      </c>
    </row>
    <row r="163" spans="1:12" ht="13.5" customHeight="1" x14ac:dyDescent="0.2">
      <c r="A163" s="19"/>
      <c r="B163" s="20"/>
      <c r="C163" s="34" t="s">
        <v>7253</v>
      </c>
      <c r="D163" s="11"/>
      <c r="E163" s="12"/>
      <c r="F163" s="22"/>
      <c r="G163" s="23"/>
      <c r="H163" s="24">
        <v>18.8</v>
      </c>
      <c r="I163" s="25"/>
      <c r="J163" s="1131"/>
      <c r="K163" s="18">
        <f t="shared" si="4"/>
        <v>3890.8799999999987</v>
      </c>
      <c r="L163" s="12">
        <f t="shared" si="5"/>
        <v>1524.790000000002</v>
      </c>
    </row>
    <row r="164" spans="1:12" ht="13.5" customHeight="1" x14ac:dyDescent="0.2">
      <c r="A164" s="19"/>
      <c r="B164" s="20"/>
      <c r="C164" s="34" t="s">
        <v>7254</v>
      </c>
      <c r="D164" s="11"/>
      <c r="E164" s="12"/>
      <c r="F164" s="22"/>
      <c r="G164" s="23"/>
      <c r="H164" s="24">
        <v>260</v>
      </c>
      <c r="I164" s="25"/>
      <c r="J164" s="1131">
        <v>1264.790000000002</v>
      </c>
      <c r="K164" s="18">
        <f t="shared" si="4"/>
        <v>3890.8799999999987</v>
      </c>
      <c r="L164" s="12">
        <f t="shared" si="5"/>
        <v>1264.790000000002</v>
      </c>
    </row>
    <row r="165" spans="1:12" ht="13.5" customHeight="1" x14ac:dyDescent="0.2">
      <c r="A165" s="19" t="s">
        <v>7255</v>
      </c>
      <c r="B165" s="20"/>
      <c r="C165" s="34" t="s">
        <v>7256</v>
      </c>
      <c r="D165" s="11">
        <v>961000</v>
      </c>
      <c r="E165" s="12">
        <v>-1850</v>
      </c>
      <c r="F165" s="22"/>
      <c r="G165" s="23"/>
      <c r="H165" s="24"/>
      <c r="I165" s="25"/>
      <c r="J165" s="26"/>
      <c r="K165" s="18">
        <f t="shared" si="4"/>
        <v>2040.8799999999987</v>
      </c>
      <c r="L165" s="12">
        <f t="shared" si="5"/>
        <v>1264.790000000002</v>
      </c>
    </row>
    <row r="166" spans="1:12" ht="13.5" customHeight="1" x14ac:dyDescent="0.2">
      <c r="A166" s="19"/>
      <c r="B166" s="20"/>
      <c r="C166" s="34" t="s">
        <v>7257</v>
      </c>
      <c r="D166" s="11">
        <v>771000</v>
      </c>
      <c r="E166" s="12">
        <v>-500</v>
      </c>
      <c r="F166" s="22"/>
      <c r="G166" s="23"/>
      <c r="H166" s="24"/>
      <c r="I166" s="25"/>
      <c r="J166" s="26"/>
      <c r="K166" s="18">
        <f t="shared" si="4"/>
        <v>1540.8799999999987</v>
      </c>
      <c r="L166" s="12">
        <f t="shared" si="5"/>
        <v>1264.790000000002</v>
      </c>
    </row>
    <row r="167" spans="1:12" ht="13.5" customHeight="1" x14ac:dyDescent="0.2">
      <c r="A167" s="19"/>
      <c r="B167" s="20"/>
      <c r="C167" s="34" t="s">
        <v>7258</v>
      </c>
      <c r="D167" s="11">
        <v>191000</v>
      </c>
      <c r="E167" s="12">
        <v>-120</v>
      </c>
      <c r="F167" s="22"/>
      <c r="G167" s="23">
        <v>1420.91</v>
      </c>
      <c r="H167" s="24"/>
      <c r="I167" s="25"/>
      <c r="J167" s="26"/>
      <c r="K167" s="18">
        <f t="shared" si="4"/>
        <v>1420.8799999999987</v>
      </c>
      <c r="L167" s="12">
        <f t="shared" si="5"/>
        <v>1264.790000000002</v>
      </c>
    </row>
    <row r="168" spans="1:12" ht="13.5" customHeight="1" x14ac:dyDescent="0.2">
      <c r="A168" s="19">
        <v>43187</v>
      </c>
      <c r="B168" s="20"/>
      <c r="C168" s="34" t="s">
        <v>7259</v>
      </c>
      <c r="D168" s="11"/>
      <c r="E168" s="12"/>
      <c r="F168" s="22"/>
      <c r="G168" s="23"/>
      <c r="H168" s="24">
        <v>7.6</v>
      </c>
      <c r="I168" s="25"/>
      <c r="J168" s="1131"/>
      <c r="K168" s="18">
        <f t="shared" si="4"/>
        <v>1420.8799999999987</v>
      </c>
      <c r="L168" s="12">
        <f t="shared" si="5"/>
        <v>1257.1900000000021</v>
      </c>
    </row>
    <row r="169" spans="1:12" ht="13.5" customHeight="1" x14ac:dyDescent="0.2">
      <c r="A169" s="19"/>
      <c r="B169" s="20"/>
      <c r="C169" s="34" t="s">
        <v>7260</v>
      </c>
      <c r="D169" s="11"/>
      <c r="E169" s="12"/>
      <c r="F169" s="22"/>
      <c r="G169" s="23"/>
      <c r="H169" s="24">
        <v>7.65</v>
      </c>
      <c r="I169" s="25"/>
      <c r="J169" s="1131"/>
      <c r="K169" s="18">
        <f t="shared" si="4"/>
        <v>1420.8799999999987</v>
      </c>
      <c r="L169" s="12">
        <f t="shared" si="5"/>
        <v>1249.540000000002</v>
      </c>
    </row>
    <row r="170" spans="1:12" ht="13.5" customHeight="1" x14ac:dyDescent="0.2">
      <c r="A170" s="19"/>
      <c r="B170" s="20"/>
      <c r="C170" s="34" t="s">
        <v>7261</v>
      </c>
      <c r="D170" s="11"/>
      <c r="E170" s="12"/>
      <c r="F170" s="22"/>
      <c r="G170" s="23"/>
      <c r="H170" s="24">
        <v>13.5</v>
      </c>
      <c r="I170" s="25"/>
      <c r="J170" s="1131"/>
      <c r="K170" s="18">
        <f t="shared" si="4"/>
        <v>1420.8799999999987</v>
      </c>
      <c r="L170" s="12">
        <f t="shared" si="5"/>
        <v>1236.040000000002</v>
      </c>
    </row>
    <row r="171" spans="1:12" ht="13.5" customHeight="1" x14ac:dyDescent="0.2">
      <c r="A171" s="19"/>
      <c r="B171" s="20"/>
      <c r="C171" s="34" t="s">
        <v>7262</v>
      </c>
      <c r="D171" s="11"/>
      <c r="E171" s="12"/>
      <c r="F171" s="22"/>
      <c r="G171" s="23"/>
      <c r="H171" s="24">
        <v>15</v>
      </c>
      <c r="I171" s="25"/>
      <c r="J171" s="1131"/>
      <c r="K171" s="18">
        <f t="shared" si="4"/>
        <v>1420.8799999999987</v>
      </c>
      <c r="L171" s="12">
        <f t="shared" si="5"/>
        <v>1221.040000000002</v>
      </c>
    </row>
    <row r="172" spans="1:12" ht="13.5" customHeight="1" x14ac:dyDescent="0.2">
      <c r="A172" s="19"/>
      <c r="B172" s="20"/>
      <c r="C172" s="34" t="s">
        <v>7263</v>
      </c>
      <c r="D172" s="11"/>
      <c r="E172" s="12"/>
      <c r="F172" s="22"/>
      <c r="G172" s="23"/>
      <c r="H172" s="24">
        <v>20.75</v>
      </c>
      <c r="I172" s="25"/>
      <c r="J172" s="1131"/>
      <c r="K172" s="18">
        <f t="shared" si="4"/>
        <v>1420.8799999999987</v>
      </c>
      <c r="L172" s="12">
        <f t="shared" si="5"/>
        <v>1200.290000000002</v>
      </c>
    </row>
    <row r="173" spans="1:12" ht="13.5" customHeight="1" x14ac:dyDescent="0.2">
      <c r="A173" s="19"/>
      <c r="B173" s="20"/>
      <c r="C173" s="34" t="s">
        <v>370</v>
      </c>
      <c r="D173" s="11"/>
      <c r="E173" s="12"/>
      <c r="F173" s="22"/>
      <c r="G173" s="23"/>
      <c r="H173" s="24">
        <v>6.5</v>
      </c>
      <c r="I173" s="25"/>
      <c r="J173" s="1131"/>
      <c r="K173" s="18">
        <f t="shared" si="4"/>
        <v>1420.8799999999987</v>
      </c>
      <c r="L173" s="12">
        <f t="shared" si="5"/>
        <v>1193.790000000002</v>
      </c>
    </row>
    <row r="174" spans="1:12" ht="13.5" customHeight="1" x14ac:dyDescent="0.2">
      <c r="A174" s="19"/>
      <c r="B174" s="20"/>
      <c r="C174" s="34" t="s">
        <v>7264</v>
      </c>
      <c r="D174" s="11"/>
      <c r="E174" s="12"/>
      <c r="F174" s="22"/>
      <c r="G174" s="23"/>
      <c r="H174" s="24">
        <v>30</v>
      </c>
      <c r="I174" s="25"/>
      <c r="J174" s="1131"/>
      <c r="K174" s="18">
        <f t="shared" si="4"/>
        <v>1420.8799999999987</v>
      </c>
      <c r="L174" s="12">
        <f t="shared" si="5"/>
        <v>1163.790000000002</v>
      </c>
    </row>
    <row r="175" spans="1:12" ht="13.5" customHeight="1" x14ac:dyDescent="0.2">
      <c r="A175" s="19"/>
      <c r="B175" s="20"/>
      <c r="C175" s="34" t="s">
        <v>7265</v>
      </c>
      <c r="D175" s="11"/>
      <c r="E175" s="12"/>
      <c r="F175" s="22"/>
      <c r="G175" s="23"/>
      <c r="H175" s="24">
        <v>75</v>
      </c>
      <c r="I175" s="25"/>
      <c r="J175" s="26"/>
      <c r="K175" s="18">
        <f t="shared" si="4"/>
        <v>1420.8799999999987</v>
      </c>
      <c r="L175" s="12">
        <f t="shared" si="5"/>
        <v>1088.790000000002</v>
      </c>
    </row>
    <row r="176" spans="1:12" ht="13.5" customHeight="1" x14ac:dyDescent="0.2">
      <c r="A176" s="19"/>
      <c r="B176" s="20"/>
      <c r="C176" s="34" t="s">
        <v>7266</v>
      </c>
      <c r="D176" s="11"/>
      <c r="E176" s="12"/>
      <c r="F176" s="22"/>
      <c r="G176" s="23"/>
      <c r="H176" s="24">
        <v>75</v>
      </c>
      <c r="I176" s="25"/>
      <c r="J176" s="1131"/>
      <c r="K176" s="18">
        <f t="shared" si="4"/>
        <v>1420.8799999999987</v>
      </c>
      <c r="L176" s="12">
        <f t="shared" si="5"/>
        <v>1013.790000000002</v>
      </c>
    </row>
    <row r="177" spans="1:12" ht="13.5" customHeight="1" x14ac:dyDescent="0.2">
      <c r="A177" s="19"/>
      <c r="B177" s="20"/>
      <c r="C177" s="34" t="s">
        <v>7266</v>
      </c>
      <c r="D177" s="11"/>
      <c r="E177" s="12"/>
      <c r="F177" s="22"/>
      <c r="G177" s="23"/>
      <c r="H177" s="24">
        <v>75</v>
      </c>
      <c r="I177" s="25"/>
      <c r="J177" s="1131"/>
      <c r="K177" s="18">
        <f t="shared" si="4"/>
        <v>1420.8799999999987</v>
      </c>
      <c r="L177" s="12">
        <f t="shared" si="5"/>
        <v>938.79000000000201</v>
      </c>
    </row>
    <row r="178" spans="1:12" ht="13.5" customHeight="1" x14ac:dyDescent="0.2">
      <c r="A178" s="19"/>
      <c r="B178" s="20"/>
      <c r="C178" s="34" t="s">
        <v>7267</v>
      </c>
      <c r="D178" s="11"/>
      <c r="E178" s="12"/>
      <c r="F178" s="22"/>
      <c r="G178" s="23"/>
      <c r="H178" s="24">
        <v>75</v>
      </c>
      <c r="I178" s="25"/>
      <c r="J178" s="1131"/>
      <c r="K178" s="18">
        <f t="shared" si="4"/>
        <v>1420.8799999999987</v>
      </c>
      <c r="L178" s="12">
        <f t="shared" si="5"/>
        <v>863.79000000000201</v>
      </c>
    </row>
    <row r="179" spans="1:12" ht="13.5" customHeight="1" x14ac:dyDescent="0.2">
      <c r="A179" s="19"/>
      <c r="B179" s="20"/>
      <c r="C179" s="34" t="s">
        <v>7268</v>
      </c>
      <c r="D179" s="11"/>
      <c r="E179" s="12"/>
      <c r="F179" s="22"/>
      <c r="G179" s="23"/>
      <c r="H179" s="24">
        <v>75</v>
      </c>
      <c r="I179" s="25"/>
      <c r="J179" s="26">
        <v>788.79000000000201</v>
      </c>
      <c r="K179" s="18">
        <f t="shared" si="4"/>
        <v>1420.8799999999987</v>
      </c>
      <c r="L179" s="12">
        <f t="shared" si="5"/>
        <v>788.79000000000201</v>
      </c>
    </row>
    <row r="180" spans="1:12" ht="13.5" customHeight="1" x14ac:dyDescent="0.2">
      <c r="A180" s="19"/>
      <c r="B180" s="20"/>
      <c r="C180" s="34" t="s">
        <v>86</v>
      </c>
      <c r="D180" s="11">
        <v>0</v>
      </c>
      <c r="E180" s="12">
        <v>-18.8</v>
      </c>
      <c r="F180" s="22"/>
      <c r="G180" s="23"/>
      <c r="H180" s="24"/>
      <c r="I180" s="25"/>
      <c r="J180" s="26"/>
      <c r="K180" s="18">
        <f t="shared" si="4"/>
        <v>1402.0799999999988</v>
      </c>
      <c r="L180" s="12">
        <f t="shared" si="5"/>
        <v>788.79000000000201</v>
      </c>
    </row>
    <row r="181" spans="1:12" ht="13.5" customHeight="1" x14ac:dyDescent="0.2">
      <c r="A181" s="19"/>
      <c r="B181" s="20"/>
      <c r="C181" s="34" t="s">
        <v>7067</v>
      </c>
      <c r="D181" s="11">
        <v>821000</v>
      </c>
      <c r="E181" s="12">
        <v>-1000</v>
      </c>
      <c r="F181" s="22"/>
      <c r="G181" s="23"/>
      <c r="H181" s="24"/>
      <c r="I181" s="25"/>
      <c r="J181" s="26"/>
      <c r="K181" s="18">
        <f t="shared" si="4"/>
        <v>402.07999999999879</v>
      </c>
      <c r="L181" s="12">
        <f t="shared" si="5"/>
        <v>788.79000000000201</v>
      </c>
    </row>
    <row r="182" spans="1:12" ht="13.5" customHeight="1" x14ac:dyDescent="0.2">
      <c r="A182" s="19"/>
      <c r="B182" s="20"/>
      <c r="C182" s="34" t="s">
        <v>20</v>
      </c>
      <c r="D182" s="11">
        <v>0</v>
      </c>
      <c r="E182" s="12"/>
      <c r="F182" s="22">
        <v>0.02</v>
      </c>
      <c r="G182" s="23">
        <v>402.16</v>
      </c>
      <c r="H182" s="24"/>
      <c r="I182" s="25"/>
      <c r="J182" s="1131"/>
      <c r="K182" s="18">
        <f t="shared" si="4"/>
        <v>402.09999999999877</v>
      </c>
      <c r="L182" s="12">
        <f t="shared" si="5"/>
        <v>788.79000000000201</v>
      </c>
    </row>
    <row r="183" spans="1:12" ht="13.5" customHeight="1" x14ac:dyDescent="0.2">
      <c r="A183" s="19">
        <v>43188</v>
      </c>
      <c r="B183" s="20"/>
      <c r="C183" s="34" t="s">
        <v>7269</v>
      </c>
      <c r="D183" s="11"/>
      <c r="E183" s="12"/>
      <c r="F183" s="22"/>
      <c r="G183" s="23"/>
      <c r="H183" s="24">
        <v>200</v>
      </c>
      <c r="I183" s="25"/>
      <c r="J183" s="26"/>
      <c r="K183" s="18">
        <f t="shared" si="4"/>
        <v>402.09999999999877</v>
      </c>
      <c r="L183" s="12">
        <f t="shared" si="5"/>
        <v>588.79000000000201</v>
      </c>
    </row>
    <row r="184" spans="1:12" ht="13.5" customHeight="1" x14ac:dyDescent="0.2">
      <c r="A184" s="19"/>
      <c r="B184" s="20"/>
      <c r="C184" s="34" t="s">
        <v>7270</v>
      </c>
      <c r="D184" s="11"/>
      <c r="E184" s="12"/>
      <c r="F184" s="22"/>
      <c r="G184" s="23"/>
      <c r="H184" s="24"/>
      <c r="I184" s="25">
        <v>1360</v>
      </c>
      <c r="J184" s="1131"/>
      <c r="K184" s="18">
        <f t="shared" si="4"/>
        <v>402.09999999999877</v>
      </c>
      <c r="L184" s="12">
        <f t="shared" si="5"/>
        <v>1948.790000000002</v>
      </c>
    </row>
    <row r="185" spans="1:12" ht="13.5" customHeight="1" x14ac:dyDescent="0.2">
      <c r="A185" s="19"/>
      <c r="B185" s="20"/>
      <c r="C185" s="34" t="s">
        <v>36</v>
      </c>
      <c r="D185" s="11"/>
      <c r="E185" s="12"/>
      <c r="F185" s="22"/>
      <c r="G185" s="23"/>
      <c r="H185" s="24">
        <v>400</v>
      </c>
      <c r="I185" s="25"/>
      <c r="J185" s="1131">
        <v>1548.790000000002</v>
      </c>
      <c r="K185" s="18">
        <f t="shared" si="4"/>
        <v>402.09999999999877</v>
      </c>
      <c r="L185" s="12">
        <f t="shared" si="5"/>
        <v>1548.790000000002</v>
      </c>
    </row>
    <row r="186" spans="1:12" ht="13.5" customHeight="1" x14ac:dyDescent="0.2">
      <c r="A186" s="19"/>
      <c r="B186" s="20"/>
      <c r="C186" s="34" t="s">
        <v>86</v>
      </c>
      <c r="D186" s="11">
        <v>0</v>
      </c>
      <c r="E186" s="12">
        <v>-9.4</v>
      </c>
      <c r="F186" s="22"/>
      <c r="G186" s="23">
        <v>0</v>
      </c>
      <c r="H186" s="24"/>
      <c r="I186" s="25"/>
      <c r="J186" s="1131"/>
      <c r="K186" s="18">
        <f t="shared" si="4"/>
        <v>392.69999999999879</v>
      </c>
      <c r="L186" s="12">
        <f t="shared" si="5"/>
        <v>1548.790000000002</v>
      </c>
    </row>
    <row r="187" spans="1:12" ht="13.5" customHeight="1" x14ac:dyDescent="0.2">
      <c r="A187" s="19"/>
      <c r="B187" s="20"/>
      <c r="C187" s="34" t="s">
        <v>7271</v>
      </c>
      <c r="D187" s="11">
        <v>0</v>
      </c>
      <c r="E187" s="12">
        <v>-394.63</v>
      </c>
      <c r="F187" s="22"/>
      <c r="G187" s="23">
        <v>0</v>
      </c>
      <c r="H187" s="24"/>
      <c r="I187" s="25"/>
      <c r="J187" s="1131"/>
      <c r="K187" s="18">
        <f t="shared" si="4"/>
        <v>-1.9300000000012005</v>
      </c>
      <c r="L187" s="12">
        <f t="shared" si="5"/>
        <v>1548.790000000002</v>
      </c>
    </row>
    <row r="188" spans="1:12" ht="13.5" customHeight="1" x14ac:dyDescent="0.2">
      <c r="A188" s="19"/>
      <c r="B188" s="20"/>
      <c r="C188" s="34" t="s">
        <v>20</v>
      </c>
      <c r="D188" s="11">
        <v>0</v>
      </c>
      <c r="E188" s="12"/>
      <c r="F188" s="22">
        <v>0.01</v>
      </c>
      <c r="G188" s="1134">
        <v>-1.86</v>
      </c>
      <c r="H188" s="24"/>
      <c r="I188" s="25"/>
      <c r="J188" s="26"/>
      <c r="K188" s="18">
        <f t="shared" si="4"/>
        <v>-1.9200000000012005</v>
      </c>
      <c r="L188" s="12">
        <f t="shared" si="5"/>
        <v>1548.790000000002</v>
      </c>
    </row>
    <row r="189" spans="1:12" ht="13.5" customHeight="1" x14ac:dyDescent="0.2">
      <c r="A189" s="19">
        <v>43190</v>
      </c>
      <c r="B189" s="20"/>
      <c r="C189" s="34" t="s">
        <v>7252</v>
      </c>
      <c r="D189" s="11"/>
      <c r="E189" s="12"/>
      <c r="F189" s="22"/>
      <c r="G189" s="23"/>
      <c r="H189" s="44">
        <v>260</v>
      </c>
      <c r="I189" s="25"/>
      <c r="J189" s="1133">
        <v>1288.790000000002</v>
      </c>
      <c r="K189" s="18">
        <f t="shared" si="4"/>
        <v>-1.9200000000012005</v>
      </c>
      <c r="L189" s="12">
        <f t="shared" si="5"/>
        <v>1288.790000000002</v>
      </c>
    </row>
    <row r="190" spans="1:12" ht="13.5" customHeight="1" thickBot="1" x14ac:dyDescent="0.25">
      <c r="A190" s="47"/>
      <c r="B190" s="48"/>
      <c r="C190" s="49"/>
      <c r="D190" s="50"/>
      <c r="E190" s="51"/>
      <c r="F190" s="52"/>
      <c r="G190" s="53"/>
      <c r="H190" s="54"/>
      <c r="I190" s="55"/>
      <c r="J190" s="52"/>
      <c r="L190" s="12"/>
    </row>
    <row r="191" spans="1:12" ht="13.5" customHeight="1" thickBot="1" x14ac:dyDescent="0.25">
      <c r="A191" s="2" t="s">
        <v>2</v>
      </c>
      <c r="B191" s="3"/>
      <c r="C191" s="3" t="s">
        <v>481</v>
      </c>
      <c r="D191" s="3" t="s">
        <v>4</v>
      </c>
      <c r="E191" s="3" t="s">
        <v>5</v>
      </c>
      <c r="F191" s="3" t="s">
        <v>6</v>
      </c>
      <c r="G191" s="5" t="s">
        <v>7</v>
      </c>
      <c r="H191" s="1415" t="s">
        <v>482</v>
      </c>
      <c r="I191" s="1416"/>
      <c r="J191" s="1417"/>
      <c r="L191" s="12"/>
    </row>
    <row r="192" spans="1:12" ht="13.5" customHeight="1" x14ac:dyDescent="0.2">
      <c r="A192" s="8" t="s">
        <v>7272</v>
      </c>
      <c r="B192" s="56"/>
      <c r="C192" s="10" t="s">
        <v>8</v>
      </c>
      <c r="D192" s="11">
        <v>0</v>
      </c>
      <c r="E192" s="51"/>
      <c r="F192" s="12"/>
      <c r="G192" s="178">
        <v>8000</v>
      </c>
      <c r="H192" s="179"/>
      <c r="I192" s="57"/>
      <c r="J192" s="58">
        <v>19145.75</v>
      </c>
      <c r="L192" s="12">
        <f>G192</f>
        <v>8000</v>
      </c>
    </row>
    <row r="193" spans="1:12" ht="13.5" customHeight="1" x14ac:dyDescent="0.2">
      <c r="A193" s="180"/>
      <c r="B193" s="56" t="s">
        <v>483</v>
      </c>
      <c r="C193" s="36" t="s">
        <v>1737</v>
      </c>
      <c r="D193" s="11" t="s">
        <v>7106</v>
      </c>
      <c r="E193" s="165">
        <v>-8000</v>
      </c>
      <c r="F193" s="183"/>
      <c r="G193" s="182" t="s">
        <v>483</v>
      </c>
      <c r="H193" s="59"/>
      <c r="I193" s="60"/>
      <c r="J193" s="61">
        <v>19145.75</v>
      </c>
      <c r="L193" s="12">
        <f>SUM(L192,F193,E193)</f>
        <v>0</v>
      </c>
    </row>
    <row r="194" spans="1:12" ht="13.5" customHeight="1" x14ac:dyDescent="0.2">
      <c r="A194" s="180"/>
      <c r="B194" s="56" t="s">
        <v>483</v>
      </c>
      <c r="C194" s="36" t="s">
        <v>749</v>
      </c>
      <c r="D194" s="11" t="s">
        <v>7273</v>
      </c>
      <c r="E194" s="181">
        <v>-950.84</v>
      </c>
      <c r="F194" s="12"/>
      <c r="G194" s="182" t="s">
        <v>483</v>
      </c>
      <c r="H194" s="59"/>
      <c r="I194" s="60"/>
      <c r="J194" s="61">
        <v>19145.75</v>
      </c>
      <c r="L194" s="12">
        <f t="shared" ref="L194:L256" si="6">SUM(L193,F194,E194)</f>
        <v>-950.84</v>
      </c>
    </row>
    <row r="195" spans="1:12" ht="13.5" customHeight="1" x14ac:dyDescent="0.2">
      <c r="A195" s="180"/>
      <c r="B195" s="56" t="s">
        <v>483</v>
      </c>
      <c r="C195" s="21" t="s">
        <v>751</v>
      </c>
      <c r="D195" s="11" t="s">
        <v>7274</v>
      </c>
      <c r="E195" s="181">
        <v>-569.89</v>
      </c>
      <c r="F195" s="12"/>
      <c r="G195" s="182" t="s">
        <v>483</v>
      </c>
      <c r="H195" s="59"/>
      <c r="I195" s="60"/>
      <c r="J195" s="61">
        <v>19145.75</v>
      </c>
      <c r="L195" s="12">
        <f t="shared" si="6"/>
        <v>-1520.73</v>
      </c>
    </row>
    <row r="196" spans="1:12" ht="13.5" customHeight="1" x14ac:dyDescent="0.2">
      <c r="A196" s="180"/>
      <c r="B196" s="56" t="s">
        <v>483</v>
      </c>
      <c r="C196" s="36" t="s">
        <v>174</v>
      </c>
      <c r="D196" s="11" t="s">
        <v>488</v>
      </c>
      <c r="E196" s="30"/>
      <c r="F196" s="183">
        <v>1520.73</v>
      </c>
      <c r="G196" s="182">
        <v>0</v>
      </c>
      <c r="H196" s="59">
        <v>1520.73</v>
      </c>
      <c r="I196" s="60"/>
      <c r="J196" s="61">
        <v>17625.02</v>
      </c>
      <c r="L196" s="12">
        <f t="shared" si="6"/>
        <v>0</v>
      </c>
    </row>
    <row r="197" spans="1:12" ht="13.5" customHeight="1" x14ac:dyDescent="0.2">
      <c r="A197" s="180" t="s">
        <v>7275</v>
      </c>
      <c r="B197" s="56" t="s">
        <v>483</v>
      </c>
      <c r="C197" s="34" t="s">
        <v>753</v>
      </c>
      <c r="D197" s="11" t="s">
        <v>7276</v>
      </c>
      <c r="E197" s="181">
        <v>-538.17999999999995</v>
      </c>
      <c r="F197" s="12"/>
      <c r="G197" s="182" t="s">
        <v>483</v>
      </c>
      <c r="H197" s="59"/>
      <c r="I197" s="60"/>
      <c r="J197" s="61">
        <v>17625.02</v>
      </c>
      <c r="L197" s="12">
        <f t="shared" si="6"/>
        <v>-538.17999999999995</v>
      </c>
    </row>
    <row r="198" spans="1:12" ht="13.5" customHeight="1" x14ac:dyDescent="0.2">
      <c r="A198" s="180"/>
      <c r="B198" s="56" t="s">
        <v>483</v>
      </c>
      <c r="C198" s="36" t="s">
        <v>174</v>
      </c>
      <c r="D198" s="11" t="s">
        <v>488</v>
      </c>
      <c r="E198" s="30"/>
      <c r="F198" s="183">
        <v>538.17999999999995</v>
      </c>
      <c r="G198" s="182">
        <v>0</v>
      </c>
      <c r="H198" s="59">
        <v>538.17999999999995</v>
      </c>
      <c r="I198" s="60"/>
      <c r="J198" s="61">
        <v>17086.84</v>
      </c>
      <c r="L198" s="12">
        <f t="shared" si="6"/>
        <v>0</v>
      </c>
    </row>
    <row r="199" spans="1:12" ht="13.5" customHeight="1" x14ac:dyDescent="0.2">
      <c r="A199" s="180" t="s">
        <v>7277</v>
      </c>
      <c r="B199" s="56" t="s">
        <v>483</v>
      </c>
      <c r="C199" s="36" t="s">
        <v>180</v>
      </c>
      <c r="D199" s="11" t="s">
        <v>488</v>
      </c>
      <c r="E199" s="181">
        <v>-183.09</v>
      </c>
      <c r="F199" s="12"/>
      <c r="G199" s="182" t="s">
        <v>483</v>
      </c>
      <c r="H199" s="59"/>
      <c r="I199" s="60"/>
      <c r="J199" s="61">
        <v>17086.84</v>
      </c>
      <c r="L199" s="12">
        <f t="shared" si="6"/>
        <v>-183.09</v>
      </c>
    </row>
    <row r="200" spans="1:12" ht="13.5" customHeight="1" x14ac:dyDescent="0.2">
      <c r="A200" s="180"/>
      <c r="B200" s="56" t="s">
        <v>483</v>
      </c>
      <c r="C200" s="36" t="s">
        <v>7100</v>
      </c>
      <c r="D200" s="11" t="s">
        <v>1175</v>
      </c>
      <c r="E200" s="181">
        <v>-100</v>
      </c>
      <c r="F200" s="12"/>
      <c r="G200" s="182" t="s">
        <v>483</v>
      </c>
      <c r="H200" s="59"/>
      <c r="I200" s="60"/>
      <c r="J200" s="61">
        <v>17086.84</v>
      </c>
      <c r="L200" s="12">
        <f t="shared" si="6"/>
        <v>-283.09000000000003</v>
      </c>
    </row>
    <row r="201" spans="1:12" ht="13.5" customHeight="1" x14ac:dyDescent="0.2">
      <c r="A201" s="180"/>
      <c r="B201" s="56" t="s">
        <v>483</v>
      </c>
      <c r="C201" s="36" t="s">
        <v>7278</v>
      </c>
      <c r="D201" s="11" t="s">
        <v>7279</v>
      </c>
      <c r="E201" s="181">
        <v>-670</v>
      </c>
      <c r="F201" s="12"/>
      <c r="G201" s="182" t="s">
        <v>483</v>
      </c>
      <c r="H201" s="59"/>
      <c r="I201" s="60"/>
      <c r="J201" s="61">
        <v>17086.84</v>
      </c>
      <c r="L201" s="12">
        <f t="shared" si="6"/>
        <v>-953.09</v>
      </c>
    </row>
    <row r="202" spans="1:12" ht="13.5" customHeight="1" x14ac:dyDescent="0.2">
      <c r="A202" s="180"/>
      <c r="B202" s="56" t="s">
        <v>483</v>
      </c>
      <c r="C202" s="36" t="s">
        <v>382</v>
      </c>
      <c r="D202" s="11" t="s">
        <v>488</v>
      </c>
      <c r="E202" s="181">
        <v>-307.26</v>
      </c>
      <c r="F202" s="12"/>
      <c r="G202" s="182" t="s">
        <v>483</v>
      </c>
      <c r="H202" s="59"/>
      <c r="I202" s="60"/>
      <c r="J202" s="61">
        <v>17086.84</v>
      </c>
      <c r="L202" s="12">
        <f t="shared" si="6"/>
        <v>-1260.3499999999999</v>
      </c>
    </row>
    <row r="203" spans="1:12" ht="13.5" customHeight="1" x14ac:dyDescent="0.2">
      <c r="A203" s="180"/>
      <c r="B203" s="56" t="s">
        <v>483</v>
      </c>
      <c r="C203" s="36" t="s">
        <v>174</v>
      </c>
      <c r="D203" s="11" t="s">
        <v>488</v>
      </c>
      <c r="E203" s="30"/>
      <c r="F203" s="183">
        <v>1260.3499999999999</v>
      </c>
      <c r="G203" s="182">
        <v>0</v>
      </c>
      <c r="H203" s="59">
        <v>1260.3499999999999</v>
      </c>
      <c r="I203" s="60"/>
      <c r="J203" s="61">
        <v>15826.49</v>
      </c>
      <c r="L203" s="12">
        <f t="shared" si="6"/>
        <v>0</v>
      </c>
    </row>
    <row r="204" spans="1:12" ht="13.5" customHeight="1" x14ac:dyDescent="0.2">
      <c r="A204" s="180" t="s">
        <v>7280</v>
      </c>
      <c r="B204" s="56" t="s">
        <v>483</v>
      </c>
      <c r="C204" s="36" t="s">
        <v>7281</v>
      </c>
      <c r="D204" s="11" t="s">
        <v>488</v>
      </c>
      <c r="E204" s="181">
        <v>-355</v>
      </c>
      <c r="F204" s="12"/>
      <c r="G204" s="182" t="s">
        <v>483</v>
      </c>
      <c r="H204" s="59"/>
      <c r="I204" s="60"/>
      <c r="J204" s="61">
        <v>15826.49</v>
      </c>
      <c r="L204" s="12">
        <f t="shared" si="6"/>
        <v>-355</v>
      </c>
    </row>
    <row r="205" spans="1:12" ht="13.5" customHeight="1" x14ac:dyDescent="0.2">
      <c r="A205" s="180"/>
      <c r="B205" s="56" t="s">
        <v>483</v>
      </c>
      <c r="C205" s="36" t="s">
        <v>174</v>
      </c>
      <c r="D205" s="11" t="s">
        <v>488</v>
      </c>
      <c r="E205" s="30"/>
      <c r="F205" s="183">
        <v>355</v>
      </c>
      <c r="G205" s="182">
        <v>0</v>
      </c>
      <c r="H205" s="59">
        <v>355</v>
      </c>
      <c r="I205" s="60"/>
      <c r="J205" s="61">
        <v>15471.49</v>
      </c>
      <c r="L205" s="12">
        <f t="shared" si="6"/>
        <v>0</v>
      </c>
    </row>
    <row r="206" spans="1:12" ht="13.5" customHeight="1" x14ac:dyDescent="0.2">
      <c r="A206" s="180" t="s">
        <v>7282</v>
      </c>
      <c r="B206" s="56" t="s">
        <v>483</v>
      </c>
      <c r="C206" s="36" t="s">
        <v>7283</v>
      </c>
      <c r="D206" s="11" t="s">
        <v>7284</v>
      </c>
      <c r="E206" s="181">
        <v>-1000</v>
      </c>
      <c r="F206" s="12"/>
      <c r="G206" s="182" t="s">
        <v>483</v>
      </c>
      <c r="H206" s="59"/>
      <c r="I206" s="60"/>
      <c r="J206" s="61">
        <v>15471.49</v>
      </c>
      <c r="L206" s="12">
        <f t="shared" si="6"/>
        <v>-1000</v>
      </c>
    </row>
    <row r="207" spans="1:12" ht="13.5" customHeight="1" x14ac:dyDescent="0.2">
      <c r="A207" s="180"/>
      <c r="B207" s="56" t="s">
        <v>591</v>
      </c>
      <c r="C207" s="34" t="s">
        <v>7037</v>
      </c>
      <c r="D207" s="11" t="s">
        <v>7285</v>
      </c>
      <c r="E207" s="181"/>
      <c r="F207" s="168">
        <v>2388.1999999999998</v>
      </c>
      <c r="G207" s="182" t="s">
        <v>483</v>
      </c>
      <c r="H207" s="59"/>
      <c r="I207" s="60"/>
      <c r="J207" s="61">
        <v>15471.49</v>
      </c>
      <c r="L207" s="12">
        <f t="shared" si="6"/>
        <v>1388.1999999999998</v>
      </c>
    </row>
    <row r="208" spans="1:12" ht="13.5" customHeight="1" x14ac:dyDescent="0.2">
      <c r="A208" s="180"/>
      <c r="B208" s="56" t="s">
        <v>591</v>
      </c>
      <c r="C208" s="36" t="s">
        <v>1737</v>
      </c>
      <c r="D208" s="11" t="s">
        <v>7286</v>
      </c>
      <c r="E208" s="181"/>
      <c r="F208" s="168">
        <v>8000</v>
      </c>
      <c r="G208" s="182" t="s">
        <v>483</v>
      </c>
      <c r="H208" s="59"/>
      <c r="I208" s="60"/>
      <c r="J208" s="61">
        <v>15471.49</v>
      </c>
      <c r="L208" s="12">
        <f t="shared" si="6"/>
        <v>9388.2000000000007</v>
      </c>
    </row>
    <row r="209" spans="1:12" ht="13.5" customHeight="1" x14ac:dyDescent="0.2">
      <c r="A209" s="180"/>
      <c r="B209" s="56" t="s">
        <v>483</v>
      </c>
      <c r="C209" s="36" t="s">
        <v>174</v>
      </c>
      <c r="D209" s="11" t="s">
        <v>488</v>
      </c>
      <c r="E209" s="30"/>
      <c r="F209" s="183">
        <v>1000</v>
      </c>
      <c r="G209" s="182">
        <v>10388.200000000001</v>
      </c>
      <c r="H209" s="59">
        <v>1000</v>
      </c>
      <c r="I209" s="60"/>
      <c r="J209" s="61">
        <v>14471.49</v>
      </c>
      <c r="L209" s="12">
        <f t="shared" si="6"/>
        <v>10388.200000000001</v>
      </c>
    </row>
    <row r="210" spans="1:12" ht="13.5" customHeight="1" x14ac:dyDescent="0.2">
      <c r="A210" s="180" t="s">
        <v>7287</v>
      </c>
      <c r="B210" s="56" t="s">
        <v>483</v>
      </c>
      <c r="C210" s="32" t="s">
        <v>7288</v>
      </c>
      <c r="D210" s="11" t="s">
        <v>488</v>
      </c>
      <c r="E210" s="181"/>
      <c r="F210" s="183">
        <v>4731.47</v>
      </c>
      <c r="G210" s="182" t="s">
        <v>483</v>
      </c>
      <c r="H210" s="59"/>
      <c r="I210" s="60"/>
      <c r="J210" s="61">
        <v>14471.49</v>
      </c>
      <c r="L210" s="12">
        <f t="shared" si="6"/>
        <v>15119.670000000002</v>
      </c>
    </row>
    <row r="211" spans="1:12" ht="13.5" customHeight="1" x14ac:dyDescent="0.2">
      <c r="A211" s="180"/>
      <c r="B211" s="56" t="s">
        <v>483</v>
      </c>
      <c r="C211" s="36" t="s">
        <v>189</v>
      </c>
      <c r="D211" s="11" t="s">
        <v>488</v>
      </c>
      <c r="E211" s="181">
        <v>-15119.67</v>
      </c>
      <c r="F211" s="12"/>
      <c r="G211" s="182">
        <v>0</v>
      </c>
      <c r="H211" s="59"/>
      <c r="I211" s="60">
        <v>15119.67</v>
      </c>
      <c r="J211" s="61">
        <v>29591.16</v>
      </c>
      <c r="L211" s="12">
        <f t="shared" si="6"/>
        <v>0</v>
      </c>
    </row>
    <row r="212" spans="1:12" ht="13.5" customHeight="1" x14ac:dyDescent="0.2">
      <c r="A212" s="180" t="s">
        <v>7289</v>
      </c>
      <c r="B212" s="56" t="s">
        <v>483</v>
      </c>
      <c r="C212" s="34" t="s">
        <v>7290</v>
      </c>
      <c r="D212" s="11" t="s">
        <v>7291</v>
      </c>
      <c r="E212" s="181">
        <v>-203.95</v>
      </c>
      <c r="F212" s="12"/>
      <c r="G212" s="182" t="s">
        <v>483</v>
      </c>
      <c r="H212" s="59"/>
      <c r="I212" s="60"/>
      <c r="J212" s="61">
        <v>29591.16</v>
      </c>
      <c r="L212" s="12">
        <f t="shared" si="6"/>
        <v>-203.95</v>
      </c>
    </row>
    <row r="213" spans="1:12" ht="13.5" customHeight="1" x14ac:dyDescent="0.2">
      <c r="A213" s="180"/>
      <c r="B213" s="56" t="s">
        <v>483</v>
      </c>
      <c r="C213" s="36" t="s">
        <v>174</v>
      </c>
      <c r="D213" s="11" t="s">
        <v>488</v>
      </c>
      <c r="E213" s="30"/>
      <c r="F213" s="183">
        <v>203.95</v>
      </c>
      <c r="G213" s="182">
        <v>0</v>
      </c>
      <c r="H213" s="59">
        <v>203.95</v>
      </c>
      <c r="I213" s="60"/>
      <c r="J213" s="61">
        <v>29387.21</v>
      </c>
      <c r="L213" s="12">
        <f t="shared" si="6"/>
        <v>0</v>
      </c>
    </row>
    <row r="214" spans="1:12" ht="13.5" customHeight="1" x14ac:dyDescent="0.2">
      <c r="A214" s="180" t="s">
        <v>7292</v>
      </c>
      <c r="B214" s="56" t="s">
        <v>483</v>
      </c>
      <c r="C214" s="36" t="s">
        <v>7293</v>
      </c>
      <c r="D214" s="11" t="s">
        <v>7294</v>
      </c>
      <c r="E214" s="181">
        <v>-166.5</v>
      </c>
      <c r="F214" s="12"/>
      <c r="G214" s="182" t="s">
        <v>483</v>
      </c>
      <c r="H214" s="59"/>
      <c r="I214" s="60"/>
      <c r="J214" s="61">
        <v>29387.21</v>
      </c>
      <c r="L214" s="12">
        <f t="shared" si="6"/>
        <v>-166.5</v>
      </c>
    </row>
    <row r="215" spans="1:12" ht="13.5" customHeight="1" x14ac:dyDescent="0.2">
      <c r="A215" s="180"/>
      <c r="B215" s="56" t="s">
        <v>483</v>
      </c>
      <c r="C215" s="36" t="s">
        <v>174</v>
      </c>
      <c r="D215" s="11" t="s">
        <v>488</v>
      </c>
      <c r="E215" s="30"/>
      <c r="F215" s="183">
        <v>166.5</v>
      </c>
      <c r="G215" s="182">
        <v>0</v>
      </c>
      <c r="H215" s="59">
        <v>166.5</v>
      </c>
      <c r="I215" s="60"/>
      <c r="J215" s="61">
        <v>29220.71</v>
      </c>
      <c r="L215" s="12">
        <f t="shared" si="6"/>
        <v>0</v>
      </c>
    </row>
    <row r="216" spans="1:12" ht="13.5" customHeight="1" x14ac:dyDescent="0.2">
      <c r="A216" s="180" t="s">
        <v>7295</v>
      </c>
      <c r="B216" s="56" t="s">
        <v>483</v>
      </c>
      <c r="C216" s="34" t="s">
        <v>7296</v>
      </c>
      <c r="D216" s="11" t="s">
        <v>3351</v>
      </c>
      <c r="E216" s="181">
        <v>-720.85</v>
      </c>
      <c r="F216" s="12"/>
      <c r="G216" s="182" t="s">
        <v>483</v>
      </c>
      <c r="H216" s="59"/>
      <c r="I216" s="60"/>
      <c r="J216" s="61">
        <v>29220.71</v>
      </c>
      <c r="L216" s="12">
        <f t="shared" si="6"/>
        <v>-720.85</v>
      </c>
    </row>
    <row r="217" spans="1:12" ht="13.5" customHeight="1" x14ac:dyDescent="0.2">
      <c r="A217" s="180"/>
      <c r="B217" s="56" t="s">
        <v>483</v>
      </c>
      <c r="C217" s="36" t="s">
        <v>174</v>
      </c>
      <c r="D217" s="11" t="s">
        <v>488</v>
      </c>
      <c r="E217" s="30"/>
      <c r="F217" s="183">
        <v>720.85</v>
      </c>
      <c r="G217" s="182">
        <v>0</v>
      </c>
      <c r="H217" s="59">
        <v>720.85</v>
      </c>
      <c r="I217" s="60"/>
      <c r="J217" s="61">
        <v>28499.86</v>
      </c>
      <c r="L217" s="12">
        <f t="shared" si="6"/>
        <v>0</v>
      </c>
    </row>
    <row r="218" spans="1:12" ht="13.5" customHeight="1" x14ac:dyDescent="0.2">
      <c r="A218" s="180" t="s">
        <v>7297</v>
      </c>
      <c r="B218" s="56" t="s">
        <v>483</v>
      </c>
      <c r="C218" s="36" t="s">
        <v>394</v>
      </c>
      <c r="D218" s="11" t="s">
        <v>6464</v>
      </c>
      <c r="E218" s="181">
        <v>-1594.34</v>
      </c>
      <c r="F218" s="12"/>
      <c r="G218" s="182">
        <v>-1594.34</v>
      </c>
      <c r="H218" s="59"/>
      <c r="I218" s="60"/>
      <c r="J218" s="61">
        <v>28499.86</v>
      </c>
      <c r="L218" s="12">
        <f t="shared" si="6"/>
        <v>-1594.34</v>
      </c>
    </row>
    <row r="219" spans="1:12" ht="13.5" customHeight="1" x14ac:dyDescent="0.2">
      <c r="A219" s="180"/>
      <c r="B219" s="56" t="s">
        <v>591</v>
      </c>
      <c r="C219" s="34" t="s">
        <v>5995</v>
      </c>
      <c r="D219" s="11">
        <v>672745</v>
      </c>
      <c r="E219" s="181"/>
      <c r="F219" s="168">
        <v>8000</v>
      </c>
      <c r="G219" s="182"/>
      <c r="H219" s="59"/>
      <c r="I219" s="60"/>
      <c r="J219" s="61">
        <v>28499.86</v>
      </c>
      <c r="L219" s="12">
        <f t="shared" si="6"/>
        <v>6405.66</v>
      </c>
    </row>
    <row r="220" spans="1:12" ht="13.5" customHeight="1" x14ac:dyDescent="0.2">
      <c r="A220" s="180"/>
      <c r="B220" s="56"/>
      <c r="C220" s="34" t="s">
        <v>5995</v>
      </c>
      <c r="D220" s="11">
        <v>350007</v>
      </c>
      <c r="E220" s="181"/>
      <c r="F220" s="168">
        <v>477</v>
      </c>
      <c r="G220" s="182"/>
      <c r="H220" s="59"/>
      <c r="I220" s="60"/>
      <c r="J220" s="61">
        <v>28499.86</v>
      </c>
      <c r="L220" s="12">
        <f t="shared" si="6"/>
        <v>6882.66</v>
      </c>
    </row>
    <row r="221" spans="1:12" ht="13.5" customHeight="1" x14ac:dyDescent="0.2">
      <c r="A221" s="180"/>
      <c r="B221" s="56"/>
      <c r="C221" s="36" t="s">
        <v>7298</v>
      </c>
      <c r="D221" s="11">
        <v>345</v>
      </c>
      <c r="E221" s="181">
        <v>-353.9</v>
      </c>
      <c r="F221" s="12"/>
      <c r="G221" s="182"/>
      <c r="H221" s="59"/>
      <c r="I221" s="60"/>
      <c r="J221" s="61">
        <v>28499.86</v>
      </c>
      <c r="L221" s="12">
        <f t="shared" si="6"/>
        <v>6528.76</v>
      </c>
    </row>
    <row r="222" spans="1:12" ht="13.5" customHeight="1" x14ac:dyDescent="0.2">
      <c r="A222" s="180"/>
      <c r="B222" s="56"/>
      <c r="C222" s="36" t="s">
        <v>174</v>
      </c>
      <c r="D222" s="11">
        <v>0</v>
      </c>
      <c r="E222" s="30"/>
      <c r="F222" s="183">
        <v>1471.24</v>
      </c>
      <c r="G222" s="182">
        <v>8000</v>
      </c>
      <c r="H222" s="59">
        <v>1471.24</v>
      </c>
      <c r="I222" s="60"/>
      <c r="J222" s="61">
        <v>27028.62</v>
      </c>
      <c r="L222" s="12">
        <f t="shared" si="6"/>
        <v>8000</v>
      </c>
    </row>
    <row r="223" spans="1:12" ht="13.5" customHeight="1" x14ac:dyDescent="0.2">
      <c r="A223" s="180">
        <v>43180</v>
      </c>
      <c r="B223" s="56"/>
      <c r="C223" s="34" t="s">
        <v>86</v>
      </c>
      <c r="D223" s="11">
        <v>0</v>
      </c>
      <c r="E223" s="181">
        <v>-78</v>
      </c>
      <c r="F223" s="12"/>
      <c r="G223" s="182"/>
      <c r="H223" s="59"/>
      <c r="I223" s="60"/>
      <c r="J223" s="61">
        <v>27028.62</v>
      </c>
      <c r="L223" s="12">
        <f t="shared" si="6"/>
        <v>7922</v>
      </c>
    </row>
    <row r="224" spans="1:12" ht="13.5" customHeight="1" x14ac:dyDescent="0.2">
      <c r="A224" s="180"/>
      <c r="B224" s="56"/>
      <c r="C224" s="34" t="s">
        <v>194</v>
      </c>
      <c r="D224" s="11">
        <v>0</v>
      </c>
      <c r="E224" s="181">
        <v>-99.48</v>
      </c>
      <c r="F224" s="12"/>
      <c r="G224" s="182"/>
      <c r="H224" s="59"/>
      <c r="I224" s="60"/>
      <c r="J224" s="61">
        <v>27028.62</v>
      </c>
      <c r="L224" s="12">
        <f t="shared" si="6"/>
        <v>7822.52</v>
      </c>
    </row>
    <row r="225" spans="1:12" ht="13.5" customHeight="1" x14ac:dyDescent="0.2">
      <c r="A225" s="180"/>
      <c r="B225" s="56"/>
      <c r="C225" s="36" t="s">
        <v>195</v>
      </c>
      <c r="D225" s="11">
        <v>0</v>
      </c>
      <c r="E225" s="181">
        <v>-459.13</v>
      </c>
      <c r="F225" s="12"/>
      <c r="G225" s="182"/>
      <c r="H225" s="59"/>
      <c r="I225" s="60"/>
      <c r="J225" s="61">
        <v>27028.62</v>
      </c>
      <c r="L225" s="12">
        <f t="shared" si="6"/>
        <v>7363.39</v>
      </c>
    </row>
    <row r="226" spans="1:12" ht="13.5" customHeight="1" x14ac:dyDescent="0.2">
      <c r="A226" s="180"/>
      <c r="B226" s="56" t="s">
        <v>483</v>
      </c>
      <c r="C226" s="36" t="s">
        <v>7299</v>
      </c>
      <c r="D226" s="11" t="s">
        <v>488</v>
      </c>
      <c r="E226" s="181">
        <v>-490</v>
      </c>
      <c r="F226" s="12" t="s">
        <v>483</v>
      </c>
      <c r="G226" s="182"/>
      <c r="H226" s="59"/>
      <c r="I226" s="60"/>
      <c r="J226" s="61">
        <v>27028.62</v>
      </c>
      <c r="L226" s="12">
        <f t="shared" si="6"/>
        <v>6873.39</v>
      </c>
    </row>
    <row r="227" spans="1:12" ht="13.5" customHeight="1" x14ac:dyDescent="0.2">
      <c r="A227" s="180"/>
      <c r="B227" s="56" t="s">
        <v>483</v>
      </c>
      <c r="C227" s="36" t="s">
        <v>7300</v>
      </c>
      <c r="D227" s="11" t="s">
        <v>488</v>
      </c>
      <c r="E227" s="181">
        <v>-490</v>
      </c>
      <c r="F227" s="12"/>
      <c r="G227" s="182">
        <v>6383.39</v>
      </c>
      <c r="H227" s="59"/>
      <c r="I227" s="60"/>
      <c r="J227" s="61">
        <v>27028.62</v>
      </c>
      <c r="L227" s="12">
        <f t="shared" si="6"/>
        <v>6383.39</v>
      </c>
    </row>
    <row r="228" spans="1:12" ht="13.5" customHeight="1" x14ac:dyDescent="0.2">
      <c r="A228" s="180"/>
      <c r="B228" s="56" t="s">
        <v>483</v>
      </c>
      <c r="C228" s="34" t="s">
        <v>7301</v>
      </c>
      <c r="D228" s="11" t="s">
        <v>7302</v>
      </c>
      <c r="E228" s="181">
        <v>-749.6</v>
      </c>
      <c r="F228" s="12" t="s">
        <v>483</v>
      </c>
      <c r="G228" s="182"/>
      <c r="H228" s="59"/>
      <c r="I228" s="60"/>
      <c r="J228" s="61">
        <v>27028.62</v>
      </c>
      <c r="L228" s="12">
        <f t="shared" si="6"/>
        <v>5633.79</v>
      </c>
    </row>
    <row r="229" spans="1:12" ht="13.5" customHeight="1" x14ac:dyDescent="0.2">
      <c r="A229" s="180"/>
      <c r="B229" s="56" t="s">
        <v>483</v>
      </c>
      <c r="C229" s="34" t="s">
        <v>7303</v>
      </c>
      <c r="D229" s="11" t="s">
        <v>7304</v>
      </c>
      <c r="E229" s="181">
        <v>-393.36</v>
      </c>
      <c r="F229" s="12" t="s">
        <v>483</v>
      </c>
      <c r="G229" s="182"/>
      <c r="H229" s="59"/>
      <c r="I229" s="60"/>
      <c r="J229" s="61">
        <v>27028.62</v>
      </c>
      <c r="L229" s="12">
        <f t="shared" si="6"/>
        <v>5240.43</v>
      </c>
    </row>
    <row r="230" spans="1:12" ht="13.5" customHeight="1" x14ac:dyDescent="0.2">
      <c r="A230" s="180"/>
      <c r="B230" s="56" t="s">
        <v>483</v>
      </c>
      <c r="C230" s="34" t="s">
        <v>7305</v>
      </c>
      <c r="D230" s="11" t="s">
        <v>7306</v>
      </c>
      <c r="E230" s="181">
        <v>-393.36</v>
      </c>
      <c r="F230" s="12" t="s">
        <v>483</v>
      </c>
      <c r="G230" s="182"/>
      <c r="H230" s="59"/>
      <c r="I230" s="60"/>
      <c r="J230" s="61">
        <v>27028.62</v>
      </c>
      <c r="L230" s="12">
        <f t="shared" si="6"/>
        <v>4847.0700000000006</v>
      </c>
    </row>
    <row r="231" spans="1:12" ht="13.5" customHeight="1" x14ac:dyDescent="0.2">
      <c r="A231" s="180"/>
      <c r="B231" s="56" t="s">
        <v>483</v>
      </c>
      <c r="C231" s="36" t="s">
        <v>189</v>
      </c>
      <c r="D231" s="11" t="s">
        <v>488</v>
      </c>
      <c r="E231" s="181">
        <v>-4847.07</v>
      </c>
      <c r="F231" s="12"/>
      <c r="G231" s="182"/>
      <c r="H231" s="59"/>
      <c r="I231" s="60">
        <v>4847.07</v>
      </c>
      <c r="J231" s="61">
        <v>31875.69</v>
      </c>
      <c r="L231" s="12">
        <f t="shared" si="6"/>
        <v>0</v>
      </c>
    </row>
    <row r="232" spans="1:12" ht="13.5" customHeight="1" x14ac:dyDescent="0.2">
      <c r="A232" s="180" t="s">
        <v>7307</v>
      </c>
      <c r="B232" s="56" t="s">
        <v>483</v>
      </c>
      <c r="C232" s="34" t="s">
        <v>86</v>
      </c>
      <c r="D232" s="11" t="s">
        <v>488</v>
      </c>
      <c r="E232" s="181">
        <v>-19</v>
      </c>
      <c r="F232" s="12"/>
      <c r="G232" s="182"/>
      <c r="H232" s="59"/>
      <c r="I232" s="60"/>
      <c r="J232" s="61">
        <v>31875.69</v>
      </c>
      <c r="L232" s="12">
        <f t="shared" si="6"/>
        <v>-19</v>
      </c>
    </row>
    <row r="233" spans="1:12" ht="13.5" customHeight="1" x14ac:dyDescent="0.2">
      <c r="A233" s="180"/>
      <c r="B233" s="56" t="s">
        <v>483</v>
      </c>
      <c r="C233" s="32" t="s">
        <v>199</v>
      </c>
      <c r="D233" s="11" t="s">
        <v>488</v>
      </c>
      <c r="E233" s="181">
        <v>-106.9</v>
      </c>
      <c r="F233" s="12"/>
      <c r="G233" s="182"/>
      <c r="H233" s="59"/>
      <c r="I233" s="60"/>
      <c r="J233" s="61">
        <v>31875.69</v>
      </c>
      <c r="L233" s="12">
        <f t="shared" si="6"/>
        <v>-125.9</v>
      </c>
    </row>
    <row r="234" spans="1:12" ht="13.5" customHeight="1" x14ac:dyDescent="0.2">
      <c r="A234" s="180"/>
      <c r="B234" s="56"/>
      <c r="C234" s="36" t="s">
        <v>174</v>
      </c>
      <c r="D234" s="11">
        <v>0</v>
      </c>
      <c r="E234" s="30"/>
      <c r="F234" s="183">
        <v>125.9</v>
      </c>
      <c r="G234" s="182">
        <v>0</v>
      </c>
      <c r="H234" s="59">
        <v>125.9</v>
      </c>
      <c r="I234" s="60"/>
      <c r="J234" s="61">
        <v>31749.789999999997</v>
      </c>
      <c r="L234" s="12">
        <f t="shared" si="6"/>
        <v>0</v>
      </c>
    </row>
    <row r="235" spans="1:12" ht="13.5" customHeight="1" x14ac:dyDescent="0.2">
      <c r="A235" s="180">
        <v>43182</v>
      </c>
      <c r="B235" s="56"/>
      <c r="C235" s="36" t="s">
        <v>7308</v>
      </c>
      <c r="D235" s="11">
        <v>346</v>
      </c>
      <c r="E235" s="181">
        <v>-250</v>
      </c>
      <c r="F235" s="12"/>
      <c r="G235" s="182"/>
      <c r="H235" s="59"/>
      <c r="I235" s="60"/>
      <c r="J235" s="61">
        <v>31749.789999999997</v>
      </c>
      <c r="L235" s="12">
        <f t="shared" si="6"/>
        <v>-250</v>
      </c>
    </row>
    <row r="236" spans="1:12" ht="13.5" customHeight="1" x14ac:dyDescent="0.2">
      <c r="A236" s="180"/>
      <c r="B236" s="56" t="s">
        <v>483</v>
      </c>
      <c r="C236" s="36" t="s">
        <v>174</v>
      </c>
      <c r="D236" s="11" t="s">
        <v>488</v>
      </c>
      <c r="E236" s="30"/>
      <c r="F236" s="183">
        <v>250</v>
      </c>
      <c r="G236" s="182">
        <v>0</v>
      </c>
      <c r="H236" s="59">
        <v>250</v>
      </c>
      <c r="I236" s="60"/>
      <c r="J236" s="61">
        <v>31499.789999999997</v>
      </c>
      <c r="L236" s="12">
        <f t="shared" si="6"/>
        <v>0</v>
      </c>
    </row>
    <row r="237" spans="1:12" ht="13.5" customHeight="1" x14ac:dyDescent="0.2">
      <c r="A237" s="180" t="s">
        <v>7309</v>
      </c>
      <c r="B237" s="56" t="s">
        <v>483</v>
      </c>
      <c r="C237" s="36" t="s">
        <v>7310</v>
      </c>
      <c r="D237" s="11" t="s">
        <v>494</v>
      </c>
      <c r="E237" s="181">
        <v>-1999</v>
      </c>
      <c r="F237" s="12"/>
      <c r="G237" s="182" t="s">
        <v>483</v>
      </c>
      <c r="H237" s="59"/>
      <c r="I237" s="60"/>
      <c r="J237" s="61">
        <v>31499.789999999997</v>
      </c>
      <c r="L237" s="12">
        <f t="shared" si="6"/>
        <v>-1999</v>
      </c>
    </row>
    <row r="238" spans="1:12" ht="13.5" customHeight="1" x14ac:dyDescent="0.2">
      <c r="A238" s="180"/>
      <c r="B238" s="56" t="s">
        <v>483</v>
      </c>
      <c r="C238" s="36" t="s">
        <v>7311</v>
      </c>
      <c r="D238" s="11" t="s">
        <v>7312</v>
      </c>
      <c r="E238" s="181">
        <v>-100.05</v>
      </c>
      <c r="F238" s="12"/>
      <c r="G238" s="182" t="s">
        <v>483</v>
      </c>
      <c r="H238" s="59"/>
      <c r="I238" s="60"/>
      <c r="J238" s="61">
        <v>31499.789999999997</v>
      </c>
      <c r="L238" s="12">
        <f t="shared" si="6"/>
        <v>-2099.0500000000002</v>
      </c>
    </row>
    <row r="239" spans="1:12" ht="13.5" customHeight="1" x14ac:dyDescent="0.2">
      <c r="A239" s="180"/>
      <c r="B239" s="56" t="s">
        <v>483</v>
      </c>
      <c r="C239" s="36" t="s">
        <v>7313</v>
      </c>
      <c r="D239" s="11" t="s">
        <v>7314</v>
      </c>
      <c r="E239" s="181">
        <v>-277.66000000000003</v>
      </c>
      <c r="F239" s="12"/>
      <c r="G239" s="182" t="s">
        <v>483</v>
      </c>
      <c r="H239" s="59"/>
      <c r="I239" s="60"/>
      <c r="J239" s="61">
        <v>31499.789999999997</v>
      </c>
      <c r="L239" s="12">
        <f t="shared" si="6"/>
        <v>-2376.71</v>
      </c>
    </row>
    <row r="240" spans="1:12" ht="13.5" customHeight="1" x14ac:dyDescent="0.2">
      <c r="A240" s="180"/>
      <c r="B240" s="56" t="s">
        <v>483</v>
      </c>
      <c r="C240" s="36" t="s">
        <v>174</v>
      </c>
      <c r="D240" s="11" t="s">
        <v>488</v>
      </c>
      <c r="E240" s="30"/>
      <c r="F240" s="183">
        <v>2376.71</v>
      </c>
      <c r="G240" s="182">
        <v>0</v>
      </c>
      <c r="H240" s="59">
        <v>2376.71</v>
      </c>
      <c r="I240" s="60"/>
      <c r="J240" s="61">
        <v>29123.079999999998</v>
      </c>
      <c r="L240" s="12">
        <f t="shared" si="6"/>
        <v>0</v>
      </c>
    </row>
    <row r="241" spans="1:15" ht="13.5" customHeight="1" x14ac:dyDescent="0.2">
      <c r="A241" s="180" t="s">
        <v>7315</v>
      </c>
      <c r="B241" s="56" t="s">
        <v>483</v>
      </c>
      <c r="C241" s="34" t="s">
        <v>86</v>
      </c>
      <c r="D241" s="11" t="s">
        <v>488</v>
      </c>
      <c r="E241" s="181">
        <v>-9.5</v>
      </c>
      <c r="F241" s="12"/>
      <c r="G241" s="182" t="s">
        <v>483</v>
      </c>
      <c r="H241" s="59"/>
      <c r="I241" s="60"/>
      <c r="J241" s="61">
        <v>29123.079999999998</v>
      </c>
      <c r="L241" s="12">
        <f t="shared" si="6"/>
        <v>-9.5</v>
      </c>
    </row>
    <row r="242" spans="1:15" ht="13.5" customHeight="1" x14ac:dyDescent="0.2">
      <c r="A242" s="180"/>
      <c r="B242" s="56" t="s">
        <v>483</v>
      </c>
      <c r="C242" s="34" t="s">
        <v>86</v>
      </c>
      <c r="D242" s="11" t="s">
        <v>488</v>
      </c>
      <c r="E242" s="181">
        <v>-11.9</v>
      </c>
      <c r="F242" s="12"/>
      <c r="G242" s="182" t="s">
        <v>483</v>
      </c>
      <c r="H242" s="59"/>
      <c r="I242" s="60"/>
      <c r="J242" s="61">
        <v>29123.079999999998</v>
      </c>
      <c r="L242" s="12">
        <f t="shared" si="6"/>
        <v>-21.4</v>
      </c>
    </row>
    <row r="243" spans="1:15" ht="13.5" customHeight="1" x14ac:dyDescent="0.2">
      <c r="A243" s="180"/>
      <c r="B243" s="56" t="s">
        <v>483</v>
      </c>
      <c r="C243" s="36" t="s">
        <v>7316</v>
      </c>
      <c r="D243" s="11" t="s">
        <v>7317</v>
      </c>
      <c r="E243" s="181">
        <v>-340</v>
      </c>
      <c r="F243" s="12"/>
      <c r="G243" s="182" t="s">
        <v>483</v>
      </c>
      <c r="H243" s="59"/>
      <c r="I243" s="60"/>
      <c r="J243" s="61">
        <v>29123.079999999998</v>
      </c>
      <c r="L243" s="12">
        <f t="shared" si="6"/>
        <v>-361.4</v>
      </c>
    </row>
    <row r="244" spans="1:15" ht="13.5" customHeight="1" x14ac:dyDescent="0.2">
      <c r="A244" s="180"/>
      <c r="B244" s="56" t="s">
        <v>483</v>
      </c>
      <c r="C244" s="36" t="s">
        <v>7318</v>
      </c>
      <c r="D244" s="11" t="s">
        <v>488</v>
      </c>
      <c r="E244" s="181">
        <v>-1594.34</v>
      </c>
      <c r="F244" s="12"/>
      <c r="G244" s="182"/>
      <c r="H244" s="59"/>
      <c r="I244" s="60"/>
      <c r="J244" s="61">
        <v>29123.079999999998</v>
      </c>
      <c r="L244" s="12">
        <f t="shared" si="6"/>
        <v>-1955.7399999999998</v>
      </c>
    </row>
    <row r="245" spans="1:15" ht="13.5" customHeight="1" x14ac:dyDescent="0.2">
      <c r="A245" s="180"/>
      <c r="B245" s="56" t="s">
        <v>483</v>
      </c>
      <c r="C245" s="36" t="s">
        <v>174</v>
      </c>
      <c r="D245" s="11" t="s">
        <v>488</v>
      </c>
      <c r="E245" s="30"/>
      <c r="F245" s="183">
        <v>1955.74</v>
      </c>
      <c r="G245" s="182">
        <v>0</v>
      </c>
      <c r="H245" s="59">
        <v>1955.74</v>
      </c>
      <c r="I245" s="60"/>
      <c r="J245" s="61">
        <v>27167.339999999997</v>
      </c>
      <c r="L245" s="12">
        <f t="shared" si="6"/>
        <v>0</v>
      </c>
    </row>
    <row r="246" spans="1:15" ht="13.5" customHeight="1" x14ac:dyDescent="0.2">
      <c r="A246" s="180" t="s">
        <v>7319</v>
      </c>
      <c r="B246" s="56" t="s">
        <v>483</v>
      </c>
      <c r="C246" s="36" t="s">
        <v>7320</v>
      </c>
      <c r="D246" s="11" t="s">
        <v>3920</v>
      </c>
      <c r="E246" s="552">
        <v>-8226.52</v>
      </c>
      <c r="F246" s="183"/>
      <c r="G246" s="182"/>
      <c r="H246" s="59"/>
      <c r="I246" s="60"/>
      <c r="J246" s="61">
        <v>27167.339999999997</v>
      </c>
      <c r="L246" s="12">
        <f t="shared" si="6"/>
        <v>-8226.52</v>
      </c>
    </row>
    <row r="247" spans="1:15" ht="13.5" customHeight="1" x14ac:dyDescent="0.2">
      <c r="A247" s="180"/>
      <c r="B247" s="56" t="s">
        <v>483</v>
      </c>
      <c r="C247" s="36" t="s">
        <v>174</v>
      </c>
      <c r="D247" s="11" t="s">
        <v>488</v>
      </c>
      <c r="E247" s="30"/>
      <c r="F247" s="183">
        <v>8226.52</v>
      </c>
      <c r="G247" s="182">
        <v>0</v>
      </c>
      <c r="H247" s="59">
        <v>8226.52</v>
      </c>
      <c r="I247" s="60"/>
      <c r="J247" s="61">
        <v>18940.819999999996</v>
      </c>
      <c r="L247" s="12">
        <f t="shared" si="6"/>
        <v>0</v>
      </c>
    </row>
    <row r="248" spans="1:15" ht="13.5" customHeight="1" x14ac:dyDescent="0.2">
      <c r="A248" s="180" t="s">
        <v>7321</v>
      </c>
      <c r="B248" s="56" t="s">
        <v>483</v>
      </c>
      <c r="C248" s="34" t="s">
        <v>86</v>
      </c>
      <c r="D248" s="11" t="s">
        <v>488</v>
      </c>
      <c r="E248" s="181">
        <v>-9.5</v>
      </c>
      <c r="F248" s="12"/>
      <c r="G248" s="182" t="s">
        <v>483</v>
      </c>
      <c r="H248" s="59"/>
      <c r="I248" s="60"/>
      <c r="J248" s="61">
        <v>18940.819999999996</v>
      </c>
      <c r="L248" s="12">
        <f t="shared" si="6"/>
        <v>-9.5</v>
      </c>
    </row>
    <row r="249" spans="1:15" ht="13.5" customHeight="1" x14ac:dyDescent="0.2">
      <c r="A249" s="180"/>
      <c r="B249" s="56" t="s">
        <v>483</v>
      </c>
      <c r="C249" s="36" t="s">
        <v>1013</v>
      </c>
      <c r="D249" s="11" t="s">
        <v>488</v>
      </c>
      <c r="E249" s="181">
        <v>-1650</v>
      </c>
      <c r="F249" s="12"/>
      <c r="G249" s="182">
        <v>-1659.5</v>
      </c>
      <c r="H249" s="59"/>
      <c r="I249" s="60"/>
      <c r="J249" s="61">
        <v>18940.819999999996</v>
      </c>
      <c r="L249" s="12">
        <f t="shared" si="6"/>
        <v>-1659.5</v>
      </c>
    </row>
    <row r="250" spans="1:15" ht="13.5" customHeight="1" x14ac:dyDescent="0.2">
      <c r="A250" s="180"/>
      <c r="B250" s="56" t="s">
        <v>483</v>
      </c>
      <c r="C250" s="36" t="s">
        <v>7322</v>
      </c>
      <c r="D250" s="11" t="s">
        <v>488</v>
      </c>
      <c r="E250" s="181">
        <v>-89.99</v>
      </c>
      <c r="F250" s="12" t="s">
        <v>483</v>
      </c>
      <c r="G250" s="182"/>
      <c r="H250" s="59"/>
      <c r="I250" s="60"/>
      <c r="J250" s="61">
        <v>18940.819999999996</v>
      </c>
      <c r="L250" s="12">
        <f t="shared" si="6"/>
        <v>-1749.49</v>
      </c>
    </row>
    <row r="251" spans="1:15" ht="13.5" customHeight="1" x14ac:dyDescent="0.2">
      <c r="A251" s="180"/>
      <c r="B251" s="56" t="s">
        <v>483</v>
      </c>
      <c r="C251" s="36" t="s">
        <v>7323</v>
      </c>
      <c r="D251" s="11" t="s">
        <v>488</v>
      </c>
      <c r="E251" s="181">
        <v>-300</v>
      </c>
      <c r="F251" s="12" t="s">
        <v>483</v>
      </c>
      <c r="G251" s="182"/>
      <c r="H251" s="59"/>
      <c r="I251" s="60"/>
      <c r="J251" s="61">
        <v>18940.819999999996</v>
      </c>
      <c r="L251" s="12">
        <f t="shared" si="6"/>
        <v>-2049.4899999999998</v>
      </c>
    </row>
    <row r="252" spans="1:15" ht="13.5" customHeight="1" x14ac:dyDescent="0.2">
      <c r="A252" s="180"/>
      <c r="B252" s="56" t="s">
        <v>483</v>
      </c>
      <c r="C252" s="36" t="s">
        <v>7324</v>
      </c>
      <c r="D252" s="11" t="s">
        <v>7325</v>
      </c>
      <c r="E252" s="181">
        <v>-219</v>
      </c>
      <c r="F252" s="12" t="s">
        <v>483</v>
      </c>
      <c r="G252" s="182"/>
      <c r="H252" s="59"/>
      <c r="I252" s="60"/>
      <c r="J252" s="61">
        <v>18940.819999999996</v>
      </c>
      <c r="L252" s="12">
        <f t="shared" si="6"/>
        <v>-2268.4899999999998</v>
      </c>
    </row>
    <row r="253" spans="1:15" ht="13.5" customHeight="1" x14ac:dyDescent="0.2">
      <c r="A253" s="180"/>
      <c r="B253" s="56" t="s">
        <v>483</v>
      </c>
      <c r="C253" s="36" t="s">
        <v>7326</v>
      </c>
      <c r="D253" s="11" t="s">
        <v>7327</v>
      </c>
      <c r="E253" s="181">
        <v>-569</v>
      </c>
      <c r="F253" s="12" t="s">
        <v>483</v>
      </c>
      <c r="G253" s="182"/>
      <c r="H253" s="59"/>
      <c r="I253" s="60"/>
      <c r="J253" s="61">
        <v>18940.819999999996</v>
      </c>
      <c r="L253" s="12">
        <f t="shared" si="6"/>
        <v>-2837.49</v>
      </c>
    </row>
    <row r="254" spans="1:15" ht="13.5" customHeight="1" x14ac:dyDescent="0.2">
      <c r="A254" s="180"/>
      <c r="B254" s="56" t="s">
        <v>483</v>
      </c>
      <c r="C254" s="36" t="s">
        <v>174</v>
      </c>
      <c r="D254" s="11" t="s">
        <v>488</v>
      </c>
      <c r="E254" s="30"/>
      <c r="F254" s="183">
        <v>2837.49</v>
      </c>
      <c r="G254" s="1135">
        <v>0</v>
      </c>
      <c r="H254" s="59">
        <v>2837.49</v>
      </c>
      <c r="I254" s="60"/>
      <c r="J254" s="61">
        <v>16103.329999999996</v>
      </c>
      <c r="L254" s="12">
        <f t="shared" si="6"/>
        <v>0</v>
      </c>
    </row>
    <row r="255" spans="1:15" s="64" customFormat="1" ht="13.5" customHeight="1" x14ac:dyDescent="0.2">
      <c r="A255" s="184"/>
      <c r="B255" s="63"/>
      <c r="C255" s="63" t="s">
        <v>20</v>
      </c>
      <c r="D255" s="50"/>
      <c r="E255" s="51"/>
      <c r="F255" s="13"/>
      <c r="G255" s="53"/>
      <c r="H255" s="179"/>
      <c r="I255" s="57">
        <v>8.1400000000030559</v>
      </c>
      <c r="J255" s="186">
        <v>16111.47</v>
      </c>
      <c r="L255" s="12">
        <f t="shared" si="6"/>
        <v>0</v>
      </c>
      <c r="O255" s="65"/>
    </row>
    <row r="256" spans="1:15" s="64" customFormat="1" ht="13.5" customHeight="1" x14ac:dyDescent="0.2">
      <c r="A256" s="184"/>
      <c r="B256" s="63"/>
      <c r="C256" s="32" t="s">
        <v>5809</v>
      </c>
      <c r="D256" s="50"/>
      <c r="E256" s="51"/>
      <c r="F256" s="13"/>
      <c r="G256" s="53"/>
      <c r="H256" s="179"/>
      <c r="I256" s="57"/>
      <c r="J256" s="186">
        <v>7346.24</v>
      </c>
      <c r="L256" s="12">
        <f t="shared" si="6"/>
        <v>0</v>
      </c>
      <c r="O256" s="65"/>
    </row>
    <row r="257" spans="1:15" s="64" customFormat="1" ht="13.5" customHeight="1" x14ac:dyDescent="0.2">
      <c r="A257" s="184"/>
      <c r="B257" s="63"/>
      <c r="C257" s="222" t="s">
        <v>5810</v>
      </c>
      <c r="D257" s="50"/>
      <c r="E257" s="51"/>
      <c r="F257" s="13"/>
      <c r="G257" s="53"/>
      <c r="H257" s="179"/>
      <c r="I257" s="57"/>
      <c r="J257" s="186">
        <v>23457.71</v>
      </c>
      <c r="L257" s="51"/>
      <c r="O257" s="65"/>
    </row>
    <row r="258" spans="1:15" s="64" customFormat="1" ht="13.5" customHeight="1" thickBot="1" x14ac:dyDescent="0.25">
      <c r="A258" s="184"/>
      <c r="B258" s="63"/>
      <c r="C258" s="63"/>
      <c r="D258" s="50"/>
      <c r="E258" s="51"/>
      <c r="F258" s="13"/>
      <c r="G258" s="53"/>
      <c r="H258" s="179"/>
      <c r="I258" s="57"/>
      <c r="J258" s="67"/>
      <c r="L258" s="51"/>
      <c r="O258" s="65"/>
    </row>
    <row r="259" spans="1:15" ht="13.5" customHeight="1" thickBot="1" x14ac:dyDescent="0.25">
      <c r="A259" s="2" t="s">
        <v>2</v>
      </c>
      <c r="B259" s="3"/>
      <c r="C259" s="3" t="s">
        <v>525</v>
      </c>
      <c r="D259" s="3" t="s">
        <v>4</v>
      </c>
      <c r="E259" s="3" t="s">
        <v>5</v>
      </c>
      <c r="F259" s="3" t="s">
        <v>6</v>
      </c>
      <c r="G259" s="5" t="s">
        <v>7</v>
      </c>
      <c r="H259" s="187"/>
      <c r="I259" s="188"/>
      <c r="J259" s="189"/>
    </row>
    <row r="260" spans="1:15" ht="13.5" customHeight="1" x14ac:dyDescent="0.2">
      <c r="A260" s="8" t="s">
        <v>7272</v>
      </c>
      <c r="B260" s="56"/>
      <c r="C260" s="10" t="s">
        <v>8</v>
      </c>
      <c r="D260" s="11"/>
      <c r="E260" s="51"/>
      <c r="F260" s="12"/>
      <c r="G260" s="178">
        <v>7880.7899999999991</v>
      </c>
      <c r="H260" s="179"/>
      <c r="I260" s="57"/>
      <c r="J260" s="67"/>
      <c r="L260" s="51"/>
    </row>
    <row r="261" spans="1:15" ht="13.5" customHeight="1" x14ac:dyDescent="0.2">
      <c r="A261" s="180">
        <v>43164</v>
      </c>
      <c r="B261" s="56"/>
      <c r="C261" s="36" t="s">
        <v>530</v>
      </c>
      <c r="D261" s="11"/>
      <c r="E261" s="181">
        <v>849.06</v>
      </c>
      <c r="F261" s="12"/>
      <c r="G261" s="182">
        <v>7031.73</v>
      </c>
      <c r="H261" s="59"/>
      <c r="I261" s="60"/>
      <c r="J261" s="61"/>
      <c r="L261" s="30"/>
    </row>
    <row r="262" spans="1:15" s="64" customFormat="1" ht="13.5" customHeight="1" x14ac:dyDescent="0.2">
      <c r="A262" s="184">
        <v>43181</v>
      </c>
      <c r="B262" s="63"/>
      <c r="C262" s="34" t="s">
        <v>618</v>
      </c>
      <c r="D262" s="229"/>
      <c r="E262" s="1286">
        <v>34</v>
      </c>
      <c r="F262" s="61"/>
      <c r="G262" s="182">
        <v>6997.73</v>
      </c>
      <c r="H262" s="59"/>
      <c r="I262" s="57"/>
      <c r="J262" s="67"/>
      <c r="L262" s="51"/>
      <c r="O262" s="65"/>
    </row>
    <row r="263" spans="1:15" s="64" customFormat="1" ht="13.5" customHeight="1" x14ac:dyDescent="0.2">
      <c r="A263" s="184"/>
      <c r="B263" s="63"/>
      <c r="C263" s="34" t="s">
        <v>618</v>
      </c>
      <c r="D263" s="229"/>
      <c r="E263" s="1286">
        <v>19.600000000000001</v>
      </c>
      <c r="F263" s="61"/>
      <c r="G263" s="182">
        <v>6978.1299999999992</v>
      </c>
      <c r="H263" s="59"/>
      <c r="I263" s="57"/>
      <c r="J263" s="67"/>
      <c r="L263" s="51"/>
      <c r="O263" s="65"/>
    </row>
    <row r="264" spans="1:15" s="64" customFormat="1" ht="13.5" customHeight="1" x14ac:dyDescent="0.2">
      <c r="A264" s="184"/>
      <c r="B264" s="63"/>
      <c r="C264" s="34" t="s">
        <v>7328</v>
      </c>
      <c r="D264" s="229"/>
      <c r="E264" s="1286">
        <v>6</v>
      </c>
      <c r="F264" s="61"/>
      <c r="G264" s="182">
        <v>6972.1299999999992</v>
      </c>
      <c r="H264" s="59"/>
      <c r="I264" s="57"/>
      <c r="J264" s="67"/>
      <c r="L264" s="51"/>
      <c r="O264" s="65"/>
    </row>
    <row r="265" spans="1:15" s="64" customFormat="1" ht="13.5" customHeight="1" x14ac:dyDescent="0.2">
      <c r="A265" s="184">
        <v>43188</v>
      </c>
      <c r="B265" s="63"/>
      <c r="C265" s="34" t="s">
        <v>7329</v>
      </c>
      <c r="D265" s="229"/>
      <c r="E265" s="1286">
        <v>299.89999999999998</v>
      </c>
      <c r="F265" s="61"/>
      <c r="G265" s="205">
        <v>6672.23</v>
      </c>
      <c r="H265" s="59"/>
      <c r="I265" s="57"/>
      <c r="J265" s="67"/>
      <c r="L265" s="51"/>
      <c r="O265" s="65"/>
    </row>
    <row r="266" spans="1:15" ht="13.5" customHeight="1" thickBot="1" x14ac:dyDescent="0.25">
      <c r="A266" s="180"/>
      <c r="B266" s="56"/>
      <c r="C266" s="56"/>
      <c r="D266" s="11"/>
      <c r="E266" s="30"/>
      <c r="F266" s="12"/>
      <c r="G266" s="182"/>
      <c r="H266" s="59"/>
      <c r="I266" s="60"/>
      <c r="J266" s="61"/>
      <c r="L266" s="30"/>
    </row>
    <row r="267" spans="1:15" ht="13.5" customHeight="1" thickBot="1" x14ac:dyDescent="0.25">
      <c r="A267" s="2" t="s">
        <v>2</v>
      </c>
      <c r="B267" s="3"/>
      <c r="C267" s="3" t="s">
        <v>536</v>
      </c>
      <c r="D267" s="3"/>
      <c r="E267" s="3"/>
      <c r="F267" s="3"/>
      <c r="G267" s="5" t="s">
        <v>7</v>
      </c>
      <c r="H267" s="6" t="s">
        <v>5</v>
      </c>
      <c r="I267" s="4" t="s">
        <v>6</v>
      </c>
      <c r="J267" s="7" t="s">
        <v>7</v>
      </c>
    </row>
    <row r="268" spans="1:15" ht="13.5" customHeight="1" x14ac:dyDescent="0.2">
      <c r="A268" s="8">
        <v>43160</v>
      </c>
      <c r="B268" s="70"/>
      <c r="C268" s="10" t="s">
        <v>537</v>
      </c>
      <c r="D268" s="125"/>
      <c r="E268" s="67"/>
      <c r="F268" s="67"/>
      <c r="G268" s="178"/>
      <c r="H268" s="179"/>
      <c r="I268" s="57"/>
      <c r="J268" s="58">
        <v>0</v>
      </c>
      <c r="L268" s="18">
        <f>J268</f>
        <v>0</v>
      </c>
    </row>
    <row r="269" spans="1:15" ht="13.5" customHeight="1" x14ac:dyDescent="0.2">
      <c r="A269" s="180"/>
      <c r="B269" s="70"/>
      <c r="C269" s="34" t="s">
        <v>7127</v>
      </c>
      <c r="D269" s="125"/>
      <c r="E269" s="67"/>
      <c r="F269" s="67"/>
      <c r="G269" s="178"/>
      <c r="H269" s="179">
        <v>264.07</v>
      </c>
      <c r="I269" s="122"/>
      <c r="J269" s="198">
        <v>-264.07</v>
      </c>
      <c r="L269" s="18">
        <f>L268+I269-H269</f>
        <v>-264.07</v>
      </c>
    </row>
    <row r="270" spans="1:15" ht="13.5" customHeight="1" x14ac:dyDescent="0.2">
      <c r="A270" s="180"/>
      <c r="B270" s="70"/>
      <c r="C270" s="34" t="s">
        <v>7129</v>
      </c>
      <c r="D270" s="125"/>
      <c r="E270" s="67"/>
      <c r="F270" s="67"/>
      <c r="G270" s="178"/>
      <c r="H270" s="179">
        <v>7.97</v>
      </c>
      <c r="I270" s="122"/>
      <c r="J270" s="198">
        <v>-272.04000000000002</v>
      </c>
      <c r="L270" s="18">
        <f t="shared" ref="L270:L303" si="7">L269+I270-H270</f>
        <v>-272.04000000000002</v>
      </c>
    </row>
    <row r="271" spans="1:15" ht="13.5" customHeight="1" x14ac:dyDescent="0.2">
      <c r="A271" s="180"/>
      <c r="B271" s="70"/>
      <c r="C271" s="34" t="s">
        <v>7330</v>
      </c>
      <c r="D271" s="125"/>
      <c r="E271" s="67"/>
      <c r="F271" s="67"/>
      <c r="G271" s="178"/>
      <c r="H271" s="179">
        <v>19.350000000000001</v>
      </c>
      <c r="I271" s="122"/>
      <c r="J271" s="198">
        <v>-291.39000000000004</v>
      </c>
      <c r="L271" s="18">
        <f t="shared" si="7"/>
        <v>-291.39000000000004</v>
      </c>
    </row>
    <row r="272" spans="1:15" ht="13.5" customHeight="1" x14ac:dyDescent="0.2">
      <c r="A272" s="180"/>
      <c r="B272" s="70"/>
      <c r="C272" s="34" t="s">
        <v>7129</v>
      </c>
      <c r="D272" s="125"/>
      <c r="E272" s="67"/>
      <c r="F272" s="67"/>
      <c r="G272" s="178"/>
      <c r="H272" s="179">
        <v>7</v>
      </c>
      <c r="I272" s="122"/>
      <c r="J272" s="198">
        <v>-298.39000000000004</v>
      </c>
      <c r="L272" s="18">
        <f t="shared" si="7"/>
        <v>-298.39000000000004</v>
      </c>
    </row>
    <row r="273" spans="1:13" ht="13.5" customHeight="1" x14ac:dyDescent="0.2">
      <c r="A273" s="180">
        <v>43166</v>
      </c>
      <c r="B273" s="221"/>
      <c r="C273" s="34" t="s">
        <v>77</v>
      </c>
      <c r="D273" s="522"/>
      <c r="E273" s="198"/>
      <c r="F273" s="198"/>
      <c r="G273" s="190"/>
      <c r="H273" s="197"/>
      <c r="I273" s="73">
        <v>500</v>
      </c>
      <c r="J273" s="198">
        <v>201.60999999999996</v>
      </c>
      <c r="K273"/>
      <c r="L273" s="18">
        <f t="shared" si="7"/>
        <v>201.60999999999996</v>
      </c>
    </row>
    <row r="274" spans="1:13" ht="13.5" customHeight="1" x14ac:dyDescent="0.2">
      <c r="A274" s="180">
        <v>43168</v>
      </c>
      <c r="B274" s="221"/>
      <c r="C274" s="34" t="s">
        <v>77</v>
      </c>
      <c r="D274" s="522"/>
      <c r="E274" s="198"/>
      <c r="F274" s="198"/>
      <c r="G274" s="190"/>
      <c r="H274" s="197"/>
      <c r="I274" s="73">
        <v>10000</v>
      </c>
      <c r="J274" s="198">
        <v>10201.61</v>
      </c>
      <c r="K274"/>
      <c r="L274" s="18">
        <f t="shared" si="7"/>
        <v>10201.61</v>
      </c>
    </row>
    <row r="275" spans="1:13" ht="13.5" customHeight="1" x14ac:dyDescent="0.2">
      <c r="A275" s="180"/>
      <c r="B275" s="70"/>
      <c r="C275" s="34" t="s">
        <v>7127</v>
      </c>
      <c r="D275" s="125"/>
      <c r="E275" s="67"/>
      <c r="F275" s="67"/>
      <c r="G275" s="178"/>
      <c r="H275" s="179">
        <v>249.01</v>
      </c>
      <c r="I275" s="122"/>
      <c r="J275" s="198">
        <v>9952.6</v>
      </c>
      <c r="L275" s="18">
        <f t="shared" si="7"/>
        <v>9952.6</v>
      </c>
    </row>
    <row r="276" spans="1:13" ht="13.5" customHeight="1" x14ac:dyDescent="0.2">
      <c r="A276" s="180">
        <v>43178</v>
      </c>
      <c r="B276" s="221"/>
      <c r="C276" s="34" t="s">
        <v>1559</v>
      </c>
      <c r="D276" s="522"/>
      <c r="E276" s="198"/>
      <c r="F276" s="198"/>
      <c r="G276" s="190"/>
      <c r="H276" s="197">
        <v>12.88</v>
      </c>
      <c r="I276" s="122"/>
      <c r="J276" s="198">
        <v>9939.7200000000012</v>
      </c>
      <c r="K276"/>
      <c r="L276" s="18">
        <f t="shared" si="7"/>
        <v>9939.7200000000012</v>
      </c>
    </row>
    <row r="277" spans="1:13" ht="13.5" customHeight="1" x14ac:dyDescent="0.2">
      <c r="A277" s="180"/>
      <c r="B277" s="221"/>
      <c r="C277" s="34" t="s">
        <v>7331</v>
      </c>
      <c r="D277" s="522"/>
      <c r="E277" s="198"/>
      <c r="F277" s="198"/>
      <c r="G277" s="190"/>
      <c r="H277" s="197">
        <v>26.8</v>
      </c>
      <c r="I277" s="122"/>
      <c r="J277" s="198">
        <v>9912.9200000000019</v>
      </c>
      <c r="K277"/>
      <c r="L277" s="18">
        <f t="shared" si="7"/>
        <v>9912.9200000000019</v>
      </c>
    </row>
    <row r="278" spans="1:13" ht="13.5" customHeight="1" x14ac:dyDescent="0.2">
      <c r="A278" s="180">
        <v>43179</v>
      </c>
      <c r="B278" s="221"/>
      <c r="C278" s="34" t="s">
        <v>7234</v>
      </c>
      <c r="D278" s="522"/>
      <c r="E278" s="198"/>
      <c r="F278" s="198"/>
      <c r="G278" s="190"/>
      <c r="H278" s="412">
        <v>3000</v>
      </c>
      <c r="I278" s="122"/>
      <c r="J278" s="198">
        <v>6912.9200000000019</v>
      </c>
      <c r="K278"/>
      <c r="L278" s="18">
        <f t="shared" si="7"/>
        <v>6912.9200000000019</v>
      </c>
    </row>
    <row r="279" spans="1:13" ht="13.5" customHeight="1" x14ac:dyDescent="0.2">
      <c r="A279" s="180"/>
      <c r="B279" s="221"/>
      <c r="C279" s="34" t="s">
        <v>7234</v>
      </c>
      <c r="D279" s="522"/>
      <c r="E279" s="198"/>
      <c r="F279" s="198"/>
      <c r="G279" s="190"/>
      <c r="H279" s="412">
        <v>2000</v>
      </c>
      <c r="I279" s="122"/>
      <c r="J279" s="198">
        <v>4912.9200000000019</v>
      </c>
      <c r="K279"/>
      <c r="L279" s="18">
        <f t="shared" si="7"/>
        <v>4912.9200000000019</v>
      </c>
    </row>
    <row r="280" spans="1:13" ht="13.5" customHeight="1" x14ac:dyDescent="0.2">
      <c r="A280" s="171"/>
      <c r="B280" s="46"/>
      <c r="C280" s="34" t="s">
        <v>7332</v>
      </c>
      <c r="D280" s="229"/>
      <c r="E280" s="69"/>
      <c r="F280" s="69"/>
      <c r="G280" s="203"/>
      <c r="H280" s="68">
        <v>600</v>
      </c>
      <c r="I280" s="68"/>
      <c r="J280" s="198">
        <v>4312.9200000000019</v>
      </c>
      <c r="K280" s="72"/>
      <c r="L280" s="18">
        <f t="shared" si="7"/>
        <v>4312.9200000000019</v>
      </c>
      <c r="M280" s="18"/>
    </row>
    <row r="281" spans="1:13" ht="13.5" customHeight="1" x14ac:dyDescent="0.2">
      <c r="A281" s="91">
        <v>43186</v>
      </c>
      <c r="B281" s="9"/>
      <c r="C281" s="34" t="s">
        <v>7251</v>
      </c>
      <c r="D281" s="229"/>
      <c r="E281" s="61"/>
      <c r="F281" s="61"/>
      <c r="G281" s="182"/>
      <c r="H281" s="24"/>
      <c r="I281" s="531">
        <v>2000</v>
      </c>
      <c r="J281" s="198">
        <v>6312.9200000000019</v>
      </c>
      <c r="K281" s="18"/>
      <c r="L281" s="18">
        <f t="shared" si="7"/>
        <v>6312.9200000000019</v>
      </c>
      <c r="M281" s="18"/>
    </row>
    <row r="282" spans="1:13" ht="13.5" customHeight="1" x14ac:dyDescent="0.2">
      <c r="A282" s="91"/>
      <c r="B282" s="9"/>
      <c r="C282" s="34" t="s">
        <v>7252</v>
      </c>
      <c r="D282" s="229"/>
      <c r="E282" s="61"/>
      <c r="F282" s="61"/>
      <c r="G282" s="182"/>
      <c r="H282" s="24"/>
      <c r="I282" s="531">
        <v>2275</v>
      </c>
      <c r="J282" s="198">
        <v>8587.9200000000019</v>
      </c>
      <c r="K282" s="18"/>
      <c r="L282" s="18">
        <f t="shared" si="7"/>
        <v>8587.9200000000019</v>
      </c>
      <c r="M282" s="18"/>
    </row>
    <row r="283" spans="1:13" ht="13.5" customHeight="1" x14ac:dyDescent="0.2">
      <c r="A283" s="91"/>
      <c r="B283" s="9"/>
      <c r="C283" s="36" t="s">
        <v>7333</v>
      </c>
      <c r="D283" s="229"/>
      <c r="E283" s="61"/>
      <c r="F283" s="61"/>
      <c r="G283" s="182"/>
      <c r="H283" s="59"/>
      <c r="I283" s="531">
        <v>8226.52</v>
      </c>
      <c r="J283" s="198">
        <v>16814.440000000002</v>
      </c>
      <c r="K283" s="18"/>
      <c r="L283" s="18">
        <f t="shared" si="7"/>
        <v>16814.440000000002</v>
      </c>
      <c r="M283" s="18"/>
    </row>
    <row r="284" spans="1:13" ht="13.5" customHeight="1" x14ac:dyDescent="0.2">
      <c r="A284" s="91"/>
      <c r="B284" s="9"/>
      <c r="C284" s="21" t="s">
        <v>7334</v>
      </c>
      <c r="D284" s="229"/>
      <c r="E284" s="61"/>
      <c r="F284" s="61"/>
      <c r="G284" s="182"/>
      <c r="H284" s="59">
        <v>399.53</v>
      </c>
      <c r="I284" s="59"/>
      <c r="J284" s="198">
        <v>16414.910000000003</v>
      </c>
      <c r="K284" s="18"/>
      <c r="L284" s="18">
        <f t="shared" si="7"/>
        <v>16414.910000000003</v>
      </c>
      <c r="M284" s="18"/>
    </row>
    <row r="285" spans="1:13" ht="13.5" customHeight="1" x14ac:dyDescent="0.2">
      <c r="A285" s="91"/>
      <c r="B285" s="9"/>
      <c r="C285" s="21" t="s">
        <v>7335</v>
      </c>
      <c r="D285" s="229"/>
      <c r="E285" s="61"/>
      <c r="F285" s="61"/>
      <c r="G285" s="182"/>
      <c r="H285" s="59">
        <v>673.14</v>
      </c>
      <c r="I285" s="59"/>
      <c r="J285" s="198">
        <v>15741.770000000004</v>
      </c>
      <c r="K285" s="18"/>
      <c r="L285" s="18">
        <f t="shared" si="7"/>
        <v>15741.770000000004</v>
      </c>
      <c r="M285" s="18"/>
    </row>
    <row r="286" spans="1:13" ht="13.5" customHeight="1" x14ac:dyDescent="0.2">
      <c r="A286" s="91"/>
      <c r="B286" s="9"/>
      <c r="C286" s="21" t="s">
        <v>7336</v>
      </c>
      <c r="D286" s="229"/>
      <c r="E286" s="61"/>
      <c r="F286" s="61"/>
      <c r="G286" s="182"/>
      <c r="H286" s="59">
        <v>406.72</v>
      </c>
      <c r="I286" s="59"/>
      <c r="J286" s="198">
        <v>15335.050000000005</v>
      </c>
      <c r="K286" s="18"/>
      <c r="L286" s="18">
        <f t="shared" si="7"/>
        <v>15335.050000000005</v>
      </c>
      <c r="M286" s="18"/>
    </row>
    <row r="287" spans="1:13" ht="13.5" customHeight="1" x14ac:dyDescent="0.2">
      <c r="A287" s="91"/>
      <c r="B287" s="9"/>
      <c r="C287" s="21" t="s">
        <v>7337</v>
      </c>
      <c r="D287" s="229"/>
      <c r="E287" s="61"/>
      <c r="F287" s="61"/>
      <c r="G287" s="182"/>
      <c r="H287" s="59">
        <v>247.33</v>
      </c>
      <c r="I287" s="59"/>
      <c r="J287" s="198">
        <v>15087.720000000005</v>
      </c>
      <c r="K287" s="18"/>
      <c r="L287" s="18">
        <f t="shared" si="7"/>
        <v>15087.720000000005</v>
      </c>
      <c r="M287" s="18"/>
    </row>
    <row r="288" spans="1:13" ht="13.5" customHeight="1" x14ac:dyDescent="0.2">
      <c r="A288" s="91"/>
      <c r="B288" s="9"/>
      <c r="C288" s="21" t="s">
        <v>7338</v>
      </c>
      <c r="D288" s="229"/>
      <c r="E288" s="61"/>
      <c r="F288" s="61"/>
      <c r="G288" s="182"/>
      <c r="H288" s="59">
        <v>2184.96</v>
      </c>
      <c r="I288" s="59"/>
      <c r="J288" s="198">
        <v>12902.760000000006</v>
      </c>
      <c r="K288" s="18"/>
      <c r="L288" s="18">
        <f t="shared" si="7"/>
        <v>12902.760000000006</v>
      </c>
      <c r="M288" s="18"/>
    </row>
    <row r="289" spans="1:13" ht="13.5" customHeight="1" x14ac:dyDescent="0.2">
      <c r="A289" s="91"/>
      <c r="B289" s="9"/>
      <c r="C289" s="21" t="s">
        <v>7339</v>
      </c>
      <c r="D289" s="229"/>
      <c r="E289" s="61"/>
      <c r="F289" s="61"/>
      <c r="G289" s="182"/>
      <c r="H289" s="59">
        <v>342.75</v>
      </c>
      <c r="I289" s="59"/>
      <c r="J289" s="198">
        <v>12560.010000000006</v>
      </c>
      <c r="K289" s="18"/>
      <c r="L289" s="18">
        <f t="shared" si="7"/>
        <v>12560.010000000006</v>
      </c>
      <c r="M289" s="18"/>
    </row>
    <row r="290" spans="1:13" ht="13.5" customHeight="1" x14ac:dyDescent="0.2">
      <c r="A290" s="91"/>
      <c r="B290" s="9"/>
      <c r="C290" s="21" t="s">
        <v>7340</v>
      </c>
      <c r="D290" s="229"/>
      <c r="E290" s="61"/>
      <c r="F290" s="61"/>
      <c r="G290" s="182"/>
      <c r="H290" s="59">
        <v>128.22</v>
      </c>
      <c r="I290" s="59"/>
      <c r="J290" s="198">
        <v>12431.790000000006</v>
      </c>
      <c r="K290" s="18"/>
      <c r="L290" s="18">
        <f t="shared" si="7"/>
        <v>12431.790000000006</v>
      </c>
      <c r="M290" s="18"/>
    </row>
    <row r="291" spans="1:13" ht="13.5" customHeight="1" x14ac:dyDescent="0.2">
      <c r="A291" s="91"/>
      <c r="B291" s="9"/>
      <c r="C291" s="21" t="s">
        <v>7341</v>
      </c>
      <c r="D291" s="229"/>
      <c r="E291" s="61"/>
      <c r="F291" s="61"/>
      <c r="G291" s="182"/>
      <c r="H291" s="59">
        <v>820.83</v>
      </c>
      <c r="I291" s="59"/>
      <c r="J291" s="198">
        <v>11610.960000000006</v>
      </c>
      <c r="K291" s="18"/>
      <c r="L291" s="18">
        <f t="shared" si="7"/>
        <v>11610.960000000006</v>
      </c>
      <c r="M291" s="18"/>
    </row>
    <row r="292" spans="1:13" ht="13.5" customHeight="1" x14ac:dyDescent="0.2">
      <c r="A292" s="91"/>
      <c r="B292" s="9"/>
      <c r="C292" s="21" t="s">
        <v>7342</v>
      </c>
      <c r="D292" s="229"/>
      <c r="E292" s="61"/>
      <c r="F292" s="61"/>
      <c r="G292" s="182"/>
      <c r="H292" s="59">
        <v>152.56</v>
      </c>
      <c r="I292" s="59"/>
      <c r="J292" s="198">
        <v>11458.400000000007</v>
      </c>
      <c r="K292" s="18"/>
      <c r="L292" s="18">
        <f t="shared" si="7"/>
        <v>11458.400000000007</v>
      </c>
      <c r="M292" s="18"/>
    </row>
    <row r="293" spans="1:13" ht="13.5" customHeight="1" x14ac:dyDescent="0.2">
      <c r="A293" s="91"/>
      <c r="B293" s="9"/>
      <c r="C293" s="21" t="s">
        <v>7343</v>
      </c>
      <c r="D293" s="229"/>
      <c r="E293" s="61"/>
      <c r="F293" s="61"/>
      <c r="G293" s="182"/>
      <c r="H293" s="59">
        <v>818.7</v>
      </c>
      <c r="I293" s="59"/>
      <c r="J293" s="198">
        <v>10639.700000000006</v>
      </c>
      <c r="K293" s="18"/>
      <c r="L293" s="18">
        <f t="shared" si="7"/>
        <v>10639.700000000006</v>
      </c>
      <c r="M293" s="18"/>
    </row>
    <row r="294" spans="1:13" ht="13.5" customHeight="1" x14ac:dyDescent="0.2">
      <c r="A294" s="91"/>
      <c r="B294" s="9"/>
      <c r="C294" s="21" t="s">
        <v>7344</v>
      </c>
      <c r="D294" s="229"/>
      <c r="E294" s="61"/>
      <c r="F294" s="61"/>
      <c r="G294" s="182"/>
      <c r="H294" s="59">
        <v>3596.64</v>
      </c>
      <c r="I294" s="59"/>
      <c r="J294" s="198">
        <v>7043.0600000000068</v>
      </c>
      <c r="K294" s="18"/>
      <c r="L294" s="18">
        <f t="shared" si="7"/>
        <v>7043.0600000000068</v>
      </c>
      <c r="M294" s="18"/>
    </row>
    <row r="295" spans="1:13" ht="13.5" customHeight="1" x14ac:dyDescent="0.2">
      <c r="A295" s="91"/>
      <c r="B295" s="9"/>
      <c r="C295" s="21" t="s">
        <v>7345</v>
      </c>
      <c r="D295" s="229"/>
      <c r="E295" s="61"/>
      <c r="F295" s="61"/>
      <c r="G295" s="182"/>
      <c r="H295" s="59">
        <v>1686.04</v>
      </c>
      <c r="I295" s="59"/>
      <c r="J295" s="198">
        <v>5357.0200000000068</v>
      </c>
      <c r="K295" s="18"/>
      <c r="L295" s="18">
        <f t="shared" si="7"/>
        <v>5357.0200000000068</v>
      </c>
      <c r="M295" s="18"/>
    </row>
    <row r="296" spans="1:13" ht="13.5" customHeight="1" x14ac:dyDescent="0.2">
      <c r="A296" s="91"/>
      <c r="B296" s="9"/>
      <c r="C296" s="21" t="s">
        <v>7346</v>
      </c>
      <c r="D296" s="229"/>
      <c r="E296" s="61"/>
      <c r="F296" s="61"/>
      <c r="G296" s="182"/>
      <c r="H296" s="59">
        <v>2094.1799999999998</v>
      </c>
      <c r="I296" s="59"/>
      <c r="J296" s="198">
        <v>3262.840000000007</v>
      </c>
      <c r="K296" s="18"/>
      <c r="L296" s="18">
        <f t="shared" si="7"/>
        <v>3262.840000000007</v>
      </c>
      <c r="M296" s="18"/>
    </row>
    <row r="297" spans="1:13" ht="13.5" customHeight="1" x14ac:dyDescent="0.2">
      <c r="A297" s="91"/>
      <c r="B297" s="9"/>
      <c r="C297" s="21" t="s">
        <v>7347</v>
      </c>
      <c r="D297" s="229"/>
      <c r="E297" s="61"/>
      <c r="F297" s="61"/>
      <c r="G297" s="182"/>
      <c r="H297" s="59">
        <v>353.48</v>
      </c>
      <c r="I297" s="59"/>
      <c r="J297" s="198">
        <v>2909.3600000000069</v>
      </c>
      <c r="K297" s="18"/>
      <c r="L297" s="18">
        <f t="shared" si="7"/>
        <v>2909.3600000000069</v>
      </c>
      <c r="M297" s="18"/>
    </row>
    <row r="298" spans="1:13" ht="13.5" customHeight="1" x14ac:dyDescent="0.2">
      <c r="A298" s="91"/>
      <c r="B298" s="9"/>
      <c r="C298" s="34" t="s">
        <v>7348</v>
      </c>
      <c r="D298" s="229"/>
      <c r="E298" s="61"/>
      <c r="F298" s="61"/>
      <c r="G298" s="182"/>
      <c r="H298" s="59">
        <v>268.17</v>
      </c>
      <c r="I298" s="59"/>
      <c r="J298" s="198">
        <v>2641.1900000000069</v>
      </c>
      <c r="K298" s="18"/>
      <c r="L298" s="18">
        <f t="shared" si="7"/>
        <v>2641.1900000000069</v>
      </c>
      <c r="M298" s="18"/>
    </row>
    <row r="299" spans="1:13" ht="13.5" customHeight="1" x14ac:dyDescent="0.2">
      <c r="A299" s="91"/>
      <c r="B299" s="9"/>
      <c r="C299" s="21" t="s">
        <v>7349</v>
      </c>
      <c r="D299" s="229"/>
      <c r="E299" s="61"/>
      <c r="F299" s="61"/>
      <c r="G299" s="182"/>
      <c r="H299" s="59">
        <v>228.01</v>
      </c>
      <c r="I299" s="59"/>
      <c r="J299" s="198">
        <v>2413.1800000000067</v>
      </c>
      <c r="K299" s="18"/>
      <c r="L299" s="18">
        <f t="shared" si="7"/>
        <v>2413.1800000000067</v>
      </c>
      <c r="M299" s="18"/>
    </row>
    <row r="300" spans="1:13" ht="13.5" customHeight="1" x14ac:dyDescent="0.2">
      <c r="A300" s="91">
        <v>43188</v>
      </c>
      <c r="B300" s="9"/>
      <c r="C300" s="34" t="s">
        <v>7350</v>
      </c>
      <c r="D300" s="229"/>
      <c r="E300" s="61"/>
      <c r="F300" s="61"/>
      <c r="G300" s="182"/>
      <c r="H300" s="59">
        <v>5.6</v>
      </c>
      <c r="I300" s="59"/>
      <c r="J300" s="198">
        <v>2407.5800000000067</v>
      </c>
      <c r="K300" s="18"/>
      <c r="L300" s="18">
        <f t="shared" si="7"/>
        <v>2407.5800000000067</v>
      </c>
      <c r="M300" s="18"/>
    </row>
    <row r="301" spans="1:13" ht="13.5" customHeight="1" x14ac:dyDescent="0.2">
      <c r="A301" s="91">
        <v>43190</v>
      </c>
      <c r="B301" s="9"/>
      <c r="C301" s="34" t="s">
        <v>7252</v>
      </c>
      <c r="D301" s="229"/>
      <c r="E301" s="61"/>
      <c r="F301" s="61"/>
      <c r="G301" s="182"/>
      <c r="H301" s="59"/>
      <c r="I301" s="531">
        <v>260</v>
      </c>
      <c r="J301" s="198">
        <v>2667.5800000000067</v>
      </c>
      <c r="K301" s="18"/>
      <c r="L301" s="18">
        <f t="shared" si="7"/>
        <v>2667.5800000000067</v>
      </c>
      <c r="M301" s="18"/>
    </row>
    <row r="302" spans="1:13" ht="13.5" customHeight="1" x14ac:dyDescent="0.2">
      <c r="A302" s="91"/>
      <c r="B302" s="9"/>
      <c r="C302" s="21" t="s">
        <v>1002</v>
      </c>
      <c r="D302" s="229"/>
      <c r="E302" s="61"/>
      <c r="F302" s="61"/>
      <c r="G302" s="182"/>
      <c r="H302" s="59">
        <v>2667.58</v>
      </c>
      <c r="I302" s="59"/>
      <c r="J302" s="767">
        <v>6.8212102632969618E-12</v>
      </c>
      <c r="K302" s="18"/>
      <c r="L302" s="18">
        <f t="shared" si="7"/>
        <v>6.8212102632969618E-12</v>
      </c>
      <c r="M302" s="18"/>
    </row>
    <row r="303" spans="1:13" ht="13.5" customHeight="1" thickBot="1" x14ac:dyDescent="0.25">
      <c r="A303" s="207"/>
      <c r="B303" s="207"/>
      <c r="C303" s="208"/>
      <c r="D303" s="208"/>
      <c r="E303" s="208"/>
      <c r="F303" s="208"/>
      <c r="G303" s="1058"/>
      <c r="H303" s="211"/>
      <c r="I303" s="211"/>
      <c r="J303" s="1059"/>
      <c r="L303" s="18">
        <f t="shared" si="7"/>
        <v>6.8212102632969618E-12</v>
      </c>
    </row>
    <row r="304" spans="1:13" ht="13.5" customHeight="1" thickBot="1" x14ac:dyDescent="0.25">
      <c r="A304" s="213"/>
      <c r="B304" s="214"/>
      <c r="C304" s="215" t="s">
        <v>539</v>
      </c>
      <c r="D304" s="216"/>
      <c r="E304" s="187"/>
      <c r="F304" s="187"/>
      <c r="G304" s="217" t="s">
        <v>7</v>
      </c>
      <c r="H304" s="187"/>
      <c r="I304" s="187"/>
      <c r="J304" s="189"/>
    </row>
    <row r="305" spans="1:12" ht="13.5" customHeight="1" x14ac:dyDescent="0.2">
      <c r="A305" s="74" t="s">
        <v>540</v>
      </c>
      <c r="B305" s="74"/>
      <c r="C305" s="218" t="s">
        <v>541</v>
      </c>
      <c r="D305" s="219"/>
      <c r="E305" s="220"/>
      <c r="F305" s="220"/>
      <c r="G305" s="75">
        <v>16111.47</v>
      </c>
      <c r="H305" s="220"/>
      <c r="I305" s="220"/>
      <c r="J305" s="220"/>
    </row>
    <row r="306" spans="1:12" ht="13.5" customHeight="1" x14ac:dyDescent="0.2">
      <c r="A306" s="221" t="s">
        <v>540</v>
      </c>
      <c r="B306" s="70"/>
      <c r="C306" s="63" t="s">
        <v>542</v>
      </c>
      <c r="D306" s="50"/>
      <c r="E306" s="13"/>
      <c r="F306" s="13"/>
      <c r="G306" s="75">
        <v>7346.24</v>
      </c>
      <c r="H306" s="13"/>
      <c r="I306" s="13"/>
      <c r="J306" s="13"/>
    </row>
    <row r="307" spans="1:12" ht="13.5" customHeight="1" x14ac:dyDescent="0.2">
      <c r="A307" s="70"/>
      <c r="B307" s="70"/>
      <c r="C307" s="222" t="s">
        <v>543</v>
      </c>
      <c r="D307" s="50"/>
      <c r="E307" s="13"/>
      <c r="F307" s="13"/>
      <c r="G307" s="14">
        <v>23457.71</v>
      </c>
      <c r="H307" s="13"/>
      <c r="I307" s="13"/>
      <c r="J307" s="13"/>
    </row>
    <row r="308" spans="1:12" ht="13.5" customHeight="1" x14ac:dyDescent="0.2">
      <c r="A308" s="70"/>
      <c r="B308" s="70"/>
      <c r="C308" s="63"/>
      <c r="D308" s="50"/>
      <c r="E308" s="13"/>
      <c r="F308" s="13"/>
      <c r="G308" s="14"/>
      <c r="H308" s="13"/>
      <c r="I308" s="13"/>
      <c r="J308" s="13"/>
      <c r="L308" s="18"/>
    </row>
    <row r="309" spans="1:12" ht="13.5" customHeight="1" x14ac:dyDescent="0.2">
      <c r="A309" s="70"/>
      <c r="B309" s="70"/>
      <c r="C309" s="222" t="s">
        <v>544</v>
      </c>
      <c r="D309" s="50"/>
      <c r="E309" s="13"/>
      <c r="F309" s="13"/>
      <c r="G309" s="14">
        <v>1286.9300000000089</v>
      </c>
      <c r="H309" s="13"/>
      <c r="I309" s="13"/>
      <c r="J309" s="13"/>
    </row>
    <row r="310" spans="1:12" ht="13.5" customHeight="1" x14ac:dyDescent="0.2">
      <c r="A310" s="70"/>
      <c r="B310" s="70"/>
      <c r="C310" s="63"/>
      <c r="D310" s="50"/>
      <c r="E310" s="13"/>
      <c r="F310" s="13"/>
      <c r="G310" s="75"/>
      <c r="H310" s="13"/>
      <c r="I310" s="13"/>
      <c r="J310" s="13"/>
    </row>
    <row r="311" spans="1:12" ht="13.5" customHeight="1" x14ac:dyDescent="0.2">
      <c r="A311" s="76"/>
      <c r="B311" s="76"/>
      <c r="C311" s="222" t="s">
        <v>545</v>
      </c>
      <c r="D311" s="78"/>
      <c r="E311" s="78"/>
      <c r="F311" s="78"/>
      <c r="G311" s="14">
        <v>24744.640000000007</v>
      </c>
      <c r="H311" s="77"/>
      <c r="I311" s="77"/>
      <c r="J311" s="13"/>
    </row>
    <row r="312" spans="1:12" ht="13.5" customHeight="1" thickBot="1" x14ac:dyDescent="0.25">
      <c r="A312" s="76"/>
      <c r="B312" s="76"/>
      <c r="C312" s="78"/>
      <c r="D312" s="78"/>
      <c r="E312" s="78"/>
      <c r="F312" s="78"/>
      <c r="G312" s="75"/>
      <c r="H312" s="77"/>
      <c r="I312" s="77"/>
      <c r="J312" s="13"/>
    </row>
    <row r="313" spans="1:12" ht="13.5" customHeight="1" thickBot="1" x14ac:dyDescent="0.25">
      <c r="A313" s="1060" t="s">
        <v>5829</v>
      </c>
      <c r="B313" s="214"/>
      <c r="C313" s="215" t="s">
        <v>5843</v>
      </c>
      <c r="D313" s="216"/>
      <c r="E313" s="187"/>
      <c r="F313" s="187"/>
      <c r="G313" s="217" t="s">
        <v>7</v>
      </c>
      <c r="H313" s="187"/>
      <c r="I313" s="187"/>
      <c r="J313" s="189"/>
    </row>
    <row r="314" spans="1:12" ht="13.5" customHeight="1" x14ac:dyDescent="0.2">
      <c r="A314" s="70"/>
      <c r="B314" s="70"/>
      <c r="C314" s="63" t="s">
        <v>5831</v>
      </c>
      <c r="D314" s="50"/>
      <c r="E314" s="13"/>
      <c r="F314" s="13"/>
      <c r="G314" s="75">
        <v>6000</v>
      </c>
      <c r="H314" s="13"/>
      <c r="I314" s="13"/>
      <c r="J314" s="13"/>
    </row>
    <row r="315" spans="1:12" ht="13.5" customHeight="1" x14ac:dyDescent="0.2">
      <c r="A315" s="79">
        <v>42594</v>
      </c>
      <c r="B315" s="70"/>
      <c r="C315" s="63" t="s">
        <v>5844</v>
      </c>
      <c r="D315" s="50"/>
      <c r="E315" s="13">
        <v>2000</v>
      </c>
      <c r="F315" s="13"/>
      <c r="G315" s="75">
        <v>4000</v>
      </c>
      <c r="H315" s="13"/>
      <c r="I315" s="13"/>
      <c r="J315" s="13"/>
    </row>
    <row r="316" spans="1:12" ht="13.5" customHeight="1" x14ac:dyDescent="0.2">
      <c r="A316" s="79">
        <v>42682</v>
      </c>
      <c r="B316" s="79"/>
      <c r="C316" s="63" t="s">
        <v>5845</v>
      </c>
      <c r="D316" s="78"/>
      <c r="E316" s="13">
        <v>3500</v>
      </c>
      <c r="F316" s="13"/>
      <c r="G316" s="75">
        <v>500</v>
      </c>
      <c r="H316" s="77"/>
      <c r="I316" s="77"/>
      <c r="J316" s="13"/>
    </row>
    <row r="317" spans="1:12" ht="13.5" customHeight="1" x14ac:dyDescent="0.2">
      <c r="A317" s="79"/>
      <c r="B317" s="79"/>
      <c r="C317" s="78"/>
      <c r="D317" s="78"/>
      <c r="E317" s="78"/>
      <c r="F317" s="78"/>
      <c r="G317" s="75"/>
      <c r="H317" s="77"/>
      <c r="I317" s="77"/>
      <c r="J317" s="13"/>
    </row>
    <row r="318" spans="1:12" ht="13.5" customHeight="1" thickBot="1" x14ac:dyDescent="0.25">
      <c r="A318" s="79"/>
      <c r="B318" s="79"/>
      <c r="C318" s="78"/>
      <c r="D318" s="78"/>
      <c r="E318" s="78"/>
      <c r="F318" s="78"/>
      <c r="G318" s="75"/>
      <c r="H318" s="77"/>
      <c r="I318" s="77"/>
      <c r="J318" s="13"/>
    </row>
    <row r="319" spans="1:12" ht="13.5" customHeight="1" thickBot="1" x14ac:dyDescent="0.25">
      <c r="A319" s="1060" t="s">
        <v>5829</v>
      </c>
      <c r="B319" s="214"/>
      <c r="C319" s="215" t="s">
        <v>5846</v>
      </c>
      <c r="D319" s="216"/>
      <c r="E319" s="187"/>
      <c r="F319" s="187"/>
      <c r="G319" s="217" t="s">
        <v>7</v>
      </c>
      <c r="H319" s="77"/>
      <c r="I319" s="77"/>
      <c r="J319" s="13"/>
    </row>
    <row r="320" spans="1:12" ht="13.5" customHeight="1" x14ac:dyDescent="0.2">
      <c r="A320" s="79"/>
      <c r="B320" s="70"/>
      <c r="C320" s="63" t="s">
        <v>5831</v>
      </c>
      <c r="D320" s="50"/>
      <c r="E320" s="13"/>
      <c r="F320" s="13"/>
      <c r="G320" s="75">
        <v>1400</v>
      </c>
      <c r="H320" s="77"/>
      <c r="I320" s="77"/>
      <c r="J320" s="13"/>
    </row>
    <row r="321" spans="1:10" ht="13.5" customHeight="1" x14ac:dyDescent="0.2">
      <c r="A321" s="79">
        <v>42465</v>
      </c>
      <c r="B321" s="70"/>
      <c r="C321" s="63" t="s">
        <v>5847</v>
      </c>
      <c r="D321" s="50"/>
      <c r="E321" s="13">
        <v>123.9</v>
      </c>
      <c r="F321" s="13"/>
      <c r="G321" s="75">
        <v>1276.0999999999999</v>
      </c>
      <c r="H321" s="77"/>
      <c r="I321" s="77"/>
      <c r="J321" s="13"/>
    </row>
    <row r="322" spans="1:10" ht="13.5" customHeight="1" x14ac:dyDescent="0.2">
      <c r="A322" s="79"/>
      <c r="B322" s="70"/>
      <c r="C322" s="63" t="s">
        <v>5848</v>
      </c>
      <c r="D322" s="50"/>
      <c r="E322" s="13">
        <v>150</v>
      </c>
      <c r="F322" s="13"/>
      <c r="G322" s="75">
        <v>1126.0999999999999</v>
      </c>
      <c r="H322" s="77"/>
      <c r="I322" s="77"/>
      <c r="J322" s="13"/>
    </row>
    <row r="323" spans="1:10" ht="13.5" customHeight="1" x14ac:dyDescent="0.2">
      <c r="A323" s="79">
        <v>42543</v>
      </c>
      <c r="B323" s="70"/>
      <c r="C323" s="63" t="s">
        <v>5849</v>
      </c>
      <c r="D323" s="50"/>
      <c r="E323" s="13">
        <v>176.9</v>
      </c>
      <c r="F323" s="13"/>
      <c r="G323" s="75">
        <v>949.19999999999993</v>
      </c>
      <c r="H323" s="13"/>
      <c r="I323" s="13"/>
      <c r="J323" s="13"/>
    </row>
    <row r="324" spans="1:10" ht="13.5" customHeight="1" x14ac:dyDescent="0.2">
      <c r="A324" s="79"/>
      <c r="B324" s="79"/>
      <c r="C324" s="63" t="s">
        <v>5850</v>
      </c>
      <c r="D324" s="78"/>
      <c r="E324" s="13">
        <v>105.5</v>
      </c>
      <c r="F324" s="13"/>
      <c r="G324" s="75">
        <v>843.69999999999993</v>
      </c>
      <c r="H324" s="13"/>
      <c r="I324" s="13"/>
      <c r="J324" s="13"/>
    </row>
    <row r="325" spans="1:10" ht="13.5" customHeight="1" x14ac:dyDescent="0.2">
      <c r="A325" s="79"/>
      <c r="B325" s="79"/>
      <c r="C325" s="78" t="s">
        <v>5851</v>
      </c>
      <c r="D325" s="78"/>
      <c r="E325" s="13">
        <v>37.5</v>
      </c>
      <c r="F325" s="13"/>
      <c r="G325" s="75">
        <v>806.19999999999993</v>
      </c>
      <c r="H325" s="77"/>
      <c r="I325" s="77"/>
      <c r="J325" s="13"/>
    </row>
    <row r="326" spans="1:10" ht="13.5" customHeight="1" x14ac:dyDescent="0.2">
      <c r="A326" s="79">
        <v>42576</v>
      </c>
      <c r="B326" s="79"/>
      <c r="C326" s="78" t="s">
        <v>5852</v>
      </c>
      <c r="D326" s="78"/>
      <c r="E326" s="13">
        <v>39.9</v>
      </c>
      <c r="F326" s="13"/>
      <c r="G326" s="75">
        <v>766.3</v>
      </c>
      <c r="H326" s="77"/>
      <c r="I326" s="77"/>
      <c r="J326" s="13"/>
    </row>
    <row r="327" spans="1:10" ht="13.5" customHeight="1" x14ac:dyDescent="0.2">
      <c r="A327" s="79">
        <v>42600</v>
      </c>
      <c r="B327" s="79"/>
      <c r="C327" s="850" t="s">
        <v>5853</v>
      </c>
      <c r="D327" s="78"/>
      <c r="E327" s="13">
        <v>11.8</v>
      </c>
      <c r="F327" s="13"/>
      <c r="G327" s="75">
        <v>754.5</v>
      </c>
      <c r="H327" s="77"/>
      <c r="I327" s="77"/>
      <c r="J327" s="13"/>
    </row>
    <row r="328" spans="1:10" ht="13.5" customHeight="1" x14ac:dyDescent="0.2">
      <c r="A328" s="79">
        <v>42611</v>
      </c>
      <c r="B328" s="79"/>
      <c r="C328" s="63" t="s">
        <v>5854</v>
      </c>
      <c r="D328" s="78"/>
      <c r="E328" s="13">
        <v>176.9</v>
      </c>
      <c r="F328" s="13"/>
      <c r="G328" s="75">
        <v>577.6</v>
      </c>
      <c r="H328" s="77"/>
      <c r="I328" s="77"/>
      <c r="J328" s="13"/>
    </row>
    <row r="329" spans="1:10" ht="13.5" customHeight="1" x14ac:dyDescent="0.2">
      <c r="A329" s="79">
        <v>42633</v>
      </c>
      <c r="B329" s="70"/>
      <c r="C329" s="63" t="s">
        <v>5855</v>
      </c>
      <c r="D329" s="50"/>
      <c r="E329" s="13">
        <v>5</v>
      </c>
      <c r="F329" s="13"/>
      <c r="G329" s="75">
        <v>572.6</v>
      </c>
      <c r="H329" s="13"/>
      <c r="I329" s="13"/>
      <c r="J329" s="13"/>
    </row>
    <row r="330" spans="1:10" ht="13.5" customHeight="1" x14ac:dyDescent="0.2">
      <c r="A330" s="79">
        <v>42664</v>
      </c>
      <c r="B330" s="80"/>
      <c r="C330" s="81" t="s">
        <v>5856</v>
      </c>
      <c r="D330" s="50"/>
      <c r="E330" s="13">
        <v>95</v>
      </c>
      <c r="F330" s="13"/>
      <c r="G330" s="75">
        <v>477.6</v>
      </c>
      <c r="H330" s="13"/>
      <c r="I330" s="13"/>
      <c r="J330" s="13"/>
    </row>
    <row r="331" spans="1:10" ht="13.5" customHeight="1" x14ac:dyDescent="0.2">
      <c r="A331" s="79">
        <v>42704</v>
      </c>
      <c r="B331" s="79"/>
      <c r="C331" s="78" t="s">
        <v>5857</v>
      </c>
      <c r="D331" s="78"/>
      <c r="E331" s="13">
        <v>31.7</v>
      </c>
      <c r="F331" s="13"/>
      <c r="G331" s="75">
        <v>445.90000000000003</v>
      </c>
      <c r="H331" s="77"/>
      <c r="I331" s="77"/>
      <c r="J331" s="13"/>
    </row>
    <row r="332" spans="1:10" ht="13.5" customHeight="1" x14ac:dyDescent="0.2">
      <c r="A332" s="79">
        <v>42705</v>
      </c>
      <c r="B332" s="79"/>
      <c r="C332" s="78" t="s">
        <v>5858</v>
      </c>
      <c r="D332" s="50"/>
      <c r="E332" s="13">
        <v>14.4</v>
      </c>
      <c r="F332" s="13"/>
      <c r="G332" s="75">
        <v>431.50000000000006</v>
      </c>
      <c r="H332" s="77"/>
      <c r="I332" s="77"/>
      <c r="J332" s="13"/>
    </row>
    <row r="333" spans="1:10" ht="13.5" customHeight="1" x14ac:dyDescent="0.2">
      <c r="A333" s="79">
        <v>42716</v>
      </c>
      <c r="B333" s="79"/>
      <c r="C333" s="78" t="s">
        <v>5847</v>
      </c>
      <c r="D333" s="78"/>
      <c r="E333" s="13">
        <v>120</v>
      </c>
      <c r="F333" s="13"/>
      <c r="G333" s="75">
        <v>311.50000000000006</v>
      </c>
      <c r="H333" s="77"/>
      <c r="I333" s="77"/>
      <c r="J333" s="13"/>
    </row>
    <row r="334" spans="1:10" ht="13.5" customHeight="1" x14ac:dyDescent="0.2">
      <c r="A334" s="79">
        <v>42718</v>
      </c>
      <c r="B334" s="79"/>
      <c r="C334" s="78" t="s">
        <v>5859</v>
      </c>
      <c r="D334" s="50"/>
      <c r="E334" s="13">
        <v>23.7</v>
      </c>
      <c r="F334" s="13"/>
      <c r="G334" s="75">
        <v>287.80000000000007</v>
      </c>
      <c r="H334" s="77"/>
      <c r="I334" s="77"/>
      <c r="J334" s="13"/>
    </row>
    <row r="335" spans="1:10" ht="13.5" customHeight="1" x14ac:dyDescent="0.2">
      <c r="A335" s="79">
        <v>42759</v>
      </c>
      <c r="B335" s="80"/>
      <c r="C335" s="1062" t="s">
        <v>5860</v>
      </c>
      <c r="D335" s="78"/>
      <c r="E335" s="13">
        <v>1</v>
      </c>
      <c r="F335" s="13"/>
      <c r="G335" s="75">
        <v>286.80000000000007</v>
      </c>
      <c r="H335" s="13"/>
      <c r="I335" s="13"/>
      <c r="J335" s="13"/>
    </row>
    <row r="336" spans="1:10" ht="13.5" customHeight="1" x14ac:dyDescent="0.2">
      <c r="A336" s="79">
        <v>42765</v>
      </c>
      <c r="B336" s="79"/>
      <c r="C336" s="78" t="s">
        <v>5861</v>
      </c>
      <c r="D336" s="50"/>
      <c r="E336" s="13">
        <v>45</v>
      </c>
      <c r="F336" s="13"/>
      <c r="G336" s="75">
        <v>241.80000000000007</v>
      </c>
      <c r="H336" s="77"/>
      <c r="I336" s="77"/>
      <c r="J336" s="13"/>
    </row>
    <row r="337" spans="1:10" ht="13.5" customHeight="1" x14ac:dyDescent="0.2">
      <c r="A337" s="79">
        <v>43231</v>
      </c>
      <c r="B337" s="79"/>
      <c r="C337" s="78" t="s">
        <v>7132</v>
      </c>
      <c r="D337" s="78"/>
      <c r="E337" s="13">
        <v>65.900000000000006</v>
      </c>
      <c r="F337" s="13"/>
      <c r="G337" s="75">
        <v>175.90000000000006</v>
      </c>
      <c r="H337" s="77"/>
      <c r="I337" s="77"/>
      <c r="J337" s="13"/>
    </row>
    <row r="338" spans="1:10" ht="13.5" customHeight="1" x14ac:dyDescent="0.2">
      <c r="A338" s="79">
        <v>43238</v>
      </c>
      <c r="B338" s="79"/>
      <c r="C338" s="78" t="s">
        <v>7133</v>
      </c>
      <c r="D338" s="78"/>
      <c r="E338" s="13">
        <v>179.9</v>
      </c>
      <c r="F338" s="13"/>
      <c r="G338" s="75">
        <v>-3.9999999999999432</v>
      </c>
      <c r="H338" s="77"/>
      <c r="I338" s="77"/>
      <c r="J338" s="13"/>
    </row>
    <row r="339" spans="1:10" ht="13.5" customHeight="1" x14ac:dyDescent="0.2">
      <c r="A339" s="74">
        <v>42899</v>
      </c>
      <c r="B339" s="80"/>
      <c r="C339" s="81" t="s">
        <v>5862</v>
      </c>
      <c r="D339" s="50"/>
      <c r="E339" s="13">
        <v>130</v>
      </c>
      <c r="F339" s="13"/>
      <c r="G339" s="75">
        <v>-133.99999999999994</v>
      </c>
      <c r="H339" s="13"/>
      <c r="I339" s="13"/>
      <c r="J339" s="13"/>
    </row>
    <row r="340" spans="1:10" ht="13.5" customHeight="1" x14ac:dyDescent="0.2">
      <c r="A340" s="79">
        <v>42956</v>
      </c>
      <c r="B340" s="79"/>
      <c r="C340" s="78" t="s">
        <v>7134</v>
      </c>
      <c r="D340" s="78"/>
      <c r="E340" s="13">
        <v>30</v>
      </c>
      <c r="F340" s="13"/>
      <c r="G340" s="75">
        <v>-163.99999999999994</v>
      </c>
      <c r="H340" s="77"/>
      <c r="I340" s="77"/>
      <c r="J340" s="13"/>
    </row>
    <row r="341" spans="1:10" ht="13.5" customHeight="1" x14ac:dyDescent="0.2">
      <c r="A341" s="79">
        <v>43153</v>
      </c>
      <c r="B341" s="79"/>
      <c r="C341" s="78" t="s">
        <v>7135</v>
      </c>
      <c r="D341" s="78"/>
      <c r="E341" s="13">
        <v>189.9</v>
      </c>
      <c r="F341" s="13"/>
      <c r="G341" s="75">
        <v>-353.9</v>
      </c>
      <c r="H341" s="77"/>
      <c r="I341" s="77"/>
      <c r="J341" s="13"/>
    </row>
    <row r="342" spans="1:10" ht="13.5" customHeight="1" x14ac:dyDescent="0.2">
      <c r="A342" s="79">
        <v>43179</v>
      </c>
      <c r="B342" s="79"/>
      <c r="C342" s="78" t="s">
        <v>7351</v>
      </c>
      <c r="D342" s="78"/>
      <c r="E342" s="13"/>
      <c r="F342" s="13">
        <v>353.9</v>
      </c>
      <c r="G342" s="14">
        <v>0</v>
      </c>
      <c r="H342" s="77"/>
      <c r="I342" s="77"/>
      <c r="J342" s="13"/>
    </row>
    <row r="343" spans="1:10" ht="13.5" customHeight="1" x14ac:dyDescent="0.2">
      <c r="A343" s="79"/>
      <c r="B343" s="79"/>
      <c r="C343" s="78"/>
      <c r="D343" s="78"/>
      <c r="E343" s="78"/>
      <c r="F343" s="78"/>
      <c r="G343" s="75"/>
      <c r="H343" s="77"/>
      <c r="I343" s="77"/>
      <c r="J343" s="13"/>
    </row>
    <row r="344" spans="1:10" ht="13.5" customHeight="1" x14ac:dyDescent="0.2">
      <c r="A344" s="79"/>
      <c r="B344" s="79"/>
      <c r="C344" s="78"/>
      <c r="D344" s="78"/>
      <c r="E344" s="78"/>
      <c r="F344" s="78"/>
      <c r="G344" s="75"/>
      <c r="H344" s="77"/>
      <c r="I344" s="77"/>
      <c r="J344" s="13"/>
    </row>
  </sheetData>
  <mergeCells count="4">
    <mergeCell ref="A1:C1"/>
    <mergeCell ref="D1:G1"/>
    <mergeCell ref="H1:J1"/>
    <mergeCell ref="H191:J191"/>
  </mergeCells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302"/>
  <sheetViews>
    <sheetView topLeftCell="A241" zoomScale="90" zoomScaleNormal="90" workbookViewId="0">
      <selection activeCell="B256" sqref="B256"/>
    </sheetView>
  </sheetViews>
  <sheetFormatPr defaultColWidth="9" defaultRowHeight="12.75" x14ac:dyDescent="0.2"/>
  <cols>
    <col min="1" max="1" width="11.875" style="96" customWidth="1"/>
    <col min="2" max="2" width="87.75" style="1" customWidth="1"/>
    <col min="3" max="3" width="10.625" style="18" bestFit="1" customWidth="1"/>
    <col min="4" max="4" width="11.125" style="18" bestFit="1" customWidth="1"/>
    <col min="5" max="5" width="9.875" style="1" bestFit="1" customWidth="1"/>
    <col min="6" max="6" width="9" style="1"/>
    <col min="7" max="7" width="10.875" style="529" bestFit="1" customWidth="1"/>
    <col min="8" max="8" width="8.5" style="1" customWidth="1"/>
    <col min="9" max="10" width="10.125" style="1" bestFit="1" customWidth="1"/>
    <col min="11" max="16384" width="9" style="1"/>
  </cols>
  <sheetData>
    <row r="1" spans="1:10" x14ac:dyDescent="0.2">
      <c r="F1" s="97" t="s">
        <v>218</v>
      </c>
      <c r="G1" s="97" t="s">
        <v>219</v>
      </c>
      <c r="H1" s="97" t="s">
        <v>220</v>
      </c>
      <c r="I1" s="97" t="s">
        <v>221</v>
      </c>
      <c r="J1" s="97" t="s">
        <v>222</v>
      </c>
    </row>
    <row r="2" spans="1:10" x14ac:dyDescent="0.2">
      <c r="A2" s="137" t="s">
        <v>222</v>
      </c>
      <c r="B2" s="36" t="s">
        <v>7157</v>
      </c>
      <c r="C2" s="867"/>
      <c r="D2" s="60">
        <v>940</v>
      </c>
      <c r="F2" s="100">
        <v>1252.46</v>
      </c>
      <c r="G2" s="402">
        <v>80</v>
      </c>
      <c r="H2" s="402"/>
      <c r="I2" s="402">
        <v>232.46</v>
      </c>
      <c r="J2" s="618">
        <v>940</v>
      </c>
    </row>
    <row r="3" spans="1:10" x14ac:dyDescent="0.2">
      <c r="A3" s="137" t="s">
        <v>222</v>
      </c>
      <c r="B3" s="36" t="s">
        <v>7233</v>
      </c>
      <c r="C3" s="867"/>
      <c r="D3" s="889">
        <v>860</v>
      </c>
      <c r="F3" s="100">
        <v>1135.98</v>
      </c>
      <c r="G3" s="402">
        <v>80</v>
      </c>
      <c r="H3" s="402"/>
      <c r="I3" s="402">
        <v>195.98</v>
      </c>
      <c r="J3" s="618">
        <f t="shared" ref="J3:J9" si="0">F3-G3-H3-I3</f>
        <v>860</v>
      </c>
    </row>
    <row r="4" spans="1:10" x14ac:dyDescent="0.2">
      <c r="A4" s="137" t="s">
        <v>222</v>
      </c>
      <c r="B4" s="36" t="s">
        <v>7209</v>
      </c>
      <c r="C4" s="867"/>
      <c r="D4" s="60">
        <v>940</v>
      </c>
      <c r="F4" s="100">
        <v>1256</v>
      </c>
      <c r="G4" s="402">
        <v>80</v>
      </c>
      <c r="H4" s="402"/>
      <c r="I4" s="402">
        <v>236</v>
      </c>
      <c r="J4" s="618">
        <f t="shared" si="0"/>
        <v>940</v>
      </c>
    </row>
    <row r="5" spans="1:10" x14ac:dyDescent="0.2">
      <c r="A5" s="137" t="s">
        <v>222</v>
      </c>
      <c r="B5" s="36" t="s">
        <v>7192</v>
      </c>
      <c r="C5" s="867"/>
      <c r="D5" s="60">
        <v>2500</v>
      </c>
      <c r="F5" s="100">
        <v>2500</v>
      </c>
      <c r="G5" s="402"/>
      <c r="H5" s="402"/>
      <c r="I5" s="402"/>
      <c r="J5" s="618">
        <f t="shared" si="0"/>
        <v>2500</v>
      </c>
    </row>
    <row r="6" spans="1:10" x14ac:dyDescent="0.2">
      <c r="A6" s="137" t="s">
        <v>222</v>
      </c>
      <c r="B6" s="36" t="s">
        <v>7150</v>
      </c>
      <c r="C6" s="867"/>
      <c r="D6" s="60">
        <v>862</v>
      </c>
      <c r="F6" s="100">
        <v>942</v>
      </c>
      <c r="G6" s="402">
        <v>80</v>
      </c>
      <c r="H6" s="402"/>
      <c r="I6" s="402"/>
      <c r="J6" s="618">
        <f t="shared" si="0"/>
        <v>862</v>
      </c>
    </row>
    <row r="7" spans="1:10" x14ac:dyDescent="0.2">
      <c r="A7" s="137" t="s">
        <v>222</v>
      </c>
      <c r="B7" s="36" t="s">
        <v>7207</v>
      </c>
      <c r="C7" s="867"/>
      <c r="D7" s="60">
        <v>1199.9999999999998</v>
      </c>
      <c r="F7" s="100">
        <v>1338.6</v>
      </c>
      <c r="G7" s="402">
        <v>80</v>
      </c>
      <c r="H7" s="402">
        <v>23.45</v>
      </c>
      <c r="I7" s="402">
        <v>35.15</v>
      </c>
      <c r="J7" s="618">
        <f>F7-G7-H7-I7</f>
        <v>1199.9999999999998</v>
      </c>
    </row>
    <row r="8" spans="1:10" x14ac:dyDescent="0.2">
      <c r="A8" s="137" t="s">
        <v>222</v>
      </c>
      <c r="B8" s="36" t="s">
        <v>7194</v>
      </c>
      <c r="C8" s="867"/>
      <c r="D8" s="60">
        <v>1273</v>
      </c>
      <c r="F8" s="100">
        <v>1394.34</v>
      </c>
      <c r="G8" s="402">
        <v>80</v>
      </c>
      <c r="H8" s="402"/>
      <c r="I8" s="402">
        <v>41.34</v>
      </c>
      <c r="J8" s="618">
        <f t="shared" si="0"/>
        <v>1273</v>
      </c>
    </row>
    <row r="9" spans="1:10" x14ac:dyDescent="0.2">
      <c r="A9" s="137" t="s">
        <v>222</v>
      </c>
      <c r="B9" s="36" t="s">
        <v>6079</v>
      </c>
      <c r="C9" s="867"/>
      <c r="D9" s="60">
        <v>900</v>
      </c>
      <c r="F9" s="344">
        <v>900</v>
      </c>
      <c r="G9" s="403"/>
      <c r="H9" s="403"/>
      <c r="I9" s="403"/>
      <c r="J9" s="1066">
        <f t="shared" si="0"/>
        <v>900</v>
      </c>
    </row>
    <row r="10" spans="1:10" x14ac:dyDescent="0.2">
      <c r="A10" s="137" t="s">
        <v>222</v>
      </c>
      <c r="B10" s="36" t="s">
        <v>10</v>
      </c>
      <c r="C10" s="867"/>
      <c r="D10" s="60">
        <v>480</v>
      </c>
      <c r="F10" s="24"/>
      <c r="G10" s="24"/>
      <c r="H10" s="24"/>
      <c r="I10" s="24"/>
      <c r="J10" s="24"/>
    </row>
    <row r="11" spans="1:10" x14ac:dyDescent="0.2">
      <c r="A11" s="137" t="s">
        <v>222</v>
      </c>
      <c r="B11" s="36" t="s">
        <v>7167</v>
      </c>
      <c r="C11" s="867"/>
      <c r="D11" s="60">
        <v>1971.4099999999999</v>
      </c>
      <c r="F11" s="100">
        <v>2148.66</v>
      </c>
      <c r="G11" s="101"/>
      <c r="H11" s="102"/>
      <c r="I11" s="24">
        <v>177.25</v>
      </c>
      <c r="J11" s="618">
        <f>F11-G11-H11-I11</f>
        <v>1971.4099999999999</v>
      </c>
    </row>
    <row r="12" spans="1:10" x14ac:dyDescent="0.2">
      <c r="A12" s="137" t="s">
        <v>222</v>
      </c>
      <c r="B12" s="36" t="s">
        <v>7188</v>
      </c>
      <c r="C12" s="867"/>
      <c r="D12" s="60">
        <v>1360</v>
      </c>
      <c r="F12" s="100">
        <v>1488.22</v>
      </c>
      <c r="G12" s="101"/>
      <c r="H12" s="102"/>
      <c r="I12" s="24">
        <v>128.22</v>
      </c>
      <c r="J12" s="618">
        <f t="shared" ref="J12:J17" si="1">F12-G12-H12-I12</f>
        <v>1360</v>
      </c>
    </row>
    <row r="13" spans="1:10" x14ac:dyDescent="0.2">
      <c r="A13" s="137" t="s">
        <v>222</v>
      </c>
      <c r="B13" s="36" t="s">
        <v>7270</v>
      </c>
      <c r="C13" s="867"/>
      <c r="D13" s="60">
        <v>1360</v>
      </c>
      <c r="F13" s="100">
        <v>1360</v>
      </c>
      <c r="G13" s="101"/>
      <c r="H13" s="102"/>
      <c r="I13" s="24"/>
      <c r="J13" s="618">
        <f t="shared" si="1"/>
        <v>1360</v>
      </c>
    </row>
    <row r="14" spans="1:10" x14ac:dyDescent="0.2">
      <c r="A14" s="137" t="s">
        <v>222</v>
      </c>
      <c r="B14" s="36" t="s">
        <v>7165</v>
      </c>
      <c r="C14" s="867"/>
      <c r="D14" s="60">
        <v>1200</v>
      </c>
      <c r="F14" s="100">
        <v>1232.95</v>
      </c>
      <c r="G14" s="101"/>
      <c r="H14" s="102">
        <v>32.950000000000003</v>
      </c>
      <c r="I14" s="24"/>
      <c r="J14" s="618">
        <f t="shared" si="1"/>
        <v>1200</v>
      </c>
    </row>
    <row r="15" spans="1:10" x14ac:dyDescent="0.2">
      <c r="A15" s="137" t="s">
        <v>222</v>
      </c>
      <c r="B15" s="36" t="s">
        <v>7214</v>
      </c>
      <c r="C15" s="867"/>
      <c r="D15" s="60">
        <v>3500</v>
      </c>
      <c r="F15" s="100">
        <v>3587.45</v>
      </c>
      <c r="G15" s="101"/>
      <c r="H15" s="102"/>
      <c r="I15" s="24">
        <v>87.45</v>
      </c>
      <c r="J15" s="618">
        <f t="shared" si="1"/>
        <v>3500</v>
      </c>
    </row>
    <row r="16" spans="1:10" x14ac:dyDescent="0.2">
      <c r="A16" s="137" t="s">
        <v>222</v>
      </c>
      <c r="B16" s="36" t="s">
        <v>7195</v>
      </c>
      <c r="C16" s="867"/>
      <c r="D16" s="60">
        <v>2050</v>
      </c>
      <c r="F16" s="100">
        <v>2050</v>
      </c>
      <c r="G16" s="101"/>
      <c r="H16" s="102"/>
      <c r="I16" s="24"/>
      <c r="J16" s="618">
        <f t="shared" si="1"/>
        <v>2050</v>
      </c>
    </row>
    <row r="17" spans="1:10" x14ac:dyDescent="0.2">
      <c r="A17" s="137" t="s">
        <v>222</v>
      </c>
      <c r="B17" s="36" t="s">
        <v>7187</v>
      </c>
      <c r="C17" s="867"/>
      <c r="D17" s="60">
        <v>5000</v>
      </c>
      <c r="F17" s="100">
        <v>5072.82</v>
      </c>
      <c r="G17" s="101"/>
      <c r="H17" s="102"/>
      <c r="I17" s="24">
        <v>72.819999999999993</v>
      </c>
      <c r="J17" s="618">
        <f t="shared" si="1"/>
        <v>5000</v>
      </c>
    </row>
    <row r="18" spans="1:10" x14ac:dyDescent="0.2">
      <c r="A18" s="137" t="s">
        <v>222</v>
      </c>
      <c r="B18" s="36" t="s">
        <v>7199</v>
      </c>
      <c r="C18" s="867"/>
      <c r="D18" s="1287">
        <v>185</v>
      </c>
    </row>
    <row r="19" spans="1:10" x14ac:dyDescent="0.2">
      <c r="A19" s="137" t="s">
        <v>222</v>
      </c>
      <c r="B19" s="36" t="s">
        <v>7160</v>
      </c>
      <c r="C19" s="867"/>
      <c r="D19" s="1287">
        <v>190</v>
      </c>
      <c r="G19" s="529">
        <f>SUM(G2:G18)</f>
        <v>480</v>
      </c>
      <c r="I19" s="529">
        <f>SUM(I2:I18)</f>
        <v>1206.67</v>
      </c>
    </row>
    <row r="20" spans="1:10" x14ac:dyDescent="0.2">
      <c r="A20" s="137" t="s">
        <v>222</v>
      </c>
      <c r="B20" s="36" t="s">
        <v>7202</v>
      </c>
      <c r="C20" s="867"/>
      <c r="D20" s="1287">
        <v>190</v>
      </c>
    </row>
    <row r="21" spans="1:10" x14ac:dyDescent="0.2">
      <c r="A21" s="137" t="s">
        <v>222</v>
      </c>
      <c r="B21" s="36" t="s">
        <v>7208</v>
      </c>
      <c r="C21" s="867"/>
      <c r="D21" s="1287">
        <v>185</v>
      </c>
    </row>
    <row r="22" spans="1:10" x14ac:dyDescent="0.2">
      <c r="A22" s="137" t="s">
        <v>222</v>
      </c>
      <c r="B22" s="36" t="s">
        <v>7166</v>
      </c>
      <c r="C22" s="867"/>
      <c r="D22" s="1287">
        <v>150</v>
      </c>
    </row>
    <row r="23" spans="1:10" x14ac:dyDescent="0.2">
      <c r="A23" s="137" t="s">
        <v>222</v>
      </c>
      <c r="B23" s="36" t="s">
        <v>7149</v>
      </c>
      <c r="C23" s="867"/>
      <c r="D23" s="1287">
        <v>220</v>
      </c>
    </row>
    <row r="24" spans="1:10" x14ac:dyDescent="0.2">
      <c r="A24" s="137" t="s">
        <v>222</v>
      </c>
      <c r="B24" s="36" t="s">
        <v>7204</v>
      </c>
      <c r="C24" s="867"/>
      <c r="D24" s="1287">
        <v>60</v>
      </c>
    </row>
    <row r="25" spans="1:10" x14ac:dyDescent="0.2">
      <c r="A25" s="137" t="s">
        <v>222</v>
      </c>
      <c r="B25" s="34" t="s">
        <v>7203</v>
      </c>
      <c r="C25" s="267"/>
      <c r="D25" s="1288">
        <v>60</v>
      </c>
      <c r="E25" s="1289">
        <f>SUM(D18:D25)</f>
        <v>1240</v>
      </c>
    </row>
    <row r="26" spans="1:10" x14ac:dyDescent="0.2">
      <c r="A26" s="137" t="s">
        <v>222</v>
      </c>
      <c r="B26" s="34" t="s">
        <v>1792</v>
      </c>
      <c r="C26" s="267"/>
      <c r="D26" s="267">
        <v>1206.67</v>
      </c>
    </row>
    <row r="27" spans="1:10" x14ac:dyDescent="0.2">
      <c r="A27" s="137"/>
      <c r="B27" s="34"/>
      <c r="C27" s="267"/>
      <c r="D27" s="1290">
        <f>SUM(D2:D26)</f>
        <v>28843.08</v>
      </c>
    </row>
    <row r="28" spans="1:10" x14ac:dyDescent="0.2">
      <c r="A28" s="137"/>
      <c r="B28" s="34"/>
      <c r="C28" s="267"/>
      <c r="D28" s="25"/>
    </row>
    <row r="29" spans="1:10" x14ac:dyDescent="0.2">
      <c r="A29" s="137" t="s">
        <v>222</v>
      </c>
      <c r="B29" s="34" t="s">
        <v>7186</v>
      </c>
      <c r="C29" s="267"/>
      <c r="D29" s="25">
        <v>2250</v>
      </c>
      <c r="F29" s="100">
        <v>2388.1999999999998</v>
      </c>
      <c r="G29" s="109"/>
      <c r="H29" s="109"/>
      <c r="I29" s="109">
        <f>92.07+46.13</f>
        <v>138.19999999999999</v>
      </c>
      <c r="J29" s="618">
        <f>F29-G29-H29-I29</f>
        <v>2250</v>
      </c>
    </row>
    <row r="30" spans="1:10" x14ac:dyDescent="0.2">
      <c r="A30" s="137" t="s">
        <v>222</v>
      </c>
      <c r="B30" s="34" t="s">
        <v>7222</v>
      </c>
      <c r="C30" s="267"/>
      <c r="D30" s="25">
        <v>7500</v>
      </c>
      <c r="F30" s="100">
        <v>7977.7</v>
      </c>
      <c r="G30" s="109"/>
      <c r="H30" s="109"/>
      <c r="I30" s="109">
        <v>477.7</v>
      </c>
      <c r="J30" s="618">
        <f>F30-G30-H30-I30</f>
        <v>7500</v>
      </c>
    </row>
    <row r="31" spans="1:10" x14ac:dyDescent="0.2">
      <c r="A31" s="137" t="s">
        <v>222</v>
      </c>
      <c r="B31" s="34" t="s">
        <v>7024</v>
      </c>
      <c r="C31" s="267"/>
      <c r="D31" s="25">
        <v>500</v>
      </c>
      <c r="F31" s="100">
        <v>500</v>
      </c>
      <c r="G31" s="109"/>
      <c r="H31" s="109"/>
      <c r="I31" s="109"/>
      <c r="J31" s="618">
        <f>F31-G31-H31-I31</f>
        <v>500</v>
      </c>
    </row>
    <row r="32" spans="1:10" x14ac:dyDescent="0.2">
      <c r="A32" s="137" t="s">
        <v>222</v>
      </c>
      <c r="B32" s="34" t="s">
        <v>7288</v>
      </c>
      <c r="C32" s="110"/>
      <c r="D32" s="1070">
        <v>4731.47</v>
      </c>
      <c r="F32" s="100">
        <v>4731.47</v>
      </c>
      <c r="G32" s="109"/>
      <c r="H32" s="109"/>
      <c r="I32" s="109"/>
      <c r="J32" s="618">
        <f>F32-G32-H32-I32</f>
        <v>4731.47</v>
      </c>
    </row>
    <row r="33" spans="1:10" x14ac:dyDescent="0.2">
      <c r="A33" s="137" t="s">
        <v>222</v>
      </c>
      <c r="B33" s="34" t="s">
        <v>3542</v>
      </c>
      <c r="C33" s="267"/>
      <c r="D33" s="267">
        <v>615.9</v>
      </c>
      <c r="F33" s="885"/>
      <c r="G33" s="1044">
        <f>SUM(G32,G16)</f>
        <v>0</v>
      </c>
      <c r="H33" s="1044">
        <f>SUM(H25:H32)</f>
        <v>0</v>
      </c>
      <c r="I33" s="1045">
        <f>SUM(I25:I32)</f>
        <v>615.9</v>
      </c>
      <c r="J33" s="887"/>
    </row>
    <row r="34" spans="1:10" x14ac:dyDescent="0.2">
      <c r="A34" s="137"/>
      <c r="B34" s="34"/>
      <c r="C34" s="110"/>
      <c r="D34" s="1291">
        <f>SUM(D29:D33)</f>
        <v>15597.37</v>
      </c>
    </row>
    <row r="35" spans="1:10" x14ac:dyDescent="0.2">
      <c r="A35" s="137"/>
      <c r="B35" s="34"/>
      <c r="C35" s="110"/>
      <c r="D35" s="1070"/>
    </row>
    <row r="36" spans="1:10" x14ac:dyDescent="0.2">
      <c r="A36" s="137" t="s">
        <v>223</v>
      </c>
      <c r="B36" s="34" t="s">
        <v>189</v>
      </c>
      <c r="C36" s="284">
        <v>15119.67</v>
      </c>
      <c r="D36" s="25"/>
    </row>
    <row r="37" spans="1:10" x14ac:dyDescent="0.2">
      <c r="A37" s="137" t="s">
        <v>223</v>
      </c>
      <c r="B37" s="34" t="s">
        <v>189</v>
      </c>
      <c r="C37" s="284">
        <v>4847.07</v>
      </c>
      <c r="D37" s="25"/>
    </row>
    <row r="38" spans="1:10" x14ac:dyDescent="0.2">
      <c r="A38" s="137" t="s">
        <v>223</v>
      </c>
      <c r="B38" s="34" t="s">
        <v>174</v>
      </c>
      <c r="C38" s="110">
        <v>-125.9</v>
      </c>
      <c r="D38" s="1070"/>
    </row>
    <row r="39" spans="1:10" x14ac:dyDescent="0.2">
      <c r="A39" s="137" t="s">
        <v>223</v>
      </c>
      <c r="B39" s="34" t="s">
        <v>174</v>
      </c>
      <c r="C39" s="110">
        <v>-166.5</v>
      </c>
      <c r="D39" s="1070"/>
    </row>
    <row r="40" spans="1:10" x14ac:dyDescent="0.2">
      <c r="A40" s="137" t="s">
        <v>223</v>
      </c>
      <c r="B40" s="34" t="s">
        <v>174</v>
      </c>
      <c r="C40" s="110">
        <v>-203.95</v>
      </c>
      <c r="D40" s="1070"/>
    </row>
    <row r="41" spans="1:10" x14ac:dyDescent="0.2">
      <c r="A41" s="137" t="s">
        <v>223</v>
      </c>
      <c r="B41" s="34" t="s">
        <v>174</v>
      </c>
      <c r="C41" s="110">
        <v>-250</v>
      </c>
      <c r="D41" s="1070"/>
    </row>
    <row r="42" spans="1:10" x14ac:dyDescent="0.2">
      <c r="A42" s="137" t="s">
        <v>223</v>
      </c>
      <c r="B42" s="34" t="s">
        <v>174</v>
      </c>
      <c r="C42" s="110">
        <v>-355</v>
      </c>
      <c r="D42" s="1070"/>
    </row>
    <row r="43" spans="1:10" x14ac:dyDescent="0.2">
      <c r="A43" s="137" t="s">
        <v>223</v>
      </c>
      <c r="B43" s="34" t="s">
        <v>174</v>
      </c>
      <c r="C43" s="110">
        <v>-538.17999999999995</v>
      </c>
      <c r="D43" s="1070"/>
    </row>
    <row r="44" spans="1:10" x14ac:dyDescent="0.2">
      <c r="A44" s="137" t="s">
        <v>223</v>
      </c>
      <c r="B44" s="34" t="s">
        <v>174</v>
      </c>
      <c r="C44" s="110">
        <v>-720.85</v>
      </c>
      <c r="D44" s="1070"/>
    </row>
    <row r="45" spans="1:10" x14ac:dyDescent="0.2">
      <c r="A45" s="137" t="s">
        <v>223</v>
      </c>
      <c r="B45" s="34" t="s">
        <v>174</v>
      </c>
      <c r="C45" s="110">
        <v>-1000</v>
      </c>
      <c r="D45" s="1070"/>
    </row>
    <row r="46" spans="1:10" x14ac:dyDescent="0.2">
      <c r="A46" s="137" t="s">
        <v>223</v>
      </c>
      <c r="B46" s="34" t="s">
        <v>174</v>
      </c>
      <c r="C46" s="110">
        <v>-1260.3499999999999</v>
      </c>
      <c r="D46" s="1070"/>
    </row>
    <row r="47" spans="1:10" x14ac:dyDescent="0.2">
      <c r="A47" s="137" t="s">
        <v>223</v>
      </c>
      <c r="B47" s="34" t="s">
        <v>174</v>
      </c>
      <c r="C47" s="110">
        <v>-1471.24</v>
      </c>
      <c r="D47" s="1070"/>
    </row>
    <row r="48" spans="1:10" x14ac:dyDescent="0.2">
      <c r="A48" s="137" t="s">
        <v>223</v>
      </c>
      <c r="B48" s="34" t="s">
        <v>174</v>
      </c>
      <c r="C48" s="110">
        <v>-1520.73</v>
      </c>
      <c r="D48" s="1070"/>
    </row>
    <row r="49" spans="1:4" x14ac:dyDescent="0.2">
      <c r="A49" s="137" t="s">
        <v>223</v>
      </c>
      <c r="B49" s="34" t="s">
        <v>174</v>
      </c>
      <c r="C49" s="110">
        <v>-1955.74</v>
      </c>
      <c r="D49" s="1070"/>
    </row>
    <row r="50" spans="1:4" x14ac:dyDescent="0.2">
      <c r="A50" s="137" t="s">
        <v>223</v>
      </c>
      <c r="B50" s="34" t="s">
        <v>174</v>
      </c>
      <c r="C50" s="110">
        <v>-2376.71</v>
      </c>
      <c r="D50" s="1070"/>
    </row>
    <row r="51" spans="1:4" x14ac:dyDescent="0.2">
      <c r="A51" s="137" t="s">
        <v>223</v>
      </c>
      <c r="B51" s="34" t="s">
        <v>174</v>
      </c>
      <c r="C51" s="110">
        <v>-2837.49</v>
      </c>
      <c r="D51" s="1070"/>
    </row>
    <row r="52" spans="1:4" x14ac:dyDescent="0.2">
      <c r="A52" s="137" t="s">
        <v>223</v>
      </c>
      <c r="B52" s="34" t="s">
        <v>174</v>
      </c>
      <c r="C52" s="110">
        <v>-8226.52</v>
      </c>
      <c r="D52" s="1070"/>
    </row>
    <row r="53" spans="1:4" x14ac:dyDescent="0.2">
      <c r="A53" s="137"/>
      <c r="B53" s="34"/>
      <c r="C53" s="1292">
        <f>SUM(C36:C52)</f>
        <v>-3042.4200000000028</v>
      </c>
      <c r="D53" s="1070"/>
    </row>
    <row r="54" spans="1:4" x14ac:dyDescent="0.2">
      <c r="A54" s="137"/>
      <c r="B54" s="34"/>
      <c r="C54" s="110"/>
      <c r="D54" s="1070"/>
    </row>
    <row r="55" spans="1:4" x14ac:dyDescent="0.2">
      <c r="A55" s="137" t="s">
        <v>224</v>
      </c>
      <c r="B55" s="34" t="s">
        <v>128</v>
      </c>
      <c r="C55" s="284">
        <v>28.26</v>
      </c>
      <c r="D55" s="25"/>
    </row>
    <row r="56" spans="1:4" x14ac:dyDescent="0.2">
      <c r="A56" s="137" t="s">
        <v>224</v>
      </c>
      <c r="B56" s="34" t="s">
        <v>62</v>
      </c>
      <c r="C56" s="284">
        <v>405.63</v>
      </c>
      <c r="D56" s="25"/>
    </row>
    <row r="57" spans="1:4" x14ac:dyDescent="0.2">
      <c r="A57" s="137" t="s">
        <v>224</v>
      </c>
      <c r="B57" s="34" t="s">
        <v>1559</v>
      </c>
      <c r="C57" s="113">
        <v>12.88</v>
      </c>
      <c r="D57" s="25"/>
    </row>
    <row r="58" spans="1:4" x14ac:dyDescent="0.2">
      <c r="A58" s="137" t="s">
        <v>224</v>
      </c>
      <c r="B58" s="34" t="s">
        <v>6199</v>
      </c>
      <c r="C58" s="284">
        <v>131.88999999999999</v>
      </c>
      <c r="D58" s="25"/>
    </row>
    <row r="59" spans="1:4" x14ac:dyDescent="0.2">
      <c r="A59" s="137" t="s">
        <v>224</v>
      </c>
      <c r="B59" s="34" t="s">
        <v>7352</v>
      </c>
      <c r="C59" s="284">
        <v>550</v>
      </c>
      <c r="D59" s="25"/>
    </row>
    <row r="60" spans="1:4" x14ac:dyDescent="0.2">
      <c r="A60" s="137"/>
      <c r="B60" s="34"/>
      <c r="C60" s="1293">
        <f>SUM(C55:C59)</f>
        <v>1128.6599999999999</v>
      </c>
      <c r="D60" s="25"/>
    </row>
    <row r="61" spans="1:4" x14ac:dyDescent="0.2">
      <c r="A61" s="137"/>
      <c r="B61" s="34"/>
      <c r="C61" s="267"/>
      <c r="D61" s="25"/>
    </row>
    <row r="62" spans="1:4" x14ac:dyDescent="0.2">
      <c r="A62" s="137" t="s">
        <v>224</v>
      </c>
      <c r="B62" s="34" t="s">
        <v>7219</v>
      </c>
      <c r="C62" s="267">
        <v>75</v>
      </c>
      <c r="D62" s="25"/>
    </row>
    <row r="63" spans="1:4" x14ac:dyDescent="0.2">
      <c r="A63" s="137" t="s">
        <v>224</v>
      </c>
      <c r="B63" s="34" t="s">
        <v>7221</v>
      </c>
      <c r="C63" s="267">
        <v>75</v>
      </c>
      <c r="D63" s="25"/>
    </row>
    <row r="64" spans="1:4" x14ac:dyDescent="0.2">
      <c r="A64" s="137" t="s">
        <v>224</v>
      </c>
      <c r="B64" s="36" t="s">
        <v>7266</v>
      </c>
      <c r="C64" s="267">
        <v>75</v>
      </c>
      <c r="D64" s="25"/>
    </row>
    <row r="65" spans="1:4" x14ac:dyDescent="0.2">
      <c r="A65" s="137" t="s">
        <v>224</v>
      </c>
      <c r="B65" s="34" t="s">
        <v>7266</v>
      </c>
      <c r="C65" s="267">
        <v>75</v>
      </c>
      <c r="D65" s="25"/>
    </row>
    <row r="66" spans="1:4" x14ac:dyDescent="0.2">
      <c r="A66" s="137" t="s">
        <v>224</v>
      </c>
      <c r="B66" s="34" t="s">
        <v>7152</v>
      </c>
      <c r="C66" s="267">
        <v>75</v>
      </c>
      <c r="D66" s="25"/>
    </row>
    <row r="67" spans="1:4" x14ac:dyDescent="0.2">
      <c r="A67" s="137" t="s">
        <v>224</v>
      </c>
      <c r="B67" s="34" t="s">
        <v>7268</v>
      </c>
      <c r="C67" s="267">
        <v>75</v>
      </c>
      <c r="D67" s="25"/>
    </row>
    <row r="68" spans="1:4" x14ac:dyDescent="0.2">
      <c r="A68" s="137" t="s">
        <v>224</v>
      </c>
      <c r="B68" s="34" t="s">
        <v>7218</v>
      </c>
      <c r="C68" s="267">
        <v>75</v>
      </c>
      <c r="D68" s="25"/>
    </row>
    <row r="69" spans="1:4" x14ac:dyDescent="0.2">
      <c r="A69" s="137" t="s">
        <v>224</v>
      </c>
      <c r="B69" s="34" t="s">
        <v>7220</v>
      </c>
      <c r="C69" s="267">
        <v>75</v>
      </c>
      <c r="D69" s="25"/>
    </row>
    <row r="70" spans="1:4" x14ac:dyDescent="0.2">
      <c r="A70" s="137" t="s">
        <v>224</v>
      </c>
      <c r="B70" s="34" t="s">
        <v>7265</v>
      </c>
      <c r="C70" s="267">
        <v>75</v>
      </c>
      <c r="D70" s="25"/>
    </row>
    <row r="71" spans="1:4" x14ac:dyDescent="0.2">
      <c r="A71" s="137" t="s">
        <v>224</v>
      </c>
      <c r="B71" s="34" t="s">
        <v>7151</v>
      </c>
      <c r="C71" s="267">
        <v>75</v>
      </c>
      <c r="D71" s="25">
        <f>SUM(C62:C72)-D72</f>
        <v>550</v>
      </c>
    </row>
    <row r="72" spans="1:4" x14ac:dyDescent="0.2">
      <c r="A72" s="137" t="s">
        <v>224</v>
      </c>
      <c r="B72" s="34" t="s">
        <v>7267</v>
      </c>
      <c r="C72" s="267">
        <v>75</v>
      </c>
      <c r="D72" s="25">
        <f>SUM(C62:C72)/3</f>
        <v>275</v>
      </c>
    </row>
    <row r="73" spans="1:4" x14ac:dyDescent="0.2">
      <c r="A73" s="137"/>
      <c r="B73" s="34"/>
      <c r="C73" s="267"/>
      <c r="D73" s="25"/>
    </row>
    <row r="74" spans="1:4" x14ac:dyDescent="0.2">
      <c r="A74" s="137" t="s">
        <v>225</v>
      </c>
      <c r="B74" s="34" t="s">
        <v>7296</v>
      </c>
      <c r="C74" s="1294">
        <v>720.85</v>
      </c>
      <c r="D74" s="25"/>
    </row>
    <row r="75" spans="1:4" x14ac:dyDescent="0.2">
      <c r="A75" s="137"/>
      <c r="B75" s="34"/>
      <c r="C75" s="284"/>
      <c r="D75" s="25"/>
    </row>
    <row r="76" spans="1:4" x14ac:dyDescent="0.2">
      <c r="A76" s="137" t="s">
        <v>226</v>
      </c>
      <c r="B76" s="34" t="s">
        <v>7066</v>
      </c>
      <c r="C76" s="284">
        <v>78.48</v>
      </c>
      <c r="D76" s="25"/>
    </row>
    <row r="77" spans="1:4" x14ac:dyDescent="0.2">
      <c r="A77" s="137" t="s">
        <v>226</v>
      </c>
      <c r="B77" s="36" t="s">
        <v>7353</v>
      </c>
      <c r="C77" s="284">
        <v>-23.45</v>
      </c>
      <c r="D77" s="25"/>
    </row>
    <row r="78" spans="1:4" x14ac:dyDescent="0.2">
      <c r="A78" s="137" t="s">
        <v>226</v>
      </c>
      <c r="B78" s="36" t="s">
        <v>7354</v>
      </c>
      <c r="C78" s="284">
        <v>-32.950000000000003</v>
      </c>
      <c r="D78" s="25"/>
    </row>
    <row r="79" spans="1:4" x14ac:dyDescent="0.2">
      <c r="A79" s="137" t="s">
        <v>226</v>
      </c>
      <c r="B79" s="34" t="s">
        <v>127</v>
      </c>
      <c r="C79" s="284">
        <v>23.45</v>
      </c>
      <c r="D79" s="25"/>
    </row>
    <row r="80" spans="1:4" x14ac:dyDescent="0.2">
      <c r="A80" s="137" t="s">
        <v>226</v>
      </c>
      <c r="B80" s="34" t="s">
        <v>129</v>
      </c>
      <c r="C80" s="284">
        <v>39.1</v>
      </c>
      <c r="D80" s="25"/>
    </row>
    <row r="81" spans="1:7" ht="63.75" x14ac:dyDescent="0.2">
      <c r="A81" s="137" t="s">
        <v>226</v>
      </c>
      <c r="B81" s="34" t="s">
        <v>131</v>
      </c>
      <c r="C81" s="284">
        <v>26.51</v>
      </c>
      <c r="D81" s="25"/>
      <c r="F81" s="34" t="s">
        <v>7191</v>
      </c>
      <c r="G81" s="267">
        <v>21.15</v>
      </c>
    </row>
    <row r="82" spans="1:7" ht="51" x14ac:dyDescent="0.2">
      <c r="A82" s="137" t="s">
        <v>226</v>
      </c>
      <c r="B82" s="34" t="s">
        <v>7174</v>
      </c>
      <c r="C82" s="284">
        <v>42.88</v>
      </c>
      <c r="D82" s="25"/>
      <c r="F82" s="34" t="s">
        <v>7129</v>
      </c>
      <c r="G82" s="110">
        <v>7</v>
      </c>
    </row>
    <row r="83" spans="1:7" ht="51" x14ac:dyDescent="0.2">
      <c r="A83" s="137" t="s">
        <v>226</v>
      </c>
      <c r="B83" s="34" t="s">
        <v>7175</v>
      </c>
      <c r="C83" s="284">
        <v>39.200000000000003</v>
      </c>
      <c r="D83" s="25"/>
      <c r="F83" s="34" t="s">
        <v>7129</v>
      </c>
      <c r="G83" s="110">
        <v>7.97</v>
      </c>
    </row>
    <row r="84" spans="1:7" ht="51" x14ac:dyDescent="0.2">
      <c r="A84" s="137" t="s">
        <v>226</v>
      </c>
      <c r="B84" s="34" t="s">
        <v>7176</v>
      </c>
      <c r="C84" s="284">
        <v>39.880000000000003</v>
      </c>
      <c r="D84" s="25"/>
      <c r="F84" s="34" t="s">
        <v>7330</v>
      </c>
      <c r="G84" s="110">
        <v>19.350000000000001</v>
      </c>
    </row>
    <row r="85" spans="1:7" x14ac:dyDescent="0.2">
      <c r="A85" s="137" t="s">
        <v>226</v>
      </c>
      <c r="B85" s="34" t="s">
        <v>7171</v>
      </c>
      <c r="C85" s="284">
        <v>40.549999999999997</v>
      </c>
      <c r="D85" s="25"/>
    </row>
    <row r="86" spans="1:7" x14ac:dyDescent="0.2">
      <c r="A86" s="137" t="s">
        <v>226</v>
      </c>
      <c r="B86" s="34" t="s">
        <v>7172</v>
      </c>
      <c r="C86" s="284">
        <v>53.73</v>
      </c>
      <c r="D86" s="25"/>
    </row>
    <row r="87" spans="1:7" x14ac:dyDescent="0.2">
      <c r="A87" s="137" t="s">
        <v>226</v>
      </c>
      <c r="B87" s="34" t="s">
        <v>7173</v>
      </c>
      <c r="C87" s="284">
        <v>65.87</v>
      </c>
      <c r="D87" s="25"/>
    </row>
    <row r="88" spans="1:7" x14ac:dyDescent="0.2">
      <c r="A88" s="137" t="s">
        <v>226</v>
      </c>
      <c r="B88" s="34" t="s">
        <v>7238</v>
      </c>
      <c r="C88" s="267">
        <v>13.34</v>
      </c>
      <c r="D88" s="25"/>
    </row>
    <row r="89" spans="1:7" x14ac:dyDescent="0.2">
      <c r="A89" s="137" t="s">
        <v>226</v>
      </c>
      <c r="B89" s="34" t="s">
        <v>558</v>
      </c>
      <c r="C89" s="284">
        <v>51.21</v>
      </c>
      <c r="D89" s="25"/>
    </row>
    <row r="90" spans="1:7" x14ac:dyDescent="0.2">
      <c r="A90" s="137" t="s">
        <v>226</v>
      </c>
      <c r="B90" s="34" t="s">
        <v>7242</v>
      </c>
      <c r="C90" s="267">
        <v>7</v>
      </c>
      <c r="D90" s="25"/>
    </row>
    <row r="91" spans="1:7" x14ac:dyDescent="0.2">
      <c r="A91" s="137" t="s">
        <v>226</v>
      </c>
      <c r="B91" s="34" t="s">
        <v>7350</v>
      </c>
      <c r="C91" s="110">
        <v>5.6</v>
      </c>
      <c r="D91" s="1071"/>
      <c r="E91" s="18"/>
    </row>
    <row r="92" spans="1:7" x14ac:dyDescent="0.2">
      <c r="A92" s="137" t="s">
        <v>226</v>
      </c>
      <c r="B92" s="34" t="s">
        <v>7232</v>
      </c>
      <c r="C92" s="284">
        <v>1115.51</v>
      </c>
      <c r="D92" s="25"/>
    </row>
    <row r="93" spans="1:7" x14ac:dyDescent="0.2">
      <c r="A93" s="137" t="s">
        <v>226</v>
      </c>
      <c r="B93" s="34" t="s">
        <v>227</v>
      </c>
      <c r="C93" s="284">
        <v>27.734999999999999</v>
      </c>
      <c r="D93" s="25"/>
    </row>
    <row r="94" spans="1:7" x14ac:dyDescent="0.2">
      <c r="A94" s="137"/>
      <c r="B94" s="34"/>
      <c r="C94" s="1294">
        <f>SUM(C76:C93)</f>
        <v>1613.645</v>
      </c>
      <c r="D94" s="25"/>
    </row>
    <row r="95" spans="1:7" x14ac:dyDescent="0.2">
      <c r="A95" s="137"/>
      <c r="B95" s="34"/>
      <c r="C95" s="284"/>
      <c r="D95" s="25"/>
    </row>
    <row r="96" spans="1:7" x14ac:dyDescent="0.2">
      <c r="A96" s="137" t="s">
        <v>226</v>
      </c>
      <c r="B96" s="34" t="s">
        <v>199</v>
      </c>
      <c r="C96" s="284">
        <v>106.9</v>
      </c>
      <c r="D96" s="25"/>
    </row>
    <row r="97" spans="1:4" x14ac:dyDescent="0.2">
      <c r="A97" s="137" t="s">
        <v>226</v>
      </c>
      <c r="B97" s="34" t="s">
        <v>180</v>
      </c>
      <c r="C97" s="284">
        <v>183.09</v>
      </c>
      <c r="D97" s="25"/>
    </row>
    <row r="98" spans="1:4" x14ac:dyDescent="0.2">
      <c r="A98" s="137" t="s">
        <v>226</v>
      </c>
      <c r="B98" s="34" t="s">
        <v>7184</v>
      </c>
      <c r="C98" s="267">
        <v>1.95</v>
      </c>
      <c r="D98" s="25"/>
    </row>
    <row r="99" spans="1:4" x14ac:dyDescent="0.2">
      <c r="A99" s="137" t="s">
        <v>226</v>
      </c>
      <c r="B99" s="34" t="s">
        <v>7155</v>
      </c>
      <c r="C99" s="267">
        <v>28</v>
      </c>
      <c r="D99" s="25"/>
    </row>
    <row r="100" spans="1:4" x14ac:dyDescent="0.2">
      <c r="A100" s="137" t="s">
        <v>226</v>
      </c>
      <c r="B100" s="34" t="s">
        <v>7156</v>
      </c>
      <c r="C100" s="267">
        <v>78</v>
      </c>
      <c r="D100" s="25"/>
    </row>
    <row r="101" spans="1:4" x14ac:dyDescent="0.2">
      <c r="A101" s="137" t="s">
        <v>226</v>
      </c>
      <c r="B101" s="34" t="s">
        <v>7185</v>
      </c>
      <c r="C101" s="267">
        <v>3.4</v>
      </c>
      <c r="D101" s="25"/>
    </row>
    <row r="102" spans="1:4" x14ac:dyDescent="0.2">
      <c r="A102" s="137" t="s">
        <v>226</v>
      </c>
      <c r="B102" s="34" t="s">
        <v>7246</v>
      </c>
      <c r="C102" s="267">
        <v>5</v>
      </c>
      <c r="D102" s="25"/>
    </row>
    <row r="103" spans="1:4" x14ac:dyDescent="0.2">
      <c r="A103" s="137" t="s">
        <v>226</v>
      </c>
      <c r="B103" s="34" t="s">
        <v>7162</v>
      </c>
      <c r="C103" s="267">
        <v>8</v>
      </c>
      <c r="D103" s="25"/>
    </row>
    <row r="104" spans="1:4" x14ac:dyDescent="0.2">
      <c r="A104" s="137" t="s">
        <v>226</v>
      </c>
      <c r="B104" s="34" t="s">
        <v>7322</v>
      </c>
      <c r="C104" s="284">
        <v>89.99</v>
      </c>
      <c r="D104" s="25"/>
    </row>
    <row r="105" spans="1:4" x14ac:dyDescent="0.2">
      <c r="A105" s="137" t="s">
        <v>226</v>
      </c>
      <c r="B105" s="34" t="s">
        <v>7240</v>
      </c>
      <c r="C105" s="267">
        <v>1.5</v>
      </c>
      <c r="D105" s="25"/>
    </row>
    <row r="106" spans="1:4" x14ac:dyDescent="0.2">
      <c r="A106" s="137" t="s">
        <v>226</v>
      </c>
      <c r="B106" s="34" t="s">
        <v>228</v>
      </c>
      <c r="C106" s="284">
        <v>27.734999999999999</v>
      </c>
      <c r="D106" s="25"/>
    </row>
    <row r="107" spans="1:4" x14ac:dyDescent="0.2">
      <c r="A107" s="137"/>
      <c r="B107" s="34"/>
      <c r="C107" s="1293">
        <f>SUM(C96:C106)</f>
        <v>533.56499999999994</v>
      </c>
      <c r="D107" s="25"/>
    </row>
    <row r="108" spans="1:4" x14ac:dyDescent="0.2">
      <c r="A108" s="137"/>
      <c r="B108" s="34"/>
      <c r="C108" s="267"/>
      <c r="D108" s="25"/>
    </row>
    <row r="109" spans="1:4" x14ac:dyDescent="0.2">
      <c r="A109" s="137" t="s">
        <v>229</v>
      </c>
      <c r="B109" s="34" t="s">
        <v>7352</v>
      </c>
      <c r="C109" s="284">
        <v>275</v>
      </c>
      <c r="D109" s="25"/>
    </row>
    <row r="110" spans="1:4" x14ac:dyDescent="0.2">
      <c r="A110" s="137" t="s">
        <v>229</v>
      </c>
      <c r="B110" s="36" t="s">
        <v>6079</v>
      </c>
      <c r="C110" s="284">
        <v>900</v>
      </c>
      <c r="D110" s="25"/>
    </row>
    <row r="111" spans="1:4" x14ac:dyDescent="0.2">
      <c r="A111" s="137" t="s">
        <v>229</v>
      </c>
      <c r="B111" s="34" t="s">
        <v>5732</v>
      </c>
      <c r="C111" s="284">
        <v>39.1</v>
      </c>
      <c r="D111" s="25"/>
    </row>
    <row r="112" spans="1:4" x14ac:dyDescent="0.2">
      <c r="A112" s="137" t="s">
        <v>229</v>
      </c>
      <c r="B112" s="34" t="s">
        <v>7153</v>
      </c>
      <c r="C112" s="267">
        <v>75</v>
      </c>
      <c r="D112" s="25"/>
    </row>
    <row r="113" spans="1:4" x14ac:dyDescent="0.2">
      <c r="A113" s="137" t="s">
        <v>229</v>
      </c>
      <c r="B113" s="34" t="s">
        <v>7051</v>
      </c>
      <c r="C113" s="267">
        <v>16.399999999999999</v>
      </c>
      <c r="D113" s="25"/>
    </row>
    <row r="114" spans="1:4" x14ac:dyDescent="0.2">
      <c r="A114" s="137" t="s">
        <v>229</v>
      </c>
      <c r="B114" s="34" t="s">
        <v>7213</v>
      </c>
      <c r="C114" s="267">
        <v>19.100000000000001</v>
      </c>
      <c r="D114" s="25"/>
    </row>
    <row r="115" spans="1:4" x14ac:dyDescent="0.2">
      <c r="A115" s="137" t="s">
        <v>229</v>
      </c>
      <c r="B115" s="34" t="s">
        <v>7250</v>
      </c>
      <c r="C115" s="267">
        <v>17.649999999999999</v>
      </c>
      <c r="D115" s="25"/>
    </row>
    <row r="116" spans="1:4" x14ac:dyDescent="0.2">
      <c r="A116" s="137" t="s">
        <v>229</v>
      </c>
      <c r="B116" s="34" t="s">
        <v>7030</v>
      </c>
      <c r="C116" s="267">
        <v>13.8</v>
      </c>
      <c r="D116" s="25"/>
    </row>
    <row r="117" spans="1:4" x14ac:dyDescent="0.2">
      <c r="A117" s="137" t="s">
        <v>229</v>
      </c>
      <c r="B117" s="34" t="s">
        <v>7190</v>
      </c>
      <c r="C117" s="267">
        <v>1600</v>
      </c>
      <c r="D117" s="25"/>
    </row>
    <row r="118" spans="1:4" x14ac:dyDescent="0.2">
      <c r="A118" s="137" t="s">
        <v>229</v>
      </c>
      <c r="B118" s="34" t="s">
        <v>1013</v>
      </c>
      <c r="C118" s="284">
        <v>1650</v>
      </c>
      <c r="D118" s="25"/>
    </row>
    <row r="119" spans="1:4" x14ac:dyDescent="0.2">
      <c r="A119" s="137" t="s">
        <v>229</v>
      </c>
      <c r="B119" s="34" t="s">
        <v>7164</v>
      </c>
      <c r="C119" s="267">
        <v>900</v>
      </c>
      <c r="D119" s="25"/>
    </row>
    <row r="120" spans="1:4" x14ac:dyDescent="0.2">
      <c r="A120" s="137" t="s">
        <v>229</v>
      </c>
      <c r="B120" s="34" t="s">
        <v>7163</v>
      </c>
      <c r="C120" s="267">
        <v>12</v>
      </c>
      <c r="D120" s="25"/>
    </row>
    <row r="121" spans="1:4" x14ac:dyDescent="0.2">
      <c r="A121" s="137" t="s">
        <v>229</v>
      </c>
      <c r="B121" s="34" t="s">
        <v>7300</v>
      </c>
      <c r="C121" s="284">
        <v>490</v>
      </c>
      <c r="D121" s="25"/>
    </row>
    <row r="122" spans="1:4" x14ac:dyDescent="0.2">
      <c r="A122" s="137" t="s">
        <v>229</v>
      </c>
      <c r="B122" s="34" t="s">
        <v>7299</v>
      </c>
      <c r="C122" s="284">
        <v>490</v>
      </c>
      <c r="D122" s="25"/>
    </row>
    <row r="123" spans="1:4" x14ac:dyDescent="0.2">
      <c r="A123" s="137" t="s">
        <v>229</v>
      </c>
      <c r="B123" s="34" t="s">
        <v>7281</v>
      </c>
      <c r="C123" s="284">
        <v>355</v>
      </c>
      <c r="D123" s="25"/>
    </row>
    <row r="124" spans="1:4" x14ac:dyDescent="0.2">
      <c r="A124" s="137"/>
      <c r="B124" s="34"/>
      <c r="C124" s="1100">
        <f>SUM(C109:C123)</f>
        <v>6853.05</v>
      </c>
      <c r="D124" s="1295">
        <f>C124/2</f>
        <v>3426.5250000000001</v>
      </c>
    </row>
    <row r="125" spans="1:4" x14ac:dyDescent="0.2">
      <c r="A125" s="137"/>
      <c r="B125" s="34"/>
      <c r="C125" s="284"/>
      <c r="D125" s="25"/>
    </row>
    <row r="126" spans="1:4" x14ac:dyDescent="0.2">
      <c r="A126" s="137" t="s">
        <v>418</v>
      </c>
      <c r="B126" s="34" t="s">
        <v>382</v>
      </c>
      <c r="C126" s="1100">
        <v>307.26</v>
      </c>
      <c r="D126" s="1290">
        <f>C126/2</f>
        <v>153.63</v>
      </c>
    </row>
    <row r="127" spans="1:4" x14ac:dyDescent="0.2">
      <c r="A127" s="137"/>
      <c r="B127" s="34"/>
      <c r="C127" s="284"/>
      <c r="D127" s="1296"/>
    </row>
    <row r="128" spans="1:4" x14ac:dyDescent="0.2">
      <c r="A128" s="137" t="s">
        <v>419</v>
      </c>
      <c r="B128" s="34" t="s">
        <v>394</v>
      </c>
      <c r="C128" s="284">
        <v>1594.34</v>
      </c>
      <c r="D128" s="1296"/>
    </row>
    <row r="129" spans="1:5" x14ac:dyDescent="0.2">
      <c r="A129" s="137" t="s">
        <v>419</v>
      </c>
      <c r="B129" s="34" t="s">
        <v>7318</v>
      </c>
      <c r="C129" s="284">
        <v>1594.34</v>
      </c>
      <c r="D129" s="1296"/>
    </row>
    <row r="130" spans="1:5" x14ac:dyDescent="0.2">
      <c r="A130" s="137"/>
      <c r="B130" s="34"/>
      <c r="C130" s="1100">
        <f>SUM(C128:C129)</f>
        <v>3188.68</v>
      </c>
      <c r="D130" s="1290">
        <f>C130/2</f>
        <v>1594.34</v>
      </c>
    </row>
    <row r="131" spans="1:5" x14ac:dyDescent="0.2">
      <c r="A131" s="137"/>
      <c r="B131" s="34"/>
      <c r="C131" s="284"/>
      <c r="D131" s="25"/>
    </row>
    <row r="132" spans="1:5" x14ac:dyDescent="0.2">
      <c r="A132" s="137" t="s">
        <v>7355</v>
      </c>
      <c r="B132" s="21" t="s">
        <v>7343</v>
      </c>
      <c r="C132" s="110">
        <v>818.7</v>
      </c>
      <c r="D132" s="1071"/>
      <c r="E132" s="18"/>
    </row>
    <row r="133" spans="1:5" x14ac:dyDescent="0.2">
      <c r="A133" s="137" t="s">
        <v>7355</v>
      </c>
      <c r="B133" s="21" t="s">
        <v>7334</v>
      </c>
      <c r="C133" s="110">
        <v>399.53</v>
      </c>
      <c r="D133" s="1071"/>
      <c r="E133" s="18"/>
    </row>
    <row r="134" spans="1:5" x14ac:dyDescent="0.2">
      <c r="A134" s="137" t="s">
        <v>7355</v>
      </c>
      <c r="B134" s="21" t="s">
        <v>7335</v>
      </c>
      <c r="C134" s="110">
        <v>673.14</v>
      </c>
      <c r="D134" s="1071"/>
      <c r="E134" s="18"/>
    </row>
    <row r="135" spans="1:5" x14ac:dyDescent="0.2">
      <c r="A135" s="137" t="s">
        <v>7355</v>
      </c>
      <c r="B135" s="21" t="s">
        <v>7336</v>
      </c>
      <c r="C135" s="110">
        <v>406.72</v>
      </c>
      <c r="D135" s="1071"/>
      <c r="E135" s="18"/>
    </row>
    <row r="136" spans="1:5" x14ac:dyDescent="0.2">
      <c r="A136" s="137" t="s">
        <v>7355</v>
      </c>
      <c r="B136" s="21" t="s">
        <v>7337</v>
      </c>
      <c r="C136" s="110">
        <v>247.33</v>
      </c>
      <c r="D136" s="1071"/>
      <c r="E136" s="18"/>
    </row>
    <row r="137" spans="1:5" x14ac:dyDescent="0.2">
      <c r="A137" s="137" t="s">
        <v>7355</v>
      </c>
      <c r="B137" s="21" t="s">
        <v>7338</v>
      </c>
      <c r="C137" s="110">
        <v>2184.96</v>
      </c>
      <c r="D137" s="1071"/>
      <c r="E137" s="18"/>
    </row>
    <row r="138" spans="1:5" x14ac:dyDescent="0.2">
      <c r="A138" s="137" t="s">
        <v>7355</v>
      </c>
      <c r="B138" s="21" t="s">
        <v>7342</v>
      </c>
      <c r="C138" s="110">
        <v>152.56</v>
      </c>
      <c r="D138" s="1071"/>
      <c r="E138" s="18"/>
    </row>
    <row r="139" spans="1:5" x14ac:dyDescent="0.2">
      <c r="A139" s="137" t="s">
        <v>7355</v>
      </c>
      <c r="B139" s="21" t="s">
        <v>7341</v>
      </c>
      <c r="C139" s="110">
        <v>820.83</v>
      </c>
      <c r="D139" s="1071"/>
      <c r="E139" s="18"/>
    </row>
    <row r="140" spans="1:5" x14ac:dyDescent="0.2">
      <c r="A140" s="137" t="s">
        <v>7355</v>
      </c>
      <c r="B140" s="21" t="s">
        <v>7340</v>
      </c>
      <c r="C140" s="110">
        <v>128.22</v>
      </c>
      <c r="D140" s="1071"/>
      <c r="E140" s="18"/>
    </row>
    <row r="141" spans="1:5" x14ac:dyDescent="0.2">
      <c r="A141" s="137" t="s">
        <v>7355</v>
      </c>
      <c r="B141" s="21" t="s">
        <v>7339</v>
      </c>
      <c r="C141" s="110">
        <v>342.75</v>
      </c>
      <c r="D141" s="1071"/>
      <c r="E141" s="18"/>
    </row>
    <row r="142" spans="1:5" x14ac:dyDescent="0.2">
      <c r="A142" s="137"/>
      <c r="B142" s="21"/>
      <c r="C142" s="1292">
        <f>SUM(C132:C141)</f>
        <v>6174.7400000000007</v>
      </c>
      <c r="D142" s="1071"/>
      <c r="E142" s="18"/>
    </row>
    <row r="143" spans="1:5" x14ac:dyDescent="0.2">
      <c r="A143" s="137"/>
      <c r="B143" s="21"/>
      <c r="C143" s="110"/>
      <c r="D143" s="1071"/>
      <c r="E143" s="18"/>
    </row>
    <row r="144" spans="1:5" x14ac:dyDescent="0.2">
      <c r="A144" s="137" t="s">
        <v>7355</v>
      </c>
      <c r="B144" s="21" t="s">
        <v>7345</v>
      </c>
      <c r="C144" s="110">
        <v>1686.04</v>
      </c>
      <c r="D144" s="1071"/>
      <c r="E144" s="18"/>
    </row>
    <row r="145" spans="1:7" x14ac:dyDescent="0.2">
      <c r="A145" s="137" t="s">
        <v>7355</v>
      </c>
      <c r="B145" s="21" t="s">
        <v>7346</v>
      </c>
      <c r="C145" s="110">
        <v>2094.1799999999998</v>
      </c>
      <c r="D145" s="1071"/>
      <c r="E145" s="18"/>
    </row>
    <row r="146" spans="1:7" x14ac:dyDescent="0.2">
      <c r="A146" s="137" t="s">
        <v>7355</v>
      </c>
      <c r="B146" s="21" t="s">
        <v>7347</v>
      </c>
      <c r="C146" s="110">
        <v>353.48</v>
      </c>
      <c r="D146" s="1071"/>
      <c r="E146" s="18"/>
    </row>
    <row r="147" spans="1:7" x14ac:dyDescent="0.2">
      <c r="A147" s="137" t="s">
        <v>7355</v>
      </c>
      <c r="B147" s="34" t="s">
        <v>7348</v>
      </c>
      <c r="C147" s="110">
        <v>268.17</v>
      </c>
      <c r="D147" s="1071"/>
      <c r="E147" s="18"/>
    </row>
    <row r="148" spans="1:7" x14ac:dyDescent="0.2">
      <c r="A148" s="137" t="s">
        <v>7355</v>
      </c>
      <c r="B148" s="21" t="s">
        <v>7344</v>
      </c>
      <c r="C148" s="110">
        <v>3596.64</v>
      </c>
      <c r="D148" s="1071"/>
      <c r="E148" s="18"/>
    </row>
    <row r="149" spans="1:7" x14ac:dyDescent="0.2">
      <c r="A149" s="137" t="s">
        <v>7355</v>
      </c>
      <c r="B149" s="21" t="s">
        <v>7349</v>
      </c>
      <c r="C149" s="110">
        <v>228.01</v>
      </c>
      <c r="D149" s="1071"/>
      <c r="E149" s="18"/>
    </row>
    <row r="150" spans="1:7" x14ac:dyDescent="0.2">
      <c r="A150" s="137"/>
      <c r="B150" s="21"/>
      <c r="C150" s="1292">
        <f>SUM(C144:C149)</f>
        <v>8226.52</v>
      </c>
      <c r="D150" s="1071"/>
      <c r="E150" s="18"/>
    </row>
    <row r="151" spans="1:7" x14ac:dyDescent="0.2">
      <c r="A151" s="137"/>
      <c r="B151" s="21"/>
      <c r="C151" s="110"/>
      <c r="D151" s="1071"/>
      <c r="E151" s="18"/>
    </row>
    <row r="152" spans="1:7" ht="63.75" x14ac:dyDescent="0.2">
      <c r="A152" s="137" t="s">
        <v>232</v>
      </c>
      <c r="B152" s="34" t="s">
        <v>749</v>
      </c>
      <c r="C152" s="284">
        <v>950.84</v>
      </c>
      <c r="D152" s="25"/>
      <c r="F152" s="34" t="s">
        <v>7254</v>
      </c>
      <c r="G152" s="267">
        <v>260</v>
      </c>
    </row>
    <row r="153" spans="1:7" ht="76.5" x14ac:dyDescent="0.2">
      <c r="A153" s="137" t="s">
        <v>232</v>
      </c>
      <c r="B153" s="34" t="s">
        <v>753</v>
      </c>
      <c r="C153" s="284">
        <v>538.17999999999995</v>
      </c>
      <c r="D153" s="25"/>
      <c r="F153" s="34" t="s">
        <v>7142</v>
      </c>
      <c r="G153" s="267">
        <v>10.5</v>
      </c>
    </row>
    <row r="154" spans="1:7" ht="76.5" x14ac:dyDescent="0.2">
      <c r="A154" s="137" t="s">
        <v>232</v>
      </c>
      <c r="B154" s="21" t="s">
        <v>751</v>
      </c>
      <c r="C154" s="284">
        <v>569.89</v>
      </c>
      <c r="D154" s="25"/>
      <c r="F154" s="34" t="s">
        <v>7356</v>
      </c>
      <c r="G154" s="267">
        <v>13.3</v>
      </c>
    </row>
    <row r="155" spans="1:7" ht="76.5" x14ac:dyDescent="0.2">
      <c r="A155" s="137" t="s">
        <v>232</v>
      </c>
      <c r="B155" s="34" t="s">
        <v>837</v>
      </c>
      <c r="C155" s="284">
        <v>1244.42</v>
      </c>
      <c r="D155" s="25"/>
      <c r="F155" s="34" t="s">
        <v>7357</v>
      </c>
      <c r="G155" s="267">
        <v>48.1</v>
      </c>
    </row>
    <row r="156" spans="1:7" ht="127.5" x14ac:dyDescent="0.2">
      <c r="A156" s="137"/>
      <c r="B156" s="21"/>
      <c r="C156" s="1294">
        <f>SUM(C152:C155)</f>
        <v>3303.33</v>
      </c>
      <c r="D156" s="25"/>
      <c r="F156" s="34" t="s">
        <v>7358</v>
      </c>
      <c r="G156" s="267">
        <v>14.48</v>
      </c>
    </row>
    <row r="157" spans="1:7" ht="127.5" x14ac:dyDescent="0.2">
      <c r="A157" s="137"/>
      <c r="B157" s="21"/>
      <c r="C157" s="284"/>
      <c r="D157" s="25"/>
      <c r="F157" s="34" t="s">
        <v>7359</v>
      </c>
      <c r="G157" s="267">
        <v>13.18</v>
      </c>
    </row>
    <row r="158" spans="1:7" ht="140.25" x14ac:dyDescent="0.2">
      <c r="A158" s="137" t="s">
        <v>232</v>
      </c>
      <c r="B158" s="34" t="s">
        <v>7301</v>
      </c>
      <c r="C158" s="284">
        <v>749.6</v>
      </c>
      <c r="D158" s="25"/>
      <c r="F158" s="34" t="s">
        <v>7360</v>
      </c>
      <c r="G158" s="267">
        <v>18.95</v>
      </c>
    </row>
    <row r="159" spans="1:7" ht="153" x14ac:dyDescent="0.2">
      <c r="A159" s="137" t="s">
        <v>232</v>
      </c>
      <c r="B159" s="34" t="s">
        <v>7303</v>
      </c>
      <c r="C159" s="284">
        <v>393.36</v>
      </c>
      <c r="D159" s="25"/>
      <c r="F159" s="34" t="s">
        <v>7361</v>
      </c>
      <c r="G159" s="267">
        <v>10.33</v>
      </c>
    </row>
    <row r="160" spans="1:7" ht="63.75" x14ac:dyDescent="0.2">
      <c r="A160" s="137" t="s">
        <v>232</v>
      </c>
      <c r="B160" s="34" t="s">
        <v>7305</v>
      </c>
      <c r="C160" s="284">
        <v>393.36</v>
      </c>
      <c r="D160" s="25"/>
      <c r="F160" s="34" t="s">
        <v>855</v>
      </c>
      <c r="G160" s="267">
        <v>350</v>
      </c>
    </row>
    <row r="161" spans="1:7" ht="63.75" x14ac:dyDescent="0.2">
      <c r="A161" s="137" t="s">
        <v>232</v>
      </c>
      <c r="B161" s="34" t="s">
        <v>891</v>
      </c>
      <c r="C161" s="267">
        <v>50</v>
      </c>
      <c r="D161" s="25"/>
      <c r="F161" s="34" t="s">
        <v>855</v>
      </c>
      <c r="G161" s="267">
        <v>350</v>
      </c>
    </row>
    <row r="162" spans="1:7" ht="63.75" x14ac:dyDescent="0.2">
      <c r="A162" s="137" t="s">
        <v>232</v>
      </c>
      <c r="B162" s="34" t="s">
        <v>7169</v>
      </c>
      <c r="C162" s="267">
        <v>120</v>
      </c>
      <c r="D162" s="25"/>
      <c r="F162" s="34" t="s">
        <v>855</v>
      </c>
      <c r="G162" s="267">
        <v>350</v>
      </c>
    </row>
    <row r="163" spans="1:7" ht="63.75" x14ac:dyDescent="0.2">
      <c r="A163" s="137" t="s">
        <v>232</v>
      </c>
      <c r="B163" s="34" t="s">
        <v>7269</v>
      </c>
      <c r="C163" s="267">
        <v>120</v>
      </c>
      <c r="D163" s="25"/>
      <c r="F163" s="34" t="s">
        <v>855</v>
      </c>
      <c r="G163" s="267">
        <v>350</v>
      </c>
    </row>
    <row r="164" spans="1:7" ht="63.75" x14ac:dyDescent="0.2">
      <c r="A164" s="137" t="s">
        <v>232</v>
      </c>
      <c r="B164" s="34" t="s">
        <v>7269</v>
      </c>
      <c r="C164" s="267">
        <v>200</v>
      </c>
      <c r="D164" s="25"/>
      <c r="F164" s="34" t="s">
        <v>855</v>
      </c>
      <c r="G164" s="267">
        <v>400</v>
      </c>
    </row>
    <row r="165" spans="1:7" ht="63.75" x14ac:dyDescent="0.2">
      <c r="A165" s="137" t="s">
        <v>232</v>
      </c>
      <c r="B165" s="34" t="s">
        <v>837</v>
      </c>
      <c r="C165" s="284">
        <v>1244.42</v>
      </c>
      <c r="D165" s="25"/>
      <c r="F165" s="34" t="s">
        <v>107</v>
      </c>
      <c r="G165" s="267">
        <v>200</v>
      </c>
    </row>
    <row r="166" spans="1:7" ht="76.5" x14ac:dyDescent="0.2">
      <c r="A166" s="137"/>
      <c r="B166" s="34"/>
      <c r="C166" s="1293">
        <f>SUM(C158:C165)</f>
        <v>3270.7400000000002</v>
      </c>
      <c r="D166" s="25"/>
      <c r="F166" s="34" t="s">
        <v>7147</v>
      </c>
      <c r="G166" s="284">
        <v>100</v>
      </c>
    </row>
    <row r="167" spans="1:7" x14ac:dyDescent="0.2">
      <c r="A167" s="137"/>
      <c r="B167" s="34"/>
      <c r="C167" s="267"/>
      <c r="D167" s="25"/>
    </row>
    <row r="168" spans="1:7" x14ac:dyDescent="0.2">
      <c r="A168" s="137" t="s">
        <v>234</v>
      </c>
      <c r="B168" s="34" t="s">
        <v>7226</v>
      </c>
      <c r="C168" s="267">
        <v>10.9</v>
      </c>
      <c r="D168" s="25"/>
    </row>
    <row r="169" spans="1:7" x14ac:dyDescent="0.2">
      <c r="A169" s="137" t="s">
        <v>234</v>
      </c>
      <c r="B169" s="34" t="s">
        <v>7200</v>
      </c>
      <c r="C169" s="267">
        <v>10.9</v>
      </c>
      <c r="D169" s="25"/>
    </row>
    <row r="170" spans="1:7" x14ac:dyDescent="0.2">
      <c r="A170" s="137" t="s">
        <v>234</v>
      </c>
      <c r="B170" s="34" t="s">
        <v>7227</v>
      </c>
      <c r="C170" s="267">
        <v>16.75</v>
      </c>
      <c r="D170" s="25"/>
    </row>
    <row r="171" spans="1:7" x14ac:dyDescent="0.2">
      <c r="A171" s="137" t="s">
        <v>234</v>
      </c>
      <c r="B171" s="34" t="s">
        <v>7182</v>
      </c>
      <c r="C171" s="267">
        <v>16</v>
      </c>
      <c r="D171" s="25"/>
    </row>
    <row r="172" spans="1:7" x14ac:dyDescent="0.2">
      <c r="A172" s="137" t="s">
        <v>234</v>
      </c>
      <c r="B172" s="34" t="s">
        <v>7205</v>
      </c>
      <c r="C172" s="267">
        <v>11.9</v>
      </c>
      <c r="D172" s="25"/>
    </row>
    <row r="173" spans="1:7" x14ac:dyDescent="0.2">
      <c r="A173" s="137" t="s">
        <v>234</v>
      </c>
      <c r="B173" s="34" t="s">
        <v>7180</v>
      </c>
      <c r="C173" s="267">
        <v>7.5</v>
      </c>
      <c r="D173" s="25"/>
    </row>
    <row r="174" spans="1:7" x14ac:dyDescent="0.2">
      <c r="A174" s="137" t="s">
        <v>234</v>
      </c>
      <c r="B174" s="34" t="s">
        <v>7261</v>
      </c>
      <c r="C174" s="267">
        <v>13.5</v>
      </c>
      <c r="D174" s="25"/>
    </row>
    <row r="175" spans="1:7" x14ac:dyDescent="0.2">
      <c r="A175" s="137" t="s">
        <v>234</v>
      </c>
      <c r="B175" s="34" t="s">
        <v>7181</v>
      </c>
      <c r="C175" s="267">
        <v>4.5999999999999996</v>
      </c>
      <c r="D175" s="25"/>
    </row>
    <row r="176" spans="1:7" x14ac:dyDescent="0.2">
      <c r="A176" s="137" t="s">
        <v>234</v>
      </c>
      <c r="B176" s="34" t="s">
        <v>701</v>
      </c>
      <c r="C176" s="267">
        <v>8.5</v>
      </c>
      <c r="D176" s="25"/>
    </row>
    <row r="177" spans="1:4" x14ac:dyDescent="0.2">
      <c r="A177" s="137" t="s">
        <v>234</v>
      </c>
      <c r="B177" s="34" t="s">
        <v>701</v>
      </c>
      <c r="C177" s="267">
        <v>12.75</v>
      </c>
      <c r="D177" s="25"/>
    </row>
    <row r="178" spans="1:4" x14ac:dyDescent="0.2">
      <c r="A178" s="137" t="s">
        <v>234</v>
      </c>
      <c r="B178" s="34" t="s">
        <v>7259</v>
      </c>
      <c r="C178" s="267">
        <v>7.6</v>
      </c>
      <c r="D178" s="25"/>
    </row>
    <row r="179" spans="1:4" x14ac:dyDescent="0.2">
      <c r="A179" s="137" t="s">
        <v>234</v>
      </c>
      <c r="B179" s="34" t="s">
        <v>7236</v>
      </c>
      <c r="C179" s="267">
        <v>59.6</v>
      </c>
      <c r="D179" s="25"/>
    </row>
    <row r="180" spans="1:4" x14ac:dyDescent="0.2">
      <c r="A180" s="137" t="s">
        <v>234</v>
      </c>
      <c r="B180" s="34" t="s">
        <v>7177</v>
      </c>
      <c r="C180" s="267">
        <v>4</v>
      </c>
      <c r="D180" s="25"/>
    </row>
    <row r="181" spans="1:4" x14ac:dyDescent="0.2">
      <c r="A181" s="137" t="s">
        <v>234</v>
      </c>
      <c r="B181" s="34" t="s">
        <v>7170</v>
      </c>
      <c r="C181" s="267">
        <v>24</v>
      </c>
      <c r="D181" s="25"/>
    </row>
    <row r="182" spans="1:4" x14ac:dyDescent="0.2">
      <c r="A182" s="137" t="s">
        <v>234</v>
      </c>
      <c r="B182" s="34" t="s">
        <v>7178</v>
      </c>
      <c r="C182" s="267">
        <v>1.2</v>
      </c>
      <c r="D182" s="25"/>
    </row>
    <row r="183" spans="1:4" x14ac:dyDescent="0.2">
      <c r="A183" s="137" t="s">
        <v>234</v>
      </c>
      <c r="B183" s="34" t="s">
        <v>7179</v>
      </c>
      <c r="C183" s="267">
        <v>2</v>
      </c>
      <c r="D183" s="25"/>
    </row>
    <row r="184" spans="1:4" x14ac:dyDescent="0.2">
      <c r="A184" s="137" t="s">
        <v>234</v>
      </c>
      <c r="B184" s="34" t="s">
        <v>7183</v>
      </c>
      <c r="C184" s="267">
        <v>21.8</v>
      </c>
      <c r="D184" s="25"/>
    </row>
    <row r="185" spans="1:4" x14ac:dyDescent="0.2">
      <c r="A185" s="137" t="s">
        <v>234</v>
      </c>
      <c r="B185" s="34" t="s">
        <v>7260</v>
      </c>
      <c r="C185" s="267">
        <v>7.65</v>
      </c>
      <c r="D185" s="25"/>
    </row>
    <row r="186" spans="1:4" x14ac:dyDescent="0.2">
      <c r="A186" s="137" t="s">
        <v>234</v>
      </c>
      <c r="B186" s="34" t="s">
        <v>7308</v>
      </c>
      <c r="C186" s="284">
        <v>250</v>
      </c>
      <c r="D186" s="25"/>
    </row>
    <row r="187" spans="1:4" x14ac:dyDescent="0.2">
      <c r="A187" s="137" t="s">
        <v>234</v>
      </c>
      <c r="B187" s="34" t="s">
        <v>7331</v>
      </c>
      <c r="C187" s="113">
        <v>26.8</v>
      </c>
      <c r="D187" s="25"/>
    </row>
    <row r="188" spans="1:4" x14ac:dyDescent="0.2">
      <c r="A188" s="137" t="s">
        <v>234</v>
      </c>
      <c r="B188" s="34" t="s">
        <v>7311</v>
      </c>
      <c r="C188" s="284">
        <v>100.05</v>
      </c>
      <c r="D188" s="25"/>
    </row>
    <row r="189" spans="1:4" x14ac:dyDescent="0.2">
      <c r="A189" s="137" t="s">
        <v>234</v>
      </c>
      <c r="B189" s="34" t="s">
        <v>7313</v>
      </c>
      <c r="C189" s="284">
        <v>277.66000000000003</v>
      </c>
      <c r="D189" s="25"/>
    </row>
    <row r="190" spans="1:4" x14ac:dyDescent="0.2">
      <c r="A190" s="137" t="s">
        <v>234</v>
      </c>
      <c r="B190" s="34" t="s">
        <v>7262</v>
      </c>
      <c r="C190" s="267">
        <v>15</v>
      </c>
      <c r="D190" s="25"/>
    </row>
    <row r="191" spans="1:4" x14ac:dyDescent="0.2">
      <c r="A191" s="137" t="s">
        <v>234</v>
      </c>
      <c r="B191" s="34" t="s">
        <v>7298</v>
      </c>
      <c r="C191" s="284">
        <v>353.9</v>
      </c>
      <c r="D191" s="25"/>
    </row>
    <row r="192" spans="1:4" x14ac:dyDescent="0.2">
      <c r="A192" s="137" t="s">
        <v>234</v>
      </c>
      <c r="B192" s="34" t="s">
        <v>7316</v>
      </c>
      <c r="C192" s="284">
        <v>340</v>
      </c>
      <c r="D192" s="25"/>
    </row>
    <row r="193" spans="1:4" x14ac:dyDescent="0.2">
      <c r="A193" s="137" t="s">
        <v>234</v>
      </c>
      <c r="B193" s="34" t="s">
        <v>7362</v>
      </c>
      <c r="C193" s="284">
        <v>203.95</v>
      </c>
      <c r="D193" s="25"/>
    </row>
    <row r="194" spans="1:4" x14ac:dyDescent="0.2">
      <c r="A194" s="137"/>
      <c r="B194" s="34"/>
      <c r="C194" s="1294">
        <f>SUM(C168:C193)</f>
        <v>1808.51</v>
      </c>
      <c r="D194" s="25"/>
    </row>
    <row r="195" spans="1:4" x14ac:dyDescent="0.2">
      <c r="A195" s="137"/>
      <c r="B195" s="34"/>
      <c r="C195" s="284"/>
      <c r="D195" s="25"/>
    </row>
    <row r="196" spans="1:4" x14ac:dyDescent="0.2">
      <c r="A196" s="137" t="s">
        <v>234</v>
      </c>
      <c r="B196" s="34" t="s">
        <v>7326</v>
      </c>
      <c r="C196" s="284">
        <v>569</v>
      </c>
      <c r="D196" s="25"/>
    </row>
    <row r="197" spans="1:4" x14ac:dyDescent="0.2">
      <c r="A197" s="137" t="s">
        <v>234</v>
      </c>
      <c r="B197" s="36" t="s">
        <v>7247</v>
      </c>
      <c r="C197" s="549">
        <v>5</v>
      </c>
      <c r="D197" s="60"/>
    </row>
    <row r="198" spans="1:4" x14ac:dyDescent="0.2">
      <c r="A198" s="137" t="s">
        <v>234</v>
      </c>
      <c r="B198" s="34" t="s">
        <v>7241</v>
      </c>
      <c r="C198" s="549">
        <v>320</v>
      </c>
      <c r="D198" s="60"/>
    </row>
    <row r="199" spans="1:4" x14ac:dyDescent="0.2">
      <c r="A199" s="137" t="s">
        <v>234</v>
      </c>
      <c r="B199" s="36" t="s">
        <v>7264</v>
      </c>
      <c r="C199" s="549">
        <v>30</v>
      </c>
      <c r="D199" s="60"/>
    </row>
    <row r="200" spans="1:4" x14ac:dyDescent="0.2">
      <c r="A200" s="137" t="s">
        <v>234</v>
      </c>
      <c r="B200" s="34" t="s">
        <v>7239</v>
      </c>
      <c r="C200" s="549">
        <v>3.98</v>
      </c>
      <c r="D200" s="60"/>
    </row>
    <row r="201" spans="1:4" x14ac:dyDescent="0.2">
      <c r="A201" s="137" t="s">
        <v>234</v>
      </c>
      <c r="B201" s="36" t="s">
        <v>7228</v>
      </c>
      <c r="C201" s="549">
        <v>12.2</v>
      </c>
      <c r="D201" s="60"/>
    </row>
    <row r="202" spans="1:4" x14ac:dyDescent="0.2">
      <c r="A202" s="137" t="s">
        <v>234</v>
      </c>
      <c r="B202" s="36" t="s">
        <v>370</v>
      </c>
      <c r="C202" s="549">
        <v>6.5</v>
      </c>
      <c r="D202" s="60"/>
    </row>
    <row r="203" spans="1:4" x14ac:dyDescent="0.2">
      <c r="A203" s="137" t="s">
        <v>234</v>
      </c>
      <c r="B203" s="36" t="s">
        <v>7263</v>
      </c>
      <c r="C203" s="549">
        <v>20.75</v>
      </c>
      <c r="D203" s="60"/>
    </row>
    <row r="204" spans="1:4" x14ac:dyDescent="0.2">
      <c r="A204" s="137" t="s">
        <v>234</v>
      </c>
      <c r="B204" s="36" t="s">
        <v>7054</v>
      </c>
      <c r="C204" s="549">
        <v>5.2</v>
      </c>
      <c r="D204" s="60"/>
    </row>
    <row r="205" spans="1:4" x14ac:dyDescent="0.2">
      <c r="A205" s="137" t="s">
        <v>234</v>
      </c>
      <c r="B205" s="36" t="s">
        <v>7216</v>
      </c>
      <c r="C205" s="549">
        <v>4.9000000000000004</v>
      </c>
      <c r="D205" s="60"/>
    </row>
    <row r="206" spans="1:4" x14ac:dyDescent="0.2">
      <c r="A206" s="137" t="s">
        <v>234</v>
      </c>
      <c r="B206" s="36" t="s">
        <v>7189</v>
      </c>
      <c r="C206" s="549">
        <v>36</v>
      </c>
      <c r="D206" s="60"/>
    </row>
    <row r="207" spans="1:4" x14ac:dyDescent="0.2">
      <c r="A207" s="137" t="s">
        <v>234</v>
      </c>
      <c r="B207" s="36" t="s">
        <v>7253</v>
      </c>
      <c r="C207" s="549">
        <v>18.8</v>
      </c>
      <c r="D207" s="60"/>
    </row>
    <row r="208" spans="1:4" x14ac:dyDescent="0.2">
      <c r="A208" s="137" t="s">
        <v>234</v>
      </c>
      <c r="B208" s="36" t="s">
        <v>7206</v>
      </c>
      <c r="C208" s="549">
        <v>4.9000000000000004</v>
      </c>
      <c r="D208" s="60"/>
    </row>
    <row r="209" spans="1:5" x14ac:dyDescent="0.2">
      <c r="A209" s="137" t="s">
        <v>234</v>
      </c>
      <c r="B209" s="36" t="s">
        <v>7217</v>
      </c>
      <c r="C209" s="549">
        <v>21.3</v>
      </c>
      <c r="D209" s="60"/>
      <c r="E209" s="1297"/>
    </row>
    <row r="210" spans="1:5" x14ac:dyDescent="0.2">
      <c r="A210" s="137" t="s">
        <v>234</v>
      </c>
      <c r="B210" s="36" t="s">
        <v>7324</v>
      </c>
      <c r="C210" s="89">
        <v>219</v>
      </c>
      <c r="D210" s="60"/>
    </row>
    <row r="211" spans="1:5" x14ac:dyDescent="0.2">
      <c r="A211" s="137" t="s">
        <v>234</v>
      </c>
      <c r="B211" s="36" t="s">
        <v>7256</v>
      </c>
      <c r="C211" s="89">
        <v>1850</v>
      </c>
      <c r="D211" s="60"/>
    </row>
    <row r="212" spans="1:5" x14ac:dyDescent="0.2">
      <c r="A212" s="137" t="s">
        <v>234</v>
      </c>
      <c r="B212" s="34" t="s">
        <v>7323</v>
      </c>
      <c r="C212" s="89">
        <v>300</v>
      </c>
      <c r="D212" s="60"/>
    </row>
    <row r="213" spans="1:5" x14ac:dyDescent="0.2">
      <c r="A213" s="137" t="s">
        <v>234</v>
      </c>
      <c r="B213" s="36" t="s">
        <v>7215</v>
      </c>
      <c r="C213" s="549">
        <v>49</v>
      </c>
      <c r="D213" s="60"/>
    </row>
    <row r="214" spans="1:5" x14ac:dyDescent="0.2">
      <c r="A214" s="137"/>
      <c r="B214" s="34"/>
      <c r="C214" s="1298">
        <f>SUM(C196:C213)</f>
        <v>3476.53</v>
      </c>
      <c r="D214" s="60"/>
    </row>
    <row r="215" spans="1:5" x14ac:dyDescent="0.2">
      <c r="A215" s="137"/>
      <c r="B215" s="34"/>
      <c r="C215" s="549"/>
      <c r="D215" s="60"/>
    </row>
    <row r="216" spans="1:5" x14ac:dyDescent="0.2">
      <c r="A216" s="137" t="s">
        <v>235</v>
      </c>
      <c r="B216" s="34" t="s">
        <v>195</v>
      </c>
      <c r="C216" s="89">
        <v>459.13</v>
      </c>
      <c r="D216" s="60"/>
    </row>
    <row r="217" spans="1:5" x14ac:dyDescent="0.2">
      <c r="A217" s="137" t="s">
        <v>235</v>
      </c>
      <c r="B217" s="36" t="s">
        <v>194</v>
      </c>
      <c r="C217" s="89">
        <v>99.48</v>
      </c>
      <c r="D217" s="60"/>
    </row>
    <row r="218" spans="1:5" x14ac:dyDescent="0.2">
      <c r="A218" s="137"/>
      <c r="B218" s="36"/>
      <c r="C218" s="1299">
        <f>SUM(C216:C217)</f>
        <v>558.61</v>
      </c>
      <c r="D218" s="60"/>
    </row>
    <row r="219" spans="1:5" x14ac:dyDescent="0.2">
      <c r="A219" s="137"/>
      <c r="B219" s="36"/>
      <c r="C219" s="89"/>
      <c r="D219" s="60"/>
    </row>
    <row r="220" spans="1:5" x14ac:dyDescent="0.2">
      <c r="A220" s="137" t="s">
        <v>3764</v>
      </c>
      <c r="B220" s="36" t="s">
        <v>7283</v>
      </c>
      <c r="C220" s="1299">
        <v>1000</v>
      </c>
      <c r="D220" s="60"/>
    </row>
    <row r="221" spans="1:5" x14ac:dyDescent="0.2">
      <c r="A221" s="137"/>
      <c r="B221" s="36"/>
      <c r="C221" s="89"/>
      <c r="D221" s="60"/>
    </row>
    <row r="222" spans="1:5" x14ac:dyDescent="0.2">
      <c r="A222" s="137" t="s">
        <v>236</v>
      </c>
      <c r="B222" s="56" t="s">
        <v>1002</v>
      </c>
      <c r="C222" s="59">
        <v>2667.58</v>
      </c>
      <c r="D222" s="61"/>
    </row>
    <row r="223" spans="1:5" x14ac:dyDescent="0.2">
      <c r="A223" s="137" t="s">
        <v>236</v>
      </c>
      <c r="B223" s="34" t="s">
        <v>7198</v>
      </c>
      <c r="C223" s="89">
        <v>300</v>
      </c>
      <c r="D223" s="60"/>
    </row>
    <row r="224" spans="1:5" x14ac:dyDescent="0.2">
      <c r="A224" s="137" t="s">
        <v>236</v>
      </c>
      <c r="B224" s="34" t="s">
        <v>130</v>
      </c>
      <c r="C224" s="89">
        <v>117.21</v>
      </c>
      <c r="D224" s="60"/>
    </row>
    <row r="225" spans="1:5" x14ac:dyDescent="0.2">
      <c r="A225" s="137" t="s">
        <v>236</v>
      </c>
      <c r="B225" s="36" t="s">
        <v>53</v>
      </c>
      <c r="C225" s="89">
        <v>512.05999999999995</v>
      </c>
      <c r="D225" s="60"/>
    </row>
    <row r="226" spans="1:5" x14ac:dyDescent="0.2">
      <c r="A226" s="137" t="s">
        <v>236</v>
      </c>
      <c r="B226" s="36" t="s">
        <v>55</v>
      </c>
      <c r="C226" s="89">
        <v>350</v>
      </c>
      <c r="D226" s="60"/>
    </row>
    <row r="227" spans="1:5" x14ac:dyDescent="0.2">
      <c r="A227" s="137" t="s">
        <v>236</v>
      </c>
      <c r="B227" s="36" t="s">
        <v>7271</v>
      </c>
      <c r="C227" s="89">
        <v>394.63</v>
      </c>
      <c r="D227" s="60"/>
    </row>
    <row r="228" spans="1:5" x14ac:dyDescent="0.2">
      <c r="A228" s="137" t="s">
        <v>236</v>
      </c>
      <c r="B228" s="34" t="s">
        <v>7067</v>
      </c>
      <c r="C228" s="89">
        <v>1000</v>
      </c>
      <c r="D228" s="60"/>
    </row>
    <row r="229" spans="1:5" x14ac:dyDescent="0.2">
      <c r="A229" s="137" t="s">
        <v>236</v>
      </c>
      <c r="B229" s="34" t="s">
        <v>7230</v>
      </c>
      <c r="C229" s="89">
        <v>716</v>
      </c>
      <c r="D229" s="60"/>
      <c r="E229" s="1300"/>
    </row>
    <row r="230" spans="1:5" x14ac:dyDescent="0.2">
      <c r="A230" s="137" t="s">
        <v>236</v>
      </c>
      <c r="B230" s="34" t="s">
        <v>7248</v>
      </c>
      <c r="C230" s="89">
        <v>278.57</v>
      </c>
      <c r="D230" s="60"/>
    </row>
    <row r="231" spans="1:5" x14ac:dyDescent="0.2">
      <c r="A231" s="137" t="s">
        <v>236</v>
      </c>
      <c r="B231" s="36" t="s">
        <v>867</v>
      </c>
      <c r="C231" s="89">
        <v>500</v>
      </c>
      <c r="D231" s="60"/>
    </row>
    <row r="232" spans="1:5" x14ac:dyDescent="0.2">
      <c r="A232" s="137" t="s">
        <v>236</v>
      </c>
      <c r="B232" s="34" t="s">
        <v>7158</v>
      </c>
      <c r="C232" s="89">
        <v>116.9</v>
      </c>
      <c r="D232" s="60"/>
    </row>
    <row r="233" spans="1:5" x14ac:dyDescent="0.2">
      <c r="A233" s="137" t="s">
        <v>236</v>
      </c>
      <c r="B233" s="36" t="s">
        <v>7258</v>
      </c>
      <c r="C233" s="89">
        <v>120</v>
      </c>
      <c r="D233" s="60"/>
    </row>
    <row r="234" spans="1:5" x14ac:dyDescent="0.2">
      <c r="A234" s="137" t="s">
        <v>236</v>
      </c>
      <c r="B234" s="36" t="s">
        <v>133</v>
      </c>
      <c r="C234" s="89">
        <v>685.17</v>
      </c>
      <c r="D234" s="60"/>
    </row>
    <row r="235" spans="1:5" x14ac:dyDescent="0.2">
      <c r="A235" s="137" t="s">
        <v>236</v>
      </c>
      <c r="B235" s="36" t="s">
        <v>133</v>
      </c>
      <c r="C235" s="89">
        <v>615.30999999999995</v>
      </c>
      <c r="D235" s="60"/>
    </row>
    <row r="236" spans="1:5" x14ac:dyDescent="0.2">
      <c r="A236" s="137" t="s">
        <v>236</v>
      </c>
      <c r="B236" s="36" t="s">
        <v>82</v>
      </c>
      <c r="C236" s="89">
        <v>306.79000000000002</v>
      </c>
      <c r="D236" s="60"/>
    </row>
    <row r="237" spans="1:5" x14ac:dyDescent="0.2">
      <c r="A237" s="137" t="s">
        <v>236</v>
      </c>
      <c r="B237" s="36" t="s">
        <v>18</v>
      </c>
      <c r="C237" s="89">
        <v>350.94</v>
      </c>
      <c r="D237" s="60"/>
      <c r="E237" s="18"/>
    </row>
    <row r="238" spans="1:5" x14ac:dyDescent="0.2">
      <c r="A238" s="137" t="s">
        <v>236</v>
      </c>
      <c r="B238" s="36" t="s">
        <v>114</v>
      </c>
      <c r="C238" s="89">
        <v>213.84</v>
      </c>
      <c r="D238" s="60"/>
    </row>
    <row r="239" spans="1:5" x14ac:dyDescent="0.2">
      <c r="A239" s="137"/>
      <c r="B239" s="36"/>
      <c r="C239" s="1118">
        <f>SUM(C222:C238)</f>
        <v>9245</v>
      </c>
      <c r="D239" s="1301">
        <f>C239-5251.28-2996.29</f>
        <v>997.43000000000029</v>
      </c>
    </row>
    <row r="240" spans="1:5" x14ac:dyDescent="0.2">
      <c r="A240" s="137"/>
      <c r="B240" s="36"/>
      <c r="C240" s="89"/>
      <c r="D240" s="60"/>
    </row>
    <row r="241" spans="1:4" x14ac:dyDescent="0.2">
      <c r="A241" s="137" t="s">
        <v>236</v>
      </c>
      <c r="B241" s="36" t="s">
        <v>7257</v>
      </c>
      <c r="C241" s="89">
        <v>500</v>
      </c>
      <c r="D241" s="60"/>
    </row>
    <row r="242" spans="1:4" x14ac:dyDescent="0.2">
      <c r="A242" s="137" t="s">
        <v>236</v>
      </c>
      <c r="B242" s="34" t="s">
        <v>1320</v>
      </c>
      <c r="C242" s="89">
        <v>2000</v>
      </c>
      <c r="D242" s="60"/>
    </row>
    <row r="243" spans="1:4" x14ac:dyDescent="0.2">
      <c r="A243" s="137" t="s">
        <v>236</v>
      </c>
      <c r="B243" s="36" t="s">
        <v>38</v>
      </c>
      <c r="C243" s="549">
        <v>5000</v>
      </c>
      <c r="D243" s="60"/>
    </row>
    <row r="244" spans="1:4" x14ac:dyDescent="0.2">
      <c r="A244" s="137"/>
      <c r="B244" s="34"/>
      <c r="C244" s="1299">
        <f>SUM(C241:C243)</f>
        <v>7500</v>
      </c>
      <c r="D244" s="60"/>
    </row>
    <row r="245" spans="1:4" x14ac:dyDescent="0.2">
      <c r="A245" s="137"/>
      <c r="B245" s="34"/>
      <c r="C245" s="89"/>
      <c r="D245" s="60"/>
    </row>
    <row r="246" spans="1:4" x14ac:dyDescent="0.2">
      <c r="A246" s="137" t="s">
        <v>237</v>
      </c>
      <c r="B246" s="34" t="s">
        <v>7159</v>
      </c>
      <c r="C246" s="1079">
        <v>20</v>
      </c>
      <c r="D246" s="60"/>
    </row>
    <row r="247" spans="1:4" x14ac:dyDescent="0.2">
      <c r="A247" s="137"/>
      <c r="B247" s="34"/>
      <c r="C247" s="549"/>
      <c r="D247" s="60"/>
    </row>
    <row r="248" spans="1:4" ht="25.5" x14ac:dyDescent="0.2">
      <c r="A248" s="137" t="s">
        <v>237</v>
      </c>
      <c r="B248" s="36" t="s">
        <v>7168</v>
      </c>
      <c r="C248" s="549">
        <v>200</v>
      </c>
      <c r="D248" s="60"/>
    </row>
    <row r="249" spans="1:4" x14ac:dyDescent="0.2">
      <c r="A249" s="137" t="s">
        <v>237</v>
      </c>
      <c r="B249" s="36" t="s">
        <v>7278</v>
      </c>
      <c r="C249" s="89">
        <v>670</v>
      </c>
      <c r="D249" s="60"/>
    </row>
    <row r="250" spans="1:4" x14ac:dyDescent="0.2">
      <c r="A250" s="137" t="s">
        <v>237</v>
      </c>
      <c r="B250" s="36" t="s">
        <v>7229</v>
      </c>
      <c r="C250" s="549">
        <v>60</v>
      </c>
      <c r="D250" s="60"/>
    </row>
    <row r="251" spans="1:4" x14ac:dyDescent="0.2">
      <c r="A251" s="137" t="s">
        <v>237</v>
      </c>
      <c r="B251" s="36" t="s">
        <v>7225</v>
      </c>
      <c r="C251" s="549">
        <v>400</v>
      </c>
      <c r="D251" s="60"/>
    </row>
    <row r="252" spans="1:4" x14ac:dyDescent="0.2">
      <c r="A252" s="137" t="s">
        <v>237</v>
      </c>
      <c r="B252" s="34" t="s">
        <v>7245</v>
      </c>
      <c r="C252" s="549">
        <v>70</v>
      </c>
      <c r="D252" s="60"/>
    </row>
    <row r="253" spans="1:4" x14ac:dyDescent="0.2">
      <c r="A253" s="137"/>
      <c r="B253" s="34"/>
      <c r="C253" s="1298">
        <f>SUM(C248:C252)</f>
        <v>1400</v>
      </c>
      <c r="D253" s="60"/>
    </row>
    <row r="254" spans="1:4" x14ac:dyDescent="0.2">
      <c r="A254" s="137"/>
      <c r="B254" s="34"/>
      <c r="C254" s="549"/>
      <c r="D254" s="60"/>
    </row>
    <row r="255" spans="1:4" x14ac:dyDescent="0.2">
      <c r="A255" s="137" t="s">
        <v>238</v>
      </c>
      <c r="B255" s="36" t="s">
        <v>5557</v>
      </c>
      <c r="C255" s="89">
        <v>1.1299999999999999</v>
      </c>
      <c r="D255" s="60"/>
    </row>
    <row r="256" spans="1:4" x14ac:dyDescent="0.2">
      <c r="A256" s="137" t="s">
        <v>238</v>
      </c>
      <c r="B256" s="36" t="s">
        <v>5558</v>
      </c>
      <c r="C256" s="89">
        <v>12.21</v>
      </c>
      <c r="D256" s="60"/>
    </row>
    <row r="257" spans="1:4" x14ac:dyDescent="0.2">
      <c r="A257" s="137" t="s">
        <v>238</v>
      </c>
      <c r="B257" s="36" t="s">
        <v>20</v>
      </c>
      <c r="C257" s="89">
        <v>70.69</v>
      </c>
      <c r="D257" s="60"/>
    </row>
    <row r="258" spans="1:4" x14ac:dyDescent="0.2">
      <c r="A258" s="137" t="s">
        <v>238</v>
      </c>
      <c r="B258" s="36" t="s">
        <v>20</v>
      </c>
      <c r="C258" s="549">
        <v>-0.01</v>
      </c>
      <c r="D258" s="889"/>
    </row>
    <row r="259" spans="1:4" x14ac:dyDescent="0.2">
      <c r="A259" s="137" t="s">
        <v>238</v>
      </c>
      <c r="B259" s="36" t="s">
        <v>20</v>
      </c>
      <c r="C259" s="549">
        <v>-0.01</v>
      </c>
      <c r="D259" s="889"/>
    </row>
    <row r="260" spans="1:4" x14ac:dyDescent="0.2">
      <c r="A260" s="137" t="s">
        <v>238</v>
      </c>
      <c r="B260" s="34" t="s">
        <v>20</v>
      </c>
      <c r="C260" s="549">
        <v>-0.01</v>
      </c>
      <c r="D260" s="889"/>
    </row>
    <row r="261" spans="1:4" x14ac:dyDescent="0.2">
      <c r="A261" s="137" t="s">
        <v>238</v>
      </c>
      <c r="B261" s="34" t="s">
        <v>20</v>
      </c>
      <c r="C261" s="549">
        <v>-0.01</v>
      </c>
      <c r="D261" s="889"/>
    </row>
    <row r="262" spans="1:4" x14ac:dyDescent="0.2">
      <c r="A262" s="137" t="s">
        <v>238</v>
      </c>
      <c r="B262" s="34" t="s">
        <v>20</v>
      </c>
      <c r="C262" s="549">
        <v>-0.01</v>
      </c>
      <c r="D262" s="674"/>
    </row>
    <row r="263" spans="1:4" x14ac:dyDescent="0.2">
      <c r="A263" s="137" t="s">
        <v>238</v>
      </c>
      <c r="B263" s="34" t="s">
        <v>20</v>
      </c>
      <c r="C263" s="549">
        <v>-0.02</v>
      </c>
      <c r="D263" s="674"/>
    </row>
    <row r="264" spans="1:4" x14ac:dyDescent="0.2">
      <c r="A264" s="137" t="s">
        <v>238</v>
      </c>
      <c r="B264" s="34" t="s">
        <v>20</v>
      </c>
      <c r="C264" s="549">
        <v>-0.02</v>
      </c>
      <c r="D264" s="674"/>
    </row>
    <row r="265" spans="1:4" x14ac:dyDescent="0.2">
      <c r="A265" s="137" t="s">
        <v>238</v>
      </c>
      <c r="B265" s="34" t="s">
        <v>20</v>
      </c>
      <c r="C265" s="549">
        <v>-0.03</v>
      </c>
      <c r="D265" s="674"/>
    </row>
    <row r="266" spans="1:4" x14ac:dyDescent="0.2">
      <c r="A266" s="137" t="s">
        <v>238</v>
      </c>
      <c r="B266" s="34" t="s">
        <v>20</v>
      </c>
      <c r="C266" s="549">
        <v>-0.03</v>
      </c>
      <c r="D266" s="674"/>
    </row>
    <row r="267" spans="1:4" x14ac:dyDescent="0.2">
      <c r="A267" s="137" t="s">
        <v>238</v>
      </c>
      <c r="B267" s="34" t="s">
        <v>20</v>
      </c>
      <c r="C267" s="549">
        <v>-0.03</v>
      </c>
      <c r="D267" s="674"/>
    </row>
    <row r="268" spans="1:4" x14ac:dyDescent="0.2">
      <c r="A268" s="137" t="s">
        <v>238</v>
      </c>
      <c r="B268" s="34" t="s">
        <v>20</v>
      </c>
      <c r="C268" s="549">
        <v>-0.08</v>
      </c>
      <c r="D268" s="674"/>
    </row>
    <row r="269" spans="1:4" x14ac:dyDescent="0.2">
      <c r="A269" s="137" t="s">
        <v>238</v>
      </c>
      <c r="B269" s="34" t="s">
        <v>86</v>
      </c>
      <c r="C269" s="89">
        <v>78</v>
      </c>
      <c r="D269" s="71"/>
    </row>
    <row r="270" spans="1:4" x14ac:dyDescent="0.2">
      <c r="A270" s="137" t="s">
        <v>238</v>
      </c>
      <c r="B270" s="34" t="s">
        <v>86</v>
      </c>
      <c r="C270" s="89">
        <v>69</v>
      </c>
      <c r="D270" s="71"/>
    </row>
    <row r="271" spans="1:4" x14ac:dyDescent="0.2">
      <c r="A271" s="137" t="s">
        <v>238</v>
      </c>
      <c r="B271" s="34" t="s">
        <v>86</v>
      </c>
      <c r="C271" s="89">
        <v>19</v>
      </c>
      <c r="D271" s="71"/>
    </row>
    <row r="272" spans="1:4" x14ac:dyDescent="0.2">
      <c r="A272" s="137" t="s">
        <v>238</v>
      </c>
      <c r="B272" s="34" t="s">
        <v>86</v>
      </c>
      <c r="C272" s="89">
        <v>18.8</v>
      </c>
      <c r="D272" s="71"/>
    </row>
    <row r="273" spans="1:4" x14ac:dyDescent="0.2">
      <c r="A273" s="137" t="s">
        <v>238</v>
      </c>
      <c r="B273" s="34" t="s">
        <v>86</v>
      </c>
      <c r="C273" s="89">
        <v>11.9</v>
      </c>
      <c r="D273" s="71"/>
    </row>
    <row r="274" spans="1:4" x14ac:dyDescent="0.2">
      <c r="A274" s="137" t="s">
        <v>238</v>
      </c>
      <c r="B274" s="34" t="s">
        <v>86</v>
      </c>
      <c r="C274" s="89">
        <v>9.5</v>
      </c>
      <c r="D274" s="71"/>
    </row>
    <row r="275" spans="1:4" x14ac:dyDescent="0.2">
      <c r="A275" s="137" t="s">
        <v>238</v>
      </c>
      <c r="B275" s="34" t="s">
        <v>86</v>
      </c>
      <c r="C275" s="89">
        <v>9.5</v>
      </c>
      <c r="D275" s="71"/>
    </row>
    <row r="276" spans="1:4" x14ac:dyDescent="0.2">
      <c r="A276" s="137" t="s">
        <v>238</v>
      </c>
      <c r="B276" s="34" t="s">
        <v>86</v>
      </c>
      <c r="C276" s="89">
        <v>9.4</v>
      </c>
      <c r="D276" s="71"/>
    </row>
    <row r="277" spans="1:4" x14ac:dyDescent="0.2">
      <c r="A277" s="137"/>
      <c r="B277" s="34"/>
      <c r="C277" s="1118">
        <f>SUM(C255:C276)</f>
        <v>308.86999999999995</v>
      </c>
      <c r="D277" s="1302">
        <f>C277/2</f>
        <v>154.43499999999997</v>
      </c>
    </row>
    <row r="278" spans="1:4" x14ac:dyDescent="0.2">
      <c r="A278" s="137"/>
      <c r="B278" s="34"/>
      <c r="C278" s="89"/>
      <c r="D278" s="71"/>
    </row>
    <row r="279" spans="1:4" x14ac:dyDescent="0.2">
      <c r="A279" s="137" t="s">
        <v>239</v>
      </c>
      <c r="B279" s="34" t="s">
        <v>7127</v>
      </c>
      <c r="C279" s="59">
        <v>249.01</v>
      </c>
      <c r="D279" s="71"/>
    </row>
    <row r="280" spans="1:4" x14ac:dyDescent="0.2">
      <c r="A280" s="137" t="s">
        <v>239</v>
      </c>
      <c r="B280" s="34" t="s">
        <v>7127</v>
      </c>
      <c r="C280" s="59">
        <v>264.07</v>
      </c>
      <c r="D280" s="71"/>
    </row>
    <row r="281" spans="1:4" x14ac:dyDescent="0.2">
      <c r="A281" s="137"/>
      <c r="B281" s="34"/>
      <c r="C281" s="123">
        <f>SUM(C279:C280)</f>
        <v>513.07999999999993</v>
      </c>
      <c r="D281" s="1302">
        <f>C281/2</f>
        <v>256.53999999999996</v>
      </c>
    </row>
    <row r="282" spans="1:4" x14ac:dyDescent="0.2">
      <c r="A282" s="137"/>
      <c r="B282" s="34"/>
      <c r="C282" s="59"/>
      <c r="D282" s="71"/>
    </row>
    <row r="283" spans="1:4" x14ac:dyDescent="0.2">
      <c r="A283" s="137" t="s">
        <v>7363</v>
      </c>
      <c r="B283" s="34" t="s">
        <v>7293</v>
      </c>
      <c r="C283" s="89">
        <v>166.5</v>
      </c>
      <c r="D283" s="71"/>
    </row>
    <row r="284" spans="1:4" x14ac:dyDescent="0.2">
      <c r="A284" s="137" t="s">
        <v>7363</v>
      </c>
      <c r="B284" s="34" t="s">
        <v>7310</v>
      </c>
      <c r="C284" s="89">
        <v>1999</v>
      </c>
      <c r="D284" s="71"/>
    </row>
    <row r="285" spans="1:4" x14ac:dyDescent="0.2">
      <c r="A285" s="137" t="s">
        <v>421</v>
      </c>
      <c r="B285" s="34" t="s">
        <v>7197</v>
      </c>
      <c r="C285" s="89">
        <v>118.67</v>
      </c>
      <c r="D285" s="71"/>
    </row>
    <row r="286" spans="1:4" x14ac:dyDescent="0.2">
      <c r="A286" s="137" t="s">
        <v>421</v>
      </c>
      <c r="B286" s="34" t="s">
        <v>7224</v>
      </c>
      <c r="C286" s="89">
        <v>1100</v>
      </c>
      <c r="D286" s="71"/>
    </row>
    <row r="287" spans="1:4" x14ac:dyDescent="0.2">
      <c r="A287" s="137" t="s">
        <v>421</v>
      </c>
      <c r="B287" s="34" t="s">
        <v>7332</v>
      </c>
      <c r="C287" s="68">
        <v>600</v>
      </c>
      <c r="D287" s="68"/>
    </row>
    <row r="288" spans="1:4" x14ac:dyDescent="0.2">
      <c r="C288" s="124">
        <f>SUM(C283:C287)</f>
        <v>3984.17</v>
      </c>
    </row>
    <row r="302" spans="5:5" x14ac:dyDescent="0.2">
      <c r="E302" s="18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O350"/>
  <sheetViews>
    <sheetView zoomScale="80" zoomScaleNormal="80" workbookViewId="0">
      <selection activeCell="B86" sqref="B86"/>
    </sheetView>
  </sheetViews>
  <sheetFormatPr defaultColWidth="9" defaultRowHeight="12.75" x14ac:dyDescent="0.2"/>
  <cols>
    <col min="1" max="1" width="14" style="1" customWidth="1"/>
    <col min="2" max="2" width="1.875" style="1" customWidth="1"/>
    <col min="3" max="3" width="95.875" style="1" customWidth="1"/>
    <col min="4" max="4" width="12" style="1" customWidth="1"/>
    <col min="5" max="5" width="12.375" style="1" customWidth="1"/>
    <col min="6" max="6" width="10.75" style="1" customWidth="1"/>
    <col min="7" max="7" width="11.875" style="1" customWidth="1"/>
    <col min="8" max="9" width="10.75" style="18" customWidth="1"/>
    <col min="10" max="10" width="10.875" style="66" customWidth="1"/>
    <col min="11" max="11" width="14" style="1" customWidth="1"/>
    <col min="12" max="12" width="10.375" style="1" customWidth="1"/>
    <col min="13" max="14" width="9" style="1"/>
    <col min="15" max="15" width="10.875" style="40" bestFit="1" customWidth="1"/>
    <col min="16" max="16384" width="9" style="1"/>
  </cols>
  <sheetData>
    <row r="1" spans="1:12" ht="13.5" customHeight="1" thickBot="1" x14ac:dyDescent="0.25">
      <c r="A1" s="1418" t="s">
        <v>7364</v>
      </c>
      <c r="B1" s="1418"/>
      <c r="C1" s="1419"/>
      <c r="D1" s="1420" t="s">
        <v>0</v>
      </c>
      <c r="E1" s="1421"/>
      <c r="F1" s="1421"/>
      <c r="G1" s="1422"/>
      <c r="H1" s="1423" t="s">
        <v>1</v>
      </c>
      <c r="I1" s="1423"/>
      <c r="J1" s="1424"/>
    </row>
    <row r="2" spans="1:12" ht="13.5" customHeight="1" thickBot="1" x14ac:dyDescent="0.25">
      <c r="A2" s="2" t="s">
        <v>2</v>
      </c>
      <c r="B2" s="3"/>
      <c r="C2" s="3" t="s">
        <v>3</v>
      </c>
      <c r="D2" s="3" t="s">
        <v>4</v>
      </c>
      <c r="E2" s="3" t="s">
        <v>5</v>
      </c>
      <c r="F2" s="3" t="s">
        <v>6</v>
      </c>
      <c r="G2" s="5" t="s">
        <v>7</v>
      </c>
      <c r="H2" s="6" t="s">
        <v>5</v>
      </c>
      <c r="I2" s="4" t="s">
        <v>6</v>
      </c>
      <c r="J2" s="7" t="s">
        <v>7</v>
      </c>
    </row>
    <row r="3" spans="1:12" ht="13.5" customHeight="1" x14ac:dyDescent="0.2">
      <c r="A3" s="8">
        <v>43191</v>
      </c>
      <c r="B3" s="9"/>
      <c r="C3" s="10" t="s">
        <v>8</v>
      </c>
      <c r="D3" s="11"/>
      <c r="E3" s="12"/>
      <c r="F3" s="13"/>
      <c r="G3" s="14">
        <v>-1.86</v>
      </c>
      <c r="H3" s="15"/>
      <c r="I3" s="16"/>
      <c r="J3" s="17">
        <v>1288.790000000002</v>
      </c>
      <c r="K3" s="18"/>
      <c r="L3" s="12"/>
    </row>
    <row r="4" spans="1:12" ht="13.5" customHeight="1" x14ac:dyDescent="0.2">
      <c r="A4" s="19">
        <v>43192</v>
      </c>
      <c r="B4" s="20"/>
      <c r="C4" s="21" t="s">
        <v>7365</v>
      </c>
      <c r="D4" s="11"/>
      <c r="E4" s="12"/>
      <c r="F4" s="22"/>
      <c r="G4" s="23"/>
      <c r="H4" s="24"/>
      <c r="I4" s="25">
        <v>220</v>
      </c>
      <c r="J4" s="26"/>
      <c r="K4" s="18"/>
      <c r="L4" s="12"/>
    </row>
    <row r="5" spans="1:12" ht="13.5" customHeight="1" x14ac:dyDescent="0.2">
      <c r="A5" s="19"/>
      <c r="B5" s="20"/>
      <c r="C5" s="34" t="s">
        <v>107</v>
      </c>
      <c r="D5" s="11"/>
      <c r="E5" s="12"/>
      <c r="F5" s="22"/>
      <c r="G5" s="23"/>
      <c r="H5" s="24">
        <v>200</v>
      </c>
      <c r="I5" s="25"/>
      <c r="J5" s="26"/>
      <c r="K5" s="18"/>
      <c r="L5" s="12"/>
    </row>
    <row r="6" spans="1:12" ht="13.5" customHeight="1" x14ac:dyDescent="0.2">
      <c r="A6" s="19"/>
      <c r="B6" s="20"/>
      <c r="C6" s="34" t="s">
        <v>7366</v>
      </c>
      <c r="D6" s="11"/>
      <c r="E6" s="12"/>
      <c r="F6" s="22"/>
      <c r="G6" s="23"/>
      <c r="H6" s="24">
        <v>33.42</v>
      </c>
      <c r="I6" s="25"/>
      <c r="J6" s="26"/>
      <c r="K6" s="18"/>
      <c r="L6" s="12"/>
    </row>
    <row r="7" spans="1:12" ht="13.5" customHeight="1" x14ac:dyDescent="0.2">
      <c r="A7" s="19"/>
      <c r="B7" s="20"/>
      <c r="C7" s="21" t="s">
        <v>7367</v>
      </c>
      <c r="D7" s="11"/>
      <c r="E7" s="12"/>
      <c r="F7" s="22"/>
      <c r="G7" s="23"/>
      <c r="H7" s="24">
        <v>5</v>
      </c>
      <c r="I7" s="25"/>
      <c r="J7" s="26">
        <v>1270.3700000000019</v>
      </c>
      <c r="K7" s="18"/>
      <c r="L7" s="12"/>
    </row>
    <row r="8" spans="1:12" ht="13.5" customHeight="1" x14ac:dyDescent="0.2">
      <c r="A8" s="19"/>
      <c r="B8" s="20" t="s">
        <v>7368</v>
      </c>
      <c r="C8" s="34" t="s">
        <v>7369</v>
      </c>
      <c r="D8" s="11">
        <v>114374</v>
      </c>
      <c r="E8" s="12"/>
      <c r="F8" s="22">
        <v>1800</v>
      </c>
      <c r="G8" s="23">
        <v>1798.14</v>
      </c>
      <c r="H8" s="24"/>
      <c r="I8" s="25"/>
      <c r="J8" s="26"/>
      <c r="K8" s="18"/>
      <c r="L8" s="12"/>
    </row>
    <row r="9" spans="1:12" ht="13.5" customHeight="1" x14ac:dyDescent="0.2">
      <c r="A9" s="19">
        <v>43193</v>
      </c>
      <c r="B9" s="20"/>
      <c r="C9" s="21" t="s">
        <v>6776</v>
      </c>
      <c r="D9" s="11"/>
      <c r="E9" s="12"/>
      <c r="F9" s="22"/>
      <c r="G9" s="23"/>
      <c r="H9" s="24">
        <v>9.5</v>
      </c>
      <c r="I9" s="25"/>
      <c r="J9" s="26"/>
      <c r="K9" s="18"/>
      <c r="L9" s="12"/>
    </row>
    <row r="10" spans="1:12" ht="13.5" customHeight="1" x14ac:dyDescent="0.2">
      <c r="A10" s="19"/>
      <c r="B10" s="20"/>
      <c r="C10" s="36" t="s">
        <v>1131</v>
      </c>
      <c r="D10" s="11"/>
      <c r="E10" s="12"/>
      <c r="F10" s="22"/>
      <c r="G10" s="23"/>
      <c r="H10" s="24">
        <v>23</v>
      </c>
      <c r="I10" s="25"/>
      <c r="J10" s="26">
        <v>1237.8700000000019</v>
      </c>
      <c r="K10" s="18"/>
      <c r="L10" s="12"/>
    </row>
    <row r="11" spans="1:12" ht="13.5" customHeight="1" x14ac:dyDescent="0.2">
      <c r="A11" s="19"/>
      <c r="B11" s="20"/>
      <c r="C11" s="34" t="s">
        <v>55</v>
      </c>
      <c r="D11" s="11">
        <v>0</v>
      </c>
      <c r="E11" s="12">
        <v>-350</v>
      </c>
      <c r="F11" s="22"/>
      <c r="G11" s="23"/>
      <c r="H11" s="24"/>
      <c r="I11" s="25"/>
      <c r="J11" s="26"/>
      <c r="K11" s="18"/>
      <c r="L11" s="12"/>
    </row>
    <row r="12" spans="1:12" ht="13.5" customHeight="1" x14ac:dyDescent="0.2">
      <c r="A12" s="19"/>
      <c r="B12" s="20"/>
      <c r="C12" s="34" t="s">
        <v>7370</v>
      </c>
      <c r="D12" s="11">
        <v>0</v>
      </c>
      <c r="E12" s="12">
        <v>-19.899999999999999</v>
      </c>
      <c r="F12" s="22"/>
      <c r="G12" s="23"/>
      <c r="H12" s="24"/>
      <c r="I12" s="25"/>
      <c r="J12" s="26"/>
      <c r="K12" s="18"/>
      <c r="L12" s="12"/>
    </row>
    <row r="13" spans="1:12" ht="13.5" customHeight="1" x14ac:dyDescent="0.2">
      <c r="A13" s="19"/>
      <c r="B13" s="20"/>
      <c r="C13" s="34" t="s">
        <v>7371</v>
      </c>
      <c r="D13" s="11">
        <v>0</v>
      </c>
      <c r="E13" s="12">
        <v>-139.04</v>
      </c>
      <c r="F13" s="22"/>
      <c r="G13" s="23"/>
      <c r="H13" s="24"/>
      <c r="I13" s="25"/>
      <c r="J13" s="26"/>
      <c r="K13" s="18"/>
      <c r="L13" s="12"/>
    </row>
    <row r="14" spans="1:12" ht="13.5" customHeight="1" x14ac:dyDescent="0.2">
      <c r="A14" s="19"/>
      <c r="B14" s="20"/>
      <c r="C14" s="34" t="s">
        <v>7372</v>
      </c>
      <c r="D14" s="11">
        <v>0</v>
      </c>
      <c r="E14" s="12">
        <v>-127.66</v>
      </c>
      <c r="F14" s="22"/>
      <c r="G14" s="23"/>
      <c r="H14" s="24"/>
      <c r="I14" s="25"/>
      <c r="J14" s="26"/>
      <c r="K14" s="18"/>
      <c r="L14" s="12"/>
    </row>
    <row r="15" spans="1:12" ht="13.5" customHeight="1" x14ac:dyDescent="0.2">
      <c r="A15" s="19"/>
      <c r="B15" s="20"/>
      <c r="C15" s="34" t="s">
        <v>7373</v>
      </c>
      <c r="D15" s="11">
        <v>0</v>
      </c>
      <c r="E15" s="12">
        <v>-127.65</v>
      </c>
      <c r="F15" s="22"/>
      <c r="G15" s="23">
        <v>1033.8900000000001</v>
      </c>
      <c r="H15" s="24"/>
      <c r="I15" s="25"/>
      <c r="J15" s="26"/>
      <c r="K15" s="18"/>
      <c r="L15" s="12"/>
    </row>
    <row r="16" spans="1:12" ht="13.5" customHeight="1" x14ac:dyDescent="0.2">
      <c r="A16" s="19">
        <v>43194</v>
      </c>
      <c r="B16" s="20"/>
      <c r="C16" s="21" t="s">
        <v>7254</v>
      </c>
      <c r="D16" s="11"/>
      <c r="E16" s="12"/>
      <c r="F16" s="22"/>
      <c r="G16" s="23"/>
      <c r="H16" s="24">
        <v>260</v>
      </c>
      <c r="I16" s="25"/>
      <c r="J16" s="26"/>
      <c r="K16" s="18"/>
      <c r="L16" s="12"/>
    </row>
    <row r="17" spans="1:12" ht="13.5" customHeight="1" x14ac:dyDescent="0.2">
      <c r="A17" s="19"/>
      <c r="B17" s="20"/>
      <c r="C17" s="21" t="s">
        <v>7374</v>
      </c>
      <c r="D17" s="11"/>
      <c r="E17" s="12"/>
      <c r="F17" s="22"/>
      <c r="G17" s="23"/>
      <c r="H17" s="24">
        <v>140</v>
      </c>
      <c r="I17" s="25"/>
      <c r="J17" s="26"/>
      <c r="K17" s="18"/>
      <c r="L17" s="12"/>
    </row>
    <row r="18" spans="1:12" ht="13.5" customHeight="1" x14ac:dyDescent="0.2">
      <c r="A18" s="19"/>
      <c r="B18" s="20"/>
      <c r="C18" s="34" t="s">
        <v>7375</v>
      </c>
      <c r="D18" s="11"/>
      <c r="E18" s="12"/>
      <c r="F18" s="22"/>
      <c r="G18" s="23"/>
      <c r="H18" s="24">
        <v>60</v>
      </c>
      <c r="I18" s="25"/>
      <c r="J18" s="26">
        <v>777.87000000000194</v>
      </c>
      <c r="K18" s="18"/>
      <c r="L18" s="12"/>
    </row>
    <row r="19" spans="1:12" ht="13.5" customHeight="1" x14ac:dyDescent="0.2">
      <c r="A19" s="19">
        <v>43195</v>
      </c>
      <c r="B19" s="20"/>
      <c r="C19" s="21" t="s">
        <v>7376</v>
      </c>
      <c r="D19" s="11"/>
      <c r="E19" s="12"/>
      <c r="F19" s="22"/>
      <c r="G19" s="23"/>
      <c r="H19" s="24">
        <v>1.5</v>
      </c>
      <c r="I19" s="25"/>
      <c r="J19" s="26"/>
      <c r="K19" s="18"/>
      <c r="L19" s="12"/>
    </row>
    <row r="20" spans="1:12" ht="13.5" customHeight="1" x14ac:dyDescent="0.2">
      <c r="A20" s="19"/>
      <c r="B20" s="20"/>
      <c r="C20" s="21" t="s">
        <v>7377</v>
      </c>
      <c r="D20" s="11"/>
      <c r="E20" s="12"/>
      <c r="F20" s="22"/>
      <c r="G20" s="23"/>
      <c r="H20" s="24"/>
      <c r="I20" s="25">
        <v>80</v>
      </c>
      <c r="J20" s="26"/>
      <c r="K20" s="18"/>
      <c r="L20" s="12"/>
    </row>
    <row r="21" spans="1:12" ht="13.5" customHeight="1" x14ac:dyDescent="0.2">
      <c r="A21" s="19"/>
      <c r="B21" s="20"/>
      <c r="C21" s="21" t="s">
        <v>7378</v>
      </c>
      <c r="D21" s="11"/>
      <c r="E21" s="12"/>
      <c r="F21" s="22"/>
      <c r="G21" s="23"/>
      <c r="H21" s="24"/>
      <c r="I21" s="25">
        <v>80</v>
      </c>
      <c r="J21" s="26">
        <v>936.37000000000194</v>
      </c>
      <c r="K21" s="18"/>
      <c r="L21" s="12"/>
    </row>
    <row r="22" spans="1:12" ht="13.5" customHeight="1" x14ac:dyDescent="0.2">
      <c r="A22" s="19"/>
      <c r="B22" s="20"/>
      <c r="C22" s="34" t="s">
        <v>53</v>
      </c>
      <c r="D22" s="11">
        <v>904000</v>
      </c>
      <c r="E22" s="12">
        <v>-511.71</v>
      </c>
      <c r="F22" s="22"/>
      <c r="G22" s="23">
        <v>522.17999999999995</v>
      </c>
      <c r="H22" s="24"/>
      <c r="I22" s="25"/>
      <c r="J22" s="26"/>
      <c r="K22" s="18"/>
      <c r="L22" s="12"/>
    </row>
    <row r="23" spans="1:12" ht="13.5" customHeight="1" x14ac:dyDescent="0.2">
      <c r="A23" s="19" t="s">
        <v>7379</v>
      </c>
      <c r="B23" s="20"/>
      <c r="C23" s="34" t="s">
        <v>7380</v>
      </c>
      <c r="D23" s="11">
        <v>0</v>
      </c>
      <c r="E23" s="12"/>
      <c r="F23" s="22">
        <v>1500</v>
      </c>
      <c r="G23" s="23"/>
      <c r="H23" s="24"/>
      <c r="I23" s="25"/>
      <c r="J23" s="26"/>
      <c r="K23" s="18"/>
      <c r="L23" s="12"/>
    </row>
    <row r="24" spans="1:12" ht="13.5" customHeight="1" x14ac:dyDescent="0.2">
      <c r="A24" s="19"/>
      <c r="B24" s="20"/>
      <c r="C24" s="34" t="s">
        <v>7381</v>
      </c>
      <c r="D24" s="11">
        <v>0</v>
      </c>
      <c r="E24" s="12"/>
      <c r="F24" s="22">
        <v>1500</v>
      </c>
      <c r="G24" s="23">
        <v>3522.18</v>
      </c>
      <c r="H24" s="24"/>
      <c r="I24" s="25"/>
      <c r="J24" s="26"/>
      <c r="K24" s="18"/>
      <c r="L24" s="12"/>
    </row>
    <row r="25" spans="1:12" ht="13.5" customHeight="1" x14ac:dyDescent="0.2">
      <c r="A25" s="19">
        <v>43196</v>
      </c>
      <c r="B25" s="20"/>
      <c r="C25" s="21" t="s">
        <v>7382</v>
      </c>
      <c r="D25" s="11"/>
      <c r="E25" s="12"/>
      <c r="F25" s="22"/>
      <c r="G25" s="23"/>
      <c r="H25" s="24"/>
      <c r="I25" s="25">
        <v>1020</v>
      </c>
      <c r="J25" s="26"/>
      <c r="K25" s="18"/>
      <c r="L25" s="12"/>
    </row>
    <row r="26" spans="1:12" ht="13.5" customHeight="1" x14ac:dyDescent="0.2">
      <c r="A26" s="19"/>
      <c r="B26" s="20"/>
      <c r="C26" s="34" t="s">
        <v>266</v>
      </c>
      <c r="D26" s="11"/>
      <c r="E26" s="12"/>
      <c r="F26" s="22"/>
      <c r="G26" s="23"/>
      <c r="H26" s="24"/>
      <c r="I26" s="25">
        <v>5072.8</v>
      </c>
      <c r="J26" s="26"/>
      <c r="K26" s="18"/>
      <c r="L26" s="12"/>
    </row>
    <row r="27" spans="1:12" ht="13.5" customHeight="1" x14ac:dyDescent="0.2">
      <c r="A27" s="19"/>
      <c r="B27" s="20"/>
      <c r="C27" s="34" t="s">
        <v>38</v>
      </c>
      <c r="D27" s="11"/>
      <c r="E27" s="12"/>
      <c r="F27" s="22"/>
      <c r="G27" s="23"/>
      <c r="H27" s="24">
        <v>5000</v>
      </c>
      <c r="I27" s="25"/>
      <c r="J27" s="26"/>
      <c r="K27" s="18"/>
      <c r="L27" s="12"/>
    </row>
    <row r="28" spans="1:12" ht="13.5" customHeight="1" x14ac:dyDescent="0.2">
      <c r="A28" s="19"/>
      <c r="B28" s="20"/>
      <c r="C28" s="34" t="s">
        <v>7269</v>
      </c>
      <c r="D28" s="11"/>
      <c r="E28" s="12"/>
      <c r="F28" s="22"/>
      <c r="G28" s="23"/>
      <c r="H28" s="24">
        <v>220</v>
      </c>
      <c r="I28" s="25"/>
      <c r="J28" s="26"/>
      <c r="K28" s="18"/>
      <c r="L28" s="12"/>
    </row>
    <row r="29" spans="1:12" ht="13.5" customHeight="1" x14ac:dyDescent="0.2">
      <c r="A29" s="19"/>
      <c r="B29" s="20"/>
      <c r="C29" s="21" t="s">
        <v>7383</v>
      </c>
      <c r="D29" s="11"/>
      <c r="E29" s="12"/>
      <c r="F29" s="22"/>
      <c r="G29" s="23"/>
      <c r="H29" s="24">
        <v>915.5</v>
      </c>
      <c r="I29" s="25"/>
      <c r="J29" s="26">
        <v>893.67000000000189</v>
      </c>
      <c r="K29" s="18"/>
      <c r="L29" s="12"/>
    </row>
    <row r="30" spans="1:12" ht="13.5" customHeight="1" x14ac:dyDescent="0.2">
      <c r="A30" s="19">
        <v>43199</v>
      </c>
      <c r="B30" s="20"/>
      <c r="C30" s="34" t="s">
        <v>7384</v>
      </c>
      <c r="D30" s="11"/>
      <c r="E30" s="12"/>
      <c r="F30" s="22"/>
      <c r="G30" s="23"/>
      <c r="H30" s="24"/>
      <c r="I30" s="25">
        <v>1340.14</v>
      </c>
      <c r="J30" s="26"/>
      <c r="K30" s="18"/>
      <c r="L30" s="12"/>
    </row>
    <row r="31" spans="1:12" ht="13.5" customHeight="1" x14ac:dyDescent="0.2">
      <c r="A31" s="19"/>
      <c r="B31" s="20"/>
      <c r="C31" s="34" t="s">
        <v>7385</v>
      </c>
      <c r="D31" s="11"/>
      <c r="E31" s="12"/>
      <c r="F31" s="22"/>
      <c r="G31" s="23"/>
      <c r="H31" s="24"/>
      <c r="I31" s="25">
        <v>1232.0999999999999</v>
      </c>
      <c r="J31" s="26"/>
      <c r="K31" s="18"/>
      <c r="L31" s="12"/>
    </row>
    <row r="32" spans="1:12" ht="13.5" customHeight="1" x14ac:dyDescent="0.2">
      <c r="A32" s="19"/>
      <c r="B32" s="20"/>
      <c r="C32" s="34" t="s">
        <v>7386</v>
      </c>
      <c r="D32" s="11"/>
      <c r="E32" s="12"/>
      <c r="F32" s="22"/>
      <c r="G32" s="23"/>
      <c r="H32" s="24"/>
      <c r="I32" s="25">
        <v>150</v>
      </c>
      <c r="J32" s="26"/>
      <c r="K32" s="18"/>
      <c r="L32" s="12"/>
    </row>
    <row r="33" spans="1:12" ht="13.5" customHeight="1" x14ac:dyDescent="0.2">
      <c r="A33" s="19"/>
      <c r="B33" s="20"/>
      <c r="C33" s="21" t="s">
        <v>7387</v>
      </c>
      <c r="D33" s="11"/>
      <c r="E33" s="12"/>
      <c r="F33" s="22"/>
      <c r="G33" s="23"/>
      <c r="H33" s="24"/>
      <c r="I33" s="25">
        <v>190</v>
      </c>
      <c r="J33" s="26"/>
      <c r="K33" s="18"/>
      <c r="L33" s="12"/>
    </row>
    <row r="34" spans="1:12" ht="13.5" customHeight="1" x14ac:dyDescent="0.2">
      <c r="A34" s="19"/>
      <c r="B34" s="20"/>
      <c r="C34" s="56" t="s">
        <v>7388</v>
      </c>
      <c r="D34" s="11"/>
      <c r="E34" s="12"/>
      <c r="F34" s="22"/>
      <c r="G34" s="23"/>
      <c r="H34" s="24"/>
      <c r="I34" s="25">
        <v>190</v>
      </c>
      <c r="J34" s="26"/>
      <c r="K34" s="18"/>
      <c r="L34" s="12"/>
    </row>
    <row r="35" spans="1:12" ht="13.5" customHeight="1" x14ac:dyDescent="0.2">
      <c r="A35" s="19"/>
      <c r="B35" s="20"/>
      <c r="C35" s="21" t="s">
        <v>7389</v>
      </c>
      <c r="D35" s="11"/>
      <c r="E35" s="12"/>
      <c r="F35" s="22"/>
      <c r="G35" s="23"/>
      <c r="H35" s="24"/>
      <c r="I35" s="25">
        <v>2148.66</v>
      </c>
      <c r="J35" s="26"/>
      <c r="K35" s="18"/>
      <c r="L35" s="12"/>
    </row>
    <row r="36" spans="1:12" ht="13.5" customHeight="1" x14ac:dyDescent="0.2">
      <c r="A36" s="19"/>
      <c r="B36" s="20"/>
      <c r="C36" s="21" t="s">
        <v>7390</v>
      </c>
      <c r="D36" s="11"/>
      <c r="E36" s="12"/>
      <c r="F36" s="22"/>
      <c r="G36" s="23"/>
      <c r="H36" s="24">
        <v>30.21</v>
      </c>
      <c r="I36" s="25"/>
      <c r="J36" s="26"/>
      <c r="K36" s="18"/>
      <c r="L36" s="12"/>
    </row>
    <row r="37" spans="1:12" ht="13.5" customHeight="1" x14ac:dyDescent="0.2">
      <c r="A37" s="19"/>
      <c r="B37" s="20"/>
      <c r="C37" s="21" t="s">
        <v>7391</v>
      </c>
      <c r="D37" s="11"/>
      <c r="E37" s="12"/>
      <c r="F37" s="22"/>
      <c r="G37" s="23"/>
      <c r="H37" s="24">
        <v>13.42</v>
      </c>
      <c r="I37" s="25"/>
      <c r="J37" s="26"/>
      <c r="K37" s="18"/>
      <c r="L37" s="12"/>
    </row>
    <row r="38" spans="1:12" ht="13.5" customHeight="1" x14ac:dyDescent="0.2">
      <c r="A38" s="19"/>
      <c r="B38" s="20"/>
      <c r="C38" s="21" t="s">
        <v>7392</v>
      </c>
      <c r="D38" s="11"/>
      <c r="E38" s="12"/>
      <c r="F38" s="22"/>
      <c r="G38" s="23"/>
      <c r="H38" s="24">
        <v>12.7</v>
      </c>
      <c r="I38" s="25"/>
      <c r="J38" s="26"/>
      <c r="K38" s="18"/>
      <c r="L38" s="12"/>
    </row>
    <row r="39" spans="1:12" ht="13.5" customHeight="1" x14ac:dyDescent="0.2">
      <c r="A39" s="172"/>
      <c r="B39" s="172"/>
      <c r="C39" s="34" t="s">
        <v>7393</v>
      </c>
      <c r="D39" s="42"/>
      <c r="E39" s="43"/>
      <c r="F39" s="173"/>
      <c r="G39" s="23"/>
      <c r="H39" s="24"/>
      <c r="I39" s="25">
        <v>190</v>
      </c>
      <c r="J39" s="26">
        <v>6278.2400000000016</v>
      </c>
      <c r="K39" s="18"/>
      <c r="L39" s="12"/>
    </row>
    <row r="40" spans="1:12" ht="13.5" customHeight="1" x14ac:dyDescent="0.2">
      <c r="A40" s="19"/>
      <c r="B40" s="20"/>
      <c r="C40" s="34" t="s">
        <v>7394</v>
      </c>
      <c r="D40" s="11">
        <v>53265</v>
      </c>
      <c r="E40" s="12">
        <v>-72.86</v>
      </c>
      <c r="F40" s="22"/>
      <c r="G40" s="23"/>
      <c r="H40" s="24"/>
      <c r="I40" s="25"/>
      <c r="J40" s="26"/>
      <c r="K40" s="18"/>
      <c r="L40" s="12"/>
    </row>
    <row r="41" spans="1:12" ht="13.5" customHeight="1" x14ac:dyDescent="0.2">
      <c r="A41" s="19"/>
      <c r="B41" s="20"/>
      <c r="C41" s="34" t="s">
        <v>558</v>
      </c>
      <c r="D41" s="11">
        <v>0</v>
      </c>
      <c r="E41" s="12">
        <v>-46.49</v>
      </c>
      <c r="F41" s="22"/>
      <c r="G41" s="23"/>
      <c r="H41" s="24"/>
      <c r="I41" s="25"/>
      <c r="J41" s="26"/>
      <c r="K41" s="18"/>
      <c r="L41" s="12"/>
    </row>
    <row r="42" spans="1:12" ht="13.5" customHeight="1" x14ac:dyDescent="0.2">
      <c r="A42" s="19"/>
      <c r="B42" s="20"/>
      <c r="C42" s="34" t="s">
        <v>62</v>
      </c>
      <c r="D42" s="11">
        <v>0</v>
      </c>
      <c r="E42" s="12">
        <v>-439.72</v>
      </c>
      <c r="F42" s="22"/>
      <c r="G42" s="23">
        <v>2963.11</v>
      </c>
      <c r="H42" s="24"/>
      <c r="I42" s="25"/>
      <c r="J42" s="26"/>
      <c r="K42" s="18"/>
      <c r="L42" s="12"/>
    </row>
    <row r="43" spans="1:12" ht="13.5" customHeight="1" x14ac:dyDescent="0.2">
      <c r="A43" s="46" t="s">
        <v>7395</v>
      </c>
      <c r="B43" s="46"/>
      <c r="C43" s="34" t="s">
        <v>20</v>
      </c>
      <c r="D43" s="42">
        <v>0</v>
      </c>
      <c r="E43" s="43">
        <v>0.01</v>
      </c>
      <c r="F43" s="43">
        <v>0.01</v>
      </c>
      <c r="G43" s="23">
        <v>2963.12</v>
      </c>
      <c r="H43" s="24"/>
      <c r="I43" s="25"/>
      <c r="J43" s="26"/>
      <c r="K43" s="18"/>
      <c r="L43" s="12"/>
    </row>
    <row r="44" spans="1:12" ht="13.5" customHeight="1" x14ac:dyDescent="0.2">
      <c r="A44" s="171">
        <v>43200</v>
      </c>
      <c r="B44" s="172"/>
      <c r="C44" s="34" t="s">
        <v>7396</v>
      </c>
      <c r="D44" s="42"/>
      <c r="E44" s="43"/>
      <c r="F44" s="173"/>
      <c r="G44" s="23"/>
      <c r="H44" s="24">
        <v>5.6</v>
      </c>
      <c r="I44" s="25"/>
      <c r="J44" s="26"/>
      <c r="K44" s="18"/>
      <c r="L44" s="12"/>
    </row>
    <row r="45" spans="1:12" ht="13.5" customHeight="1" x14ac:dyDescent="0.2">
      <c r="A45" s="171"/>
      <c r="B45" s="172"/>
      <c r="C45" s="34" t="s">
        <v>7397</v>
      </c>
      <c r="D45" s="42"/>
      <c r="E45" s="43"/>
      <c r="F45" s="173"/>
      <c r="G45" s="23"/>
      <c r="H45" s="24"/>
      <c r="I45" s="25">
        <v>190</v>
      </c>
      <c r="J45" s="26"/>
      <c r="K45" s="18"/>
      <c r="L45" s="12"/>
    </row>
    <row r="46" spans="1:12" ht="13.5" customHeight="1" x14ac:dyDescent="0.2">
      <c r="A46" s="171"/>
      <c r="B46" s="172"/>
      <c r="C46" s="34" t="s">
        <v>7398</v>
      </c>
      <c r="D46" s="42"/>
      <c r="E46" s="43"/>
      <c r="F46" s="173"/>
      <c r="G46" s="23"/>
      <c r="H46" s="24"/>
      <c r="I46" s="25">
        <v>60</v>
      </c>
      <c r="J46" s="26"/>
      <c r="K46" s="18"/>
      <c r="L46" s="12"/>
    </row>
    <row r="47" spans="1:12" ht="13.5" customHeight="1" x14ac:dyDescent="0.2">
      <c r="A47" s="171"/>
      <c r="B47" s="172"/>
      <c r="C47" s="34" t="s">
        <v>7399</v>
      </c>
      <c r="D47" s="42"/>
      <c r="E47" s="43"/>
      <c r="F47" s="173"/>
      <c r="G47" s="23"/>
      <c r="H47" s="24">
        <v>14.35</v>
      </c>
      <c r="I47" s="25"/>
      <c r="J47" s="26"/>
      <c r="K47" s="18"/>
      <c r="L47" s="12"/>
    </row>
    <row r="48" spans="1:12" ht="13.5" customHeight="1" x14ac:dyDescent="0.2">
      <c r="A48" s="171"/>
      <c r="B48" s="172"/>
      <c r="C48" s="34" t="s">
        <v>7400</v>
      </c>
      <c r="D48" s="42"/>
      <c r="E48" s="43"/>
      <c r="F48" s="173"/>
      <c r="G48" s="23"/>
      <c r="H48" s="24"/>
      <c r="I48" s="25">
        <v>185</v>
      </c>
      <c r="J48" s="26"/>
      <c r="K48" s="18"/>
      <c r="L48" s="12"/>
    </row>
    <row r="49" spans="1:12" ht="13.5" customHeight="1" x14ac:dyDescent="0.2">
      <c r="A49" s="171"/>
      <c r="B49" s="172"/>
      <c r="C49" s="34" t="s">
        <v>7401</v>
      </c>
      <c r="D49" s="42"/>
      <c r="E49" s="43"/>
      <c r="F49" s="173"/>
      <c r="G49" s="23"/>
      <c r="H49" s="24"/>
      <c r="I49" s="25">
        <v>1020</v>
      </c>
      <c r="J49" s="26">
        <v>7713.2900000000009</v>
      </c>
      <c r="K49" s="18"/>
      <c r="L49" s="12"/>
    </row>
    <row r="50" spans="1:12" ht="13.5" customHeight="1" x14ac:dyDescent="0.2">
      <c r="A50" s="46"/>
      <c r="B50" s="46"/>
      <c r="C50" s="34" t="s">
        <v>82</v>
      </c>
      <c r="D50" s="42">
        <v>451000</v>
      </c>
      <c r="E50" s="43">
        <v>-337.34</v>
      </c>
      <c r="F50" s="43"/>
      <c r="G50" s="23"/>
      <c r="H50" s="24"/>
      <c r="I50" s="25"/>
      <c r="J50" s="26"/>
      <c r="K50" s="18"/>
      <c r="L50" s="12"/>
    </row>
    <row r="51" spans="1:12" ht="13.5" customHeight="1" x14ac:dyDescent="0.2">
      <c r="A51" s="46"/>
      <c r="B51" s="46"/>
      <c r="C51" s="34" t="s">
        <v>7402</v>
      </c>
      <c r="D51" s="42">
        <v>130</v>
      </c>
      <c r="E51" s="43">
        <v>-300</v>
      </c>
      <c r="F51" s="43"/>
      <c r="G51" s="23">
        <v>2325.7800000000002</v>
      </c>
      <c r="H51" s="24"/>
      <c r="I51" s="25"/>
      <c r="J51" s="26"/>
      <c r="K51" s="18"/>
      <c r="L51" s="12"/>
    </row>
    <row r="52" spans="1:12" ht="13.5" customHeight="1" x14ac:dyDescent="0.2">
      <c r="A52" s="171">
        <v>43201</v>
      </c>
      <c r="B52" s="172"/>
      <c r="C52" s="34" t="s">
        <v>7403</v>
      </c>
      <c r="D52" s="42"/>
      <c r="E52" s="43"/>
      <c r="F52" s="173"/>
      <c r="G52" s="23"/>
      <c r="H52" s="24"/>
      <c r="I52" s="25">
        <v>2103.2800000000002</v>
      </c>
      <c r="J52" s="26"/>
      <c r="K52" s="18"/>
      <c r="L52" s="12"/>
    </row>
    <row r="53" spans="1:12" ht="13.5" customHeight="1" x14ac:dyDescent="0.2">
      <c r="A53" s="171"/>
      <c r="B53" s="172"/>
      <c r="C53" s="34" t="s">
        <v>339</v>
      </c>
      <c r="D53" s="42"/>
      <c r="E53" s="43"/>
      <c r="F53" s="173"/>
      <c r="G53" s="23"/>
      <c r="H53" s="24">
        <v>9.6999999999999993</v>
      </c>
      <c r="I53" s="25"/>
      <c r="J53" s="26"/>
      <c r="K53" s="18"/>
      <c r="L53" s="12"/>
    </row>
    <row r="54" spans="1:12" ht="13.5" customHeight="1" x14ac:dyDescent="0.2">
      <c r="A54" s="171"/>
      <c r="B54" s="172"/>
      <c r="C54" s="34" t="s">
        <v>7030</v>
      </c>
      <c r="D54" s="42"/>
      <c r="E54" s="43"/>
      <c r="F54" s="173"/>
      <c r="G54" s="23"/>
      <c r="H54" s="24">
        <v>8.98</v>
      </c>
      <c r="I54" s="25"/>
      <c r="J54" s="26"/>
      <c r="K54" s="18"/>
      <c r="L54" s="12"/>
    </row>
    <row r="55" spans="1:12" ht="13.5" customHeight="1" x14ac:dyDescent="0.2">
      <c r="A55" s="171"/>
      <c r="B55" s="172"/>
      <c r="C55" s="34" t="s">
        <v>7404</v>
      </c>
      <c r="D55" s="42"/>
      <c r="E55" s="43"/>
      <c r="F55" s="173"/>
      <c r="G55" s="23"/>
      <c r="H55" s="24">
        <v>23.7</v>
      </c>
      <c r="I55" s="25"/>
      <c r="J55" s="26"/>
      <c r="K55" s="18"/>
      <c r="L55" s="12"/>
    </row>
    <row r="56" spans="1:12" ht="13.5" customHeight="1" x14ac:dyDescent="0.2">
      <c r="A56" s="171"/>
      <c r="B56" s="172"/>
      <c r="C56" s="34" t="s">
        <v>7405</v>
      </c>
      <c r="D56" s="42"/>
      <c r="E56" s="43"/>
      <c r="F56" s="173"/>
      <c r="G56" s="23"/>
      <c r="H56" s="24">
        <v>26.3</v>
      </c>
      <c r="I56" s="25"/>
      <c r="J56" s="26"/>
      <c r="K56" s="18"/>
      <c r="L56" s="12"/>
    </row>
    <row r="57" spans="1:12" ht="13.5" customHeight="1" x14ac:dyDescent="0.2">
      <c r="A57" s="171"/>
      <c r="B57" s="172"/>
      <c r="C57" s="34" t="s">
        <v>7406</v>
      </c>
      <c r="D57" s="42"/>
      <c r="E57" s="43"/>
      <c r="F57" s="173"/>
      <c r="G57" s="23"/>
      <c r="H57" s="24">
        <v>13</v>
      </c>
      <c r="I57" s="25"/>
      <c r="J57" s="26"/>
      <c r="K57" s="18"/>
      <c r="L57" s="12"/>
    </row>
    <row r="58" spans="1:12" ht="13.5" customHeight="1" x14ac:dyDescent="0.2">
      <c r="A58" s="171"/>
      <c r="B58" s="20"/>
      <c r="C58" s="34" t="s">
        <v>7407</v>
      </c>
      <c r="D58" s="11"/>
      <c r="E58" s="12"/>
      <c r="F58" s="22"/>
      <c r="G58" s="23"/>
      <c r="H58" s="174">
        <v>1020</v>
      </c>
      <c r="I58" s="25"/>
      <c r="J58" s="26"/>
      <c r="K58" s="18"/>
      <c r="L58" s="12"/>
    </row>
    <row r="59" spans="1:12" ht="13.5" customHeight="1" x14ac:dyDescent="0.2">
      <c r="A59" s="171"/>
      <c r="B59" s="20"/>
      <c r="C59" s="34" t="s">
        <v>567</v>
      </c>
      <c r="D59" s="11"/>
      <c r="E59" s="12"/>
      <c r="F59" s="22"/>
      <c r="G59" s="23"/>
      <c r="H59" s="174">
        <v>185</v>
      </c>
      <c r="I59" s="25"/>
      <c r="J59" s="26">
        <v>8529.8900000000012</v>
      </c>
      <c r="K59" s="18"/>
      <c r="L59" s="12"/>
    </row>
    <row r="60" spans="1:12" ht="13.5" customHeight="1" x14ac:dyDescent="0.2">
      <c r="A60" s="46"/>
      <c r="B60" s="46"/>
      <c r="C60" s="34" t="s">
        <v>7408</v>
      </c>
      <c r="D60" s="42">
        <v>591000</v>
      </c>
      <c r="E60" s="43">
        <v>-118.69</v>
      </c>
      <c r="F60" s="43"/>
      <c r="G60" s="23"/>
      <c r="H60" s="24"/>
      <c r="I60" s="25"/>
      <c r="J60" s="26"/>
      <c r="K60" s="18"/>
      <c r="L60" s="12"/>
    </row>
    <row r="61" spans="1:12" ht="13.5" customHeight="1" x14ac:dyDescent="0.2">
      <c r="A61" s="46"/>
      <c r="B61" s="46" t="s">
        <v>591</v>
      </c>
      <c r="C61" s="34" t="s">
        <v>567</v>
      </c>
      <c r="D61" s="42">
        <v>673339</v>
      </c>
      <c r="E61" s="43"/>
      <c r="F61" s="272">
        <v>185</v>
      </c>
      <c r="G61" s="23"/>
      <c r="H61" s="24"/>
      <c r="I61" s="25"/>
      <c r="J61" s="26"/>
      <c r="K61" s="18"/>
      <c r="L61" s="12"/>
    </row>
    <row r="62" spans="1:12" ht="13.5" customHeight="1" x14ac:dyDescent="0.2">
      <c r="A62" s="46"/>
      <c r="B62" s="46" t="s">
        <v>591</v>
      </c>
      <c r="C62" s="34" t="s">
        <v>7407</v>
      </c>
      <c r="D62" s="42">
        <v>673328</v>
      </c>
      <c r="E62" s="43"/>
      <c r="F62" s="272">
        <v>1020</v>
      </c>
      <c r="G62" s="23">
        <v>3412.09</v>
      </c>
      <c r="H62" s="24"/>
      <c r="I62" s="25"/>
      <c r="J62" s="26"/>
      <c r="K62" s="18"/>
      <c r="L62" s="12"/>
    </row>
    <row r="63" spans="1:12" ht="13.5" customHeight="1" x14ac:dyDescent="0.2">
      <c r="A63" s="171">
        <v>43202</v>
      </c>
      <c r="B63" s="20"/>
      <c r="C63" s="34" t="s">
        <v>7409</v>
      </c>
      <c r="D63" s="11"/>
      <c r="E63" s="12"/>
      <c r="F63" s="22"/>
      <c r="G63" s="23"/>
      <c r="H63" s="24">
        <v>3</v>
      </c>
      <c r="I63" s="25"/>
      <c r="J63" s="26"/>
      <c r="K63" s="18"/>
      <c r="L63" s="12"/>
    </row>
    <row r="64" spans="1:12" ht="13.5" customHeight="1" x14ac:dyDescent="0.2">
      <c r="A64" s="171"/>
      <c r="B64" s="20"/>
      <c r="C64" s="34" t="s">
        <v>7410</v>
      </c>
      <c r="D64" s="11"/>
      <c r="E64" s="12"/>
      <c r="F64" s="22"/>
      <c r="G64" s="23"/>
      <c r="H64" s="24">
        <v>5.25</v>
      </c>
      <c r="I64" s="25"/>
      <c r="J64" s="26"/>
      <c r="K64" s="18"/>
      <c r="L64" s="12"/>
    </row>
    <row r="65" spans="1:14" ht="13.5" customHeight="1" x14ac:dyDescent="0.2">
      <c r="A65" s="171"/>
      <c r="B65" s="20"/>
      <c r="C65" s="34" t="s">
        <v>7411</v>
      </c>
      <c r="D65" s="11"/>
      <c r="E65" s="12"/>
      <c r="F65" s="22"/>
      <c r="G65" s="23"/>
      <c r="H65" s="24">
        <v>75</v>
      </c>
      <c r="I65" s="25"/>
      <c r="J65" s="26"/>
      <c r="K65" s="18"/>
      <c r="L65" s="12"/>
    </row>
    <row r="66" spans="1:14" ht="13.5" customHeight="1" x14ac:dyDescent="0.2">
      <c r="A66" s="171"/>
      <c r="B66" s="20"/>
      <c r="C66" s="34" t="s">
        <v>7412</v>
      </c>
      <c r="D66" s="11"/>
      <c r="E66" s="12"/>
      <c r="F66" s="22"/>
      <c r="G66" s="23"/>
      <c r="H66" s="24">
        <v>75</v>
      </c>
      <c r="I66" s="25"/>
      <c r="J66" s="26"/>
      <c r="K66" s="18"/>
      <c r="L66" s="12"/>
    </row>
    <row r="67" spans="1:14" ht="13.5" customHeight="1" x14ac:dyDescent="0.2">
      <c r="A67" s="171"/>
      <c r="B67" s="20"/>
      <c r="C67" s="34" t="s">
        <v>7413</v>
      </c>
      <c r="D67" s="11"/>
      <c r="E67" s="12"/>
      <c r="F67" s="22"/>
      <c r="G67" s="23"/>
      <c r="H67" s="24">
        <v>75</v>
      </c>
      <c r="I67" s="25"/>
      <c r="J67" s="26"/>
      <c r="K67" s="18"/>
      <c r="L67" s="12"/>
    </row>
    <row r="68" spans="1:14" ht="13.5" customHeight="1" x14ac:dyDescent="0.2">
      <c r="A68" s="171"/>
      <c r="B68" s="20"/>
      <c r="C68" s="34" t="s">
        <v>7414</v>
      </c>
      <c r="D68" s="11"/>
      <c r="E68" s="12"/>
      <c r="F68" s="22"/>
      <c r="G68" s="23"/>
      <c r="H68" s="24">
        <v>100</v>
      </c>
      <c r="I68" s="25"/>
      <c r="J68" s="26">
        <v>8196.6400000000012</v>
      </c>
      <c r="K68" s="18"/>
      <c r="L68" s="12"/>
    </row>
    <row r="69" spans="1:14" ht="13.5" customHeight="1" x14ac:dyDescent="0.2">
      <c r="A69" s="46"/>
      <c r="B69" s="46"/>
      <c r="C69" s="34" t="s">
        <v>129</v>
      </c>
      <c r="D69" s="42">
        <v>0</v>
      </c>
      <c r="E69" s="43">
        <v>-64.819999999999993</v>
      </c>
      <c r="F69" s="43"/>
      <c r="G69" s="23"/>
      <c r="H69" s="24"/>
      <c r="I69" s="25"/>
      <c r="J69" s="26"/>
      <c r="K69" s="18"/>
      <c r="L69" s="12"/>
    </row>
    <row r="70" spans="1:14" ht="13.5" customHeight="1" x14ac:dyDescent="0.2">
      <c r="A70" s="46"/>
      <c r="B70" s="46"/>
      <c r="C70" s="36" t="s">
        <v>7415</v>
      </c>
      <c r="D70" s="42">
        <v>0</v>
      </c>
      <c r="E70" s="43">
        <v>-46.07</v>
      </c>
      <c r="F70" s="43"/>
      <c r="G70" s="23"/>
      <c r="H70" s="24"/>
      <c r="I70" s="25"/>
      <c r="J70" s="26"/>
      <c r="K70" s="18"/>
      <c r="L70" s="12"/>
    </row>
    <row r="71" spans="1:14" ht="13.5" customHeight="1" x14ac:dyDescent="0.2">
      <c r="A71" s="46"/>
      <c r="B71" s="46"/>
      <c r="C71" s="36" t="s">
        <v>7416</v>
      </c>
      <c r="D71" s="42">
        <v>0</v>
      </c>
      <c r="E71" s="43">
        <v>-51.42</v>
      </c>
      <c r="F71" s="43"/>
      <c r="G71" s="23">
        <v>3249.78</v>
      </c>
      <c r="H71" s="24"/>
      <c r="I71" s="25"/>
      <c r="J71" s="26"/>
      <c r="K71" s="18"/>
      <c r="L71" s="12"/>
    </row>
    <row r="72" spans="1:14" ht="13.5" customHeight="1" x14ac:dyDescent="0.2">
      <c r="A72" s="171">
        <v>43203</v>
      </c>
      <c r="B72" s="20"/>
      <c r="C72" s="34" t="s">
        <v>7417</v>
      </c>
      <c r="D72" s="11"/>
      <c r="E72" s="12"/>
      <c r="F72" s="22"/>
      <c r="G72" s="23"/>
      <c r="H72" s="24"/>
      <c r="I72" s="25">
        <v>190</v>
      </c>
      <c r="J72" s="26"/>
      <c r="K72" s="18"/>
      <c r="L72" s="12"/>
    </row>
    <row r="73" spans="1:14" ht="13.5" customHeight="1" x14ac:dyDescent="0.2">
      <c r="A73" s="171"/>
      <c r="B73" s="20"/>
      <c r="C73" s="357" t="s">
        <v>7418</v>
      </c>
      <c r="D73" s="11"/>
      <c r="E73" s="12"/>
      <c r="F73" s="22"/>
      <c r="G73" s="23"/>
      <c r="H73" s="24"/>
      <c r="I73" s="25">
        <v>190</v>
      </c>
      <c r="J73" s="26"/>
      <c r="K73" s="18"/>
      <c r="L73" s="12"/>
    </row>
    <row r="74" spans="1:14" ht="13.5" customHeight="1" x14ac:dyDescent="0.2">
      <c r="A74" s="171"/>
      <c r="B74" s="20"/>
      <c r="C74" s="357" t="s">
        <v>7419</v>
      </c>
      <c r="D74" s="11"/>
      <c r="E74" s="12"/>
      <c r="F74" s="22"/>
      <c r="G74" s="23"/>
      <c r="H74" s="24"/>
      <c r="I74" s="25">
        <v>190</v>
      </c>
      <c r="J74" s="26"/>
      <c r="K74" s="18"/>
      <c r="L74" s="12"/>
    </row>
    <row r="75" spans="1:14" ht="13.5" customHeight="1" x14ac:dyDescent="0.2">
      <c r="A75" s="171"/>
      <c r="B75" s="20"/>
      <c r="C75" s="357" t="s">
        <v>7420</v>
      </c>
      <c r="D75" s="11"/>
      <c r="E75" s="12"/>
      <c r="F75" s="22"/>
      <c r="G75" s="23"/>
      <c r="H75" s="24"/>
      <c r="I75" s="25">
        <v>190</v>
      </c>
      <c r="J75" s="26"/>
      <c r="K75" s="18"/>
      <c r="L75" s="12"/>
    </row>
    <row r="76" spans="1:14" ht="13.5" customHeight="1" x14ac:dyDescent="0.2">
      <c r="A76" s="171"/>
      <c r="B76" s="20"/>
      <c r="C76" s="357" t="s">
        <v>7421</v>
      </c>
      <c r="D76" s="11"/>
      <c r="E76" s="12"/>
      <c r="F76" s="22"/>
      <c r="G76" s="23"/>
      <c r="H76" s="24"/>
      <c r="I76" s="25">
        <v>3587.45</v>
      </c>
      <c r="J76" s="26"/>
      <c r="K76" s="18"/>
      <c r="L76" s="12"/>
    </row>
    <row r="77" spans="1:14" ht="13.5" customHeight="1" x14ac:dyDescent="0.2">
      <c r="A77" s="171"/>
      <c r="B77" s="20"/>
      <c r="C77" s="357" t="s">
        <v>7252</v>
      </c>
      <c r="D77" s="11"/>
      <c r="E77" s="12"/>
      <c r="F77" s="22"/>
      <c r="G77" s="23"/>
      <c r="H77" s="44">
        <v>10000</v>
      </c>
      <c r="I77" s="25"/>
      <c r="J77" s="26">
        <v>2544.09</v>
      </c>
      <c r="K77" s="18"/>
      <c r="L77" s="12"/>
    </row>
    <row r="78" spans="1:14" ht="13.5" customHeight="1" x14ac:dyDescent="0.2">
      <c r="A78" s="271">
        <v>43206</v>
      </c>
      <c r="B78" s="20"/>
      <c r="C78" s="34" t="s">
        <v>7422</v>
      </c>
      <c r="D78" s="11"/>
      <c r="E78" s="12"/>
      <c r="F78" s="1131"/>
      <c r="G78" s="182"/>
      <c r="H78" s="24"/>
      <c r="I78" s="25">
        <v>60</v>
      </c>
      <c r="J78" s="26"/>
      <c r="K78" s="18"/>
      <c r="L78" s="12"/>
      <c r="N78" s="18"/>
    </row>
    <row r="79" spans="1:14" ht="13.5" customHeight="1" x14ac:dyDescent="0.2">
      <c r="A79" s="271"/>
      <c r="B79" s="20"/>
      <c r="C79" s="34" t="s">
        <v>7423</v>
      </c>
      <c r="D79" s="11"/>
      <c r="E79" s="12"/>
      <c r="F79" s="1131"/>
      <c r="G79" s="182"/>
      <c r="H79" s="24"/>
      <c r="I79" s="25">
        <v>21</v>
      </c>
      <c r="J79" s="26">
        <v>2625.09</v>
      </c>
      <c r="K79" s="18"/>
      <c r="L79" s="12"/>
      <c r="N79" s="18"/>
    </row>
    <row r="80" spans="1:14" ht="13.5" customHeight="1" x14ac:dyDescent="0.2">
      <c r="A80" s="46"/>
      <c r="B80" s="46"/>
      <c r="C80" s="36" t="s">
        <v>86</v>
      </c>
      <c r="D80" s="42">
        <v>0</v>
      </c>
      <c r="E80" s="43">
        <v>-69</v>
      </c>
      <c r="F80" s="43"/>
      <c r="G80" s="23"/>
      <c r="H80" s="24"/>
      <c r="I80" s="25"/>
      <c r="J80" s="26"/>
      <c r="K80" s="18"/>
      <c r="L80" s="12"/>
    </row>
    <row r="81" spans="1:14" ht="13.5" customHeight="1" x14ac:dyDescent="0.2">
      <c r="A81" s="171"/>
      <c r="B81" s="46"/>
      <c r="C81" s="36" t="s">
        <v>114</v>
      </c>
      <c r="D81" s="42">
        <v>0</v>
      </c>
      <c r="E81" s="43">
        <v>-213.84</v>
      </c>
      <c r="F81" s="43"/>
      <c r="G81" s="23"/>
      <c r="H81" s="24"/>
      <c r="I81" s="25"/>
      <c r="J81" s="26"/>
      <c r="K81" s="18"/>
      <c r="L81" s="12"/>
    </row>
    <row r="82" spans="1:14" ht="13.5" customHeight="1" x14ac:dyDescent="0.2">
      <c r="A82" s="171"/>
      <c r="B82" s="46"/>
      <c r="C82" s="36" t="s">
        <v>7424</v>
      </c>
      <c r="D82" s="42">
        <v>0</v>
      </c>
      <c r="E82" s="43">
        <v>-1000</v>
      </c>
      <c r="F82" s="43"/>
      <c r="G82" s="23"/>
      <c r="H82" s="24"/>
      <c r="I82" s="25"/>
      <c r="J82" s="26"/>
      <c r="K82" s="18"/>
      <c r="L82" s="12"/>
    </row>
    <row r="83" spans="1:14" ht="13.5" customHeight="1" x14ac:dyDescent="0.2">
      <c r="A83" s="171"/>
      <c r="B83" s="46"/>
      <c r="C83" s="34" t="s">
        <v>7425</v>
      </c>
      <c r="D83" s="42">
        <v>0</v>
      </c>
      <c r="E83" s="43">
        <v>-1500</v>
      </c>
      <c r="F83" s="43"/>
      <c r="G83" s="23"/>
      <c r="H83" s="24"/>
      <c r="I83" s="25"/>
      <c r="J83" s="26"/>
      <c r="K83" s="18"/>
      <c r="L83" s="12"/>
    </row>
    <row r="84" spans="1:14" ht="13.5" customHeight="1" x14ac:dyDescent="0.2">
      <c r="A84" s="171"/>
      <c r="B84" s="20"/>
      <c r="C84" s="34" t="s">
        <v>7426</v>
      </c>
      <c r="D84" s="11">
        <v>0</v>
      </c>
      <c r="E84" s="12">
        <v>-63.74</v>
      </c>
      <c r="F84" s="22"/>
      <c r="G84" s="23"/>
      <c r="H84" s="24"/>
      <c r="I84" s="25"/>
      <c r="J84" s="26"/>
      <c r="K84" s="18"/>
      <c r="L84" s="12"/>
    </row>
    <row r="85" spans="1:14" ht="13.5" customHeight="1" x14ac:dyDescent="0.2">
      <c r="A85" s="171"/>
      <c r="B85" s="20"/>
      <c r="C85" s="34" t="s">
        <v>20</v>
      </c>
      <c r="D85" s="11">
        <v>0</v>
      </c>
      <c r="E85" s="12"/>
      <c r="F85" s="22">
        <v>0.06</v>
      </c>
      <c r="G85" s="23">
        <v>403.26</v>
      </c>
      <c r="H85" s="24"/>
      <c r="I85" s="25"/>
      <c r="J85" s="26"/>
      <c r="K85" s="18"/>
      <c r="L85" s="12"/>
    </row>
    <row r="86" spans="1:14" ht="13.5" customHeight="1" x14ac:dyDescent="0.2">
      <c r="A86" s="271">
        <v>43207</v>
      </c>
      <c r="B86" s="20"/>
      <c r="C86" s="34" t="s">
        <v>7427</v>
      </c>
      <c r="D86" s="11"/>
      <c r="E86" s="12"/>
      <c r="F86" s="1131"/>
      <c r="G86" s="182"/>
      <c r="H86" s="1132">
        <v>8</v>
      </c>
      <c r="I86" s="1303"/>
      <c r="J86" s="1131"/>
      <c r="K86" s="18"/>
      <c r="L86" s="12"/>
      <c r="N86" s="18"/>
    </row>
    <row r="87" spans="1:14" ht="13.5" customHeight="1" x14ac:dyDescent="0.2">
      <c r="A87" s="271"/>
      <c r="B87" s="20"/>
      <c r="C87" s="34" t="s">
        <v>7428</v>
      </c>
      <c r="D87" s="11"/>
      <c r="E87" s="12"/>
      <c r="F87" s="1131"/>
      <c r="G87" s="182"/>
      <c r="H87" s="1132">
        <v>31.7</v>
      </c>
      <c r="I87" s="1303"/>
      <c r="J87" s="1131"/>
      <c r="K87" s="18"/>
      <c r="L87" s="12"/>
      <c r="N87" s="18"/>
    </row>
    <row r="88" spans="1:14" ht="13.5" customHeight="1" x14ac:dyDescent="0.2">
      <c r="A88" s="271"/>
      <c r="B88" s="20"/>
      <c r="C88" s="34" t="s">
        <v>1034</v>
      </c>
      <c r="D88" s="11"/>
      <c r="E88" s="12"/>
      <c r="F88" s="1131"/>
      <c r="G88" s="182"/>
      <c r="H88" s="1132">
        <v>50</v>
      </c>
      <c r="I88" s="1303"/>
      <c r="J88" s="1131"/>
      <c r="K88" s="18"/>
      <c r="L88" s="12"/>
      <c r="N88" s="18"/>
    </row>
    <row r="89" spans="1:14" ht="13.5" customHeight="1" x14ac:dyDescent="0.2">
      <c r="A89" s="271"/>
      <c r="B89" s="20"/>
      <c r="C89" s="34" t="s">
        <v>7429</v>
      </c>
      <c r="D89" s="11"/>
      <c r="E89" s="12"/>
      <c r="F89" s="1131"/>
      <c r="G89" s="182"/>
      <c r="H89" s="1132">
        <v>4.2</v>
      </c>
      <c r="I89" s="1303"/>
      <c r="J89" s="1131"/>
      <c r="K89" s="18"/>
      <c r="L89" s="12"/>
      <c r="N89" s="18"/>
    </row>
    <row r="90" spans="1:14" ht="13.5" customHeight="1" x14ac:dyDescent="0.2">
      <c r="A90" s="271"/>
      <c r="B90" s="20"/>
      <c r="C90" s="34" t="s">
        <v>7430</v>
      </c>
      <c r="D90" s="11"/>
      <c r="E90" s="12"/>
      <c r="F90" s="1131"/>
      <c r="G90" s="182"/>
      <c r="H90" s="1132">
        <v>2.5</v>
      </c>
      <c r="I90" s="1303"/>
      <c r="J90" s="1131"/>
      <c r="K90" s="18"/>
      <c r="L90" s="12"/>
      <c r="N90" s="18"/>
    </row>
    <row r="91" spans="1:14" ht="13.5" customHeight="1" x14ac:dyDescent="0.2">
      <c r="A91" s="271"/>
      <c r="B91" s="20"/>
      <c r="C91" s="34" t="s">
        <v>7431</v>
      </c>
      <c r="D91" s="11"/>
      <c r="E91" s="12"/>
      <c r="F91" s="1131"/>
      <c r="G91" s="182"/>
      <c r="H91" s="1132">
        <v>1.6</v>
      </c>
      <c r="I91" s="1303"/>
      <c r="J91" s="1131"/>
      <c r="K91" s="18"/>
      <c r="L91" s="12"/>
      <c r="N91" s="18"/>
    </row>
    <row r="92" spans="1:14" ht="13.5" customHeight="1" x14ac:dyDescent="0.2">
      <c r="A92" s="271"/>
      <c r="B92" s="20"/>
      <c r="C92" s="34" t="s">
        <v>7432</v>
      </c>
      <c r="D92" s="11"/>
      <c r="E92" s="12"/>
      <c r="F92" s="1131"/>
      <c r="G92" s="182"/>
      <c r="H92" s="1132">
        <v>28.9</v>
      </c>
      <c r="I92" s="1303"/>
      <c r="J92" s="1131"/>
      <c r="K92" s="18"/>
      <c r="L92" s="12"/>
      <c r="N92" s="18"/>
    </row>
    <row r="93" spans="1:14" ht="13.5" customHeight="1" x14ac:dyDescent="0.2">
      <c r="A93" s="271"/>
      <c r="B93" s="20"/>
      <c r="C93" s="34" t="s">
        <v>96</v>
      </c>
      <c r="D93" s="11"/>
      <c r="E93" s="12"/>
      <c r="F93" s="1131"/>
      <c r="G93" s="182"/>
      <c r="H93" s="1132">
        <v>10.8</v>
      </c>
      <c r="I93" s="1303"/>
      <c r="J93" s="1131"/>
      <c r="K93" s="18"/>
      <c r="L93" s="12"/>
      <c r="N93" s="18"/>
    </row>
    <row r="94" spans="1:14" ht="13.5" customHeight="1" x14ac:dyDescent="0.2">
      <c r="A94" s="271"/>
      <c r="B94" s="20"/>
      <c r="C94" s="34" t="s">
        <v>7433</v>
      </c>
      <c r="D94" s="11"/>
      <c r="E94" s="12"/>
      <c r="F94" s="1131"/>
      <c r="G94" s="182"/>
      <c r="H94" s="1132">
        <v>25</v>
      </c>
      <c r="I94" s="1303"/>
      <c r="J94" s="1131">
        <v>2462.3900000000003</v>
      </c>
      <c r="K94" s="18"/>
      <c r="L94" s="12"/>
      <c r="N94" s="18"/>
    </row>
    <row r="95" spans="1:14" ht="13.5" customHeight="1" x14ac:dyDescent="0.2">
      <c r="A95" s="171"/>
      <c r="B95" s="20"/>
      <c r="C95" s="34" t="s">
        <v>18</v>
      </c>
      <c r="D95" s="11">
        <v>491000</v>
      </c>
      <c r="E95" s="12">
        <v>-390.56</v>
      </c>
      <c r="F95" s="1131"/>
      <c r="G95" s="23"/>
      <c r="H95" s="1132"/>
      <c r="I95" s="1131"/>
      <c r="J95" s="1131"/>
      <c r="K95" s="18"/>
      <c r="L95" s="12"/>
      <c r="N95" s="18"/>
    </row>
    <row r="96" spans="1:14" ht="13.5" customHeight="1" x14ac:dyDescent="0.2">
      <c r="A96" s="171"/>
      <c r="B96" s="20"/>
      <c r="C96" s="34" t="s">
        <v>20</v>
      </c>
      <c r="D96" s="11"/>
      <c r="E96" s="12"/>
      <c r="F96" s="1131">
        <v>0.01</v>
      </c>
      <c r="G96" s="23">
        <v>12.71</v>
      </c>
      <c r="H96" s="1132"/>
      <c r="I96" s="1131"/>
      <c r="J96" s="1131"/>
      <c r="K96" s="18"/>
      <c r="L96" s="12"/>
      <c r="N96" s="18"/>
    </row>
    <row r="97" spans="1:14" ht="13.5" customHeight="1" x14ac:dyDescent="0.2">
      <c r="A97" s="271">
        <v>43208</v>
      </c>
      <c r="B97" s="20"/>
      <c r="C97" s="34" t="s">
        <v>7434</v>
      </c>
      <c r="D97" s="11"/>
      <c r="E97" s="12"/>
      <c r="F97" s="1131"/>
      <c r="G97" s="182"/>
      <c r="H97" s="1132">
        <v>14.74</v>
      </c>
      <c r="I97" s="1303"/>
      <c r="J97" s="1131">
        <v>2447.6500000000005</v>
      </c>
      <c r="K97" s="18"/>
      <c r="L97" s="12"/>
      <c r="N97" s="18"/>
    </row>
    <row r="98" spans="1:14" ht="13.5" customHeight="1" x14ac:dyDescent="0.2">
      <c r="A98" s="171"/>
      <c r="B98" s="20"/>
      <c r="C98" s="34" t="s">
        <v>7435</v>
      </c>
      <c r="D98" s="11">
        <v>121000</v>
      </c>
      <c r="E98" s="12">
        <v>-292.36</v>
      </c>
      <c r="F98" s="1131"/>
      <c r="G98" s="23"/>
      <c r="H98" s="1132"/>
      <c r="I98" s="1131"/>
      <c r="J98" s="1131"/>
      <c r="K98" s="18"/>
      <c r="L98" s="12"/>
      <c r="N98" s="18"/>
    </row>
    <row r="99" spans="1:14" ht="13.5" customHeight="1" x14ac:dyDescent="0.2">
      <c r="A99" s="171"/>
      <c r="B99" s="20"/>
      <c r="C99" s="34" t="s">
        <v>6199</v>
      </c>
      <c r="D99" s="11">
        <v>801000</v>
      </c>
      <c r="E99" s="12">
        <v>-131.88999999999999</v>
      </c>
      <c r="F99" s="1131"/>
      <c r="G99" s="23"/>
      <c r="H99" s="1132"/>
      <c r="I99" s="1131"/>
      <c r="J99" s="1131"/>
      <c r="K99" s="18"/>
      <c r="L99" s="12"/>
      <c r="N99" s="18"/>
    </row>
    <row r="100" spans="1:14" ht="13.5" customHeight="1" x14ac:dyDescent="0.2">
      <c r="A100" s="171"/>
      <c r="B100" s="20"/>
      <c r="C100" s="34" t="s">
        <v>7436</v>
      </c>
      <c r="D100" s="11">
        <v>0</v>
      </c>
      <c r="E100" s="12">
        <v>-520</v>
      </c>
      <c r="F100" s="1131"/>
      <c r="G100" s="182"/>
      <c r="H100" s="1132"/>
      <c r="I100" s="12"/>
      <c r="J100" s="1131"/>
      <c r="K100" s="18"/>
      <c r="L100" s="12"/>
      <c r="N100" s="18"/>
    </row>
    <row r="101" spans="1:14" ht="13.5" customHeight="1" x14ac:dyDescent="0.2">
      <c r="A101" s="46"/>
      <c r="B101" s="46" t="s">
        <v>591</v>
      </c>
      <c r="C101" s="34" t="s">
        <v>7437</v>
      </c>
      <c r="D101" s="42">
        <v>997478</v>
      </c>
      <c r="E101" s="43"/>
      <c r="F101" s="43">
        <v>940</v>
      </c>
      <c r="G101" s="182"/>
      <c r="H101" s="1132"/>
      <c r="I101" s="1303"/>
      <c r="J101" s="1131"/>
      <c r="K101" s="18"/>
      <c r="L101" s="12"/>
      <c r="N101" s="18"/>
    </row>
    <row r="102" spans="1:14" ht="13.5" customHeight="1" x14ac:dyDescent="0.2">
      <c r="A102" s="46"/>
      <c r="B102" s="46"/>
      <c r="C102" s="36" t="s">
        <v>7438</v>
      </c>
      <c r="D102" s="42">
        <v>345835</v>
      </c>
      <c r="E102" s="43"/>
      <c r="F102" s="272">
        <v>42</v>
      </c>
      <c r="G102" s="182"/>
      <c r="H102" s="1132"/>
      <c r="I102" s="1303"/>
      <c r="J102" s="1131"/>
      <c r="K102" s="18"/>
      <c r="L102" s="12"/>
      <c r="N102" s="18"/>
    </row>
    <row r="103" spans="1:14" ht="13.5" customHeight="1" x14ac:dyDescent="0.2">
      <c r="A103" s="271"/>
      <c r="B103" s="20"/>
      <c r="C103" s="34" t="s">
        <v>7439</v>
      </c>
      <c r="D103" s="11"/>
      <c r="E103" s="12"/>
      <c r="F103" s="1304">
        <v>3000</v>
      </c>
      <c r="G103" s="182">
        <v>3050.46</v>
      </c>
      <c r="H103" s="1132"/>
      <c r="I103" s="1303"/>
      <c r="J103" s="1131"/>
      <c r="K103" s="18"/>
      <c r="L103" s="12"/>
      <c r="N103" s="18"/>
    </row>
    <row r="104" spans="1:14" ht="13.5" customHeight="1" x14ac:dyDescent="0.2">
      <c r="A104" s="271">
        <v>43209</v>
      </c>
      <c r="B104" s="20"/>
      <c r="C104" s="34" t="s">
        <v>7440</v>
      </c>
      <c r="D104" s="11"/>
      <c r="E104" s="12"/>
      <c r="F104" s="1131"/>
      <c r="G104" s="182"/>
      <c r="H104" s="1132"/>
      <c r="I104" s="1303">
        <v>1386.34</v>
      </c>
      <c r="J104" s="1131">
        <v>3833.9900000000007</v>
      </c>
      <c r="K104" s="18"/>
      <c r="L104" s="12"/>
      <c r="N104" s="18"/>
    </row>
    <row r="105" spans="1:14" ht="13.5" customHeight="1" x14ac:dyDescent="0.2">
      <c r="A105" s="271">
        <v>43210</v>
      </c>
      <c r="B105" s="20"/>
      <c r="C105" s="34" t="s">
        <v>7441</v>
      </c>
      <c r="D105" s="11"/>
      <c r="E105" s="12"/>
      <c r="F105" s="1131"/>
      <c r="G105" s="182"/>
      <c r="H105" s="1132">
        <v>600</v>
      </c>
      <c r="I105" s="1303"/>
      <c r="J105" s="1131"/>
      <c r="K105" s="18"/>
      <c r="L105" s="12"/>
      <c r="N105" s="18"/>
    </row>
    <row r="106" spans="1:14" ht="13.5" customHeight="1" x14ac:dyDescent="0.2">
      <c r="A106" s="271"/>
      <c r="B106" s="20"/>
      <c r="C106" s="34" t="s">
        <v>7442</v>
      </c>
      <c r="D106" s="11"/>
      <c r="E106" s="12"/>
      <c r="F106" s="1131"/>
      <c r="G106" s="182"/>
      <c r="H106" s="1132">
        <v>240</v>
      </c>
      <c r="I106" s="1303"/>
      <c r="J106" s="1131"/>
      <c r="K106" s="18"/>
      <c r="L106" s="12"/>
      <c r="N106" s="18"/>
    </row>
    <row r="107" spans="1:14" ht="13.5" customHeight="1" x14ac:dyDescent="0.2">
      <c r="A107" s="271"/>
      <c r="B107" s="20"/>
      <c r="C107" s="34" t="s">
        <v>36</v>
      </c>
      <c r="D107" s="11"/>
      <c r="E107" s="12"/>
      <c r="F107" s="1131"/>
      <c r="G107" s="182"/>
      <c r="H107" s="1132">
        <v>280</v>
      </c>
      <c r="I107" s="1303"/>
      <c r="J107" s="1131">
        <v>2713.9900000000007</v>
      </c>
      <c r="K107" s="18"/>
      <c r="L107" s="12"/>
      <c r="N107" s="18"/>
    </row>
    <row r="108" spans="1:14" ht="13.5" customHeight="1" x14ac:dyDescent="0.2">
      <c r="A108" s="271"/>
      <c r="B108" s="20"/>
      <c r="C108" s="34" t="s">
        <v>132</v>
      </c>
      <c r="D108" s="11">
        <v>411000</v>
      </c>
      <c r="E108" s="12">
        <v>-278.87</v>
      </c>
      <c r="F108" s="1131"/>
      <c r="G108" s="182">
        <v>2771.59</v>
      </c>
      <c r="H108" s="1132"/>
      <c r="I108" s="1303"/>
      <c r="J108" s="1131"/>
      <c r="K108" s="18"/>
      <c r="L108" s="12"/>
      <c r="N108" s="18"/>
    </row>
    <row r="109" spans="1:14" ht="13.5" customHeight="1" x14ac:dyDescent="0.2">
      <c r="A109" s="271">
        <v>43213</v>
      </c>
      <c r="B109" s="20"/>
      <c r="C109" s="34" t="s">
        <v>7443</v>
      </c>
      <c r="D109" s="11"/>
      <c r="E109" s="12"/>
      <c r="F109" s="1131"/>
      <c r="G109" s="205"/>
      <c r="H109" s="1132">
        <v>29</v>
      </c>
      <c r="I109" s="1303"/>
      <c r="J109" s="1131"/>
      <c r="K109" s="18"/>
      <c r="L109" s="12"/>
      <c r="N109" s="18"/>
    </row>
    <row r="110" spans="1:14" ht="13.5" customHeight="1" x14ac:dyDescent="0.2">
      <c r="A110" s="271"/>
      <c r="B110" s="20"/>
      <c r="C110" s="34" t="s">
        <v>7444</v>
      </c>
      <c r="D110" s="11"/>
      <c r="E110" s="12"/>
      <c r="F110" s="1131"/>
      <c r="G110" s="205"/>
      <c r="H110" s="1132">
        <v>21.4</v>
      </c>
      <c r="I110" s="1303"/>
      <c r="J110" s="1131"/>
      <c r="K110" s="18"/>
      <c r="L110" s="12"/>
      <c r="N110" s="18"/>
    </row>
    <row r="111" spans="1:14" ht="13.5" customHeight="1" x14ac:dyDescent="0.2">
      <c r="A111" s="271"/>
      <c r="B111" s="20"/>
      <c r="C111" s="34" t="s">
        <v>7445</v>
      </c>
      <c r="D111" s="11"/>
      <c r="E111" s="12"/>
      <c r="F111" s="1131"/>
      <c r="G111" s="205"/>
      <c r="H111" s="1132"/>
      <c r="I111" s="1303">
        <v>7977.69</v>
      </c>
      <c r="J111" s="1131"/>
      <c r="K111" s="18"/>
      <c r="L111" s="12"/>
      <c r="N111" s="18"/>
    </row>
    <row r="112" spans="1:14" ht="13.5" customHeight="1" x14ac:dyDescent="0.2">
      <c r="A112" s="271"/>
      <c r="B112" s="20"/>
      <c r="C112" s="34" t="s">
        <v>7446</v>
      </c>
      <c r="D112" s="11"/>
      <c r="E112" s="12"/>
      <c r="F112" s="1131"/>
      <c r="G112" s="205"/>
      <c r="H112" s="1132"/>
      <c r="I112" s="1303">
        <v>500</v>
      </c>
      <c r="J112" s="1131">
        <v>11141.28</v>
      </c>
      <c r="K112" s="18"/>
      <c r="L112" s="12"/>
      <c r="N112" s="18"/>
    </row>
    <row r="113" spans="1:14" ht="13.5" customHeight="1" x14ac:dyDescent="0.2">
      <c r="A113" s="271"/>
      <c r="B113" s="20"/>
      <c r="C113" s="34" t="s">
        <v>127</v>
      </c>
      <c r="D113" s="11">
        <v>0</v>
      </c>
      <c r="E113" s="12">
        <v>-24.96</v>
      </c>
      <c r="F113" s="1131"/>
      <c r="G113" s="182"/>
      <c r="H113" s="1132"/>
      <c r="I113" s="1303"/>
      <c r="J113" s="1131"/>
      <c r="K113" s="18"/>
      <c r="L113" s="12"/>
      <c r="N113" s="18"/>
    </row>
    <row r="114" spans="1:14" ht="13.5" customHeight="1" x14ac:dyDescent="0.2">
      <c r="A114" s="271"/>
      <c r="B114" s="20"/>
      <c r="C114" s="34" t="s">
        <v>131</v>
      </c>
      <c r="D114" s="11">
        <v>0</v>
      </c>
      <c r="E114" s="12">
        <v>-26.47</v>
      </c>
      <c r="F114" s="1131"/>
      <c r="G114" s="182"/>
      <c r="H114" s="1132"/>
      <c r="I114" s="1303"/>
      <c r="J114" s="1131"/>
      <c r="K114" s="18"/>
      <c r="L114" s="12"/>
      <c r="N114" s="18"/>
    </row>
    <row r="115" spans="1:14" ht="13.5" customHeight="1" x14ac:dyDescent="0.2">
      <c r="A115" s="271"/>
      <c r="B115" s="20"/>
      <c r="C115" s="34" t="s">
        <v>128</v>
      </c>
      <c r="D115" s="11">
        <v>0</v>
      </c>
      <c r="E115" s="12">
        <v>-28.2</v>
      </c>
      <c r="F115" s="1131"/>
      <c r="G115" s="182"/>
      <c r="H115" s="1132"/>
      <c r="I115" s="1303"/>
      <c r="J115" s="1131"/>
      <c r="K115" s="18"/>
      <c r="L115" s="12"/>
      <c r="N115" s="18"/>
    </row>
    <row r="116" spans="1:14" ht="13.5" customHeight="1" x14ac:dyDescent="0.2">
      <c r="A116" s="271"/>
      <c r="B116" s="20"/>
      <c r="C116" s="34" t="s">
        <v>129</v>
      </c>
      <c r="D116" s="11">
        <v>0</v>
      </c>
      <c r="E116" s="12">
        <v>-39</v>
      </c>
      <c r="F116" s="1131"/>
      <c r="G116" s="182"/>
      <c r="H116" s="1132"/>
      <c r="I116" s="1303"/>
      <c r="J116" s="1131"/>
      <c r="K116" s="18"/>
      <c r="L116" s="12"/>
      <c r="N116" s="18"/>
    </row>
    <row r="117" spans="1:14" ht="13.5" customHeight="1" x14ac:dyDescent="0.2">
      <c r="A117" s="271"/>
      <c r="B117" s="20"/>
      <c r="C117" s="34" t="s">
        <v>130</v>
      </c>
      <c r="D117" s="11">
        <v>0</v>
      </c>
      <c r="E117" s="12">
        <v>-149.76</v>
      </c>
      <c r="F117" s="1131"/>
      <c r="G117" s="182"/>
      <c r="H117" s="1132"/>
      <c r="I117" s="1303"/>
      <c r="J117" s="1131"/>
      <c r="K117" s="18"/>
      <c r="L117" s="12"/>
      <c r="N117" s="18"/>
    </row>
    <row r="118" spans="1:14" ht="13.5" customHeight="1" x14ac:dyDescent="0.2">
      <c r="A118" s="271"/>
      <c r="B118" s="20"/>
      <c r="C118" s="34" t="s">
        <v>133</v>
      </c>
      <c r="D118" s="11">
        <v>41000</v>
      </c>
      <c r="E118" s="12">
        <v>-685.17</v>
      </c>
      <c r="F118" s="1131"/>
      <c r="G118" s="182"/>
      <c r="H118" s="1132"/>
      <c r="I118" s="1303"/>
      <c r="J118" s="1131"/>
      <c r="K118" s="18"/>
      <c r="L118" s="12"/>
      <c r="N118" s="18"/>
    </row>
    <row r="119" spans="1:14" ht="13.5" customHeight="1" x14ac:dyDescent="0.2">
      <c r="A119" s="271"/>
      <c r="B119" s="20"/>
      <c r="C119" s="34" t="s">
        <v>20</v>
      </c>
      <c r="D119" s="11">
        <v>0</v>
      </c>
      <c r="E119" s="12"/>
      <c r="F119" s="1131">
        <v>0.01</v>
      </c>
      <c r="G119" s="182">
        <v>1818.04</v>
      </c>
      <c r="H119" s="1132"/>
      <c r="I119" s="1303"/>
      <c r="J119" s="1131"/>
      <c r="K119" s="18"/>
      <c r="L119" s="12"/>
      <c r="N119" s="18"/>
    </row>
    <row r="120" spans="1:14" ht="13.5" customHeight="1" x14ac:dyDescent="0.2">
      <c r="A120" s="271">
        <v>43214</v>
      </c>
      <c r="B120" s="20"/>
      <c r="C120" s="36" t="s">
        <v>7438</v>
      </c>
      <c r="D120" s="11"/>
      <c r="E120" s="12"/>
      <c r="F120" s="1131"/>
      <c r="G120" s="205"/>
      <c r="H120" s="1305">
        <v>42</v>
      </c>
      <c r="I120" s="1303"/>
      <c r="J120" s="1131"/>
      <c r="K120" s="18"/>
      <c r="L120" s="12"/>
      <c r="N120" s="18"/>
    </row>
    <row r="121" spans="1:14" ht="13.5" customHeight="1" x14ac:dyDescent="0.2">
      <c r="A121" s="271"/>
      <c r="B121" s="20"/>
      <c r="C121" s="34" t="s">
        <v>471</v>
      </c>
      <c r="D121" s="11"/>
      <c r="E121" s="12"/>
      <c r="F121" s="1131"/>
      <c r="G121" s="205"/>
      <c r="H121" s="1305">
        <v>8477.69</v>
      </c>
      <c r="I121" s="1303"/>
      <c r="J121" s="1131"/>
      <c r="K121" s="18"/>
      <c r="L121" s="12"/>
      <c r="N121" s="18"/>
    </row>
    <row r="122" spans="1:14" ht="13.5" customHeight="1" x14ac:dyDescent="0.2">
      <c r="A122" s="271"/>
      <c r="B122" s="20"/>
      <c r="C122" s="34" t="s">
        <v>470</v>
      </c>
      <c r="D122" s="11"/>
      <c r="E122" s="12"/>
      <c r="F122" s="1131"/>
      <c r="G122" s="205"/>
      <c r="H122" s="1305">
        <v>1250</v>
      </c>
      <c r="I122" s="1303"/>
      <c r="J122" s="1131"/>
      <c r="K122" s="18"/>
      <c r="L122" s="12"/>
      <c r="N122" s="18"/>
    </row>
    <row r="123" spans="1:14" ht="13.5" customHeight="1" x14ac:dyDescent="0.2">
      <c r="A123" s="271"/>
      <c r="B123" s="20"/>
      <c r="C123" s="34" t="s">
        <v>7447</v>
      </c>
      <c r="D123" s="11"/>
      <c r="E123" s="12"/>
      <c r="F123" s="1131"/>
      <c r="G123" s="205"/>
      <c r="H123" s="1132">
        <v>44</v>
      </c>
      <c r="I123" s="1303"/>
      <c r="J123" s="1131"/>
      <c r="K123" s="18"/>
      <c r="L123" s="12"/>
      <c r="N123" s="18"/>
    </row>
    <row r="124" spans="1:14" ht="13.5" customHeight="1" x14ac:dyDescent="0.2">
      <c r="A124" s="271"/>
      <c r="B124" s="20"/>
      <c r="C124" s="34" t="s">
        <v>7448</v>
      </c>
      <c r="D124" s="11"/>
      <c r="E124" s="12"/>
      <c r="F124" s="1131"/>
      <c r="G124" s="205"/>
      <c r="H124" s="1132">
        <v>20.29</v>
      </c>
      <c r="I124" s="1303"/>
      <c r="J124" s="1131"/>
      <c r="K124" s="18"/>
      <c r="L124" s="12"/>
      <c r="N124" s="18"/>
    </row>
    <row r="125" spans="1:14" ht="13.5" customHeight="1" x14ac:dyDescent="0.2">
      <c r="A125" s="271"/>
      <c r="B125" s="20"/>
      <c r="C125" s="34" t="s">
        <v>7449</v>
      </c>
      <c r="D125" s="11"/>
      <c r="E125" s="12"/>
      <c r="F125" s="1131"/>
      <c r="G125" s="205"/>
      <c r="H125" s="1132">
        <v>8.98</v>
      </c>
      <c r="I125" s="1303"/>
      <c r="J125" s="1131">
        <v>1298.3200000000002</v>
      </c>
      <c r="K125" s="18"/>
      <c r="L125" s="12"/>
      <c r="N125" s="18"/>
    </row>
    <row r="126" spans="1:14" ht="13.5" customHeight="1" x14ac:dyDescent="0.2">
      <c r="A126" s="271"/>
      <c r="B126" s="20" t="s">
        <v>591</v>
      </c>
      <c r="C126" s="34" t="s">
        <v>470</v>
      </c>
      <c r="D126" s="11">
        <v>64963</v>
      </c>
      <c r="E126" s="12"/>
      <c r="F126" s="1306">
        <v>1250</v>
      </c>
      <c r="G126" s="182"/>
      <c r="H126" s="1132"/>
      <c r="I126" s="1303"/>
      <c r="J126" s="1131"/>
      <c r="K126" s="18"/>
      <c r="L126" s="12"/>
      <c r="N126" s="18"/>
    </row>
    <row r="127" spans="1:14" ht="13.5" customHeight="1" x14ac:dyDescent="0.2">
      <c r="A127" s="271"/>
      <c r="B127" s="20"/>
      <c r="C127" s="34" t="s">
        <v>7450</v>
      </c>
      <c r="D127" s="11">
        <v>0</v>
      </c>
      <c r="E127" s="12">
        <v>-648</v>
      </c>
      <c r="F127" s="1131"/>
      <c r="G127" s="182">
        <v>2420.04</v>
      </c>
      <c r="H127" s="1132"/>
      <c r="I127" s="1303"/>
      <c r="J127" s="1131"/>
      <c r="K127" s="18"/>
      <c r="L127" s="12"/>
      <c r="N127" s="18"/>
    </row>
    <row r="128" spans="1:14" ht="13.5" customHeight="1" x14ac:dyDescent="0.2">
      <c r="A128" s="271">
        <v>43215</v>
      </c>
      <c r="B128" s="20"/>
      <c r="C128" s="34" t="s">
        <v>339</v>
      </c>
      <c r="D128" s="11"/>
      <c r="E128" s="12"/>
      <c r="F128" s="1131"/>
      <c r="G128" s="205"/>
      <c r="H128" s="1132">
        <v>8.98</v>
      </c>
      <c r="I128" s="1303"/>
      <c r="J128" s="1131"/>
      <c r="K128" s="18"/>
      <c r="L128" s="12"/>
      <c r="N128" s="18"/>
    </row>
    <row r="129" spans="1:14" ht="13.5" customHeight="1" x14ac:dyDescent="0.2">
      <c r="A129" s="271"/>
      <c r="B129" s="20"/>
      <c r="C129" s="34" t="s">
        <v>7451</v>
      </c>
      <c r="D129" s="11"/>
      <c r="E129" s="12"/>
      <c r="F129" s="1131"/>
      <c r="G129" s="205"/>
      <c r="H129" s="1132">
        <v>4.5999999999999996</v>
      </c>
      <c r="I129" s="1303"/>
      <c r="J129" s="1131"/>
      <c r="K129" s="18"/>
      <c r="L129" s="12"/>
      <c r="N129" s="18"/>
    </row>
    <row r="130" spans="1:14" ht="13.5" customHeight="1" x14ac:dyDescent="0.2">
      <c r="A130" s="271"/>
      <c r="B130" s="20"/>
      <c r="C130" s="34" t="s">
        <v>7452</v>
      </c>
      <c r="D130" s="11"/>
      <c r="E130" s="12"/>
      <c r="F130" s="1131"/>
      <c r="G130" s="205"/>
      <c r="H130" s="1132">
        <v>16.5</v>
      </c>
      <c r="I130" s="1303"/>
      <c r="J130" s="1131"/>
      <c r="K130" s="18"/>
      <c r="L130" s="12"/>
      <c r="N130" s="18"/>
    </row>
    <row r="131" spans="1:14" ht="13.5" customHeight="1" x14ac:dyDescent="0.2">
      <c r="A131" s="271"/>
      <c r="B131" s="20"/>
      <c r="C131" s="34" t="s">
        <v>7453</v>
      </c>
      <c r="D131" s="11"/>
      <c r="E131" s="12"/>
      <c r="F131" s="1131"/>
      <c r="G131" s="205"/>
      <c r="H131" s="1132">
        <v>50</v>
      </c>
      <c r="I131" s="1303"/>
      <c r="J131" s="1131"/>
      <c r="K131" s="18"/>
      <c r="L131" s="12"/>
      <c r="N131" s="18"/>
    </row>
    <row r="132" spans="1:14" ht="13.5" customHeight="1" x14ac:dyDescent="0.2">
      <c r="A132" s="271"/>
      <c r="B132" s="20"/>
      <c r="C132" s="34" t="s">
        <v>7454</v>
      </c>
      <c r="D132" s="11"/>
      <c r="E132" s="12"/>
      <c r="F132" s="1131"/>
      <c r="G132" s="205"/>
      <c r="H132" s="1132">
        <v>5</v>
      </c>
      <c r="I132" s="1303"/>
      <c r="J132" s="1131">
        <v>1213.2400000000002</v>
      </c>
      <c r="K132" s="18"/>
      <c r="L132" s="12"/>
      <c r="N132" s="18"/>
    </row>
    <row r="133" spans="1:14" ht="13.5" customHeight="1" x14ac:dyDescent="0.2">
      <c r="A133" s="271"/>
      <c r="B133" s="20"/>
      <c r="C133" s="34" t="s">
        <v>7455</v>
      </c>
      <c r="D133" s="11">
        <v>0</v>
      </c>
      <c r="E133" s="12">
        <v>-278.57</v>
      </c>
      <c r="F133" s="1131"/>
      <c r="G133" s="182">
        <v>2141.4699999999998</v>
      </c>
      <c r="H133" s="1132"/>
      <c r="I133" s="1303"/>
      <c r="J133" s="1131"/>
      <c r="K133" s="18"/>
      <c r="L133" s="12"/>
      <c r="N133" s="18"/>
    </row>
    <row r="134" spans="1:14" ht="13.5" customHeight="1" x14ac:dyDescent="0.2">
      <c r="A134" s="271">
        <v>43216</v>
      </c>
      <c r="B134" s="20"/>
      <c r="C134" s="34" t="s">
        <v>7456</v>
      </c>
      <c r="D134" s="11"/>
      <c r="E134" s="12"/>
      <c r="F134" s="1131"/>
      <c r="G134" s="205"/>
      <c r="H134" s="1132"/>
      <c r="I134" s="1307">
        <v>2000</v>
      </c>
      <c r="J134" s="1131"/>
      <c r="K134" s="18"/>
      <c r="L134" s="12"/>
      <c r="N134" s="18"/>
    </row>
    <row r="135" spans="1:14" ht="13.5" customHeight="1" x14ac:dyDescent="0.2">
      <c r="A135" s="271"/>
      <c r="B135" s="20"/>
      <c r="C135" s="34" t="s">
        <v>7457</v>
      </c>
      <c r="D135" s="11"/>
      <c r="E135" s="12"/>
      <c r="F135" s="1131"/>
      <c r="G135" s="205"/>
      <c r="H135" s="1132">
        <v>75</v>
      </c>
      <c r="I135" s="1303"/>
      <c r="J135" s="1131"/>
      <c r="K135" s="18"/>
      <c r="L135" s="12"/>
      <c r="N135" s="18"/>
    </row>
    <row r="136" spans="1:14" ht="13.5" customHeight="1" x14ac:dyDescent="0.2">
      <c r="A136" s="271"/>
      <c r="B136" s="20"/>
      <c r="C136" s="34" t="s">
        <v>7458</v>
      </c>
      <c r="D136" s="11"/>
      <c r="E136" s="12"/>
      <c r="F136" s="1131"/>
      <c r="G136" s="205"/>
      <c r="H136" s="1132">
        <v>75</v>
      </c>
      <c r="I136" s="1303"/>
      <c r="J136" s="1131"/>
      <c r="K136" s="18"/>
      <c r="L136" s="12"/>
      <c r="N136" s="18"/>
    </row>
    <row r="137" spans="1:14" ht="13.5" customHeight="1" x14ac:dyDescent="0.2">
      <c r="A137" s="271"/>
      <c r="B137" s="20"/>
      <c r="C137" s="34" t="s">
        <v>7459</v>
      </c>
      <c r="D137" s="11"/>
      <c r="E137" s="12"/>
      <c r="F137" s="1131"/>
      <c r="G137" s="205"/>
      <c r="H137" s="1132">
        <v>75</v>
      </c>
      <c r="I137" s="1303"/>
      <c r="J137" s="1131"/>
      <c r="K137" s="18"/>
      <c r="L137" s="12"/>
      <c r="N137" s="18"/>
    </row>
    <row r="138" spans="1:14" ht="13.5" customHeight="1" x14ac:dyDescent="0.2">
      <c r="A138" s="271"/>
      <c r="B138" s="20"/>
      <c r="C138" s="34" t="s">
        <v>7460</v>
      </c>
      <c r="D138" s="11"/>
      <c r="E138" s="12"/>
      <c r="F138" s="1131"/>
      <c r="G138" s="205"/>
      <c r="H138" s="1132">
        <v>75</v>
      </c>
      <c r="I138" s="1303"/>
      <c r="J138" s="1131">
        <v>2913.2400000000002</v>
      </c>
      <c r="K138" s="18"/>
      <c r="L138" s="12"/>
      <c r="N138" s="18"/>
    </row>
    <row r="139" spans="1:14" ht="13.5" customHeight="1" x14ac:dyDescent="0.2">
      <c r="A139" s="271"/>
      <c r="B139" s="20"/>
      <c r="C139" s="34" t="s">
        <v>7461</v>
      </c>
      <c r="D139" s="11">
        <v>0</v>
      </c>
      <c r="E139" s="12"/>
      <c r="F139" s="1131">
        <v>1075</v>
      </c>
      <c r="G139" s="182">
        <v>3216.47</v>
      </c>
      <c r="H139" s="1132"/>
      <c r="I139" s="1303"/>
      <c r="J139" s="1131"/>
      <c r="K139" s="18"/>
      <c r="L139" s="12"/>
      <c r="N139" s="18"/>
    </row>
    <row r="140" spans="1:14" ht="13.5" customHeight="1" x14ac:dyDescent="0.2">
      <c r="A140" s="271">
        <v>43217</v>
      </c>
      <c r="B140" s="20"/>
      <c r="C140" s="34" t="s">
        <v>7462</v>
      </c>
      <c r="D140" s="11"/>
      <c r="E140" s="12"/>
      <c r="F140" s="1131"/>
      <c r="G140" s="205"/>
      <c r="H140" s="1132">
        <v>8.0399999999999991</v>
      </c>
      <c r="I140" s="1303"/>
      <c r="J140" s="1131"/>
      <c r="K140" s="18"/>
      <c r="L140" s="12"/>
      <c r="N140" s="18"/>
    </row>
    <row r="141" spans="1:14" ht="13.5" customHeight="1" x14ac:dyDescent="0.2">
      <c r="A141" s="271"/>
      <c r="B141" s="20"/>
      <c r="C141" s="34" t="s">
        <v>846</v>
      </c>
      <c r="D141" s="11"/>
      <c r="E141" s="12"/>
      <c r="F141" s="1131"/>
      <c r="G141" s="205"/>
      <c r="H141" s="1132">
        <v>45.4</v>
      </c>
      <c r="I141" s="1303"/>
      <c r="J141" s="1131"/>
      <c r="K141" s="18"/>
      <c r="L141" s="12"/>
      <c r="N141" s="18"/>
    </row>
    <row r="142" spans="1:14" ht="13.5" customHeight="1" x14ac:dyDescent="0.2">
      <c r="A142" s="271"/>
      <c r="B142" s="20"/>
      <c r="C142" s="34" t="s">
        <v>36</v>
      </c>
      <c r="D142" s="11"/>
      <c r="E142" s="12"/>
      <c r="F142" s="1131"/>
      <c r="G142" s="205"/>
      <c r="H142" s="1132">
        <v>200</v>
      </c>
      <c r="I142" s="1303"/>
      <c r="J142" s="1131"/>
      <c r="K142" s="18"/>
      <c r="L142" s="12"/>
      <c r="N142" s="18"/>
    </row>
    <row r="143" spans="1:14" ht="13.5" customHeight="1" x14ac:dyDescent="0.2">
      <c r="A143" s="271"/>
      <c r="B143" s="20"/>
      <c r="C143" s="34" t="s">
        <v>7441</v>
      </c>
      <c r="D143" s="11"/>
      <c r="E143" s="12"/>
      <c r="F143" s="1131"/>
      <c r="G143" s="205"/>
      <c r="H143" s="1132">
        <v>370</v>
      </c>
      <c r="I143" s="1303"/>
      <c r="J143" s="1131"/>
      <c r="K143" s="18"/>
      <c r="L143" s="12"/>
      <c r="N143" s="18"/>
    </row>
    <row r="144" spans="1:14" ht="13.5" customHeight="1" x14ac:dyDescent="0.2">
      <c r="A144" s="271"/>
      <c r="B144" s="20"/>
      <c r="C144" s="34" t="s">
        <v>7442</v>
      </c>
      <c r="D144" s="11"/>
      <c r="E144" s="12"/>
      <c r="F144" s="1131"/>
      <c r="G144" s="205"/>
      <c r="H144" s="1132">
        <v>370</v>
      </c>
      <c r="I144" s="1303"/>
      <c r="J144" s="1131">
        <v>1919.8000000000002</v>
      </c>
      <c r="K144" s="18"/>
      <c r="L144" s="12"/>
      <c r="N144" s="18"/>
    </row>
    <row r="145" spans="1:14" ht="13.5" customHeight="1" x14ac:dyDescent="0.2">
      <c r="A145" s="271">
        <v>43220</v>
      </c>
      <c r="B145" s="20"/>
      <c r="C145" s="34" t="s">
        <v>7463</v>
      </c>
      <c r="D145" s="11"/>
      <c r="E145" s="12"/>
      <c r="F145" s="1131"/>
      <c r="G145" s="205"/>
      <c r="H145" s="1132">
        <v>20.03</v>
      </c>
      <c r="I145" s="1303"/>
      <c r="J145" s="1131"/>
      <c r="K145" s="18"/>
      <c r="L145" s="12"/>
      <c r="N145" s="18"/>
    </row>
    <row r="146" spans="1:14" ht="13.5" customHeight="1" x14ac:dyDescent="0.2">
      <c r="A146" s="271"/>
      <c r="B146" s="20"/>
      <c r="C146" s="34" t="s">
        <v>7464</v>
      </c>
      <c r="D146" s="11"/>
      <c r="E146" s="12"/>
      <c r="F146" s="1131"/>
      <c r="G146" s="205"/>
      <c r="H146" s="1132">
        <v>11.4</v>
      </c>
      <c r="I146" s="1303"/>
      <c r="J146" s="1131"/>
      <c r="K146" s="18"/>
      <c r="L146" s="12"/>
      <c r="N146" s="18"/>
    </row>
    <row r="147" spans="1:14" ht="13.5" customHeight="1" x14ac:dyDescent="0.2">
      <c r="A147" s="271"/>
      <c r="B147" s="20"/>
      <c r="C147" s="34" t="s">
        <v>7465</v>
      </c>
      <c r="D147" s="11"/>
      <c r="E147" s="12"/>
      <c r="F147" s="1131"/>
      <c r="G147" s="205"/>
      <c r="H147" s="1132">
        <v>3</v>
      </c>
      <c r="I147" s="1303"/>
      <c r="J147" s="1131"/>
      <c r="K147" s="18"/>
      <c r="L147" s="12"/>
      <c r="N147" s="18"/>
    </row>
    <row r="148" spans="1:14" ht="13.5" customHeight="1" x14ac:dyDescent="0.2">
      <c r="A148" s="271"/>
      <c r="B148" s="20"/>
      <c r="C148" s="34" t="s">
        <v>7466</v>
      </c>
      <c r="D148" s="11"/>
      <c r="E148" s="12"/>
      <c r="F148" s="1131"/>
      <c r="G148" s="205"/>
      <c r="H148" s="1132">
        <v>111.5</v>
      </c>
      <c r="I148" s="1303"/>
      <c r="J148" s="1131"/>
      <c r="K148" s="18"/>
      <c r="L148" s="12"/>
      <c r="N148" s="18"/>
    </row>
    <row r="149" spans="1:14" ht="13.5" customHeight="1" x14ac:dyDescent="0.2">
      <c r="A149" s="271"/>
      <c r="B149" s="20"/>
      <c r="C149" s="34" t="s">
        <v>7467</v>
      </c>
      <c r="D149" s="11"/>
      <c r="E149" s="12"/>
      <c r="F149" s="1131"/>
      <c r="G149" s="205"/>
      <c r="H149" s="1132"/>
      <c r="I149" s="1303">
        <v>1205</v>
      </c>
      <c r="J149" s="1133">
        <v>2978.87</v>
      </c>
      <c r="K149" s="18"/>
      <c r="L149" s="12"/>
      <c r="N149" s="18">
        <v>2978.87</v>
      </c>
    </row>
    <row r="150" spans="1:14" ht="13.5" customHeight="1" x14ac:dyDescent="0.2">
      <c r="A150" s="271"/>
      <c r="B150" s="20"/>
      <c r="C150" s="34" t="s">
        <v>7468</v>
      </c>
      <c r="D150" s="11">
        <v>0</v>
      </c>
      <c r="E150" s="12">
        <v>-1473.19</v>
      </c>
      <c r="F150" s="1131"/>
      <c r="G150" s="182"/>
      <c r="H150" s="1132"/>
      <c r="I150" s="1303"/>
      <c r="J150" s="1131"/>
      <c r="K150" s="18"/>
      <c r="L150" s="12"/>
      <c r="N150" s="18"/>
    </row>
    <row r="151" spans="1:14" ht="13.5" customHeight="1" x14ac:dyDescent="0.2">
      <c r="A151" s="271"/>
      <c r="B151" s="20"/>
      <c r="C151" s="34" t="s">
        <v>7469</v>
      </c>
      <c r="D151" s="11">
        <v>0</v>
      </c>
      <c r="E151" s="12">
        <v>-296.22000000000003</v>
      </c>
      <c r="F151" s="1131"/>
      <c r="G151" s="205"/>
      <c r="H151" s="1132"/>
      <c r="I151" s="1303"/>
      <c r="J151" s="1131"/>
      <c r="K151" s="18"/>
      <c r="L151" s="12"/>
      <c r="N151" s="18"/>
    </row>
    <row r="152" spans="1:14" ht="13.5" customHeight="1" x14ac:dyDescent="0.2">
      <c r="A152" s="271"/>
      <c r="B152" s="20"/>
      <c r="C152" s="34" t="s">
        <v>20</v>
      </c>
      <c r="D152" s="11"/>
      <c r="E152" s="12"/>
      <c r="F152" s="1131">
        <v>0.06</v>
      </c>
      <c r="G152" s="228">
        <v>1447.12</v>
      </c>
      <c r="H152" s="1132"/>
      <c r="I152" s="1303"/>
      <c r="J152" s="1131"/>
      <c r="K152" s="18"/>
      <c r="L152" s="12"/>
      <c r="N152" s="18"/>
    </row>
    <row r="153" spans="1:14" ht="13.5" customHeight="1" thickBot="1" x14ac:dyDescent="0.25">
      <c r="A153" s="47"/>
      <c r="B153" s="48"/>
      <c r="C153" s="49"/>
      <c r="D153" s="50"/>
      <c r="E153" s="51"/>
      <c r="F153" s="52"/>
      <c r="G153" s="53"/>
      <c r="H153" s="54"/>
      <c r="I153" s="55"/>
      <c r="J153" s="52"/>
      <c r="L153" s="12"/>
    </row>
    <row r="154" spans="1:14" ht="13.5" customHeight="1" thickBot="1" x14ac:dyDescent="0.25">
      <c r="A154" s="2" t="s">
        <v>2</v>
      </c>
      <c r="B154" s="3"/>
      <c r="C154" s="3" t="s">
        <v>481</v>
      </c>
      <c r="D154" s="3" t="s">
        <v>4</v>
      </c>
      <c r="E154" s="3" t="s">
        <v>5</v>
      </c>
      <c r="F154" s="3" t="s">
        <v>6</v>
      </c>
      <c r="G154" s="5" t="s">
        <v>7</v>
      </c>
      <c r="H154" s="1415" t="s">
        <v>482</v>
      </c>
      <c r="I154" s="1416"/>
      <c r="J154" s="1417"/>
    </row>
    <row r="155" spans="1:14" ht="13.5" customHeight="1" x14ac:dyDescent="0.2">
      <c r="A155" s="8" t="s">
        <v>7470</v>
      </c>
      <c r="B155" s="56"/>
      <c r="C155" s="10" t="s">
        <v>8</v>
      </c>
      <c r="D155" s="11">
        <v>0</v>
      </c>
      <c r="E155" s="51"/>
      <c r="F155" s="12"/>
      <c r="G155" s="178">
        <v>0</v>
      </c>
      <c r="H155" s="179"/>
      <c r="I155" s="57"/>
      <c r="J155" s="58">
        <v>16111.47</v>
      </c>
      <c r="K155" s="40"/>
      <c r="L155" s="51"/>
    </row>
    <row r="156" spans="1:14" ht="13.5" customHeight="1" x14ac:dyDescent="0.2">
      <c r="A156" s="180" t="s">
        <v>7471</v>
      </c>
      <c r="B156" s="56" t="s">
        <v>483</v>
      </c>
      <c r="C156" s="36" t="s">
        <v>86</v>
      </c>
      <c r="D156" s="11" t="s">
        <v>488</v>
      </c>
      <c r="E156" s="1238">
        <v>-9.5</v>
      </c>
      <c r="F156" s="1217" t="s">
        <v>483</v>
      </c>
      <c r="G156" s="182"/>
      <c r="H156" s="59"/>
      <c r="I156" s="60"/>
      <c r="J156" s="61">
        <v>16111.47</v>
      </c>
      <c r="K156" s="40"/>
      <c r="L156" s="30"/>
    </row>
    <row r="157" spans="1:14" ht="13.5" customHeight="1" x14ac:dyDescent="0.2">
      <c r="A157" s="180"/>
      <c r="B157" s="56" t="s">
        <v>483</v>
      </c>
      <c r="C157" s="36" t="s">
        <v>7472</v>
      </c>
      <c r="D157" s="11" t="s">
        <v>4201</v>
      </c>
      <c r="E157" s="1238">
        <v>-430</v>
      </c>
      <c r="F157" s="1217" t="s">
        <v>483</v>
      </c>
      <c r="G157" s="182"/>
      <c r="H157" s="59"/>
      <c r="I157" s="60"/>
      <c r="J157" s="61">
        <v>16111.47</v>
      </c>
      <c r="K157" s="1308"/>
      <c r="L157" s="30"/>
    </row>
    <row r="158" spans="1:14" ht="13.5" customHeight="1" x14ac:dyDescent="0.2">
      <c r="A158" s="180"/>
      <c r="B158" s="56" t="s">
        <v>483</v>
      </c>
      <c r="C158" s="36" t="s">
        <v>173</v>
      </c>
      <c r="D158" s="11" t="s">
        <v>7473</v>
      </c>
      <c r="E158" s="1238">
        <v>-950.84</v>
      </c>
      <c r="F158" s="1217" t="s">
        <v>483</v>
      </c>
      <c r="G158" s="182"/>
      <c r="H158" s="59"/>
      <c r="I158" s="60"/>
      <c r="J158" s="61">
        <v>16111.47</v>
      </c>
      <c r="K158" s="40"/>
      <c r="L158" s="30"/>
    </row>
    <row r="159" spans="1:14" ht="13.5" customHeight="1" x14ac:dyDescent="0.2">
      <c r="A159" s="180"/>
      <c r="B159" s="56" t="s">
        <v>483</v>
      </c>
      <c r="C159" s="34" t="s">
        <v>172</v>
      </c>
      <c r="D159" s="11" t="s">
        <v>7474</v>
      </c>
      <c r="E159" s="1238">
        <v>-569.89</v>
      </c>
      <c r="F159" s="1217" t="s">
        <v>483</v>
      </c>
      <c r="G159" s="182"/>
      <c r="H159" s="59"/>
      <c r="I159" s="60"/>
      <c r="J159" s="61">
        <v>16111.47</v>
      </c>
      <c r="K159" s="40"/>
      <c r="L159" s="30"/>
    </row>
    <row r="160" spans="1:14" ht="13.5" customHeight="1" x14ac:dyDescent="0.2">
      <c r="A160" s="180"/>
      <c r="B160" s="56" t="s">
        <v>483</v>
      </c>
      <c r="C160" s="34" t="s">
        <v>171</v>
      </c>
      <c r="D160" s="11" t="s">
        <v>7475</v>
      </c>
      <c r="E160" s="1238">
        <v>-538.17999999999995</v>
      </c>
      <c r="F160" s="1217" t="s">
        <v>483</v>
      </c>
      <c r="G160" s="182"/>
      <c r="H160" s="59"/>
      <c r="I160" s="60"/>
      <c r="J160" s="61">
        <v>16111.47</v>
      </c>
      <c r="K160" s="40"/>
      <c r="L160" s="30"/>
    </row>
    <row r="161" spans="1:12" ht="13.5" customHeight="1" x14ac:dyDescent="0.2">
      <c r="A161" s="180"/>
      <c r="B161" s="56" t="s">
        <v>483</v>
      </c>
      <c r="C161" s="36" t="s">
        <v>174</v>
      </c>
      <c r="D161" s="11" t="s">
        <v>488</v>
      </c>
      <c r="E161" s="622"/>
      <c r="F161" s="1240">
        <v>2498.41</v>
      </c>
      <c r="G161" s="182">
        <v>0</v>
      </c>
      <c r="H161" s="59">
        <v>2498.41</v>
      </c>
      <c r="I161" s="60"/>
      <c r="J161" s="61">
        <v>13613.06</v>
      </c>
      <c r="K161" s="40"/>
      <c r="L161" s="30"/>
    </row>
    <row r="162" spans="1:12" ht="13.5" customHeight="1" x14ac:dyDescent="0.2">
      <c r="A162" s="180" t="s">
        <v>7476</v>
      </c>
      <c r="B162" s="56" t="s">
        <v>483</v>
      </c>
      <c r="C162" s="36" t="s">
        <v>7477</v>
      </c>
      <c r="D162" s="11" t="s">
        <v>488</v>
      </c>
      <c r="E162" s="1238">
        <v>-1627.83</v>
      </c>
      <c r="F162" s="1217"/>
      <c r="G162" s="182"/>
      <c r="H162" s="59"/>
      <c r="I162" s="60"/>
      <c r="J162" s="61">
        <v>13613.06</v>
      </c>
      <c r="K162" s="40"/>
      <c r="L162" s="30"/>
    </row>
    <row r="163" spans="1:12" ht="13.5" customHeight="1" x14ac:dyDescent="0.2">
      <c r="A163" s="180"/>
      <c r="B163" s="56" t="s">
        <v>483</v>
      </c>
      <c r="C163" s="36" t="s">
        <v>7478</v>
      </c>
      <c r="D163" s="11" t="s">
        <v>7479</v>
      </c>
      <c r="E163" s="1238">
        <v>-270</v>
      </c>
      <c r="F163" s="1217" t="s">
        <v>483</v>
      </c>
      <c r="G163" s="182"/>
      <c r="H163" s="59"/>
      <c r="I163" s="60"/>
      <c r="J163" s="61">
        <v>13613.06</v>
      </c>
      <c r="K163" s="40"/>
      <c r="L163" s="30"/>
    </row>
    <row r="164" spans="1:12" ht="13.5" customHeight="1" x14ac:dyDescent="0.2">
      <c r="A164" s="180"/>
      <c r="B164" s="56" t="s">
        <v>483</v>
      </c>
      <c r="C164" s="36" t="s">
        <v>174</v>
      </c>
      <c r="D164" s="11" t="s">
        <v>488</v>
      </c>
      <c r="E164" s="622"/>
      <c r="F164" s="1240">
        <v>1897.83</v>
      </c>
      <c r="G164" s="182">
        <v>0</v>
      </c>
      <c r="H164" s="59">
        <v>1897.83</v>
      </c>
      <c r="I164" s="60"/>
      <c r="J164" s="61">
        <v>11715.23</v>
      </c>
      <c r="K164" s="40"/>
      <c r="L164" s="30"/>
    </row>
    <row r="165" spans="1:12" ht="13.5" customHeight="1" x14ac:dyDescent="0.2">
      <c r="A165" s="180" t="s">
        <v>7480</v>
      </c>
      <c r="B165" s="56" t="s">
        <v>483</v>
      </c>
      <c r="C165" s="36" t="s">
        <v>382</v>
      </c>
      <c r="D165" s="11" t="s">
        <v>1750</v>
      </c>
      <c r="E165" s="1238">
        <v>-307.26</v>
      </c>
      <c r="F165" s="1217" t="s">
        <v>483</v>
      </c>
      <c r="G165" s="182"/>
      <c r="H165" s="59"/>
      <c r="I165" s="60"/>
      <c r="J165" s="61">
        <v>11715.23</v>
      </c>
      <c r="K165" s="40"/>
      <c r="L165" s="30"/>
    </row>
    <row r="166" spans="1:12" ht="13.5" customHeight="1" x14ac:dyDescent="0.2">
      <c r="A166" s="180"/>
      <c r="B166" s="56" t="s">
        <v>483</v>
      </c>
      <c r="C166" s="36" t="s">
        <v>7481</v>
      </c>
      <c r="D166" s="11" t="s">
        <v>7482</v>
      </c>
      <c r="E166" s="1238">
        <v>-650</v>
      </c>
      <c r="F166" s="1217" t="s">
        <v>483</v>
      </c>
      <c r="G166" s="182"/>
      <c r="H166" s="59"/>
      <c r="I166" s="60"/>
      <c r="J166" s="61">
        <v>11715.23</v>
      </c>
      <c r="K166" s="40"/>
      <c r="L166" s="30"/>
    </row>
    <row r="167" spans="1:12" ht="13.5" customHeight="1" x14ac:dyDescent="0.2">
      <c r="A167" s="180"/>
      <c r="B167" s="56" t="s">
        <v>483</v>
      </c>
      <c r="C167" s="36" t="s">
        <v>174</v>
      </c>
      <c r="D167" s="11" t="s">
        <v>488</v>
      </c>
      <c r="E167" s="622"/>
      <c r="F167" s="1240">
        <v>957.26</v>
      </c>
      <c r="G167" s="182">
        <v>0</v>
      </c>
      <c r="H167" s="30">
        <v>957.26</v>
      </c>
      <c r="I167" s="60"/>
      <c r="J167" s="61">
        <v>10757.97</v>
      </c>
      <c r="K167" s="40"/>
      <c r="L167" s="30"/>
    </row>
    <row r="168" spans="1:12" ht="13.5" customHeight="1" x14ac:dyDescent="0.2">
      <c r="A168" s="180" t="s">
        <v>7483</v>
      </c>
      <c r="B168" s="56" t="s">
        <v>483</v>
      </c>
      <c r="C168" s="36" t="s">
        <v>180</v>
      </c>
      <c r="D168" s="11" t="s">
        <v>488</v>
      </c>
      <c r="E168" s="1238">
        <v>-133.84</v>
      </c>
      <c r="F168" s="1217"/>
      <c r="G168" s="182" t="s">
        <v>483</v>
      </c>
      <c r="H168" s="59"/>
      <c r="I168" s="60"/>
      <c r="J168" s="61">
        <v>10757.97</v>
      </c>
      <c r="K168" s="40"/>
      <c r="L168" s="30"/>
    </row>
    <row r="169" spans="1:12" ht="13.5" customHeight="1" x14ac:dyDescent="0.2">
      <c r="A169" s="180"/>
      <c r="B169" s="56" t="s">
        <v>483</v>
      </c>
      <c r="C169" s="36" t="s">
        <v>7100</v>
      </c>
      <c r="D169" s="11" t="s">
        <v>1742</v>
      </c>
      <c r="E169" s="1238">
        <v>-150</v>
      </c>
      <c r="F169" s="1217"/>
      <c r="G169" s="182"/>
      <c r="H169" s="59"/>
      <c r="I169" s="60"/>
      <c r="J169" s="61">
        <v>10757.97</v>
      </c>
      <c r="K169" s="40"/>
      <c r="L169" s="30"/>
    </row>
    <row r="170" spans="1:12" ht="13.5" customHeight="1" x14ac:dyDescent="0.2">
      <c r="A170" s="180"/>
      <c r="B170" s="56" t="s">
        <v>483</v>
      </c>
      <c r="C170" s="36" t="s">
        <v>7484</v>
      </c>
      <c r="D170" s="11" t="s">
        <v>7485</v>
      </c>
      <c r="E170" s="1238">
        <v>-700</v>
      </c>
      <c r="F170" s="1217" t="s">
        <v>483</v>
      </c>
      <c r="G170" s="182"/>
      <c r="H170" s="59"/>
      <c r="I170" s="60"/>
      <c r="J170" s="61">
        <v>10757.97</v>
      </c>
      <c r="K170" s="40"/>
      <c r="L170" s="30"/>
    </row>
    <row r="171" spans="1:12" ht="13.5" customHeight="1" x14ac:dyDescent="0.2">
      <c r="A171" s="180"/>
      <c r="B171" s="56" t="s">
        <v>483</v>
      </c>
      <c r="C171" s="36" t="s">
        <v>174</v>
      </c>
      <c r="D171" s="11" t="s">
        <v>488</v>
      </c>
      <c r="E171" s="622"/>
      <c r="F171" s="1240">
        <v>983.84</v>
      </c>
      <c r="G171" s="182">
        <v>0</v>
      </c>
      <c r="H171" s="59">
        <v>983.84</v>
      </c>
      <c r="I171" s="60"/>
      <c r="J171" s="61">
        <v>9774.1299999999992</v>
      </c>
      <c r="K171" s="40"/>
      <c r="L171" s="30"/>
    </row>
    <row r="172" spans="1:12" ht="13.5" customHeight="1" x14ac:dyDescent="0.2">
      <c r="A172" s="180" t="s">
        <v>7486</v>
      </c>
      <c r="B172" s="56" t="s">
        <v>483</v>
      </c>
      <c r="C172" s="36" t="s">
        <v>7487</v>
      </c>
      <c r="D172" s="11" t="s">
        <v>488</v>
      </c>
      <c r="E172" s="622"/>
      <c r="F172" s="1240">
        <v>4731.47</v>
      </c>
      <c r="G172" s="182"/>
      <c r="H172" s="59"/>
      <c r="I172" s="60"/>
      <c r="J172" s="61">
        <v>9774.1299999999992</v>
      </c>
      <c r="K172" s="40"/>
      <c r="L172" s="30"/>
    </row>
    <row r="173" spans="1:12" ht="13.5" customHeight="1" x14ac:dyDescent="0.2">
      <c r="A173" s="180"/>
      <c r="B173" s="56" t="s">
        <v>483</v>
      </c>
      <c r="C173" s="36" t="s">
        <v>189</v>
      </c>
      <c r="D173" s="11" t="s">
        <v>488</v>
      </c>
      <c r="E173" s="1238">
        <v>-4731.47</v>
      </c>
      <c r="F173" s="1217"/>
      <c r="G173" s="182">
        <v>0</v>
      </c>
      <c r="H173" s="59"/>
      <c r="I173" s="60">
        <v>4731.47</v>
      </c>
      <c r="J173" s="61">
        <v>14505.599999999999</v>
      </c>
      <c r="K173" s="40"/>
      <c r="L173" s="30"/>
    </row>
    <row r="174" spans="1:12" ht="13.5" customHeight="1" x14ac:dyDescent="0.2">
      <c r="A174" s="180" t="s">
        <v>7488</v>
      </c>
      <c r="B174" s="56" t="s">
        <v>483</v>
      </c>
      <c r="C174" s="34" t="s">
        <v>7489</v>
      </c>
      <c r="D174" s="11" t="s">
        <v>3172</v>
      </c>
      <c r="E174" s="1238">
        <v>-720.85</v>
      </c>
      <c r="F174" s="1217" t="s">
        <v>483</v>
      </c>
      <c r="G174" s="182" t="s">
        <v>483</v>
      </c>
      <c r="H174" s="59"/>
      <c r="I174" s="60"/>
      <c r="J174" s="61">
        <v>14505.599999999999</v>
      </c>
      <c r="K174" s="40"/>
      <c r="L174" s="30"/>
    </row>
    <row r="175" spans="1:12" ht="13.5" customHeight="1" x14ac:dyDescent="0.2">
      <c r="A175" s="180"/>
      <c r="B175" s="56" t="s">
        <v>483</v>
      </c>
      <c r="C175" s="32" t="s">
        <v>7490</v>
      </c>
      <c r="D175" s="11" t="s">
        <v>7491</v>
      </c>
      <c r="E175" s="1238">
        <v>-105.6</v>
      </c>
      <c r="F175" s="1217"/>
      <c r="G175" s="182"/>
      <c r="H175" s="59"/>
      <c r="I175" s="60"/>
      <c r="J175" s="61">
        <v>14505.599999999999</v>
      </c>
      <c r="K175" s="40"/>
      <c r="L175" s="30"/>
    </row>
    <row r="176" spans="1:12" ht="13.5" customHeight="1" x14ac:dyDescent="0.2">
      <c r="A176" s="180"/>
      <c r="B176" s="56" t="s">
        <v>483</v>
      </c>
      <c r="C176" s="36" t="s">
        <v>174</v>
      </c>
      <c r="D176" s="11" t="s">
        <v>488</v>
      </c>
      <c r="E176" s="622"/>
      <c r="F176" s="1240">
        <v>826.45</v>
      </c>
      <c r="G176" s="182">
        <v>0</v>
      </c>
      <c r="H176" s="59">
        <v>826.45</v>
      </c>
      <c r="I176" s="60"/>
      <c r="J176" s="61">
        <v>13679.149999999998</v>
      </c>
      <c r="K176" s="40"/>
      <c r="L176" s="30"/>
    </row>
    <row r="177" spans="1:14" ht="13.5" customHeight="1" x14ac:dyDescent="0.2">
      <c r="A177" s="180" t="s">
        <v>7492</v>
      </c>
      <c r="B177" s="56" t="s">
        <v>483</v>
      </c>
      <c r="C177" s="36" t="s">
        <v>7323</v>
      </c>
      <c r="D177" s="11" t="s">
        <v>7493</v>
      </c>
      <c r="E177" s="622"/>
      <c r="F177" s="1240">
        <v>300</v>
      </c>
      <c r="G177" s="182" t="s">
        <v>483</v>
      </c>
      <c r="H177" s="59"/>
      <c r="I177" s="60"/>
      <c r="J177" s="61">
        <v>13679.149999999998</v>
      </c>
      <c r="K177" s="40"/>
      <c r="L177" s="30"/>
    </row>
    <row r="178" spans="1:14" ht="13.5" customHeight="1" x14ac:dyDescent="0.2">
      <c r="A178" s="180"/>
      <c r="B178" s="56" t="s">
        <v>483</v>
      </c>
      <c r="C178" s="36" t="s">
        <v>189</v>
      </c>
      <c r="D178" s="11" t="s">
        <v>488</v>
      </c>
      <c r="E178" s="1238">
        <v>-300</v>
      </c>
      <c r="F178" s="1217"/>
      <c r="G178" s="182">
        <v>0</v>
      </c>
      <c r="H178" s="59"/>
      <c r="I178" s="60">
        <v>300</v>
      </c>
      <c r="J178" s="61">
        <v>13979.149999999998</v>
      </c>
      <c r="K178" s="40"/>
      <c r="L178" s="30"/>
    </row>
    <row r="179" spans="1:14" ht="13.5" customHeight="1" x14ac:dyDescent="0.2">
      <c r="A179" s="180" t="s">
        <v>7494</v>
      </c>
      <c r="B179" s="56" t="s">
        <v>483</v>
      </c>
      <c r="C179" s="36" t="s">
        <v>7495</v>
      </c>
      <c r="D179" s="11" t="s">
        <v>7496</v>
      </c>
      <c r="E179" s="1238"/>
      <c r="F179" s="1241">
        <v>3000</v>
      </c>
      <c r="G179" s="182" t="s">
        <v>483</v>
      </c>
      <c r="H179" s="59"/>
      <c r="I179" s="60"/>
      <c r="J179" s="61">
        <v>13979.149999999998</v>
      </c>
      <c r="K179" s="40"/>
      <c r="L179" s="30"/>
    </row>
    <row r="180" spans="1:14" ht="13.5" customHeight="1" x14ac:dyDescent="0.2">
      <c r="A180" s="180"/>
      <c r="B180" s="56" t="s">
        <v>483</v>
      </c>
      <c r="C180" s="36" t="s">
        <v>7495</v>
      </c>
      <c r="D180" s="11" t="s">
        <v>7497</v>
      </c>
      <c r="E180" s="1242">
        <v>-3000</v>
      </c>
      <c r="F180" s="1240"/>
      <c r="G180" s="182">
        <v>0</v>
      </c>
      <c r="H180" s="59"/>
      <c r="I180" s="60"/>
      <c r="J180" s="61">
        <v>13979.149999999998</v>
      </c>
      <c r="K180" s="40"/>
      <c r="L180" s="30"/>
    </row>
    <row r="181" spans="1:14" ht="13.5" customHeight="1" x14ac:dyDescent="0.2">
      <c r="A181" s="180" t="s">
        <v>7498</v>
      </c>
      <c r="B181" s="56" t="s">
        <v>483</v>
      </c>
      <c r="C181" s="36" t="s">
        <v>7499</v>
      </c>
      <c r="D181" s="11" t="s">
        <v>7500</v>
      </c>
      <c r="E181" s="1238">
        <v>-762.32</v>
      </c>
      <c r="F181" s="1217" t="s">
        <v>483</v>
      </c>
      <c r="G181" s="182"/>
      <c r="H181" s="59"/>
      <c r="I181" s="60"/>
      <c r="J181" s="61">
        <v>13979.149999999998</v>
      </c>
      <c r="K181" s="40"/>
      <c r="L181" s="30"/>
    </row>
    <row r="182" spans="1:14" ht="13.5" customHeight="1" x14ac:dyDescent="0.2">
      <c r="A182" s="180"/>
      <c r="B182" s="56" t="s">
        <v>483</v>
      </c>
      <c r="C182" s="36" t="s">
        <v>7501</v>
      </c>
      <c r="D182" s="11" t="s">
        <v>7502</v>
      </c>
      <c r="E182" s="1238">
        <v>-405.68</v>
      </c>
      <c r="F182" s="1217" t="s">
        <v>483</v>
      </c>
      <c r="G182" s="182"/>
      <c r="H182" s="59"/>
      <c r="I182" s="60"/>
      <c r="J182" s="61">
        <v>13979.149999999998</v>
      </c>
      <c r="K182" s="40"/>
      <c r="L182" s="30"/>
    </row>
    <row r="183" spans="1:14" ht="13.5" customHeight="1" x14ac:dyDescent="0.2">
      <c r="A183" s="180"/>
      <c r="B183" s="56" t="s">
        <v>483</v>
      </c>
      <c r="C183" s="36" t="s">
        <v>7503</v>
      </c>
      <c r="D183" s="11" t="s">
        <v>7504</v>
      </c>
      <c r="E183" s="1238">
        <v>-405.68</v>
      </c>
      <c r="F183" s="1217" t="s">
        <v>483</v>
      </c>
      <c r="G183" s="182"/>
      <c r="H183" s="59"/>
      <c r="I183" s="60"/>
      <c r="J183" s="61">
        <v>13979.149999999998</v>
      </c>
      <c r="K183" s="40"/>
      <c r="L183" s="30"/>
    </row>
    <row r="184" spans="1:14" ht="13.5" customHeight="1" x14ac:dyDescent="0.2">
      <c r="A184" s="180"/>
      <c r="B184" s="56" t="s">
        <v>483</v>
      </c>
      <c r="C184" s="36" t="s">
        <v>174</v>
      </c>
      <c r="D184" s="11" t="s">
        <v>488</v>
      </c>
      <c r="E184" s="622"/>
      <c r="F184" s="1240">
        <v>1573.68</v>
      </c>
      <c r="G184" s="182">
        <v>0</v>
      </c>
      <c r="H184" s="59">
        <v>1573.68</v>
      </c>
      <c r="I184" s="60"/>
      <c r="J184" s="61">
        <v>12405.469999999998</v>
      </c>
      <c r="K184" s="40"/>
      <c r="L184" s="30"/>
      <c r="N184" s="1">
        <v>59.949999999999996</v>
      </c>
    </row>
    <row r="185" spans="1:14" ht="13.5" customHeight="1" x14ac:dyDescent="0.2">
      <c r="A185" s="180">
        <v>43210</v>
      </c>
      <c r="B185" s="56"/>
      <c r="C185" s="36" t="s">
        <v>7505</v>
      </c>
      <c r="D185" s="11"/>
      <c r="E185" s="1238">
        <v>-300</v>
      </c>
      <c r="F185" s="1217"/>
      <c r="G185" s="182"/>
      <c r="H185" s="59"/>
      <c r="I185" s="60"/>
      <c r="J185" s="61">
        <v>12405.469999999998</v>
      </c>
      <c r="K185" s="40"/>
      <c r="L185" s="30"/>
      <c r="N185" s="1">
        <v>105.6</v>
      </c>
    </row>
    <row r="186" spans="1:14" ht="13.5" customHeight="1" x14ac:dyDescent="0.2">
      <c r="A186" s="180"/>
      <c r="B186" s="56" t="s">
        <v>483</v>
      </c>
      <c r="C186" s="36" t="s">
        <v>7506</v>
      </c>
      <c r="D186" s="11" t="s">
        <v>7507</v>
      </c>
      <c r="E186" s="1238">
        <v>-59.95</v>
      </c>
      <c r="F186" s="1217"/>
      <c r="G186" s="182" t="s">
        <v>483</v>
      </c>
      <c r="H186" s="59"/>
      <c r="I186" s="60"/>
      <c r="J186" s="61">
        <v>12405.469999999998</v>
      </c>
      <c r="K186" s="40"/>
      <c r="L186" s="30"/>
    </row>
    <row r="187" spans="1:14" ht="13.5" customHeight="1" x14ac:dyDescent="0.2">
      <c r="A187" s="180"/>
      <c r="B187" s="56" t="s">
        <v>483</v>
      </c>
      <c r="C187" s="36" t="s">
        <v>174</v>
      </c>
      <c r="D187" s="11" t="s">
        <v>488</v>
      </c>
      <c r="E187" s="622"/>
      <c r="F187" s="1240">
        <v>359.95</v>
      </c>
      <c r="G187" s="182">
        <v>0</v>
      </c>
      <c r="H187" s="59">
        <v>359.95</v>
      </c>
      <c r="I187" s="60"/>
      <c r="J187" s="61">
        <v>12045.519999999997</v>
      </c>
      <c r="K187" s="40"/>
      <c r="L187" s="30"/>
    </row>
    <row r="188" spans="1:14" ht="13.5" customHeight="1" x14ac:dyDescent="0.2">
      <c r="A188" s="180" t="s">
        <v>7508</v>
      </c>
      <c r="B188" s="56" t="s">
        <v>483</v>
      </c>
      <c r="C188" s="36" t="s">
        <v>86</v>
      </c>
      <c r="D188" s="11" t="s">
        <v>488</v>
      </c>
      <c r="E188" s="1238">
        <v>-78</v>
      </c>
      <c r="F188" s="1217"/>
      <c r="G188" s="182" t="s">
        <v>483</v>
      </c>
      <c r="H188" s="59"/>
      <c r="I188" s="60"/>
      <c r="J188" s="61">
        <v>12045.519999999997</v>
      </c>
      <c r="K188" s="40"/>
      <c r="L188" s="30"/>
    </row>
    <row r="189" spans="1:14" ht="13.5" customHeight="1" x14ac:dyDescent="0.2">
      <c r="A189" s="180"/>
      <c r="B189" s="56" t="s">
        <v>483</v>
      </c>
      <c r="C189" s="32" t="s">
        <v>199</v>
      </c>
      <c r="D189" s="11" t="s">
        <v>488</v>
      </c>
      <c r="E189" s="1238">
        <v>-150.86000000000001</v>
      </c>
      <c r="F189" s="1217"/>
      <c r="G189" s="182" t="s">
        <v>483</v>
      </c>
      <c r="H189" s="59"/>
      <c r="I189" s="60"/>
      <c r="J189" s="61">
        <v>12045.519999999997</v>
      </c>
      <c r="K189" s="40"/>
      <c r="L189" s="30"/>
    </row>
    <row r="190" spans="1:14" ht="13.5" customHeight="1" x14ac:dyDescent="0.2">
      <c r="A190" s="180"/>
      <c r="B190" s="56" t="s">
        <v>483</v>
      </c>
      <c r="C190" s="36" t="s">
        <v>174</v>
      </c>
      <c r="D190" s="11" t="s">
        <v>488</v>
      </c>
      <c r="E190" s="622"/>
      <c r="F190" s="1240">
        <v>228.86</v>
      </c>
      <c r="G190" s="182">
        <v>0</v>
      </c>
      <c r="H190" s="59">
        <v>228.86</v>
      </c>
      <c r="I190" s="60"/>
      <c r="J190" s="61">
        <v>11816.659999999996</v>
      </c>
      <c r="K190" s="40"/>
      <c r="L190" s="30"/>
    </row>
    <row r="191" spans="1:14" ht="13.5" customHeight="1" x14ac:dyDescent="0.2">
      <c r="A191" s="180" t="s">
        <v>7509</v>
      </c>
      <c r="B191" s="56" t="s">
        <v>591</v>
      </c>
      <c r="C191" s="34" t="s">
        <v>471</v>
      </c>
      <c r="D191" s="11" t="s">
        <v>7510</v>
      </c>
      <c r="E191" s="1238"/>
      <c r="F191" s="1241">
        <v>8477.69</v>
      </c>
      <c r="G191" s="182" t="s">
        <v>483</v>
      </c>
      <c r="H191" s="59"/>
      <c r="I191" s="60"/>
      <c r="J191" s="61">
        <v>11816.659999999996</v>
      </c>
      <c r="K191" s="40"/>
      <c r="L191" s="30"/>
    </row>
    <row r="192" spans="1:14" ht="13.5" customHeight="1" x14ac:dyDescent="0.2">
      <c r="A192" s="180"/>
      <c r="B192" s="56" t="s">
        <v>483</v>
      </c>
      <c r="C192" s="36" t="s">
        <v>7511</v>
      </c>
      <c r="D192" s="11" t="s">
        <v>7512</v>
      </c>
      <c r="E192" s="622"/>
      <c r="F192" s="1240">
        <v>42</v>
      </c>
      <c r="G192" s="182" t="s">
        <v>483</v>
      </c>
      <c r="H192" s="59"/>
      <c r="I192" s="60"/>
      <c r="J192" s="61">
        <v>11816.659999999996</v>
      </c>
      <c r="K192" s="40"/>
      <c r="L192" s="30"/>
    </row>
    <row r="193" spans="1:15" ht="13.5" customHeight="1" x14ac:dyDescent="0.2">
      <c r="A193" s="180"/>
      <c r="B193" s="56" t="s">
        <v>483</v>
      </c>
      <c r="C193" s="34" t="s">
        <v>194</v>
      </c>
      <c r="D193" s="11" t="s">
        <v>488</v>
      </c>
      <c r="E193" s="1238">
        <v>-97.38</v>
      </c>
      <c r="F193" s="1217"/>
      <c r="G193" s="182" t="s">
        <v>483</v>
      </c>
      <c r="H193" s="59"/>
      <c r="I193" s="60"/>
      <c r="J193" s="61">
        <v>11816.659999999996</v>
      </c>
      <c r="K193" s="40"/>
      <c r="L193" s="30"/>
    </row>
    <row r="194" spans="1:15" ht="13.5" customHeight="1" x14ac:dyDescent="0.2">
      <c r="A194" s="180"/>
      <c r="B194" s="56" t="s">
        <v>483</v>
      </c>
      <c r="C194" s="36" t="s">
        <v>195</v>
      </c>
      <c r="D194" s="11" t="s">
        <v>488</v>
      </c>
      <c r="E194" s="1238">
        <v>-449.44</v>
      </c>
      <c r="F194" s="1217"/>
      <c r="G194" s="182"/>
      <c r="H194" s="59"/>
      <c r="I194" s="60"/>
      <c r="J194" s="61">
        <v>11816.659999999996</v>
      </c>
      <c r="K194" s="40"/>
      <c r="L194" s="30"/>
    </row>
    <row r="195" spans="1:15" ht="13.5" customHeight="1" x14ac:dyDescent="0.2">
      <c r="A195" s="180" t="s">
        <v>7509</v>
      </c>
      <c r="B195" s="56" t="s">
        <v>483</v>
      </c>
      <c r="C195" s="36" t="s">
        <v>7513</v>
      </c>
      <c r="D195" s="11" t="s">
        <v>7514</v>
      </c>
      <c r="E195" s="1238">
        <v>-55.1</v>
      </c>
      <c r="F195" s="1217"/>
      <c r="G195" s="182" t="s">
        <v>483</v>
      </c>
      <c r="H195" s="59"/>
      <c r="I195" s="60"/>
      <c r="J195" s="61">
        <v>11816.659999999996</v>
      </c>
      <c r="K195" s="40"/>
      <c r="L195" s="30">
        <v>1229.43</v>
      </c>
    </row>
    <row r="196" spans="1:15" ht="13.5" customHeight="1" x14ac:dyDescent="0.2">
      <c r="A196" s="180"/>
      <c r="B196" s="56" t="s">
        <v>483</v>
      </c>
      <c r="C196" s="36" t="s">
        <v>174</v>
      </c>
      <c r="D196" s="11" t="s">
        <v>488</v>
      </c>
      <c r="E196" s="622"/>
      <c r="F196" s="1240">
        <v>559.91999999999996</v>
      </c>
      <c r="G196" s="182">
        <v>8477.69</v>
      </c>
      <c r="H196" s="59">
        <v>559.91999999999996</v>
      </c>
      <c r="I196" s="60"/>
      <c r="J196" s="61">
        <v>11256.739999999996</v>
      </c>
      <c r="K196" s="40"/>
      <c r="L196" s="30">
        <v>4848.32</v>
      </c>
    </row>
    <row r="197" spans="1:15" ht="13.5" customHeight="1" x14ac:dyDescent="0.2">
      <c r="A197" s="180" t="s">
        <v>7515</v>
      </c>
      <c r="B197" s="56" t="s">
        <v>483</v>
      </c>
      <c r="C197" s="36" t="s">
        <v>86</v>
      </c>
      <c r="D197" s="11" t="s">
        <v>488</v>
      </c>
      <c r="E197" s="1238">
        <v>-11.9</v>
      </c>
      <c r="F197" s="1217"/>
      <c r="G197" s="182" t="s">
        <v>483</v>
      </c>
      <c r="H197" s="59"/>
      <c r="I197" s="60"/>
      <c r="J197" s="61">
        <v>11256.739999999996</v>
      </c>
      <c r="K197" s="40"/>
      <c r="L197" s="30">
        <v>4731.8</v>
      </c>
    </row>
    <row r="198" spans="1:15" ht="13.5" customHeight="1" x14ac:dyDescent="0.2">
      <c r="A198" s="180"/>
      <c r="B198" s="56" t="s">
        <v>483</v>
      </c>
      <c r="C198" s="36" t="s">
        <v>189</v>
      </c>
      <c r="D198" s="11" t="s">
        <v>488</v>
      </c>
      <c r="E198" s="1238">
        <v>-8465.7900000000009</v>
      </c>
      <c r="F198" s="1217"/>
      <c r="G198" s="182">
        <v>0</v>
      </c>
      <c r="H198" s="59"/>
      <c r="I198" s="60">
        <v>8465.7900000000009</v>
      </c>
      <c r="J198" s="61">
        <v>19722.53</v>
      </c>
      <c r="K198" s="40"/>
      <c r="L198" s="30">
        <v>300.02</v>
      </c>
    </row>
    <row r="199" spans="1:15" ht="13.5" customHeight="1" x14ac:dyDescent="0.2">
      <c r="A199" s="180" t="s">
        <v>7516</v>
      </c>
      <c r="B199" s="56" t="s">
        <v>483</v>
      </c>
      <c r="C199" s="36" t="s">
        <v>7100</v>
      </c>
      <c r="D199" s="11" t="s">
        <v>2139</v>
      </c>
      <c r="E199" s="1238">
        <v>-150</v>
      </c>
      <c r="F199" s="1217"/>
      <c r="G199" s="182" t="s">
        <v>483</v>
      </c>
      <c r="H199" s="59"/>
      <c r="I199" s="60"/>
      <c r="J199" s="61">
        <v>19722.53</v>
      </c>
      <c r="K199" s="40"/>
      <c r="L199" s="30">
        <v>8465.84</v>
      </c>
    </row>
    <row r="200" spans="1:15" ht="13.5" customHeight="1" x14ac:dyDescent="0.2">
      <c r="A200" s="180"/>
      <c r="B200" s="56" t="s">
        <v>483</v>
      </c>
      <c r="C200" s="36" t="s">
        <v>174</v>
      </c>
      <c r="D200" s="11" t="s">
        <v>488</v>
      </c>
      <c r="E200" s="622"/>
      <c r="F200" s="1240">
        <v>150</v>
      </c>
      <c r="G200" s="228">
        <v>0</v>
      </c>
      <c r="H200" s="59">
        <v>150</v>
      </c>
      <c r="I200" s="60"/>
      <c r="J200" s="61">
        <v>19572.53</v>
      </c>
      <c r="K200" s="40"/>
      <c r="L200" s="30">
        <v>19575.41</v>
      </c>
    </row>
    <row r="201" spans="1:15" s="64" customFormat="1" ht="13.5" customHeight="1" x14ac:dyDescent="0.2">
      <c r="A201" s="184"/>
      <c r="B201" s="63"/>
      <c r="C201" s="63" t="s">
        <v>20</v>
      </c>
      <c r="D201" s="50"/>
      <c r="E201" s="51"/>
      <c r="F201" s="13"/>
      <c r="G201" s="53"/>
      <c r="H201" s="179"/>
      <c r="I201" s="57">
        <v>2.8800000000010186</v>
      </c>
      <c r="J201" s="186">
        <v>19575.41</v>
      </c>
      <c r="K201" s="65"/>
      <c r="L201" s="51"/>
      <c r="O201" s="65"/>
    </row>
    <row r="202" spans="1:15" s="64" customFormat="1" ht="13.5" customHeight="1" x14ac:dyDescent="0.2">
      <c r="A202" s="184"/>
      <c r="B202" s="63"/>
      <c r="C202" s="32" t="s">
        <v>5809</v>
      </c>
      <c r="D202" s="50"/>
      <c r="E202" s="51"/>
      <c r="F202" s="13"/>
      <c r="G202" s="53"/>
      <c r="H202" s="179"/>
      <c r="I202" s="57"/>
      <c r="J202" s="186">
        <v>7370.01</v>
      </c>
      <c r="K202" s="65"/>
      <c r="L202" s="51"/>
      <c r="O202" s="65"/>
    </row>
    <row r="203" spans="1:15" s="64" customFormat="1" ht="13.5" customHeight="1" x14ac:dyDescent="0.2">
      <c r="A203" s="184"/>
      <c r="B203" s="63"/>
      <c r="C203" s="222" t="s">
        <v>5810</v>
      </c>
      <c r="D203" s="50"/>
      <c r="E203" s="51"/>
      <c r="F203" s="13"/>
      <c r="G203" s="53"/>
      <c r="H203" s="179"/>
      <c r="I203" s="57"/>
      <c r="J203" s="58">
        <v>26945.42</v>
      </c>
      <c r="K203" s="65"/>
      <c r="L203" s="51"/>
      <c r="O203" s="65"/>
    </row>
    <row r="204" spans="1:15" s="64" customFormat="1" ht="13.5" customHeight="1" thickBot="1" x14ac:dyDescent="0.25">
      <c r="A204" s="184"/>
      <c r="B204" s="63"/>
      <c r="C204" s="63"/>
      <c r="D204" s="50"/>
      <c r="E204" s="51"/>
      <c r="F204" s="13"/>
      <c r="G204" s="53"/>
      <c r="H204" s="179"/>
      <c r="I204" s="57"/>
      <c r="J204" s="67"/>
      <c r="L204" s="51">
        <v>7370.01</v>
      </c>
      <c r="O204" s="65"/>
    </row>
    <row r="205" spans="1:15" ht="13.5" customHeight="1" thickBot="1" x14ac:dyDescent="0.25">
      <c r="A205" s="2" t="s">
        <v>2</v>
      </c>
      <c r="B205" s="3"/>
      <c r="C205" s="3" t="s">
        <v>525</v>
      </c>
      <c r="D205" s="3" t="s">
        <v>4</v>
      </c>
      <c r="E205" s="3" t="s">
        <v>5</v>
      </c>
      <c r="F205" s="3" t="s">
        <v>6</v>
      </c>
      <c r="G205" s="5" t="s">
        <v>7</v>
      </c>
      <c r="H205" s="187"/>
      <c r="I205" s="188"/>
      <c r="J205" s="189"/>
    </row>
    <row r="206" spans="1:15" ht="13.5" customHeight="1" x14ac:dyDescent="0.2">
      <c r="A206" s="8" t="s">
        <v>7470</v>
      </c>
      <c r="B206" s="56"/>
      <c r="C206" s="10" t="s">
        <v>8</v>
      </c>
      <c r="D206" s="11"/>
      <c r="E206" s="51"/>
      <c r="F206" s="12"/>
      <c r="G206" s="178">
        <v>6672.23</v>
      </c>
      <c r="H206" s="179"/>
      <c r="I206" s="57"/>
      <c r="J206" s="67"/>
      <c r="L206" s="51">
        <v>1036.2</v>
      </c>
    </row>
    <row r="207" spans="1:15" s="64" customFormat="1" ht="13.5" customHeight="1" x14ac:dyDescent="0.2">
      <c r="A207" s="184">
        <v>43195</v>
      </c>
      <c r="B207" s="63"/>
      <c r="C207" s="36" t="s">
        <v>530</v>
      </c>
      <c r="D207" s="50"/>
      <c r="E207" s="181">
        <v>849.06</v>
      </c>
      <c r="F207" s="13"/>
      <c r="G207" s="53">
        <v>5823.17</v>
      </c>
      <c r="H207" s="179"/>
      <c r="I207" s="57"/>
      <c r="J207" s="67"/>
      <c r="L207" s="51"/>
      <c r="O207" s="65"/>
    </row>
    <row r="208" spans="1:15" s="64" customFormat="1" ht="13.5" customHeight="1" x14ac:dyDescent="0.2">
      <c r="A208" s="184">
        <v>43200</v>
      </c>
      <c r="B208" s="63"/>
      <c r="C208" s="36" t="s">
        <v>613</v>
      </c>
      <c r="D208" s="50"/>
      <c r="E208" s="181">
        <v>5.6</v>
      </c>
      <c r="F208" s="13"/>
      <c r="G208" s="53">
        <v>5817.57</v>
      </c>
      <c r="H208" s="179"/>
      <c r="I208" s="57"/>
      <c r="J208" s="67"/>
      <c r="L208" s="51"/>
      <c r="O208" s="65"/>
    </row>
    <row r="209" spans="1:15" s="64" customFormat="1" ht="13.5" customHeight="1" x14ac:dyDescent="0.2">
      <c r="A209" s="184">
        <v>43214</v>
      </c>
      <c r="B209" s="63"/>
      <c r="C209" s="32" t="s">
        <v>7517</v>
      </c>
      <c r="D209" s="50"/>
      <c r="E209" s="181">
        <v>44</v>
      </c>
      <c r="F209" s="13"/>
      <c r="G209" s="178">
        <v>5773.57</v>
      </c>
      <c r="H209" s="179"/>
      <c r="I209" s="57"/>
      <c r="J209" s="67"/>
      <c r="L209" s="51"/>
      <c r="O209" s="65"/>
    </row>
    <row r="210" spans="1:15" ht="13.5" customHeight="1" thickBot="1" x14ac:dyDescent="0.25">
      <c r="A210" s="180"/>
      <c r="B210" s="56"/>
      <c r="C210" s="56"/>
      <c r="D210" s="11"/>
      <c r="E210" s="30"/>
      <c r="F210" s="12"/>
      <c r="G210" s="182"/>
      <c r="H210" s="59"/>
      <c r="I210" s="60"/>
      <c r="J210" s="61"/>
      <c r="L210" s="30"/>
    </row>
    <row r="211" spans="1:15" ht="13.5" customHeight="1" thickBot="1" x14ac:dyDescent="0.25">
      <c r="A211" s="2" t="s">
        <v>2</v>
      </c>
      <c r="B211" s="3"/>
      <c r="C211" s="3" t="s">
        <v>536</v>
      </c>
      <c r="D211" s="3"/>
      <c r="E211" s="3"/>
      <c r="F211" s="3"/>
      <c r="G211" s="5" t="s">
        <v>7</v>
      </c>
      <c r="H211" s="6" t="s">
        <v>5</v>
      </c>
      <c r="I211" s="4" t="s">
        <v>6</v>
      </c>
      <c r="J211" s="7" t="s">
        <v>7</v>
      </c>
    </row>
    <row r="212" spans="1:15" ht="13.5" customHeight="1" x14ac:dyDescent="0.2">
      <c r="A212" s="8">
        <v>43191</v>
      </c>
      <c r="B212" s="70"/>
      <c r="C212" s="10" t="s">
        <v>537</v>
      </c>
      <c r="D212" s="125"/>
      <c r="E212" s="67"/>
      <c r="F212" s="67"/>
      <c r="G212" s="178"/>
      <c r="H212" s="179"/>
      <c r="I212" s="57"/>
      <c r="J212" s="58">
        <v>0</v>
      </c>
    </row>
    <row r="213" spans="1:15" ht="13.5" customHeight="1" x14ac:dyDescent="0.2">
      <c r="A213" s="91">
        <v>43192</v>
      </c>
      <c r="B213" s="9"/>
      <c r="C213" s="34" t="s">
        <v>7518</v>
      </c>
      <c r="D213" s="229"/>
      <c r="E213" s="61"/>
      <c r="F213" s="61"/>
      <c r="G213" s="182"/>
      <c r="H213" s="59"/>
      <c r="I213" s="59">
        <v>3000</v>
      </c>
      <c r="J213" s="61">
        <v>3000</v>
      </c>
      <c r="K213" s="18"/>
      <c r="L213" s="18"/>
      <c r="M213" s="18"/>
    </row>
    <row r="214" spans="1:15" ht="13.5" customHeight="1" x14ac:dyDescent="0.2">
      <c r="A214" s="91"/>
      <c r="B214" s="9"/>
      <c r="C214" s="34" t="s">
        <v>7519</v>
      </c>
      <c r="D214" s="229"/>
      <c r="E214" s="61"/>
      <c r="F214" s="61"/>
      <c r="G214" s="182"/>
      <c r="H214" s="59"/>
      <c r="I214" s="59">
        <v>1500</v>
      </c>
      <c r="J214" s="61">
        <v>4500</v>
      </c>
      <c r="K214" s="18"/>
      <c r="L214" s="18"/>
      <c r="M214" s="18"/>
    </row>
    <row r="215" spans="1:15" ht="13.5" customHeight="1" x14ac:dyDescent="0.2">
      <c r="A215" s="91">
        <v>43195</v>
      </c>
      <c r="B215" s="9"/>
      <c r="C215" s="34" t="s">
        <v>7520</v>
      </c>
      <c r="D215" s="229"/>
      <c r="E215" s="61"/>
      <c r="F215" s="61"/>
      <c r="G215" s="182"/>
      <c r="H215" s="59">
        <v>1590</v>
      </c>
      <c r="I215" s="59"/>
      <c r="J215" s="61">
        <v>2910</v>
      </c>
      <c r="K215" s="18"/>
      <c r="L215" s="18"/>
      <c r="M215" s="18"/>
    </row>
    <row r="216" spans="1:15" ht="13.5" customHeight="1" x14ac:dyDescent="0.2">
      <c r="A216" s="91"/>
      <c r="B216" s="9"/>
      <c r="C216" s="34" t="s">
        <v>1002</v>
      </c>
      <c r="D216" s="229"/>
      <c r="E216" s="61"/>
      <c r="F216" s="61"/>
      <c r="G216" s="182"/>
      <c r="H216" s="59">
        <v>3880.3900000000003</v>
      </c>
      <c r="I216" s="59"/>
      <c r="J216" s="61">
        <v>-970.39000000000033</v>
      </c>
      <c r="K216" s="18"/>
      <c r="L216" s="18"/>
      <c r="M216" s="18"/>
    </row>
    <row r="217" spans="1:15" ht="13.5" customHeight="1" x14ac:dyDescent="0.2">
      <c r="A217" s="91">
        <v>43200</v>
      </c>
      <c r="B217" s="9"/>
      <c r="C217" s="34" t="s">
        <v>7521</v>
      </c>
      <c r="D217" s="229"/>
      <c r="E217" s="61"/>
      <c r="F217" s="61"/>
      <c r="G217" s="182"/>
      <c r="H217" s="59">
        <v>116.6</v>
      </c>
      <c r="I217" s="59"/>
      <c r="J217" s="61">
        <v>-1086.9900000000002</v>
      </c>
      <c r="K217" s="18"/>
      <c r="L217" s="18"/>
      <c r="M217" s="18"/>
    </row>
    <row r="218" spans="1:15" ht="13.5" customHeight="1" x14ac:dyDescent="0.2">
      <c r="A218" s="91">
        <v>43201</v>
      </c>
      <c r="B218" s="9"/>
      <c r="C218" s="34" t="s">
        <v>7521</v>
      </c>
      <c r="D218" s="229"/>
      <c r="E218" s="61"/>
      <c r="F218" s="61"/>
      <c r="G218" s="182"/>
      <c r="H218" s="59">
        <v>47.8</v>
      </c>
      <c r="I218" s="59"/>
      <c r="J218" s="61">
        <v>-1134.7900000000002</v>
      </c>
      <c r="K218" s="18"/>
      <c r="L218" s="18"/>
      <c r="M218" s="18"/>
    </row>
    <row r="219" spans="1:15" ht="13.5" customHeight="1" x14ac:dyDescent="0.2">
      <c r="A219" s="91">
        <v>43202</v>
      </c>
      <c r="B219" s="9"/>
      <c r="C219" s="34" t="s">
        <v>7521</v>
      </c>
      <c r="D219" s="229"/>
      <c r="E219" s="61"/>
      <c r="F219" s="61"/>
      <c r="G219" s="182"/>
      <c r="H219" s="59">
        <v>40</v>
      </c>
      <c r="I219" s="59"/>
      <c r="J219" s="61">
        <v>-1174.7900000000002</v>
      </c>
      <c r="K219" s="18"/>
      <c r="L219" s="18"/>
      <c r="M219" s="18"/>
    </row>
    <row r="220" spans="1:15" ht="13.5" customHeight="1" x14ac:dyDescent="0.2">
      <c r="A220" s="91"/>
      <c r="B220" s="9"/>
      <c r="C220" s="34" t="s">
        <v>7522</v>
      </c>
      <c r="D220" s="229"/>
      <c r="E220" s="61"/>
      <c r="F220" s="61"/>
      <c r="G220" s="182"/>
      <c r="H220" s="59">
        <v>30</v>
      </c>
      <c r="I220" s="59"/>
      <c r="J220" s="61">
        <v>-1204.7900000000002</v>
      </c>
      <c r="K220" s="18"/>
      <c r="L220" s="18"/>
      <c r="M220" s="18"/>
    </row>
    <row r="221" spans="1:15" ht="13.5" customHeight="1" x14ac:dyDescent="0.2">
      <c r="A221" s="91"/>
      <c r="B221" s="9"/>
      <c r="C221" s="34" t="s">
        <v>6937</v>
      </c>
      <c r="D221" s="229"/>
      <c r="E221" s="61"/>
      <c r="F221" s="61"/>
      <c r="G221" s="182"/>
      <c r="H221" s="59">
        <v>100</v>
      </c>
      <c r="I221" s="59"/>
      <c r="J221" s="61">
        <v>-1304.7900000000002</v>
      </c>
      <c r="K221" s="18"/>
      <c r="L221" s="18"/>
      <c r="M221" s="18"/>
    </row>
    <row r="222" spans="1:15" ht="13.5" customHeight="1" x14ac:dyDescent="0.2">
      <c r="A222" s="91">
        <v>43203</v>
      </c>
      <c r="B222" s="9"/>
      <c r="C222" s="357" t="s">
        <v>7252</v>
      </c>
      <c r="D222" s="229"/>
      <c r="E222" s="61"/>
      <c r="F222" s="61"/>
      <c r="G222" s="182"/>
      <c r="H222" s="59"/>
      <c r="I222" s="531">
        <v>10000</v>
      </c>
      <c r="J222" s="61">
        <v>8695.2099999999991</v>
      </c>
      <c r="K222" s="18"/>
      <c r="L222" s="18"/>
      <c r="M222" s="18"/>
    </row>
    <row r="223" spans="1:15" ht="13.5" customHeight="1" x14ac:dyDescent="0.2">
      <c r="A223" s="91">
        <v>43206</v>
      </c>
      <c r="B223" s="9"/>
      <c r="C223" s="34" t="s">
        <v>6353</v>
      </c>
      <c r="D223" s="229"/>
      <c r="E223" s="61"/>
      <c r="F223" s="61"/>
      <c r="G223" s="182"/>
      <c r="H223" s="59">
        <v>8</v>
      </c>
      <c r="I223" s="59"/>
      <c r="J223" s="61">
        <v>8687.2099999999991</v>
      </c>
      <c r="K223" s="18"/>
      <c r="L223" s="18"/>
      <c r="M223" s="18"/>
    </row>
    <row r="224" spans="1:15" ht="13.5" customHeight="1" x14ac:dyDescent="0.2">
      <c r="A224" s="91"/>
      <c r="B224" s="9"/>
      <c r="C224" s="34" t="s">
        <v>7523</v>
      </c>
      <c r="D224" s="229"/>
      <c r="E224" s="61"/>
      <c r="F224" s="61"/>
      <c r="G224" s="182"/>
      <c r="H224" s="59">
        <v>26</v>
      </c>
      <c r="I224" s="59"/>
      <c r="J224" s="61">
        <v>8661.2099999999991</v>
      </c>
      <c r="K224" s="18"/>
      <c r="L224" s="18"/>
      <c r="M224" s="18"/>
    </row>
    <row r="225" spans="1:13" ht="13.5" customHeight="1" x14ac:dyDescent="0.2">
      <c r="A225" s="91">
        <v>43207</v>
      </c>
      <c r="B225" s="9"/>
      <c r="C225" s="34" t="s">
        <v>7524</v>
      </c>
      <c r="D225" s="229"/>
      <c r="E225" s="61"/>
      <c r="F225" s="61"/>
      <c r="G225" s="182"/>
      <c r="H225" s="59">
        <v>1600</v>
      </c>
      <c r="I225" s="59"/>
      <c r="J225" s="61">
        <v>7061.2099999999991</v>
      </c>
      <c r="K225" s="18"/>
      <c r="L225" s="18"/>
      <c r="M225" s="18"/>
    </row>
    <row r="226" spans="1:13" ht="13.5" customHeight="1" x14ac:dyDescent="0.2">
      <c r="A226" s="91"/>
      <c r="B226" s="9"/>
      <c r="C226" s="34" t="s">
        <v>7525</v>
      </c>
      <c r="D226" s="229"/>
      <c r="E226" s="61"/>
      <c r="F226" s="61"/>
      <c r="G226" s="182"/>
      <c r="H226" s="59">
        <v>37</v>
      </c>
      <c r="I226" s="59"/>
      <c r="J226" s="61">
        <v>7024.2099999999991</v>
      </c>
      <c r="K226" s="18"/>
      <c r="L226" s="18"/>
      <c r="M226" s="18"/>
    </row>
    <row r="227" spans="1:13" ht="13.5" customHeight="1" x14ac:dyDescent="0.2">
      <c r="A227" s="91">
        <v>43208</v>
      </c>
      <c r="B227" s="9"/>
      <c r="C227" s="34" t="s">
        <v>7439</v>
      </c>
      <c r="D227" s="229"/>
      <c r="E227" s="61"/>
      <c r="F227" s="61"/>
      <c r="G227" s="182"/>
      <c r="H227" s="531">
        <v>3000</v>
      </c>
      <c r="I227" s="59"/>
      <c r="J227" s="61">
        <v>4024.2099999999991</v>
      </c>
      <c r="K227" s="18"/>
      <c r="L227" s="18"/>
      <c r="M227" s="18"/>
    </row>
    <row r="228" spans="1:13" ht="13.5" customHeight="1" x14ac:dyDescent="0.2">
      <c r="A228" s="91"/>
      <c r="B228" s="9"/>
      <c r="C228" s="34" t="s">
        <v>7526</v>
      </c>
      <c r="D228" s="229"/>
      <c r="E228" s="61"/>
      <c r="F228" s="61"/>
      <c r="G228" s="182"/>
      <c r="H228" s="59">
        <v>10.65</v>
      </c>
      <c r="I228" s="59"/>
      <c r="J228" s="61">
        <v>4013.559999999999</v>
      </c>
      <c r="K228" s="18"/>
      <c r="L228" s="18"/>
      <c r="M228" s="18"/>
    </row>
    <row r="229" spans="1:13" ht="13.5" customHeight="1" x14ac:dyDescent="0.2">
      <c r="A229" s="91"/>
      <c r="B229" s="9"/>
      <c r="C229" s="34" t="s">
        <v>7527</v>
      </c>
      <c r="D229" s="229"/>
      <c r="E229" s="61"/>
      <c r="F229" s="61"/>
      <c r="G229" s="182"/>
      <c r="H229" s="59">
        <v>121.92</v>
      </c>
      <c r="I229" s="59"/>
      <c r="J229" s="61">
        <v>3891.639999999999</v>
      </c>
      <c r="K229" s="18"/>
      <c r="L229" s="18"/>
      <c r="M229" s="18"/>
    </row>
    <row r="230" spans="1:13" ht="13.5" customHeight="1" x14ac:dyDescent="0.2">
      <c r="A230" s="91"/>
      <c r="B230" s="9"/>
      <c r="C230" s="34" t="s">
        <v>7528</v>
      </c>
      <c r="D230" s="229"/>
      <c r="E230" s="61"/>
      <c r="F230" s="61"/>
      <c r="G230" s="182"/>
      <c r="H230" s="59">
        <v>5</v>
      </c>
      <c r="I230" s="59"/>
      <c r="J230" s="61">
        <v>3886.639999999999</v>
      </c>
      <c r="K230" s="18"/>
      <c r="L230" s="18"/>
      <c r="M230" s="18"/>
    </row>
    <row r="231" spans="1:13" ht="13.5" customHeight="1" x14ac:dyDescent="0.2">
      <c r="A231" s="91"/>
      <c r="B231" s="9"/>
      <c r="C231" s="34" t="s">
        <v>7529</v>
      </c>
      <c r="D231" s="229"/>
      <c r="E231" s="61"/>
      <c r="F231" s="61"/>
      <c r="G231" s="182"/>
      <c r="H231" s="59">
        <v>31.84</v>
      </c>
      <c r="I231" s="59"/>
      <c r="J231" s="61">
        <v>3854.7999999999988</v>
      </c>
      <c r="K231" s="18"/>
      <c r="L231" s="18"/>
      <c r="M231" s="18"/>
    </row>
    <row r="232" spans="1:13" ht="13.5" customHeight="1" x14ac:dyDescent="0.2">
      <c r="A232" s="91"/>
      <c r="B232" s="9"/>
      <c r="C232" s="34" t="s">
        <v>7530</v>
      </c>
      <c r="D232" s="229"/>
      <c r="E232" s="61"/>
      <c r="F232" s="61"/>
      <c r="G232" s="182"/>
      <c r="H232" s="59">
        <v>17.920000000000002</v>
      </c>
      <c r="I232" s="59"/>
      <c r="J232" s="61">
        <v>3836.8799999999987</v>
      </c>
      <c r="K232" s="18"/>
      <c r="L232" s="18"/>
      <c r="M232" s="18"/>
    </row>
    <row r="233" spans="1:13" ht="13.5" customHeight="1" x14ac:dyDescent="0.2">
      <c r="A233" s="91">
        <v>43209</v>
      </c>
      <c r="B233" s="9"/>
      <c r="C233" s="34" t="s">
        <v>7531</v>
      </c>
      <c r="D233" s="229"/>
      <c r="E233" s="61"/>
      <c r="F233" s="61"/>
      <c r="G233" s="182"/>
      <c r="H233" s="59">
        <v>200</v>
      </c>
      <c r="I233" s="59"/>
      <c r="J233" s="61">
        <v>3636.8799999999987</v>
      </c>
      <c r="K233" s="18"/>
      <c r="L233" s="18"/>
      <c r="M233" s="18"/>
    </row>
    <row r="234" spans="1:13" ht="13.5" customHeight="1" x14ac:dyDescent="0.2">
      <c r="A234" s="91"/>
      <c r="B234" s="9"/>
      <c r="C234" s="34" t="s">
        <v>7532</v>
      </c>
      <c r="D234" s="229"/>
      <c r="E234" s="61"/>
      <c r="F234" s="61"/>
      <c r="G234" s="182"/>
      <c r="H234" s="59">
        <v>120</v>
      </c>
      <c r="I234" s="59"/>
      <c r="J234" s="61">
        <v>3516.8799999999987</v>
      </c>
      <c r="K234" s="18"/>
      <c r="L234" s="18"/>
      <c r="M234" s="18"/>
    </row>
    <row r="235" spans="1:13" ht="13.5" customHeight="1" x14ac:dyDescent="0.2">
      <c r="A235" s="91">
        <v>43210</v>
      </c>
      <c r="B235" s="9"/>
      <c r="C235" s="36" t="s">
        <v>7533</v>
      </c>
      <c r="D235" s="229"/>
      <c r="E235" s="61"/>
      <c r="F235" s="61"/>
      <c r="G235" s="182"/>
      <c r="H235" s="59">
        <v>70</v>
      </c>
      <c r="I235" s="59"/>
      <c r="J235" s="61">
        <v>3446.8799999999987</v>
      </c>
      <c r="K235" s="18"/>
      <c r="L235" s="18"/>
      <c r="M235" s="18"/>
    </row>
    <row r="236" spans="1:13" ht="13.5" customHeight="1" x14ac:dyDescent="0.2">
      <c r="A236" s="91">
        <v>43213</v>
      </c>
      <c r="B236" s="9"/>
      <c r="C236" s="34" t="s">
        <v>7534</v>
      </c>
      <c r="D236" s="229"/>
      <c r="E236" s="61"/>
      <c r="F236" s="61"/>
      <c r="G236" s="182"/>
      <c r="H236" s="59">
        <v>15</v>
      </c>
      <c r="I236" s="59"/>
      <c r="J236" s="61">
        <v>3431.8799999999987</v>
      </c>
      <c r="K236" s="18"/>
      <c r="L236" s="18"/>
      <c r="M236" s="18"/>
    </row>
    <row r="237" spans="1:13" ht="13.5" customHeight="1" x14ac:dyDescent="0.2">
      <c r="A237" s="91"/>
      <c r="B237" s="9"/>
      <c r="C237" s="34" t="s">
        <v>7535</v>
      </c>
      <c r="D237" s="229"/>
      <c r="E237" s="61"/>
      <c r="F237" s="61"/>
      <c r="G237" s="182"/>
      <c r="H237" s="59">
        <v>7</v>
      </c>
      <c r="I237" s="59"/>
      <c r="J237" s="61">
        <v>3424.8799999999987</v>
      </c>
      <c r="K237" s="18"/>
      <c r="L237" s="18"/>
      <c r="M237" s="18"/>
    </row>
    <row r="238" spans="1:13" ht="13.5" customHeight="1" x14ac:dyDescent="0.2">
      <c r="A238" s="91">
        <v>43215</v>
      </c>
      <c r="B238" s="9"/>
      <c r="C238" s="34" t="s">
        <v>7536</v>
      </c>
      <c r="D238" s="229"/>
      <c r="E238" s="61"/>
      <c r="F238" s="61"/>
      <c r="G238" s="182"/>
      <c r="H238" s="59">
        <v>650</v>
      </c>
      <c r="I238" s="59"/>
      <c r="J238" s="61">
        <v>2774.8799999999987</v>
      </c>
      <c r="K238" s="18"/>
      <c r="L238" s="18"/>
      <c r="M238" s="18"/>
    </row>
    <row r="239" spans="1:13" ht="13.5" customHeight="1" x14ac:dyDescent="0.2">
      <c r="A239" s="91"/>
      <c r="B239" s="9"/>
      <c r="C239" s="34" t="s">
        <v>7537</v>
      </c>
      <c r="D239" s="229"/>
      <c r="E239" s="61"/>
      <c r="F239" s="61"/>
      <c r="G239" s="182"/>
      <c r="H239" s="59">
        <v>350</v>
      </c>
      <c r="I239" s="59"/>
      <c r="J239" s="61">
        <v>2424.8799999999987</v>
      </c>
      <c r="K239" s="18"/>
      <c r="L239" s="18"/>
      <c r="M239" s="18"/>
    </row>
    <row r="240" spans="1:13" ht="13.5" customHeight="1" x14ac:dyDescent="0.2">
      <c r="A240" s="91">
        <v>43216</v>
      </c>
      <c r="B240" s="9"/>
      <c r="C240" s="34" t="s">
        <v>7538</v>
      </c>
      <c r="D240" s="229"/>
      <c r="E240" s="61"/>
      <c r="F240" s="61"/>
      <c r="G240" s="182"/>
      <c r="H240" s="59">
        <v>9.35</v>
      </c>
      <c r="I240" s="59"/>
      <c r="J240" s="61">
        <v>2415.5299999999988</v>
      </c>
      <c r="K240" s="18"/>
      <c r="L240" s="18"/>
      <c r="M240" s="18"/>
    </row>
    <row r="241" spans="1:13" ht="13.5" customHeight="1" x14ac:dyDescent="0.2">
      <c r="A241" s="91"/>
      <c r="B241" s="9"/>
      <c r="C241" s="34" t="s">
        <v>7539</v>
      </c>
      <c r="D241" s="229"/>
      <c r="E241" s="61"/>
      <c r="F241" s="61"/>
      <c r="G241" s="182"/>
      <c r="H241" s="59"/>
      <c r="I241" s="59">
        <v>50</v>
      </c>
      <c r="J241" s="61">
        <v>2465.5299999999988</v>
      </c>
      <c r="K241" s="18"/>
      <c r="L241" s="18"/>
      <c r="M241" s="18"/>
    </row>
    <row r="242" spans="1:13" ht="13.5" customHeight="1" x14ac:dyDescent="0.2">
      <c r="A242" s="91"/>
      <c r="B242" s="9"/>
      <c r="C242" s="34" t="s">
        <v>7456</v>
      </c>
      <c r="D242" s="229"/>
      <c r="E242" s="61"/>
      <c r="F242" s="61"/>
      <c r="G242" s="182"/>
      <c r="H242" s="531">
        <v>2000</v>
      </c>
      <c r="I242" s="59"/>
      <c r="J242" s="61">
        <v>465.52999999999884</v>
      </c>
      <c r="K242" s="18"/>
      <c r="L242" s="18"/>
      <c r="M242" s="18"/>
    </row>
    <row r="243" spans="1:13" ht="13.5" customHeight="1" x14ac:dyDescent="0.2">
      <c r="A243" s="1130">
        <v>43217</v>
      </c>
      <c r="B243" s="20"/>
      <c r="C243" s="34" t="s">
        <v>7540</v>
      </c>
      <c r="D243" s="413"/>
      <c r="E243" s="1309"/>
      <c r="F243" s="1309"/>
      <c r="G243" s="1310"/>
      <c r="H243" s="657">
        <v>215</v>
      </c>
      <c r="I243" s="657"/>
      <c r="J243" s="61">
        <v>250.52999999999884</v>
      </c>
      <c r="K243" s="18"/>
      <c r="L243" s="18"/>
      <c r="M243" s="18"/>
    </row>
    <row r="244" spans="1:13" ht="13.5" customHeight="1" x14ac:dyDescent="0.2">
      <c r="A244" s="1130"/>
      <c r="B244" s="20"/>
      <c r="C244" s="34" t="s">
        <v>7541</v>
      </c>
      <c r="D244" s="413"/>
      <c r="E244" s="1309"/>
      <c r="F244" s="1309"/>
      <c r="G244" s="1310"/>
      <c r="H244" s="657">
        <v>48.9</v>
      </c>
      <c r="I244" s="657"/>
      <c r="J244" s="61">
        <v>201.62999999999883</v>
      </c>
      <c r="K244" s="18"/>
      <c r="L244" s="18"/>
      <c r="M244" s="18"/>
    </row>
    <row r="245" spans="1:13" ht="13.5" customHeight="1" x14ac:dyDescent="0.2">
      <c r="A245" s="1130"/>
      <c r="B245" s="20"/>
      <c r="C245" s="34" t="s">
        <v>7541</v>
      </c>
      <c r="D245" s="413"/>
      <c r="E245" s="1309"/>
      <c r="F245" s="1309"/>
      <c r="G245" s="1310"/>
      <c r="H245" s="657">
        <v>21.8</v>
      </c>
      <c r="I245" s="657"/>
      <c r="J245" s="61">
        <v>179.82999999999882</v>
      </c>
      <c r="K245" s="18"/>
      <c r="L245" s="18"/>
      <c r="M245" s="18"/>
    </row>
    <row r="246" spans="1:13" ht="13.5" customHeight="1" x14ac:dyDescent="0.2">
      <c r="A246" s="1130">
        <v>43220</v>
      </c>
      <c r="B246" s="20"/>
      <c r="C246" s="34" t="s">
        <v>7542</v>
      </c>
      <c r="D246" s="413"/>
      <c r="E246" s="1309"/>
      <c r="F246" s="1309"/>
      <c r="G246" s="1310"/>
      <c r="H246" s="657">
        <v>10</v>
      </c>
      <c r="I246" s="657"/>
      <c r="J246" s="61">
        <v>169.82999999999882</v>
      </c>
      <c r="K246" s="18"/>
      <c r="L246" s="18"/>
      <c r="M246" s="18"/>
    </row>
    <row r="247" spans="1:13" ht="13.5" customHeight="1" x14ac:dyDescent="0.2">
      <c r="A247" s="1130">
        <v>43220</v>
      </c>
      <c r="B247" s="20"/>
      <c r="C247" s="34" t="s">
        <v>7543</v>
      </c>
      <c r="D247" s="413"/>
      <c r="E247" s="1309"/>
      <c r="F247" s="1309"/>
      <c r="G247" s="1310"/>
      <c r="H247" s="657">
        <v>169.83</v>
      </c>
      <c r="I247" s="657"/>
      <c r="J247" s="231">
        <v>-1.1937117960769683E-12</v>
      </c>
      <c r="K247" s="18"/>
      <c r="L247" s="18"/>
      <c r="M247" s="18"/>
    </row>
    <row r="248" spans="1:13" ht="13.5" customHeight="1" thickBot="1" x14ac:dyDescent="0.25">
      <c r="A248" s="207"/>
      <c r="B248" s="207"/>
      <c r="C248" s="208"/>
      <c r="D248" s="208"/>
      <c r="E248" s="208"/>
      <c r="F248" s="208"/>
      <c r="G248" s="1058"/>
      <c r="H248" s="211"/>
      <c r="I248" s="211"/>
      <c r="J248" s="1059"/>
    </row>
    <row r="249" spans="1:13" ht="13.5" customHeight="1" thickBot="1" x14ac:dyDescent="0.25">
      <c r="A249" s="213"/>
      <c r="B249" s="214"/>
      <c r="C249" s="215" t="s">
        <v>539</v>
      </c>
      <c r="D249" s="216"/>
      <c r="E249" s="187"/>
      <c r="F249" s="187"/>
      <c r="G249" s="217" t="s">
        <v>7</v>
      </c>
      <c r="H249" s="187"/>
      <c r="I249" s="187"/>
      <c r="J249" s="189"/>
    </row>
    <row r="250" spans="1:13" ht="13.5" customHeight="1" x14ac:dyDescent="0.2">
      <c r="A250" s="74" t="s">
        <v>540</v>
      </c>
      <c r="B250" s="74"/>
      <c r="C250" s="218" t="s">
        <v>541</v>
      </c>
      <c r="D250" s="219"/>
      <c r="E250" s="220"/>
      <c r="F250" s="220"/>
      <c r="G250" s="75">
        <v>19575.580000000002</v>
      </c>
      <c r="H250" s="220"/>
      <c r="I250" s="220"/>
      <c r="J250" s="220"/>
    </row>
    <row r="251" spans="1:13" ht="13.5" customHeight="1" x14ac:dyDescent="0.2">
      <c r="A251" s="221" t="s">
        <v>540</v>
      </c>
      <c r="B251" s="70"/>
      <c r="C251" s="63" t="s">
        <v>542</v>
      </c>
      <c r="D251" s="50"/>
      <c r="E251" s="13"/>
      <c r="F251" s="13"/>
      <c r="G251" s="75">
        <v>7371.14</v>
      </c>
      <c r="H251" s="13"/>
      <c r="I251" s="13"/>
      <c r="J251" s="13"/>
    </row>
    <row r="252" spans="1:13" ht="13.5" customHeight="1" x14ac:dyDescent="0.2">
      <c r="A252" s="70"/>
      <c r="B252" s="70"/>
      <c r="C252" s="222" t="s">
        <v>543</v>
      </c>
      <c r="D252" s="50"/>
      <c r="E252" s="13"/>
      <c r="F252" s="13"/>
      <c r="G252" s="14">
        <v>26946.720000000001</v>
      </c>
      <c r="H252" s="13"/>
      <c r="I252" s="13"/>
      <c r="J252" s="13"/>
    </row>
    <row r="253" spans="1:13" ht="13.5" customHeight="1" x14ac:dyDescent="0.2">
      <c r="A253" s="70"/>
      <c r="B253" s="70"/>
      <c r="C253" s="63"/>
      <c r="D253" s="50"/>
      <c r="E253" s="13"/>
      <c r="F253" s="13"/>
      <c r="G253" s="14"/>
      <c r="H253" s="13"/>
      <c r="I253" s="13"/>
      <c r="J253" s="13"/>
      <c r="L253" s="18"/>
    </row>
    <row r="254" spans="1:13" ht="13.5" customHeight="1" x14ac:dyDescent="0.2">
      <c r="A254" s="70"/>
      <c r="B254" s="70"/>
      <c r="C254" s="222" t="s">
        <v>544</v>
      </c>
      <c r="D254" s="50"/>
      <c r="E254" s="13"/>
      <c r="F254" s="13"/>
      <c r="G254" s="14">
        <v>4425.9899999999989</v>
      </c>
      <c r="H254" s="13"/>
      <c r="I254" s="13"/>
      <c r="J254" s="13"/>
    </row>
    <row r="255" spans="1:13" ht="13.5" customHeight="1" x14ac:dyDescent="0.2">
      <c r="A255" s="70"/>
      <c r="B255" s="70"/>
      <c r="C255" s="63"/>
      <c r="D255" s="50"/>
      <c r="E255" s="13"/>
      <c r="F255" s="13"/>
      <c r="G255" s="75"/>
      <c r="H255" s="13"/>
      <c r="I255" s="13"/>
      <c r="J255" s="13"/>
    </row>
    <row r="256" spans="1:13" ht="13.5" customHeight="1" x14ac:dyDescent="0.2">
      <c r="A256" s="76"/>
      <c r="B256" s="76"/>
      <c r="C256" s="222" t="s">
        <v>545</v>
      </c>
      <c r="D256" s="78"/>
      <c r="E256" s="78"/>
      <c r="F256" s="78"/>
      <c r="G256" s="14">
        <v>31372.71</v>
      </c>
      <c r="H256" s="77"/>
      <c r="I256" s="77"/>
      <c r="J256" s="13"/>
    </row>
    <row r="257" spans="1:10" ht="13.5" customHeight="1" thickBot="1" x14ac:dyDescent="0.25">
      <c r="A257" s="76"/>
      <c r="B257" s="76"/>
      <c r="C257" s="78"/>
      <c r="D257" s="78"/>
      <c r="E257" s="78"/>
      <c r="F257" s="78"/>
      <c r="G257" s="75"/>
      <c r="H257" s="77"/>
      <c r="I257" s="77"/>
      <c r="J257" s="13"/>
    </row>
    <row r="258" spans="1:10" ht="13.5" customHeight="1" thickBot="1" x14ac:dyDescent="0.25">
      <c r="A258" s="1060" t="s">
        <v>5829</v>
      </c>
      <c r="B258" s="214"/>
      <c r="C258" s="215" t="s">
        <v>5843</v>
      </c>
      <c r="D258" s="216"/>
      <c r="E258" s="187"/>
      <c r="F258" s="187"/>
      <c r="G258" s="217" t="s">
        <v>7</v>
      </c>
      <c r="H258" s="187"/>
      <c r="I258" s="187"/>
      <c r="J258" s="189"/>
    </row>
    <row r="259" spans="1:10" ht="13.5" customHeight="1" x14ac:dyDescent="0.2">
      <c r="A259" s="70"/>
      <c r="B259" s="70"/>
      <c r="C259" s="63" t="s">
        <v>5831</v>
      </c>
      <c r="D259" s="50"/>
      <c r="E259" s="13"/>
      <c r="F259" s="13"/>
      <c r="G259" s="75">
        <v>6000</v>
      </c>
      <c r="H259" s="13"/>
      <c r="I259" s="13"/>
      <c r="J259" s="13"/>
    </row>
    <row r="260" spans="1:10" ht="13.5" customHeight="1" x14ac:dyDescent="0.2">
      <c r="A260" s="79">
        <v>42594</v>
      </c>
      <c r="B260" s="70"/>
      <c r="C260" s="63" t="s">
        <v>5844</v>
      </c>
      <c r="D260" s="50"/>
      <c r="E260" s="13">
        <v>2000</v>
      </c>
      <c r="F260" s="13"/>
      <c r="G260" s="75">
        <v>4000</v>
      </c>
      <c r="H260" s="13"/>
      <c r="I260" s="13"/>
      <c r="J260" s="13"/>
    </row>
    <row r="261" spans="1:10" ht="13.5" customHeight="1" x14ac:dyDescent="0.2">
      <c r="A261" s="79">
        <v>42682</v>
      </c>
      <c r="B261" s="79"/>
      <c r="C261" s="63" t="s">
        <v>5845</v>
      </c>
      <c r="D261" s="78"/>
      <c r="E261" s="13">
        <v>3500</v>
      </c>
      <c r="F261" s="13"/>
      <c r="G261" s="75">
        <v>500</v>
      </c>
      <c r="H261" s="77"/>
      <c r="I261" s="77"/>
      <c r="J261" s="13"/>
    </row>
    <row r="262" spans="1:10" ht="13.5" customHeight="1" x14ac:dyDescent="0.2">
      <c r="A262" s="79"/>
      <c r="B262" s="79"/>
      <c r="C262" s="78"/>
      <c r="D262" s="78"/>
      <c r="E262" s="78"/>
      <c r="F262" s="78"/>
      <c r="G262" s="75"/>
      <c r="H262" s="77"/>
      <c r="I262" s="77"/>
      <c r="J262" s="13"/>
    </row>
    <row r="263" spans="1:10" ht="13.5" customHeight="1" x14ac:dyDescent="0.2">
      <c r="A263" s="79"/>
      <c r="B263" s="79"/>
      <c r="C263" s="78"/>
      <c r="D263" s="78"/>
      <c r="E263" s="78"/>
      <c r="F263" s="78"/>
      <c r="G263" s="75"/>
      <c r="H263" s="77"/>
      <c r="I263" s="77"/>
      <c r="J263" s="13"/>
    </row>
    <row r="264" spans="1:10" ht="13.5" customHeight="1" x14ac:dyDescent="0.2">
      <c r="A264" s="79"/>
      <c r="B264" s="79"/>
      <c r="C264" s="78"/>
      <c r="D264" s="78"/>
      <c r="E264" s="13"/>
      <c r="F264" s="13"/>
      <c r="G264" s="75"/>
      <c r="H264" s="77"/>
      <c r="I264" s="77"/>
      <c r="J264" s="13"/>
    </row>
    <row r="265" spans="1:10" ht="13.5" customHeight="1" x14ac:dyDescent="0.2">
      <c r="A265" s="74"/>
      <c r="B265" s="80"/>
      <c r="C265" s="81"/>
      <c r="D265" s="50"/>
      <c r="E265" s="13"/>
      <c r="F265" s="13"/>
      <c r="G265" s="75"/>
      <c r="H265" s="13"/>
      <c r="I265" s="13"/>
      <c r="J265" s="13"/>
    </row>
    <row r="266" spans="1:10" ht="13.5" customHeight="1" x14ac:dyDescent="0.2">
      <c r="A266" s="79"/>
      <c r="B266" s="79"/>
      <c r="C266" s="78"/>
      <c r="D266" s="78"/>
      <c r="E266" s="13"/>
      <c r="F266" s="13"/>
      <c r="G266" s="75"/>
      <c r="H266" s="77"/>
      <c r="I266" s="77"/>
      <c r="J266" s="13"/>
    </row>
    <row r="267" spans="1:10" ht="13.5" customHeight="1" x14ac:dyDescent="0.2">
      <c r="A267" s="79"/>
      <c r="B267" s="79"/>
      <c r="C267" s="78"/>
      <c r="D267" s="78"/>
      <c r="E267" s="13"/>
      <c r="F267" s="13"/>
      <c r="G267" s="75"/>
      <c r="H267" s="77"/>
      <c r="I267" s="77"/>
      <c r="J267" s="13"/>
    </row>
    <row r="268" spans="1:10" ht="13.5" customHeight="1" x14ac:dyDescent="0.2">
      <c r="A268" s="79"/>
      <c r="B268" s="79"/>
      <c r="C268" s="78"/>
      <c r="D268" s="78"/>
      <c r="E268" s="78"/>
      <c r="F268" s="78"/>
      <c r="G268" s="75"/>
      <c r="H268" s="77"/>
      <c r="I268" s="77"/>
      <c r="J268" s="13"/>
    </row>
    <row r="269" spans="1:10" ht="13.5" customHeight="1" x14ac:dyDescent="0.2">
      <c r="A269" s="79"/>
      <c r="B269" s="79"/>
      <c r="C269" s="78"/>
      <c r="D269" s="78"/>
      <c r="E269" s="78"/>
      <c r="F269" s="78"/>
      <c r="G269" s="75"/>
      <c r="H269" s="77"/>
      <c r="I269" s="77"/>
      <c r="J269" s="13"/>
    </row>
    <row r="270" spans="1:10" ht="13.5" customHeight="1" x14ac:dyDescent="0.2">
      <c r="A270" s="79"/>
      <c r="B270" s="79"/>
      <c r="C270" s="78"/>
      <c r="D270" s="78"/>
      <c r="E270" s="78"/>
      <c r="F270" s="78"/>
      <c r="G270" s="75"/>
      <c r="H270" s="77"/>
      <c r="I270" s="77"/>
      <c r="J270" s="13"/>
    </row>
    <row r="271" spans="1:10" ht="13.5" customHeight="1" x14ac:dyDescent="0.2">
      <c r="A271" s="79"/>
      <c r="B271" s="79"/>
      <c r="C271" s="78"/>
      <c r="D271" s="78"/>
      <c r="E271" s="78"/>
      <c r="F271" s="78"/>
      <c r="G271" s="75"/>
      <c r="H271" s="77"/>
      <c r="I271" s="77"/>
      <c r="J271" s="13"/>
    </row>
    <row r="272" spans="1:10" ht="13.5" customHeight="1" x14ac:dyDescent="0.2">
      <c r="A272" s="79"/>
      <c r="B272" s="79"/>
      <c r="C272" s="78"/>
      <c r="D272" s="78"/>
      <c r="E272" s="78"/>
      <c r="F272" s="78"/>
      <c r="G272" s="75"/>
      <c r="H272" s="77"/>
      <c r="I272" s="77"/>
      <c r="J272" s="13"/>
    </row>
    <row r="273" spans="1:10" ht="13.5" customHeight="1" x14ac:dyDescent="0.2">
      <c r="A273" s="79"/>
      <c r="B273" s="79"/>
      <c r="C273" s="78"/>
      <c r="D273" s="78"/>
      <c r="E273" s="78"/>
      <c r="F273" s="78"/>
      <c r="G273" s="14"/>
      <c r="H273" s="77"/>
      <c r="I273" s="77"/>
      <c r="J273" s="130"/>
    </row>
    <row r="274" spans="1:10" ht="13.5" customHeight="1" x14ac:dyDescent="0.2">
      <c r="A274" s="70"/>
      <c r="B274" s="70"/>
      <c r="C274" s="63"/>
      <c r="D274" s="50"/>
      <c r="E274" s="13"/>
      <c r="F274" s="13"/>
      <c r="G274" s="75"/>
      <c r="H274" s="82"/>
      <c r="I274" s="13"/>
      <c r="J274" s="13"/>
    </row>
    <row r="275" spans="1:10" ht="13.5" customHeight="1" x14ac:dyDescent="0.2">
      <c r="A275" s="70"/>
      <c r="B275" s="70"/>
      <c r="C275" s="63"/>
      <c r="D275" s="50"/>
      <c r="E275" s="13"/>
      <c r="F275" s="13"/>
      <c r="G275" s="75"/>
      <c r="H275" s="82"/>
      <c r="I275" s="13"/>
      <c r="J275" s="13"/>
    </row>
    <row r="276" spans="1:10" ht="13.5" customHeight="1" x14ac:dyDescent="0.2">
      <c r="A276" s="70"/>
      <c r="B276" s="70"/>
      <c r="C276" s="63"/>
      <c r="D276" s="50"/>
      <c r="E276" s="13"/>
      <c r="F276" s="13"/>
      <c r="G276" s="75"/>
      <c r="H276" s="82"/>
      <c r="I276" s="13"/>
      <c r="J276" s="13"/>
    </row>
    <row r="277" spans="1:10" ht="13.5" customHeight="1" x14ac:dyDescent="0.2">
      <c r="A277" s="70"/>
      <c r="B277" s="70"/>
      <c r="C277" s="63"/>
      <c r="D277" s="50"/>
      <c r="E277" s="13"/>
      <c r="F277" s="13"/>
      <c r="G277" s="75"/>
      <c r="H277" s="82"/>
      <c r="I277" s="13"/>
      <c r="J277" s="13"/>
    </row>
    <row r="278" spans="1:10" ht="13.5" customHeight="1" x14ac:dyDescent="0.2">
      <c r="A278" s="70"/>
      <c r="B278" s="70"/>
      <c r="C278" s="63"/>
      <c r="D278" s="50"/>
      <c r="E278" s="13"/>
      <c r="F278" s="13"/>
      <c r="G278" s="75"/>
      <c r="H278" s="82"/>
      <c r="I278" s="13"/>
      <c r="J278" s="13"/>
    </row>
    <row r="279" spans="1:10" ht="13.5" customHeight="1" x14ac:dyDescent="0.2">
      <c r="A279" s="70"/>
      <c r="B279" s="70"/>
      <c r="C279" s="63"/>
      <c r="D279" s="50"/>
      <c r="E279" s="13"/>
      <c r="F279" s="13"/>
      <c r="G279" s="75"/>
      <c r="H279" s="82"/>
      <c r="I279" s="13"/>
      <c r="J279" s="13"/>
    </row>
    <row r="280" spans="1:10" ht="13.5" customHeight="1" x14ac:dyDescent="0.2">
      <c r="A280" s="70"/>
      <c r="B280" s="70"/>
      <c r="C280" s="63"/>
      <c r="D280" s="50"/>
      <c r="E280" s="13"/>
      <c r="F280" s="13"/>
      <c r="G280" s="75"/>
      <c r="H280" s="82"/>
      <c r="I280" s="13"/>
      <c r="J280" s="13"/>
    </row>
    <row r="281" spans="1:10" ht="13.5" customHeight="1" x14ac:dyDescent="0.2">
      <c r="A281" s="70"/>
      <c r="B281" s="70"/>
      <c r="C281" s="63"/>
      <c r="D281" s="50"/>
      <c r="E281" s="13"/>
      <c r="F281" s="13"/>
      <c r="G281" s="75"/>
      <c r="H281" s="82"/>
      <c r="I281" s="13"/>
      <c r="J281" s="13"/>
    </row>
    <row r="282" spans="1:10" ht="13.5" customHeight="1" x14ac:dyDescent="0.2">
      <c r="A282" s="70"/>
      <c r="B282" s="70"/>
      <c r="C282" s="63"/>
      <c r="D282" s="50"/>
      <c r="E282" s="13"/>
      <c r="F282" s="13"/>
      <c r="G282" s="75"/>
      <c r="H282" s="82"/>
      <c r="I282" s="13"/>
      <c r="J282" s="13"/>
    </row>
    <row r="283" spans="1:10" ht="13.5" customHeight="1" x14ac:dyDescent="0.2">
      <c r="A283" s="70"/>
      <c r="B283" s="70"/>
      <c r="C283" s="63"/>
      <c r="D283" s="50"/>
      <c r="E283" s="13"/>
      <c r="F283" s="13"/>
      <c r="G283" s="75"/>
      <c r="H283" s="82"/>
      <c r="I283" s="13"/>
      <c r="J283" s="13"/>
    </row>
    <row r="284" spans="1:10" ht="13.5" customHeight="1" x14ac:dyDescent="0.2">
      <c r="A284" s="70"/>
      <c r="B284" s="70"/>
      <c r="C284" s="63"/>
      <c r="D284" s="50"/>
      <c r="E284" s="13"/>
      <c r="F284" s="13"/>
      <c r="G284" s="75"/>
      <c r="H284" s="82"/>
      <c r="I284" s="13"/>
      <c r="J284" s="13"/>
    </row>
    <row r="285" spans="1:10" ht="13.5" customHeight="1" x14ac:dyDescent="0.2">
      <c r="A285" s="70"/>
      <c r="B285" s="70"/>
      <c r="C285" s="63"/>
      <c r="D285" s="50"/>
      <c r="E285" s="13"/>
      <c r="F285" s="13"/>
      <c r="G285" s="75"/>
      <c r="H285" s="82"/>
      <c r="I285" s="13"/>
      <c r="J285" s="13"/>
    </row>
    <row r="286" spans="1:10" ht="13.5" customHeight="1" x14ac:dyDescent="0.2">
      <c r="A286" s="70"/>
      <c r="B286" s="70"/>
      <c r="C286" s="63"/>
      <c r="D286" s="50"/>
      <c r="E286" s="13"/>
      <c r="F286" s="13"/>
      <c r="G286" s="75"/>
      <c r="H286" s="82"/>
      <c r="I286" s="13"/>
      <c r="J286" s="13"/>
    </row>
    <row r="287" spans="1:10" ht="13.5" customHeight="1" x14ac:dyDescent="0.2">
      <c r="A287" s="70"/>
      <c r="B287" s="70"/>
      <c r="C287" s="63"/>
      <c r="D287" s="50"/>
      <c r="E287" s="13"/>
      <c r="F287" s="13"/>
      <c r="G287" s="75"/>
      <c r="H287" s="82"/>
      <c r="I287" s="13"/>
      <c r="J287" s="13"/>
    </row>
    <row r="288" spans="1:10" ht="13.5" customHeight="1" x14ac:dyDescent="0.2">
      <c r="A288" s="70"/>
      <c r="B288" s="70"/>
      <c r="C288" s="63"/>
      <c r="D288" s="50"/>
      <c r="E288" s="13"/>
      <c r="F288" s="13"/>
      <c r="G288" s="75"/>
      <c r="H288" s="82"/>
      <c r="I288" s="13"/>
      <c r="J288" s="13"/>
    </row>
    <row r="289" spans="1:10" ht="13.5" customHeight="1" x14ac:dyDescent="0.2">
      <c r="A289" s="70"/>
      <c r="B289" s="70"/>
      <c r="C289" s="63"/>
      <c r="D289" s="50"/>
      <c r="E289" s="13"/>
      <c r="F289" s="13"/>
      <c r="G289" s="75"/>
      <c r="H289" s="82"/>
      <c r="I289" s="13"/>
      <c r="J289" s="13"/>
    </row>
    <row r="290" spans="1:10" ht="13.5" customHeight="1" x14ac:dyDescent="0.2">
      <c r="A290" s="70"/>
      <c r="B290" s="70"/>
      <c r="C290" s="63"/>
      <c r="D290" s="50"/>
      <c r="E290" s="13"/>
      <c r="F290" s="13"/>
      <c r="G290" s="75"/>
      <c r="H290" s="82"/>
      <c r="I290" s="13"/>
      <c r="J290" s="13"/>
    </row>
    <row r="291" spans="1:10" ht="13.5" customHeight="1" x14ac:dyDescent="0.2">
      <c r="A291" s="70"/>
      <c r="B291" s="70"/>
      <c r="C291" s="63"/>
      <c r="D291" s="50"/>
      <c r="E291" s="13"/>
      <c r="F291" s="13"/>
      <c r="G291" s="75"/>
      <c r="H291" s="82"/>
      <c r="I291" s="13"/>
      <c r="J291" s="13"/>
    </row>
    <row r="292" spans="1:10" ht="13.5" customHeight="1" x14ac:dyDescent="0.2">
      <c r="A292" s="70"/>
      <c r="B292" s="70"/>
      <c r="C292" s="63"/>
      <c r="D292" s="50"/>
      <c r="E292" s="13"/>
      <c r="F292" s="13"/>
      <c r="G292" s="75"/>
      <c r="H292" s="82"/>
      <c r="I292" s="13"/>
      <c r="J292" s="13"/>
    </row>
    <row r="293" spans="1:10" ht="13.5" customHeight="1" x14ac:dyDescent="0.2">
      <c r="A293" s="70"/>
      <c r="B293" s="70"/>
      <c r="C293" s="63"/>
      <c r="D293" s="50"/>
      <c r="E293" s="13"/>
      <c r="F293" s="13"/>
      <c r="G293" s="75"/>
      <c r="H293" s="82"/>
      <c r="I293" s="13"/>
      <c r="J293" s="13"/>
    </row>
    <row r="294" spans="1:10" ht="13.5" customHeight="1" x14ac:dyDescent="0.2">
      <c r="A294" s="70"/>
      <c r="B294" s="70"/>
      <c r="C294" s="63"/>
      <c r="D294" s="50"/>
      <c r="E294" s="13"/>
      <c r="F294" s="13"/>
      <c r="G294" s="75"/>
      <c r="H294" s="82"/>
      <c r="I294" s="13"/>
      <c r="J294" s="13"/>
    </row>
    <row r="295" spans="1:10" ht="13.5" customHeight="1" x14ac:dyDescent="0.2">
      <c r="A295" s="70"/>
      <c r="B295" s="70"/>
      <c r="C295" s="63"/>
      <c r="D295" s="50"/>
      <c r="E295" s="13"/>
      <c r="F295" s="13"/>
      <c r="G295" s="75"/>
      <c r="H295" s="82"/>
      <c r="I295" s="13"/>
      <c r="J295" s="13"/>
    </row>
    <row r="296" spans="1:10" ht="13.5" customHeight="1" x14ac:dyDescent="0.2">
      <c r="A296" s="70"/>
      <c r="B296" s="70"/>
      <c r="C296" s="63"/>
      <c r="D296" s="50"/>
      <c r="E296" s="13"/>
      <c r="F296" s="13"/>
      <c r="G296" s="75"/>
      <c r="H296" s="82"/>
      <c r="I296" s="13"/>
      <c r="J296" s="13"/>
    </row>
    <row r="297" spans="1:10" ht="13.5" customHeight="1" x14ac:dyDescent="0.2">
      <c r="A297" s="70"/>
      <c r="B297" s="70"/>
      <c r="C297" s="63"/>
      <c r="D297" s="50"/>
      <c r="E297" s="13"/>
      <c r="F297" s="13"/>
      <c r="G297" s="75"/>
      <c r="H297" s="82"/>
      <c r="I297" s="13"/>
      <c r="J297" s="13"/>
    </row>
    <row r="298" spans="1:10" ht="13.5" customHeight="1" x14ac:dyDescent="0.2">
      <c r="A298" s="70"/>
      <c r="B298" s="70"/>
      <c r="C298" s="63"/>
      <c r="D298" s="50"/>
      <c r="E298" s="13"/>
      <c r="F298" s="13"/>
      <c r="G298" s="75"/>
      <c r="H298" s="82"/>
      <c r="I298" s="13"/>
      <c r="J298" s="13"/>
    </row>
    <row r="299" spans="1:10" ht="13.5" customHeight="1" x14ac:dyDescent="0.2">
      <c r="A299" s="70"/>
      <c r="B299" s="70"/>
      <c r="C299" s="63"/>
      <c r="D299" s="50"/>
      <c r="E299" s="13"/>
      <c r="F299" s="13"/>
      <c r="G299" s="75"/>
      <c r="H299" s="82"/>
      <c r="I299" s="13"/>
      <c r="J299" s="13"/>
    </row>
    <row r="300" spans="1:10" ht="13.5" customHeight="1" x14ac:dyDescent="0.2">
      <c r="A300" s="70"/>
      <c r="B300" s="70"/>
      <c r="C300" s="63"/>
      <c r="D300" s="50"/>
      <c r="E300" s="13"/>
      <c r="F300" s="13"/>
      <c r="G300" s="75"/>
      <c r="H300" s="82"/>
      <c r="I300" s="13"/>
      <c r="J300" s="13"/>
    </row>
    <row r="301" spans="1:10" ht="13.5" customHeight="1" x14ac:dyDescent="0.2">
      <c r="A301" s="70"/>
      <c r="B301" s="70"/>
      <c r="C301" s="63"/>
      <c r="D301" s="50"/>
      <c r="E301" s="13"/>
      <c r="F301" s="13"/>
      <c r="G301" s="75"/>
      <c r="H301" s="82"/>
      <c r="I301" s="13"/>
      <c r="J301" s="13"/>
    </row>
    <row r="302" spans="1:10" ht="13.5" customHeight="1" x14ac:dyDescent="0.2">
      <c r="A302" s="70"/>
      <c r="B302" s="70"/>
      <c r="C302" s="63"/>
      <c r="D302" s="50"/>
      <c r="E302" s="13"/>
      <c r="F302" s="13"/>
      <c r="G302" s="75"/>
      <c r="H302" s="82"/>
      <c r="I302" s="13"/>
      <c r="J302" s="13"/>
    </row>
    <row r="303" spans="1:10" ht="13.5" customHeight="1" x14ac:dyDescent="0.2">
      <c r="A303" s="70"/>
      <c r="B303" s="70"/>
      <c r="C303" s="63"/>
      <c r="D303" s="50"/>
      <c r="E303" s="13"/>
      <c r="F303" s="13"/>
      <c r="G303" s="75"/>
      <c r="H303" s="82"/>
      <c r="I303" s="13"/>
      <c r="J303" s="13"/>
    </row>
    <row r="304" spans="1:10" ht="13.5" customHeight="1" x14ac:dyDescent="0.2">
      <c r="A304" s="70"/>
      <c r="B304" s="70"/>
      <c r="C304" s="63"/>
      <c r="D304" s="50"/>
      <c r="E304" s="13"/>
      <c r="F304" s="13"/>
      <c r="G304" s="75"/>
      <c r="H304" s="82"/>
      <c r="I304" s="13"/>
      <c r="J304" s="13"/>
    </row>
    <row r="305" spans="1:10" ht="13.5" customHeight="1" x14ac:dyDescent="0.2">
      <c r="A305" s="70"/>
      <c r="B305" s="70"/>
      <c r="C305" s="63"/>
      <c r="D305" s="50"/>
      <c r="E305" s="13"/>
      <c r="F305" s="13"/>
      <c r="G305" s="75"/>
      <c r="H305" s="82"/>
      <c r="I305" s="13"/>
      <c r="J305" s="13"/>
    </row>
    <row r="306" spans="1:10" ht="13.5" customHeight="1" x14ac:dyDescent="0.2">
      <c r="A306" s="70"/>
      <c r="B306" s="70"/>
      <c r="C306" s="63"/>
      <c r="D306" s="50"/>
      <c r="E306" s="13"/>
      <c r="F306" s="13"/>
      <c r="G306" s="75"/>
      <c r="H306" s="82"/>
      <c r="I306" s="13"/>
      <c r="J306" s="13"/>
    </row>
    <row r="307" spans="1:10" ht="13.5" customHeight="1" x14ac:dyDescent="0.2">
      <c r="A307" s="70"/>
      <c r="B307" s="70"/>
      <c r="C307" s="63"/>
      <c r="D307" s="50"/>
      <c r="E307" s="13"/>
      <c r="F307" s="13"/>
      <c r="G307" s="75"/>
      <c r="H307" s="82"/>
      <c r="I307" s="13"/>
      <c r="J307" s="13"/>
    </row>
    <row r="308" spans="1:10" ht="13.5" customHeight="1" x14ac:dyDescent="0.2">
      <c r="A308" s="70"/>
      <c r="B308" s="70"/>
      <c r="C308" s="63"/>
      <c r="D308" s="50"/>
      <c r="E308" s="13"/>
      <c r="F308" s="13"/>
      <c r="G308" s="75"/>
      <c r="H308" s="82"/>
      <c r="I308" s="13"/>
      <c r="J308" s="13"/>
    </row>
    <row r="309" spans="1:10" ht="13.5" customHeight="1" x14ac:dyDescent="0.2">
      <c r="A309" s="70"/>
      <c r="B309" s="70"/>
      <c r="C309" s="63"/>
      <c r="D309" s="50"/>
      <c r="E309" s="13"/>
      <c r="F309" s="13"/>
      <c r="G309" s="75"/>
      <c r="H309" s="82"/>
      <c r="I309" s="13"/>
      <c r="J309" s="13"/>
    </row>
    <row r="310" spans="1:10" ht="13.5" customHeight="1" x14ac:dyDescent="0.2">
      <c r="A310" s="70"/>
      <c r="B310" s="70"/>
      <c r="C310" s="63"/>
      <c r="D310" s="50"/>
      <c r="E310" s="13"/>
      <c r="F310" s="13"/>
      <c r="G310" s="75"/>
      <c r="H310" s="82"/>
      <c r="I310" s="13"/>
      <c r="J310" s="13"/>
    </row>
    <row r="311" spans="1:10" ht="13.5" customHeight="1" x14ac:dyDescent="0.2">
      <c r="A311" s="70"/>
      <c r="B311" s="70"/>
      <c r="C311" s="63"/>
      <c r="D311" s="50"/>
      <c r="E311" s="13"/>
      <c r="F311" s="13"/>
      <c r="G311" s="75"/>
      <c r="H311" s="82"/>
      <c r="I311" s="13"/>
      <c r="J311" s="13"/>
    </row>
    <row r="312" spans="1:10" ht="13.5" customHeight="1" x14ac:dyDescent="0.2">
      <c r="A312" s="70"/>
      <c r="B312" s="70"/>
      <c r="C312" s="63"/>
      <c r="D312" s="50"/>
      <c r="E312" s="13"/>
      <c r="F312" s="13"/>
      <c r="G312" s="75"/>
      <c r="H312" s="82"/>
      <c r="I312" s="13"/>
      <c r="J312" s="13"/>
    </row>
    <row r="313" spans="1:10" ht="13.5" customHeight="1" x14ac:dyDescent="0.2">
      <c r="A313" s="70"/>
      <c r="B313" s="70"/>
      <c r="C313" s="63"/>
      <c r="D313" s="50"/>
      <c r="E313" s="13"/>
      <c r="F313" s="13"/>
      <c r="G313" s="75"/>
      <c r="H313" s="82"/>
      <c r="I313" s="13"/>
      <c r="J313" s="13"/>
    </row>
    <row r="314" spans="1:10" ht="13.5" customHeight="1" x14ac:dyDescent="0.2">
      <c r="A314" s="70"/>
      <c r="B314" s="70"/>
      <c r="C314" s="63"/>
      <c r="D314" s="50"/>
      <c r="E314" s="13"/>
      <c r="F314" s="13"/>
      <c r="G314" s="75"/>
      <c r="H314" s="83"/>
      <c r="I314" s="13"/>
      <c r="J314" s="13"/>
    </row>
    <row r="315" spans="1:10" ht="13.5" customHeight="1" x14ac:dyDescent="0.2">
      <c r="A315" s="70"/>
      <c r="B315" s="70"/>
      <c r="C315" s="63"/>
      <c r="D315" s="50"/>
      <c r="E315" s="13"/>
      <c r="F315" s="13"/>
      <c r="G315" s="75"/>
      <c r="H315" s="83"/>
      <c r="I315" s="13"/>
      <c r="J315" s="13"/>
    </row>
    <row r="316" spans="1:10" ht="13.5" customHeight="1" x14ac:dyDescent="0.2">
      <c r="A316" s="131"/>
      <c r="B316" s="70"/>
      <c r="C316" s="64"/>
      <c r="D316" s="50"/>
      <c r="E316" s="13"/>
      <c r="F316" s="13"/>
      <c r="G316" s="75"/>
      <c r="H316" s="84"/>
      <c r="I316" s="13"/>
      <c r="J316" s="13"/>
    </row>
    <row r="317" spans="1:10" ht="13.5" customHeight="1" x14ac:dyDescent="0.2">
      <c r="A317" s="70"/>
      <c r="B317" s="70"/>
      <c r="C317" s="63"/>
      <c r="D317" s="50"/>
      <c r="E317" s="13"/>
      <c r="F317" s="13"/>
      <c r="G317" s="75"/>
      <c r="H317" s="83"/>
      <c r="I317" s="13"/>
      <c r="J317" s="13"/>
    </row>
    <row r="318" spans="1:10" ht="13.5" customHeight="1" x14ac:dyDescent="0.2">
      <c r="A318" s="70"/>
      <c r="B318" s="70"/>
      <c r="C318" s="63"/>
      <c r="D318" s="50"/>
      <c r="E318" s="13"/>
      <c r="F318" s="13"/>
      <c r="G318" s="75"/>
      <c r="H318" s="83"/>
      <c r="I318" s="13"/>
      <c r="J318" s="13"/>
    </row>
    <row r="319" spans="1:10" ht="13.5" customHeight="1" x14ac:dyDescent="0.2">
      <c r="A319" s="131"/>
      <c r="B319" s="70"/>
      <c r="C319" s="85"/>
      <c r="D319" s="50"/>
      <c r="E319" s="13"/>
      <c r="F319" s="13"/>
      <c r="G319" s="75"/>
      <c r="H319" s="83"/>
      <c r="I319" s="13"/>
      <c r="J319" s="13"/>
    </row>
    <row r="320" spans="1:10" ht="13.5" customHeight="1" x14ac:dyDescent="0.2">
      <c r="A320" s="131"/>
      <c r="B320" s="70"/>
      <c r="C320" s="63"/>
      <c r="D320" s="50"/>
      <c r="E320" s="13"/>
      <c r="F320" s="13"/>
      <c r="G320" s="75"/>
      <c r="H320" s="83"/>
      <c r="I320" s="13"/>
      <c r="J320" s="13"/>
    </row>
    <row r="321" spans="1:10" ht="13.5" customHeight="1" x14ac:dyDescent="0.2">
      <c r="A321" s="131"/>
      <c r="B321" s="70"/>
      <c r="C321" s="63"/>
      <c r="D321" s="50"/>
      <c r="E321" s="13"/>
      <c r="F321" s="13"/>
      <c r="G321" s="75"/>
      <c r="H321" s="84"/>
      <c r="I321" s="13"/>
      <c r="J321" s="13"/>
    </row>
    <row r="322" spans="1:10" ht="13.5" customHeight="1" x14ac:dyDescent="0.2">
      <c r="A322" s="131"/>
      <c r="B322" s="70"/>
      <c r="C322" s="64"/>
      <c r="D322" s="50"/>
      <c r="E322" s="13"/>
      <c r="F322" s="13"/>
      <c r="G322" s="75"/>
      <c r="H322" s="83"/>
      <c r="I322" s="13"/>
      <c r="J322" s="13"/>
    </row>
    <row r="323" spans="1:10" ht="13.5" customHeight="1" x14ac:dyDescent="0.2">
      <c r="A323" s="70"/>
      <c r="B323" s="70"/>
      <c r="C323" s="63"/>
      <c r="D323" s="50"/>
      <c r="E323" s="13"/>
      <c r="F323" s="13"/>
      <c r="G323" s="75"/>
      <c r="H323" s="83"/>
      <c r="I323" s="13"/>
      <c r="J323" s="13"/>
    </row>
    <row r="324" spans="1:10" ht="13.5" customHeight="1" x14ac:dyDescent="0.2">
      <c r="A324" s="131"/>
      <c r="B324" s="70"/>
      <c r="C324" s="63"/>
      <c r="D324" s="50"/>
      <c r="E324" s="13"/>
      <c r="F324" s="13"/>
      <c r="G324" s="75"/>
      <c r="H324" s="84"/>
      <c r="I324" s="13"/>
      <c r="J324" s="13"/>
    </row>
    <row r="325" spans="1:10" ht="13.5" customHeight="1" x14ac:dyDescent="0.2">
      <c r="A325" s="131"/>
      <c r="B325" s="70"/>
      <c r="C325" s="64"/>
      <c r="D325" s="50"/>
      <c r="E325" s="13"/>
      <c r="F325" s="13"/>
      <c r="G325" s="75"/>
      <c r="H325" s="84"/>
      <c r="I325" s="13"/>
      <c r="J325" s="13"/>
    </row>
    <row r="326" spans="1:10" ht="13.5" customHeight="1" x14ac:dyDescent="0.2">
      <c r="A326" s="70"/>
      <c r="B326" s="70"/>
      <c r="C326" s="63"/>
      <c r="D326" s="50"/>
      <c r="E326" s="13"/>
      <c r="F326" s="13"/>
      <c r="G326" s="75"/>
      <c r="H326" s="83"/>
      <c r="I326" s="13"/>
      <c r="J326" s="13"/>
    </row>
    <row r="327" spans="1:10" ht="13.5" customHeight="1" x14ac:dyDescent="0.2">
      <c r="A327" s="131"/>
      <c r="B327" s="70"/>
      <c r="C327" s="63"/>
      <c r="D327" s="50"/>
      <c r="E327" s="13"/>
      <c r="F327" s="13"/>
      <c r="G327" s="75"/>
      <c r="H327" s="84"/>
      <c r="I327" s="13"/>
      <c r="J327" s="13"/>
    </row>
    <row r="328" spans="1:10" ht="13.5" customHeight="1" x14ac:dyDescent="0.2">
      <c r="A328" s="131"/>
      <c r="B328" s="70"/>
      <c r="C328" s="64"/>
      <c r="D328" s="50"/>
      <c r="E328" s="13"/>
      <c r="F328" s="13"/>
      <c r="G328" s="75"/>
      <c r="H328" s="84"/>
      <c r="I328" s="13"/>
      <c r="J328" s="13"/>
    </row>
    <row r="329" spans="1:10" ht="13.5" customHeight="1" x14ac:dyDescent="0.2">
      <c r="A329" s="70"/>
      <c r="B329" s="70"/>
      <c r="C329" s="63"/>
      <c r="D329" s="50"/>
      <c r="E329" s="13"/>
      <c r="F329" s="13"/>
      <c r="G329" s="75"/>
      <c r="H329" s="83"/>
      <c r="I329" s="13"/>
      <c r="J329" s="13"/>
    </row>
    <row r="330" spans="1:10" ht="13.5" customHeight="1" x14ac:dyDescent="0.2">
      <c r="A330" s="70"/>
      <c r="B330" s="70"/>
      <c r="C330" s="63"/>
      <c r="D330" s="50"/>
      <c r="E330" s="13"/>
      <c r="F330" s="13"/>
      <c r="G330" s="75"/>
      <c r="H330" s="83"/>
      <c r="I330" s="13"/>
      <c r="J330" s="13"/>
    </row>
    <row r="331" spans="1:10" ht="13.5" customHeight="1" x14ac:dyDescent="0.2">
      <c r="A331" s="70"/>
      <c r="B331" s="70"/>
      <c r="C331" s="63"/>
      <c r="D331" s="50"/>
      <c r="E331" s="13"/>
      <c r="F331" s="13"/>
      <c r="G331" s="75"/>
      <c r="H331" s="82"/>
      <c r="I331" s="13"/>
      <c r="J331" s="13"/>
    </row>
    <row r="332" spans="1:10" ht="13.5" customHeight="1" x14ac:dyDescent="0.2">
      <c r="A332" s="131"/>
      <c r="B332" s="70"/>
      <c r="C332" s="86"/>
      <c r="D332" s="50"/>
      <c r="E332" s="13"/>
      <c r="F332" s="13"/>
      <c r="G332" s="75"/>
      <c r="H332" s="82"/>
      <c r="I332" s="13"/>
      <c r="J332" s="13"/>
    </row>
    <row r="333" spans="1:10" ht="13.5" customHeight="1" x14ac:dyDescent="0.2">
      <c r="A333" s="131"/>
      <c r="B333" s="70"/>
      <c r="C333" s="85"/>
      <c r="D333" s="50"/>
      <c r="E333" s="13"/>
      <c r="F333" s="13"/>
      <c r="G333" s="75"/>
      <c r="H333" s="82"/>
      <c r="I333" s="13"/>
      <c r="J333" s="13"/>
    </row>
    <row r="334" spans="1:10" ht="13.5" customHeight="1" x14ac:dyDescent="0.2">
      <c r="A334" s="131"/>
      <c r="B334" s="70"/>
      <c r="C334" s="87"/>
      <c r="D334" s="50"/>
      <c r="E334" s="13"/>
      <c r="F334" s="13"/>
      <c r="G334" s="75"/>
      <c r="H334" s="82"/>
      <c r="I334" s="13"/>
      <c r="J334" s="13"/>
    </row>
    <row r="335" spans="1:10" ht="13.5" customHeight="1" x14ac:dyDescent="0.2">
      <c r="A335" s="131"/>
      <c r="B335" s="70"/>
      <c r="C335" s="88"/>
      <c r="D335" s="50"/>
      <c r="E335" s="13"/>
      <c r="F335" s="13"/>
      <c r="G335" s="75"/>
      <c r="H335" s="82"/>
      <c r="I335" s="13"/>
      <c r="J335" s="13"/>
    </row>
    <row r="336" spans="1:10" ht="13.5" customHeight="1" x14ac:dyDescent="0.2">
      <c r="A336" s="91"/>
      <c r="B336" s="9"/>
      <c r="C336" s="56"/>
      <c r="D336" s="11"/>
      <c r="E336" s="12"/>
      <c r="F336" s="12"/>
      <c r="G336" s="23"/>
      <c r="H336" s="89"/>
      <c r="I336" s="12"/>
      <c r="J336" s="13"/>
    </row>
    <row r="337" spans="1:10" ht="13.5" customHeight="1" x14ac:dyDescent="0.2">
      <c r="A337" s="9"/>
      <c r="B337" s="9"/>
      <c r="C337" s="56"/>
      <c r="D337" s="11"/>
      <c r="E337" s="12"/>
      <c r="F337" s="12"/>
      <c r="G337" s="23"/>
      <c r="H337" s="90"/>
      <c r="I337" s="12"/>
      <c r="J337" s="13"/>
    </row>
    <row r="338" spans="1:10" ht="13.5" customHeight="1" x14ac:dyDescent="0.2">
      <c r="A338" s="9"/>
      <c r="B338" s="9"/>
      <c r="C338" s="56"/>
      <c r="D338" s="11"/>
      <c r="E338" s="12"/>
      <c r="F338" s="12"/>
      <c r="G338" s="23"/>
      <c r="H338" s="89"/>
      <c r="I338" s="12"/>
      <c r="J338" s="13"/>
    </row>
    <row r="339" spans="1:10" ht="13.5" customHeight="1" x14ac:dyDescent="0.2">
      <c r="A339" s="91"/>
      <c r="B339" s="9"/>
      <c r="D339" s="11"/>
      <c r="E339" s="12"/>
      <c r="F339" s="12"/>
      <c r="G339" s="23"/>
      <c r="H339" s="89"/>
      <c r="I339" s="12"/>
      <c r="J339" s="13"/>
    </row>
    <row r="340" spans="1:10" ht="13.5" customHeight="1" x14ac:dyDescent="0.2">
      <c r="A340" s="9"/>
      <c r="B340" s="9"/>
      <c r="C340" s="56"/>
      <c r="D340" s="11"/>
      <c r="E340" s="12"/>
      <c r="F340" s="12"/>
      <c r="G340" s="23"/>
      <c r="H340" s="90"/>
      <c r="I340" s="12"/>
      <c r="J340" s="13"/>
    </row>
    <row r="341" spans="1:10" ht="13.5" customHeight="1" x14ac:dyDescent="0.2">
      <c r="A341" s="9"/>
      <c r="B341" s="9"/>
      <c r="C341" s="56"/>
      <c r="D341" s="11"/>
      <c r="E341" s="12"/>
      <c r="F341" s="12"/>
      <c r="G341" s="23"/>
      <c r="H341" s="90"/>
      <c r="I341" s="12"/>
      <c r="J341" s="13"/>
    </row>
    <row r="342" spans="1:10" ht="13.5" customHeight="1" x14ac:dyDescent="0.2">
      <c r="A342" s="9"/>
      <c r="B342" s="9"/>
      <c r="C342" s="56"/>
      <c r="D342" s="11"/>
      <c r="E342" s="12"/>
      <c r="F342" s="12"/>
      <c r="G342" s="23"/>
      <c r="H342" s="90"/>
      <c r="I342" s="12"/>
      <c r="J342" s="13"/>
    </row>
    <row r="343" spans="1:10" ht="13.5" customHeight="1" x14ac:dyDescent="0.2">
      <c r="A343" s="91"/>
      <c r="B343" s="9"/>
      <c r="C343" s="27"/>
      <c r="D343" s="11"/>
      <c r="E343" s="12"/>
      <c r="F343" s="12"/>
      <c r="G343" s="23"/>
      <c r="H343" s="92"/>
      <c r="I343" s="12"/>
      <c r="J343" s="13"/>
    </row>
    <row r="344" spans="1:10" ht="13.5" customHeight="1" x14ac:dyDescent="0.2">
      <c r="A344" s="91"/>
      <c r="B344" s="9"/>
      <c r="C344" s="27"/>
      <c r="D344" s="11"/>
      <c r="E344" s="12"/>
      <c r="F344" s="12"/>
      <c r="G344" s="23"/>
      <c r="H344" s="90"/>
      <c r="I344" s="12"/>
      <c r="J344" s="13"/>
    </row>
    <row r="345" spans="1:10" ht="13.5" customHeight="1" x14ac:dyDescent="0.2">
      <c r="A345" s="91"/>
      <c r="B345" s="9"/>
      <c r="D345" s="11"/>
      <c r="E345" s="12"/>
      <c r="F345" s="12"/>
      <c r="G345" s="23"/>
      <c r="H345" s="92"/>
      <c r="I345" s="12"/>
      <c r="J345" s="13"/>
    </row>
    <row r="346" spans="1:10" ht="13.5" customHeight="1" x14ac:dyDescent="0.2">
      <c r="A346" s="9"/>
      <c r="B346" s="9"/>
      <c r="C346" s="56"/>
      <c r="D346" s="11"/>
      <c r="E346" s="12"/>
      <c r="F346" s="12"/>
      <c r="G346" s="23"/>
      <c r="H346" s="89"/>
      <c r="I346" s="12"/>
      <c r="J346" s="13"/>
    </row>
    <row r="347" spans="1:10" ht="13.5" customHeight="1" x14ac:dyDescent="0.2">
      <c r="A347" s="9"/>
      <c r="B347" s="9"/>
      <c r="C347" s="56"/>
      <c r="D347" s="11"/>
      <c r="E347" s="12"/>
      <c r="F347" s="12"/>
      <c r="G347" s="23"/>
      <c r="H347" s="89"/>
      <c r="I347" s="12"/>
      <c r="J347" s="13"/>
    </row>
    <row r="348" spans="1:10" ht="13.5" customHeight="1" x14ac:dyDescent="0.2">
      <c r="A348" s="9"/>
      <c r="B348" s="9"/>
      <c r="C348" s="56"/>
      <c r="D348" s="11"/>
      <c r="E348" s="12"/>
      <c r="F348" s="12"/>
      <c r="G348" s="23"/>
      <c r="H348" s="89"/>
      <c r="I348" s="12"/>
      <c r="J348" s="13"/>
    </row>
    <row r="349" spans="1:10" ht="13.5" customHeight="1" x14ac:dyDescent="0.2">
      <c r="A349" s="9"/>
      <c r="B349" s="9"/>
      <c r="C349" s="56"/>
      <c r="D349" s="11"/>
      <c r="E349" s="12"/>
      <c r="F349" s="12"/>
      <c r="G349" s="23"/>
      <c r="H349" s="89"/>
      <c r="I349" s="12"/>
      <c r="J349" s="13"/>
    </row>
    <row r="350" spans="1:10" x14ac:dyDescent="0.2">
      <c r="A350" s="132"/>
      <c r="B350" s="93"/>
      <c r="C350" s="94"/>
      <c r="D350" s="27"/>
      <c r="E350" s="27"/>
      <c r="F350" s="27"/>
      <c r="G350" s="27"/>
      <c r="H350" s="95"/>
      <c r="I350" s="30"/>
      <c r="J350" s="51"/>
    </row>
  </sheetData>
  <mergeCells count="4">
    <mergeCell ref="A1:C1"/>
    <mergeCell ref="D1:G1"/>
    <mergeCell ref="H1:J1"/>
    <mergeCell ref="H154:J154"/>
  </mergeCells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N247"/>
  <sheetViews>
    <sheetView topLeftCell="A74" zoomScale="82" zoomScaleNormal="82" workbookViewId="0">
      <selection activeCell="B86" sqref="B86"/>
    </sheetView>
  </sheetViews>
  <sheetFormatPr defaultColWidth="9" defaultRowHeight="12.75" x14ac:dyDescent="0.2"/>
  <cols>
    <col min="1" max="1" width="12.75" style="96" customWidth="1"/>
    <col min="2" max="2" width="79.875" style="1" customWidth="1"/>
    <col min="3" max="3" width="4.25" style="1" customWidth="1"/>
    <col min="4" max="4" width="10.75" style="18" customWidth="1"/>
    <col min="5" max="5" width="9.625" style="1" bestFit="1" customWidth="1"/>
    <col min="6" max="6" width="9" style="1"/>
    <col min="7" max="7" width="10.875" style="40" bestFit="1" customWidth="1"/>
    <col min="8" max="8" width="9" style="1"/>
    <col min="9" max="10" width="10.125" style="1" bestFit="1" customWidth="1"/>
    <col min="11" max="16384" width="9" style="1"/>
  </cols>
  <sheetData>
    <row r="1" spans="1:14" x14ac:dyDescent="0.2">
      <c r="F1" s="97" t="s">
        <v>218</v>
      </c>
      <c r="G1" s="97" t="s">
        <v>219</v>
      </c>
      <c r="H1" s="97" t="s">
        <v>220</v>
      </c>
      <c r="I1" s="97" t="s">
        <v>221</v>
      </c>
      <c r="J1" s="97" t="s">
        <v>222</v>
      </c>
    </row>
    <row r="2" spans="1:14" ht="13.5" customHeight="1" x14ac:dyDescent="0.2">
      <c r="A2" s="1311" t="s">
        <v>222</v>
      </c>
      <c r="B2" s="21" t="s">
        <v>7382</v>
      </c>
      <c r="C2" s="22"/>
      <c r="D2" s="25">
        <v>940</v>
      </c>
      <c r="F2" s="100">
        <v>1020</v>
      </c>
      <c r="G2" s="402">
        <v>80</v>
      </c>
      <c r="H2" s="402"/>
      <c r="I2" s="402"/>
      <c r="J2" s="618">
        <v>940</v>
      </c>
    </row>
    <row r="3" spans="1:14" ht="13.5" customHeight="1" x14ac:dyDescent="0.2">
      <c r="A3" s="1311" t="s">
        <v>222</v>
      </c>
      <c r="B3" s="34" t="s">
        <v>7437</v>
      </c>
      <c r="C3" s="173"/>
      <c r="D3" s="1070">
        <v>860</v>
      </c>
      <c r="F3" s="100">
        <v>940</v>
      </c>
      <c r="G3" s="402">
        <v>80</v>
      </c>
      <c r="H3" s="402"/>
      <c r="I3" s="402"/>
      <c r="J3" s="618">
        <f t="shared" ref="J3:J9" si="0">F3-G3-H3-I3</f>
        <v>860</v>
      </c>
      <c r="K3" s="40"/>
      <c r="L3" s="40"/>
      <c r="M3" s="40"/>
      <c r="N3" s="40"/>
    </row>
    <row r="4" spans="1:14" ht="13.5" customHeight="1" x14ac:dyDescent="0.2">
      <c r="A4" s="1311" t="s">
        <v>222</v>
      </c>
      <c r="B4" s="34" t="s">
        <v>7401</v>
      </c>
      <c r="C4" s="173"/>
      <c r="D4" s="25">
        <v>940</v>
      </c>
      <c r="F4" s="100">
        <v>1020</v>
      </c>
      <c r="G4" s="402">
        <v>80</v>
      </c>
      <c r="H4" s="402"/>
      <c r="I4" s="402"/>
      <c r="J4" s="618">
        <f t="shared" si="0"/>
        <v>940</v>
      </c>
    </row>
    <row r="5" spans="1:14" ht="13.5" customHeight="1" x14ac:dyDescent="0.2">
      <c r="A5" s="1311" t="s">
        <v>222</v>
      </c>
      <c r="B5" s="34" t="s">
        <v>7544</v>
      </c>
      <c r="C5" s="22"/>
      <c r="D5" s="25">
        <v>1200</v>
      </c>
      <c r="F5" s="100">
        <v>1340.14</v>
      </c>
      <c r="G5" s="402">
        <v>80</v>
      </c>
      <c r="H5" s="402">
        <v>24.96</v>
      </c>
      <c r="I5" s="402">
        <v>35.18</v>
      </c>
      <c r="J5" s="618">
        <f t="shared" si="0"/>
        <v>1200</v>
      </c>
    </row>
    <row r="6" spans="1:14" ht="13.5" customHeight="1" x14ac:dyDescent="0.2">
      <c r="A6" s="1311" t="s">
        <v>222</v>
      </c>
      <c r="B6" s="34" t="s">
        <v>7440</v>
      </c>
      <c r="C6" s="1312"/>
      <c r="D6" s="1070">
        <v>1265</v>
      </c>
      <c r="F6" s="100">
        <v>1386.34</v>
      </c>
      <c r="G6" s="402">
        <v>80</v>
      </c>
      <c r="H6" s="402"/>
      <c r="I6" s="402">
        <v>41.34</v>
      </c>
      <c r="J6" s="618">
        <f t="shared" si="0"/>
        <v>1265</v>
      </c>
      <c r="K6" s="40"/>
      <c r="L6" s="40"/>
      <c r="M6" s="40"/>
      <c r="N6" s="40"/>
    </row>
    <row r="7" spans="1:14" ht="13.5" customHeight="1" x14ac:dyDescent="0.2">
      <c r="A7" s="1311" t="s">
        <v>222</v>
      </c>
      <c r="B7" s="34" t="s">
        <v>7467</v>
      </c>
      <c r="C7" s="1312"/>
      <c r="D7" s="1070">
        <v>1100</v>
      </c>
      <c r="F7" s="100">
        <v>1205</v>
      </c>
      <c r="G7" s="402">
        <v>80</v>
      </c>
      <c r="H7" s="402"/>
      <c r="I7" s="402">
        <v>25</v>
      </c>
      <c r="J7" s="618">
        <f t="shared" si="0"/>
        <v>1100</v>
      </c>
      <c r="K7" s="40"/>
      <c r="L7" s="40"/>
      <c r="M7" s="40"/>
      <c r="N7" s="40"/>
    </row>
    <row r="8" spans="1:14" ht="13.5" customHeight="1" x14ac:dyDescent="0.2">
      <c r="A8" s="1311" t="s">
        <v>222</v>
      </c>
      <c r="B8" s="34" t="s">
        <v>7461</v>
      </c>
      <c r="C8" s="1312"/>
      <c r="D8" s="1070">
        <v>1075</v>
      </c>
      <c r="F8" s="344">
        <v>1075</v>
      </c>
      <c r="G8" s="403"/>
      <c r="H8" s="403"/>
      <c r="I8" s="403"/>
      <c r="J8" s="1066">
        <f t="shared" si="0"/>
        <v>1075</v>
      </c>
    </row>
    <row r="9" spans="1:14" ht="13.5" customHeight="1" x14ac:dyDescent="0.2">
      <c r="A9" s="1311" t="s">
        <v>222</v>
      </c>
      <c r="B9" s="34" t="s">
        <v>6079</v>
      </c>
      <c r="C9" s="1312"/>
      <c r="D9" s="1070">
        <v>900</v>
      </c>
      <c r="F9" s="344">
        <v>900</v>
      </c>
      <c r="G9" s="403"/>
      <c r="H9" s="403"/>
      <c r="I9" s="403"/>
      <c r="J9" s="1066">
        <f t="shared" si="0"/>
        <v>900</v>
      </c>
    </row>
    <row r="10" spans="1:14" ht="13.5" customHeight="1" x14ac:dyDescent="0.2">
      <c r="A10" s="1311" t="s">
        <v>222</v>
      </c>
      <c r="B10" s="34" t="s">
        <v>10</v>
      </c>
      <c r="C10" s="1312"/>
      <c r="D10" s="1070">
        <v>480</v>
      </c>
      <c r="G10" s="1"/>
    </row>
    <row r="11" spans="1:14" ht="13.5" customHeight="1" x14ac:dyDescent="0.2">
      <c r="A11" s="1311" t="s">
        <v>222</v>
      </c>
      <c r="B11" s="21" t="s">
        <v>7389</v>
      </c>
      <c r="C11" s="22"/>
      <c r="D11" s="25">
        <v>1971.4099999999999</v>
      </c>
      <c r="F11" s="100">
        <v>2148.66</v>
      </c>
      <c r="G11" s="101"/>
      <c r="H11" s="102"/>
      <c r="I11" s="24">
        <v>177.25</v>
      </c>
      <c r="J11" s="618">
        <f>F11-G11-H11-I11</f>
        <v>1971.4099999999999</v>
      </c>
      <c r="K11" s="40"/>
      <c r="L11" s="40"/>
      <c r="M11" s="40"/>
      <c r="N11" s="40"/>
    </row>
    <row r="12" spans="1:14" ht="13.5" customHeight="1" x14ac:dyDescent="0.2">
      <c r="A12" s="1311" t="s">
        <v>222</v>
      </c>
      <c r="B12" s="34" t="s">
        <v>7385</v>
      </c>
      <c r="C12" s="22"/>
      <c r="D12" s="25">
        <v>1200</v>
      </c>
      <c r="F12" s="100">
        <v>1232.0999999999999</v>
      </c>
      <c r="G12" s="101"/>
      <c r="H12" s="102">
        <v>32.1</v>
      </c>
      <c r="I12" s="24"/>
      <c r="J12" s="618">
        <f>F12-G12-H12-I12</f>
        <v>1200</v>
      </c>
    </row>
    <row r="13" spans="1:14" ht="13.5" customHeight="1" x14ac:dyDescent="0.2">
      <c r="A13" s="1311" t="s">
        <v>222</v>
      </c>
      <c r="B13" s="357" t="s">
        <v>7421</v>
      </c>
      <c r="C13" s="22"/>
      <c r="D13" s="25">
        <v>3500</v>
      </c>
      <c r="F13" s="100">
        <v>3587.45</v>
      </c>
      <c r="G13" s="101"/>
      <c r="H13" s="102"/>
      <c r="I13" s="24">
        <v>87.45</v>
      </c>
      <c r="J13" s="618">
        <f>F13-G13-H13-I13</f>
        <v>3500</v>
      </c>
    </row>
    <row r="14" spans="1:14" ht="13.5" customHeight="1" x14ac:dyDescent="0.2">
      <c r="A14" s="1311" t="s">
        <v>222</v>
      </c>
      <c r="B14" s="34" t="s">
        <v>7403</v>
      </c>
      <c r="C14" s="173"/>
      <c r="D14" s="25">
        <v>2050</v>
      </c>
      <c r="F14" s="100">
        <v>2103.2800000000002</v>
      </c>
      <c r="G14" s="101"/>
      <c r="H14" s="102"/>
      <c r="I14" s="24">
        <v>53.28</v>
      </c>
      <c r="J14" s="618">
        <f>F14-G14-H14-I14</f>
        <v>2050</v>
      </c>
    </row>
    <row r="15" spans="1:14" ht="13.5" customHeight="1" x14ac:dyDescent="0.2">
      <c r="A15" s="1311" t="s">
        <v>222</v>
      </c>
      <c r="B15" s="34" t="s">
        <v>7545</v>
      </c>
      <c r="C15" s="22"/>
      <c r="D15" s="25">
        <v>5000</v>
      </c>
      <c r="F15" s="100">
        <v>5072.8</v>
      </c>
      <c r="G15" s="101"/>
      <c r="H15" s="102"/>
      <c r="I15" s="24">
        <v>72.8</v>
      </c>
      <c r="J15" s="618">
        <f>F15-G15-H15-I15</f>
        <v>5000</v>
      </c>
      <c r="K15" s="40"/>
      <c r="L15" s="40"/>
      <c r="M15" s="40"/>
      <c r="N15" s="40"/>
    </row>
    <row r="16" spans="1:14" ht="13.5" customHeight="1" x14ac:dyDescent="0.2">
      <c r="A16" s="1311" t="s">
        <v>222</v>
      </c>
      <c r="B16" s="21" t="s">
        <v>7388</v>
      </c>
      <c r="C16" s="22"/>
      <c r="D16" s="1288">
        <v>190</v>
      </c>
      <c r="G16" s="529"/>
    </row>
    <row r="17" spans="1:14" ht="13.5" customHeight="1" x14ac:dyDescent="0.2">
      <c r="A17" s="1311" t="s">
        <v>222</v>
      </c>
      <c r="B17" s="21" t="s">
        <v>7387</v>
      </c>
      <c r="C17" s="22"/>
      <c r="D17" s="1288">
        <v>190</v>
      </c>
      <c r="G17" s="529">
        <f>SUM(G2:G16)</f>
        <v>480</v>
      </c>
      <c r="I17" s="529">
        <f>SUM(I2:I16)</f>
        <v>492.3</v>
      </c>
    </row>
    <row r="18" spans="1:14" ht="13.5" customHeight="1" x14ac:dyDescent="0.2">
      <c r="A18" s="1311" t="s">
        <v>222</v>
      </c>
      <c r="B18" s="34" t="s">
        <v>7400</v>
      </c>
      <c r="C18" s="173"/>
      <c r="D18" s="1288">
        <v>185</v>
      </c>
    </row>
    <row r="19" spans="1:14" ht="13.5" customHeight="1" x14ac:dyDescent="0.2">
      <c r="A19" s="1311" t="s">
        <v>222</v>
      </c>
      <c r="B19" s="34" t="s">
        <v>7393</v>
      </c>
      <c r="C19" s="173"/>
      <c r="D19" s="1288">
        <v>190</v>
      </c>
      <c r="H19" s="40"/>
      <c r="I19" s="40"/>
      <c r="J19" s="40"/>
    </row>
    <row r="20" spans="1:14" ht="13.5" customHeight="1" x14ac:dyDescent="0.2">
      <c r="A20" s="1311" t="s">
        <v>222</v>
      </c>
      <c r="B20" s="34" t="s">
        <v>7397</v>
      </c>
      <c r="C20" s="173"/>
      <c r="D20" s="1288">
        <v>190</v>
      </c>
      <c r="H20" s="40"/>
      <c r="I20" s="40"/>
      <c r="J20" s="40"/>
    </row>
    <row r="21" spans="1:14" ht="13.5" customHeight="1" x14ac:dyDescent="0.2">
      <c r="A21" s="1311" t="s">
        <v>222</v>
      </c>
      <c r="B21" s="34" t="s">
        <v>7417</v>
      </c>
      <c r="C21" s="22"/>
      <c r="D21" s="1288">
        <v>190</v>
      </c>
      <c r="H21" s="40"/>
      <c r="I21" s="40"/>
      <c r="J21" s="40"/>
      <c r="K21" s="40"/>
      <c r="L21" s="40"/>
      <c r="M21" s="40"/>
      <c r="N21" s="40"/>
    </row>
    <row r="22" spans="1:14" ht="13.5" customHeight="1" x14ac:dyDescent="0.2">
      <c r="A22" s="1311" t="s">
        <v>222</v>
      </c>
      <c r="B22" s="357" t="s">
        <v>7420</v>
      </c>
      <c r="C22" s="22"/>
      <c r="D22" s="1288">
        <v>190</v>
      </c>
      <c r="H22" s="40"/>
      <c r="I22" s="40"/>
      <c r="J22" s="40"/>
      <c r="K22" s="40"/>
      <c r="L22" s="40"/>
      <c r="M22" s="40"/>
      <c r="N22" s="40"/>
    </row>
    <row r="23" spans="1:14" ht="13.5" customHeight="1" x14ac:dyDescent="0.2">
      <c r="A23" s="1311" t="s">
        <v>222</v>
      </c>
      <c r="B23" s="357" t="s">
        <v>7419</v>
      </c>
      <c r="C23" s="22"/>
      <c r="D23" s="1288">
        <v>190</v>
      </c>
      <c r="K23" s="40"/>
      <c r="L23" s="40"/>
      <c r="M23" s="40"/>
      <c r="N23" s="40"/>
    </row>
    <row r="24" spans="1:14" ht="13.5" customHeight="1" x14ac:dyDescent="0.2">
      <c r="A24" s="1311" t="s">
        <v>222</v>
      </c>
      <c r="B24" s="357" t="s">
        <v>7418</v>
      </c>
      <c r="C24" s="22"/>
      <c r="D24" s="1288">
        <v>190</v>
      </c>
      <c r="K24" s="40"/>
      <c r="L24" s="40"/>
      <c r="M24" s="40"/>
      <c r="N24" s="40"/>
    </row>
    <row r="25" spans="1:14" ht="13.5" customHeight="1" x14ac:dyDescent="0.2">
      <c r="A25" s="1311" t="s">
        <v>222</v>
      </c>
      <c r="B25" s="34" t="s">
        <v>7386</v>
      </c>
      <c r="C25" s="22"/>
      <c r="D25" s="1288">
        <v>150</v>
      </c>
      <c r="F25" s="18"/>
      <c r="H25" s="40"/>
      <c r="I25" s="40"/>
      <c r="J25" s="40"/>
    </row>
    <row r="26" spans="1:14" ht="13.5" customHeight="1" x14ac:dyDescent="0.2">
      <c r="A26" s="1311" t="s">
        <v>222</v>
      </c>
      <c r="B26" s="21" t="s">
        <v>7365</v>
      </c>
      <c r="C26" s="22"/>
      <c r="D26" s="1288">
        <v>220</v>
      </c>
    </row>
    <row r="27" spans="1:14" ht="13.5" customHeight="1" x14ac:dyDescent="0.2">
      <c r="A27" s="1311" t="s">
        <v>222</v>
      </c>
      <c r="B27" s="34" t="s">
        <v>7422</v>
      </c>
      <c r="C27" s="1312"/>
      <c r="D27" s="1288">
        <v>60</v>
      </c>
      <c r="K27" s="40"/>
      <c r="L27" s="40"/>
      <c r="M27" s="40"/>
      <c r="N27" s="40"/>
    </row>
    <row r="28" spans="1:14" ht="13.5" customHeight="1" x14ac:dyDescent="0.2">
      <c r="A28" s="1311" t="s">
        <v>222</v>
      </c>
      <c r="B28" s="34" t="s">
        <v>7398</v>
      </c>
      <c r="C28" s="173"/>
      <c r="D28" s="1288">
        <v>60</v>
      </c>
    </row>
    <row r="29" spans="1:14" ht="13.5" customHeight="1" x14ac:dyDescent="0.2">
      <c r="A29" s="1311" t="s">
        <v>222</v>
      </c>
      <c r="B29" s="21" t="s">
        <v>7378</v>
      </c>
      <c r="C29" s="22"/>
      <c r="D29" s="1288">
        <v>80</v>
      </c>
      <c r="F29" s="18"/>
      <c r="H29" s="40"/>
      <c r="I29" s="40"/>
      <c r="J29" s="40"/>
    </row>
    <row r="30" spans="1:14" ht="13.5" customHeight="1" x14ac:dyDescent="0.2">
      <c r="A30" s="1311" t="s">
        <v>222</v>
      </c>
      <c r="B30" s="21" t="s">
        <v>7377</v>
      </c>
      <c r="C30" s="22"/>
      <c r="D30" s="1288">
        <v>80</v>
      </c>
      <c r="E30" s="1289">
        <f>SUM(D16:D30)</f>
        <v>2355</v>
      </c>
      <c r="F30" s="18"/>
      <c r="H30" s="40"/>
      <c r="I30" s="40"/>
      <c r="J30" s="40"/>
    </row>
    <row r="31" spans="1:14" ht="13.5" customHeight="1" x14ac:dyDescent="0.2">
      <c r="A31" s="1311" t="s">
        <v>222</v>
      </c>
      <c r="B31" s="34" t="s">
        <v>1792</v>
      </c>
      <c r="C31" s="22"/>
      <c r="D31" s="22">
        <v>492.3</v>
      </c>
      <c r="E31" s="22"/>
      <c r="F31" s="18"/>
      <c r="H31" s="40"/>
      <c r="I31" s="40"/>
      <c r="J31" s="40"/>
    </row>
    <row r="32" spans="1:14" ht="13.5" customHeight="1" x14ac:dyDescent="0.2">
      <c r="A32" s="1311"/>
      <c r="B32" s="34"/>
      <c r="C32" s="173"/>
      <c r="D32" s="1296">
        <f>SUM(D2:D31)</f>
        <v>25328.71</v>
      </c>
      <c r="E32" s="18"/>
      <c r="K32" s="40"/>
      <c r="L32" s="40"/>
      <c r="M32" s="40"/>
      <c r="N32" s="40"/>
    </row>
    <row r="33" spans="1:14" ht="13.5" customHeight="1" x14ac:dyDescent="0.2">
      <c r="A33" s="1311"/>
      <c r="B33" s="34"/>
      <c r="C33" s="173"/>
      <c r="D33" s="25"/>
      <c r="K33" s="40"/>
      <c r="L33" s="40"/>
      <c r="M33" s="40"/>
      <c r="N33" s="40"/>
    </row>
    <row r="34" spans="1:14" ht="13.5" customHeight="1" x14ac:dyDescent="0.2">
      <c r="A34" s="1311" t="s">
        <v>222</v>
      </c>
      <c r="B34" s="34" t="s">
        <v>7445</v>
      </c>
      <c r="C34" s="1312"/>
      <c r="D34" s="1070">
        <v>7500</v>
      </c>
      <c r="F34" s="100">
        <v>7977.69</v>
      </c>
      <c r="G34" s="109"/>
      <c r="H34" s="109"/>
      <c r="I34" s="109">
        <v>477.69</v>
      </c>
      <c r="J34" s="618">
        <f>F34-G34-H34-I34</f>
        <v>7500</v>
      </c>
    </row>
    <row r="35" spans="1:14" ht="13.5" customHeight="1" x14ac:dyDescent="0.2">
      <c r="A35" s="1311" t="s">
        <v>222</v>
      </c>
      <c r="B35" s="36" t="s">
        <v>7446</v>
      </c>
      <c r="C35" s="1312"/>
      <c r="D35" s="1070">
        <v>500</v>
      </c>
      <c r="F35" s="100">
        <v>500</v>
      </c>
      <c r="G35" s="109"/>
      <c r="H35" s="109"/>
      <c r="I35" s="109"/>
      <c r="J35" s="618">
        <f>F35-G35-H35-I35</f>
        <v>500</v>
      </c>
    </row>
    <row r="36" spans="1:14" ht="13.5" customHeight="1" x14ac:dyDescent="0.2">
      <c r="A36" s="1311" t="s">
        <v>222</v>
      </c>
      <c r="B36" s="34" t="s">
        <v>7487</v>
      </c>
      <c r="C36" s="1270"/>
      <c r="D36" s="25">
        <v>4731.47</v>
      </c>
      <c r="F36" s="100">
        <v>4731.47</v>
      </c>
      <c r="G36" s="109"/>
      <c r="H36" s="109"/>
      <c r="I36" s="109"/>
      <c r="J36" s="618">
        <f>F36-G36-H36-I36</f>
        <v>4731.47</v>
      </c>
    </row>
    <row r="37" spans="1:14" ht="13.5" customHeight="1" x14ac:dyDescent="0.2">
      <c r="A37" s="1311" t="s">
        <v>222</v>
      </c>
      <c r="B37" s="34" t="s">
        <v>3542</v>
      </c>
      <c r="C37" s="1270"/>
      <c r="D37" s="25">
        <v>477.69</v>
      </c>
      <c r="F37" s="668"/>
      <c r="G37" s="642"/>
      <c r="H37" s="642"/>
      <c r="I37" s="642"/>
      <c r="J37" s="405"/>
    </row>
    <row r="38" spans="1:14" ht="13.5" customHeight="1" x14ac:dyDescent="0.2">
      <c r="A38" s="1311"/>
      <c r="B38" s="34"/>
      <c r="C38" s="1270"/>
      <c r="D38" s="1296">
        <f>SUM(D34:D37)</f>
        <v>13209.160000000002</v>
      </c>
      <c r="F38" s="885"/>
      <c r="G38" s="1044">
        <f>SUM(G36,G19)</f>
        <v>0</v>
      </c>
      <c r="H38" s="1044">
        <f>SUM(H28:H36)</f>
        <v>0</v>
      </c>
      <c r="I38" s="1045">
        <f>SUM(I28:I36)</f>
        <v>477.69</v>
      </c>
      <c r="J38" s="887"/>
    </row>
    <row r="39" spans="1:14" ht="13.5" customHeight="1" x14ac:dyDescent="0.2">
      <c r="A39" s="1311"/>
      <c r="B39" s="34"/>
      <c r="C39" s="1270"/>
      <c r="D39" s="25"/>
      <c r="G39" s="529"/>
    </row>
    <row r="40" spans="1:14" ht="13.5" customHeight="1" x14ac:dyDescent="0.2">
      <c r="A40" s="1311" t="s">
        <v>223</v>
      </c>
      <c r="B40" s="34" t="s">
        <v>189</v>
      </c>
      <c r="C40" s="1270">
        <v>8465.7900000000009</v>
      </c>
      <c r="D40" s="25"/>
      <c r="H40" s="40"/>
      <c r="I40" s="40"/>
      <c r="J40" s="40"/>
      <c r="K40" s="40"/>
      <c r="L40" s="40"/>
      <c r="M40" s="40"/>
      <c r="N40" s="40"/>
    </row>
    <row r="41" spans="1:14" ht="13.5" customHeight="1" x14ac:dyDescent="0.2">
      <c r="A41" s="1311" t="s">
        <v>223</v>
      </c>
      <c r="B41" s="34" t="s">
        <v>189</v>
      </c>
      <c r="C41" s="1270">
        <v>4731.47</v>
      </c>
      <c r="D41" s="25"/>
      <c r="H41" s="40"/>
      <c r="I41" s="40"/>
      <c r="J41" s="40"/>
    </row>
    <row r="42" spans="1:14" ht="13.5" customHeight="1" x14ac:dyDescent="0.2">
      <c r="A42" s="1311" t="s">
        <v>223</v>
      </c>
      <c r="B42" s="34" t="s">
        <v>189</v>
      </c>
      <c r="C42" s="1270">
        <v>300</v>
      </c>
      <c r="D42" s="25"/>
      <c r="K42" s="40"/>
      <c r="L42" s="40"/>
      <c r="M42" s="40"/>
      <c r="N42" s="40"/>
    </row>
    <row r="43" spans="1:14" ht="13.5" customHeight="1" x14ac:dyDescent="0.2">
      <c r="A43" s="1311" t="s">
        <v>223</v>
      </c>
      <c r="B43" s="34" t="s">
        <v>174</v>
      </c>
      <c r="C43" s="1270">
        <v>-150</v>
      </c>
      <c r="D43" s="25"/>
      <c r="K43" s="40"/>
      <c r="L43" s="40"/>
      <c r="M43" s="40"/>
      <c r="N43" s="40"/>
    </row>
    <row r="44" spans="1:14" ht="13.5" customHeight="1" x14ac:dyDescent="0.2">
      <c r="A44" s="1311" t="s">
        <v>223</v>
      </c>
      <c r="B44" s="34" t="s">
        <v>174</v>
      </c>
      <c r="C44" s="1270">
        <v>-228.86</v>
      </c>
      <c r="D44" s="25"/>
    </row>
    <row r="45" spans="1:14" ht="13.5" customHeight="1" x14ac:dyDescent="0.2">
      <c r="A45" s="1311" t="s">
        <v>223</v>
      </c>
      <c r="B45" s="34" t="s">
        <v>174</v>
      </c>
      <c r="C45" s="1270">
        <v>-359.95</v>
      </c>
      <c r="D45" s="25"/>
    </row>
    <row r="46" spans="1:14" ht="13.5" customHeight="1" x14ac:dyDescent="0.2">
      <c r="A46" s="1311" t="s">
        <v>223</v>
      </c>
      <c r="B46" s="34" t="s">
        <v>174</v>
      </c>
      <c r="C46" s="1270">
        <v>-559.91999999999996</v>
      </c>
      <c r="D46" s="25"/>
      <c r="F46" s="1">
        <v>59.949999999999996</v>
      </c>
      <c r="H46" s="40"/>
      <c r="I46" s="40"/>
      <c r="J46" s="40"/>
    </row>
    <row r="47" spans="1:14" ht="13.5" customHeight="1" x14ac:dyDescent="0.2">
      <c r="A47" s="1311" t="s">
        <v>223</v>
      </c>
      <c r="B47" s="34" t="s">
        <v>174</v>
      </c>
      <c r="C47" s="1270">
        <v>-826.45</v>
      </c>
      <c r="D47" s="25"/>
    </row>
    <row r="48" spans="1:14" ht="13.5" customHeight="1" x14ac:dyDescent="0.2">
      <c r="A48" s="1311" t="s">
        <v>223</v>
      </c>
      <c r="B48" s="34" t="s">
        <v>174</v>
      </c>
      <c r="C48" s="1270">
        <v>-957.26</v>
      </c>
      <c r="D48" s="25"/>
      <c r="K48" s="40"/>
      <c r="L48" s="40"/>
      <c r="M48" s="40"/>
      <c r="N48" s="40"/>
    </row>
    <row r="49" spans="1:14" ht="13.5" customHeight="1" x14ac:dyDescent="0.2">
      <c r="A49" s="1311" t="s">
        <v>223</v>
      </c>
      <c r="B49" s="34" t="s">
        <v>174</v>
      </c>
      <c r="C49" s="1270">
        <v>-983.84</v>
      </c>
      <c r="D49" s="25"/>
    </row>
    <row r="50" spans="1:14" ht="13.5" customHeight="1" x14ac:dyDescent="0.2">
      <c r="A50" s="1311" t="s">
        <v>223</v>
      </c>
      <c r="B50" s="34" t="s">
        <v>174</v>
      </c>
      <c r="C50" s="1270">
        <v>-1573.68</v>
      </c>
      <c r="D50" s="25"/>
    </row>
    <row r="51" spans="1:14" ht="13.5" customHeight="1" x14ac:dyDescent="0.2">
      <c r="A51" s="1311" t="s">
        <v>223</v>
      </c>
      <c r="B51" s="34" t="s">
        <v>174</v>
      </c>
      <c r="C51" s="1270">
        <v>-1897.83</v>
      </c>
      <c r="D51" s="25"/>
      <c r="F51" s="18"/>
      <c r="H51" s="40"/>
      <c r="I51" s="40"/>
      <c r="J51" s="40"/>
    </row>
    <row r="52" spans="1:14" ht="13.5" customHeight="1" x14ac:dyDescent="0.2">
      <c r="A52" s="1311" t="s">
        <v>223</v>
      </c>
      <c r="B52" s="34" t="s">
        <v>174</v>
      </c>
      <c r="C52" s="1270">
        <v>-2498.41</v>
      </c>
      <c r="D52" s="25"/>
    </row>
    <row r="53" spans="1:14" ht="13.5" customHeight="1" x14ac:dyDescent="0.2">
      <c r="A53" s="1311"/>
      <c r="B53" s="34"/>
      <c r="C53" s="1275">
        <f>SUM(C40:C52)</f>
        <v>3461.0599999999995</v>
      </c>
      <c r="D53" s="25"/>
      <c r="F53" s="18"/>
      <c r="H53" s="40"/>
      <c r="I53" s="40"/>
      <c r="J53" s="40"/>
      <c r="K53" s="40"/>
      <c r="L53" s="40"/>
      <c r="M53" s="40"/>
      <c r="N53" s="40"/>
    </row>
    <row r="54" spans="1:14" ht="13.5" customHeight="1" x14ac:dyDescent="0.2">
      <c r="A54" s="1311"/>
      <c r="B54" s="34"/>
      <c r="C54" s="1270"/>
      <c r="D54" s="25"/>
      <c r="H54" s="40"/>
      <c r="I54" s="40"/>
      <c r="J54" s="40"/>
    </row>
    <row r="55" spans="1:14" ht="13.5" customHeight="1" x14ac:dyDescent="0.2">
      <c r="A55" s="1311" t="s">
        <v>224</v>
      </c>
      <c r="B55" s="34" t="s">
        <v>128</v>
      </c>
      <c r="C55" s="1270">
        <v>28.2</v>
      </c>
      <c r="D55" s="1070"/>
      <c r="F55" s="18"/>
      <c r="H55" s="40"/>
      <c r="I55" s="40"/>
      <c r="J55" s="40"/>
      <c r="K55" s="40"/>
      <c r="L55" s="40"/>
      <c r="M55" s="40"/>
      <c r="N55" s="40"/>
    </row>
    <row r="56" spans="1:14" ht="13.5" customHeight="1" x14ac:dyDescent="0.2">
      <c r="A56" s="1311" t="s">
        <v>224</v>
      </c>
      <c r="B56" s="34" t="s">
        <v>62</v>
      </c>
      <c r="C56" s="1270">
        <v>439.72</v>
      </c>
      <c r="D56" s="25"/>
      <c r="H56" s="40"/>
      <c r="I56" s="40"/>
      <c r="J56" s="40"/>
      <c r="K56" s="40"/>
      <c r="L56" s="40"/>
      <c r="M56" s="40"/>
      <c r="N56" s="40"/>
    </row>
    <row r="57" spans="1:14" ht="13.5" customHeight="1" x14ac:dyDescent="0.2">
      <c r="A57" s="1311" t="s">
        <v>224</v>
      </c>
      <c r="B57" s="34" t="s">
        <v>6199</v>
      </c>
      <c r="C57" s="1270">
        <v>131.88999999999999</v>
      </c>
      <c r="D57" s="1313"/>
      <c r="F57" s="18"/>
      <c r="H57" s="40"/>
      <c r="I57" s="40"/>
      <c r="J57" s="40"/>
      <c r="K57" s="40"/>
      <c r="L57" s="40"/>
      <c r="M57" s="40"/>
      <c r="N57" s="40"/>
    </row>
    <row r="58" spans="1:14" ht="13.5" customHeight="1" x14ac:dyDescent="0.2">
      <c r="A58" s="1311" t="s">
        <v>224</v>
      </c>
      <c r="B58" s="34" t="s">
        <v>6710</v>
      </c>
      <c r="C58" s="1270">
        <v>416.67</v>
      </c>
      <c r="D58" s="1313"/>
      <c r="F58" s="18"/>
      <c r="H58" s="40"/>
      <c r="I58" s="40"/>
      <c r="J58" s="40"/>
      <c r="K58" s="40"/>
      <c r="L58" s="40"/>
      <c r="M58" s="40"/>
      <c r="N58" s="40"/>
    </row>
    <row r="59" spans="1:14" ht="13.5" customHeight="1" x14ac:dyDescent="0.2">
      <c r="A59" s="1311"/>
      <c r="B59" s="34"/>
      <c r="C59" s="1275">
        <f>SUM(C55:C58)</f>
        <v>1016.48</v>
      </c>
      <c r="D59" s="1313"/>
      <c r="F59" s="18"/>
      <c r="H59" s="40"/>
      <c r="I59" s="40"/>
      <c r="J59" s="40"/>
      <c r="K59" s="40"/>
      <c r="L59" s="40"/>
      <c r="M59" s="40"/>
      <c r="N59" s="40"/>
    </row>
    <row r="60" spans="1:14" ht="13.5" customHeight="1" x14ac:dyDescent="0.2">
      <c r="A60" s="1311"/>
      <c r="B60" s="34"/>
      <c r="C60" s="1270"/>
      <c r="D60" s="1313"/>
      <c r="F60" s="18"/>
      <c r="H60" s="40"/>
      <c r="I60" s="40"/>
      <c r="J60" s="40"/>
      <c r="K60" s="40"/>
      <c r="L60" s="40"/>
      <c r="M60" s="40"/>
      <c r="N60" s="40"/>
    </row>
    <row r="61" spans="1:14" ht="13.5" customHeight="1" x14ac:dyDescent="0.2">
      <c r="A61" s="1311" t="s">
        <v>224</v>
      </c>
      <c r="B61" s="34" t="s">
        <v>7414</v>
      </c>
      <c r="C61" s="22">
        <v>100</v>
      </c>
      <c r="D61" s="25"/>
      <c r="H61" s="40"/>
      <c r="I61" s="40"/>
      <c r="J61" s="40"/>
      <c r="K61" s="40"/>
      <c r="L61" s="40"/>
      <c r="M61" s="40"/>
      <c r="N61" s="40"/>
    </row>
    <row r="62" spans="1:14" ht="13.5" customHeight="1" x14ac:dyDescent="0.2">
      <c r="A62" s="1311" t="s">
        <v>224</v>
      </c>
      <c r="B62" s="34" t="s">
        <v>7460</v>
      </c>
      <c r="C62" s="1312">
        <v>75</v>
      </c>
      <c r="D62" s="1070"/>
      <c r="H62" s="40"/>
      <c r="I62" s="40"/>
      <c r="J62" s="40"/>
      <c r="K62" s="40"/>
      <c r="L62" s="40"/>
      <c r="M62" s="40"/>
      <c r="N62" s="40"/>
    </row>
    <row r="63" spans="1:14" ht="13.5" customHeight="1" x14ac:dyDescent="0.2">
      <c r="A63" s="1311" t="s">
        <v>224</v>
      </c>
      <c r="B63" s="34" t="s">
        <v>7412</v>
      </c>
      <c r="C63" s="22">
        <v>75</v>
      </c>
      <c r="D63" s="25"/>
      <c r="F63" s="18"/>
      <c r="H63" s="40"/>
      <c r="I63" s="40"/>
      <c r="J63" s="40"/>
      <c r="K63" s="40"/>
      <c r="L63" s="40"/>
      <c r="M63" s="40"/>
      <c r="N63" s="40"/>
    </row>
    <row r="64" spans="1:14" ht="13.5" customHeight="1" x14ac:dyDescent="0.2">
      <c r="A64" s="1311" t="s">
        <v>224</v>
      </c>
      <c r="B64" s="34" t="s">
        <v>7458</v>
      </c>
      <c r="C64" s="1312">
        <v>75</v>
      </c>
      <c r="D64" s="1070"/>
      <c r="F64" s="18"/>
      <c r="H64" s="40"/>
      <c r="I64" s="40"/>
      <c r="J64" s="40"/>
      <c r="K64" s="40"/>
      <c r="L64" s="40"/>
      <c r="M64" s="40"/>
      <c r="N64" s="40"/>
    </row>
    <row r="65" spans="1:14" ht="13.5" customHeight="1" x14ac:dyDescent="0.2">
      <c r="A65" s="1311" t="s">
        <v>224</v>
      </c>
      <c r="B65" s="34" t="s">
        <v>7411</v>
      </c>
      <c r="C65" s="22">
        <v>75</v>
      </c>
      <c r="D65" s="25"/>
      <c r="H65" s="40"/>
      <c r="I65" s="40"/>
      <c r="J65" s="40"/>
      <c r="K65" s="40"/>
      <c r="L65" s="40"/>
      <c r="M65" s="40"/>
      <c r="N65" s="40"/>
    </row>
    <row r="66" spans="1:14" ht="13.5" customHeight="1" x14ac:dyDescent="0.2">
      <c r="A66" s="1311" t="s">
        <v>224</v>
      </c>
      <c r="B66" s="34" t="s">
        <v>7413</v>
      </c>
      <c r="C66" s="22">
        <v>75</v>
      </c>
      <c r="D66" s="25"/>
      <c r="K66" s="40"/>
      <c r="L66" s="40"/>
      <c r="M66" s="40"/>
      <c r="N66" s="40"/>
    </row>
    <row r="67" spans="1:14" ht="13.5" customHeight="1" x14ac:dyDescent="0.2">
      <c r="A67" s="1311" t="s">
        <v>224</v>
      </c>
      <c r="B67" s="34" t="s">
        <v>7457</v>
      </c>
      <c r="C67" s="1312">
        <v>75</v>
      </c>
      <c r="D67" s="1070"/>
      <c r="K67" s="40"/>
      <c r="L67" s="40"/>
      <c r="M67" s="40"/>
      <c r="N67" s="40"/>
    </row>
    <row r="68" spans="1:14" s="40" customFormat="1" ht="13.5" customHeight="1" x14ac:dyDescent="0.2">
      <c r="A68" s="1311" t="s">
        <v>224</v>
      </c>
      <c r="B68" s="34" t="s">
        <v>7459</v>
      </c>
      <c r="C68" s="1312">
        <v>75</v>
      </c>
      <c r="D68" s="1070">
        <f>C69-D69</f>
        <v>416.66666666666663</v>
      </c>
      <c r="E68" s="1"/>
      <c r="F68" s="1"/>
      <c r="H68" s="1"/>
      <c r="I68" s="1"/>
      <c r="J68" s="1"/>
      <c r="K68" s="1"/>
      <c r="L68" s="1"/>
      <c r="M68" s="1"/>
      <c r="N68" s="1"/>
    </row>
    <row r="69" spans="1:14" s="40" customFormat="1" ht="13.5" customHeight="1" x14ac:dyDescent="0.2">
      <c r="A69" s="137"/>
      <c r="B69" s="34"/>
      <c r="C69" s="1275">
        <f>SUM(C61:C68)</f>
        <v>625</v>
      </c>
      <c r="D69" s="25">
        <f>C69/3</f>
        <v>208.33333333333334</v>
      </c>
      <c r="E69" s="18"/>
      <c r="F69" s="1"/>
      <c r="K69" s="1"/>
      <c r="L69" s="1"/>
      <c r="M69" s="1"/>
      <c r="N69" s="1"/>
    </row>
    <row r="70" spans="1:14" s="40" customFormat="1" ht="13.5" customHeight="1" x14ac:dyDescent="0.2">
      <c r="A70" s="137"/>
      <c r="B70" s="34"/>
      <c r="C70" s="1270"/>
      <c r="D70" s="25"/>
      <c r="E70" s="18"/>
      <c r="F70" s="1"/>
      <c r="K70" s="1"/>
      <c r="L70" s="1"/>
      <c r="M70" s="1"/>
      <c r="N70" s="1"/>
    </row>
    <row r="71" spans="1:14" s="40" customFormat="1" ht="13.5" customHeight="1" x14ac:dyDescent="0.2">
      <c r="A71" s="137" t="s">
        <v>225</v>
      </c>
      <c r="B71" s="34" t="s">
        <v>7489</v>
      </c>
      <c r="C71" s="1275">
        <v>720.85</v>
      </c>
      <c r="D71" s="25"/>
      <c r="E71" s="1"/>
      <c r="F71" s="1"/>
    </row>
    <row r="72" spans="1:14" s="40" customFormat="1" ht="13.5" customHeight="1" x14ac:dyDescent="0.2">
      <c r="A72" s="137"/>
      <c r="B72" s="34"/>
      <c r="C72" s="1270"/>
      <c r="D72" s="25"/>
      <c r="E72" s="1"/>
      <c r="F72" s="1"/>
    </row>
    <row r="73" spans="1:14" s="40" customFormat="1" ht="13.5" customHeight="1" x14ac:dyDescent="0.2">
      <c r="A73" s="1311" t="s">
        <v>226</v>
      </c>
      <c r="B73" s="34" t="s">
        <v>7518</v>
      </c>
      <c r="C73" s="110">
        <v>-3000</v>
      </c>
      <c r="D73" s="1071"/>
      <c r="E73" s="1"/>
      <c r="F73" s="18"/>
    </row>
    <row r="74" spans="1:14" ht="13.5" customHeight="1" x14ac:dyDescent="0.2">
      <c r="A74" s="1311" t="s">
        <v>226</v>
      </c>
      <c r="B74" s="36" t="s">
        <v>7380</v>
      </c>
      <c r="C74" s="22">
        <v>-1500</v>
      </c>
      <c r="D74" s="25"/>
      <c r="F74" s="36" t="s">
        <v>1131</v>
      </c>
      <c r="G74" s="1097">
        <v>23</v>
      </c>
      <c r="H74" s="40"/>
      <c r="I74" s="40"/>
      <c r="J74" s="40"/>
    </row>
    <row r="75" spans="1:14" ht="13.5" customHeight="1" x14ac:dyDescent="0.2">
      <c r="A75" s="1311" t="s">
        <v>226</v>
      </c>
      <c r="B75" s="34" t="s">
        <v>7381</v>
      </c>
      <c r="C75" s="22">
        <v>-1500</v>
      </c>
      <c r="D75" s="25"/>
      <c r="F75" s="36" t="s">
        <v>7529</v>
      </c>
      <c r="G75" s="61">
        <v>31.84</v>
      </c>
    </row>
    <row r="76" spans="1:14" s="40" customFormat="1" ht="13.5" customHeight="1" x14ac:dyDescent="0.2">
      <c r="A76" s="1311" t="s">
        <v>226</v>
      </c>
      <c r="B76" s="34" t="s">
        <v>127</v>
      </c>
      <c r="C76" s="1270">
        <v>24.96</v>
      </c>
      <c r="D76" s="1070"/>
      <c r="E76" s="1"/>
      <c r="F76" s="34" t="s">
        <v>7523</v>
      </c>
      <c r="G76" s="61">
        <v>26</v>
      </c>
      <c r="H76" s="1"/>
      <c r="I76" s="1"/>
      <c r="J76" s="1"/>
    </row>
    <row r="77" spans="1:14" s="40" customFormat="1" ht="13.5" customHeight="1" x14ac:dyDescent="0.2">
      <c r="A77" s="1311" t="s">
        <v>226</v>
      </c>
      <c r="B77" s="34" t="s">
        <v>7426</v>
      </c>
      <c r="C77" s="1270">
        <v>63.74</v>
      </c>
      <c r="D77" s="25"/>
      <c r="E77" s="1"/>
      <c r="F77" s="34" t="s">
        <v>7525</v>
      </c>
      <c r="G77" s="110">
        <v>37</v>
      </c>
      <c r="H77" s="1"/>
      <c r="I77" s="1"/>
      <c r="J77" s="1"/>
    </row>
    <row r="78" spans="1:14" s="40" customFormat="1" ht="13.5" customHeight="1" x14ac:dyDescent="0.2">
      <c r="A78" s="1311" t="s">
        <v>226</v>
      </c>
      <c r="B78" s="36" t="s">
        <v>129</v>
      </c>
      <c r="C78" s="1270">
        <v>64.819999999999993</v>
      </c>
      <c r="D78" s="25"/>
      <c r="E78" s="1"/>
      <c r="F78" s="34" t="s">
        <v>7521</v>
      </c>
      <c r="G78" s="110">
        <v>40</v>
      </c>
      <c r="H78" s="1"/>
      <c r="I78" s="1"/>
      <c r="J78" s="1"/>
    </row>
    <row r="79" spans="1:14" ht="13.5" customHeight="1" x14ac:dyDescent="0.2">
      <c r="A79" s="137" t="s">
        <v>226</v>
      </c>
      <c r="B79" s="36" t="s">
        <v>7546</v>
      </c>
      <c r="C79" s="284">
        <v>-24.96</v>
      </c>
      <c r="D79" s="25"/>
      <c r="F79" s="34" t="s">
        <v>7521</v>
      </c>
      <c r="G79" s="1309">
        <v>47.8</v>
      </c>
    </row>
    <row r="80" spans="1:14" ht="13.5" customHeight="1" x14ac:dyDescent="0.2">
      <c r="A80" s="137" t="s">
        <v>226</v>
      </c>
      <c r="B80" s="36" t="s">
        <v>7547</v>
      </c>
      <c r="C80" s="284">
        <v>-32.1</v>
      </c>
      <c r="D80" s="25"/>
      <c r="F80" s="34" t="s">
        <v>7521</v>
      </c>
      <c r="G80" s="1309">
        <v>116.6</v>
      </c>
    </row>
    <row r="81" spans="1:14" s="40" customFormat="1" ht="13.5" customHeight="1" x14ac:dyDescent="0.2">
      <c r="A81" s="1311" t="s">
        <v>226</v>
      </c>
      <c r="B81" s="36" t="s">
        <v>129</v>
      </c>
      <c r="C81" s="1270">
        <v>39</v>
      </c>
      <c r="D81" s="1070"/>
      <c r="E81" s="18"/>
      <c r="F81" s="34" t="s">
        <v>7541</v>
      </c>
      <c r="G81" s="1309">
        <v>21.8</v>
      </c>
      <c r="K81" s="1"/>
      <c r="L81" s="1"/>
      <c r="M81" s="1"/>
      <c r="N81" s="1"/>
    </row>
    <row r="82" spans="1:14" s="40" customFormat="1" ht="13.5" customHeight="1" x14ac:dyDescent="0.2">
      <c r="A82" s="1311" t="s">
        <v>226</v>
      </c>
      <c r="B82" s="34" t="s">
        <v>131</v>
      </c>
      <c r="C82" s="1270">
        <v>26.47</v>
      </c>
      <c r="D82" s="1070"/>
      <c r="E82" s="1"/>
      <c r="F82" s="34" t="s">
        <v>7541</v>
      </c>
      <c r="G82" s="1309">
        <v>48.9</v>
      </c>
      <c r="H82" s="1"/>
      <c r="I82" s="1"/>
      <c r="J82" s="1"/>
      <c r="K82" s="1"/>
      <c r="L82" s="1"/>
      <c r="M82" s="1"/>
      <c r="N82" s="1"/>
    </row>
    <row r="83" spans="1:14" s="40" customFormat="1" ht="13.5" customHeight="1" x14ac:dyDescent="0.2">
      <c r="A83" s="1311" t="s">
        <v>226</v>
      </c>
      <c r="B83" s="34" t="s">
        <v>7535</v>
      </c>
      <c r="C83" s="110">
        <v>7</v>
      </c>
      <c r="D83" s="1071"/>
      <c r="E83" s="1"/>
      <c r="F83" s="34" t="s">
        <v>7370</v>
      </c>
      <c r="G83" s="1314">
        <v>19.899999999999999</v>
      </c>
      <c r="H83" s="1"/>
      <c r="I83" s="1"/>
      <c r="J83" s="1"/>
      <c r="K83" s="1"/>
      <c r="L83" s="1"/>
      <c r="M83" s="1"/>
      <c r="N83" s="1"/>
    </row>
    <row r="84" spans="1:14" s="40" customFormat="1" ht="13.5" customHeight="1" x14ac:dyDescent="0.2">
      <c r="A84" s="1311" t="s">
        <v>226</v>
      </c>
      <c r="B84" s="34" t="s">
        <v>7369</v>
      </c>
      <c r="C84" s="22">
        <v>-1800</v>
      </c>
      <c r="D84" s="25"/>
      <c r="E84" s="1"/>
      <c r="F84" s="34" t="s">
        <v>7371</v>
      </c>
      <c r="G84" s="1314">
        <v>139.04</v>
      </c>
      <c r="H84" s="1"/>
      <c r="I84" s="1"/>
      <c r="J84" s="1"/>
      <c r="K84" s="1"/>
      <c r="L84" s="1"/>
      <c r="M84" s="1"/>
      <c r="N84" s="1"/>
    </row>
    <row r="85" spans="1:14" s="40" customFormat="1" ht="13.5" customHeight="1" x14ac:dyDescent="0.2">
      <c r="A85" s="1311" t="s">
        <v>226</v>
      </c>
      <c r="B85" s="21" t="s">
        <v>7390</v>
      </c>
      <c r="C85" s="22">
        <v>30.21</v>
      </c>
      <c r="D85" s="25"/>
      <c r="E85" s="1"/>
      <c r="F85" s="34" t="s">
        <v>7372</v>
      </c>
      <c r="G85" s="1314">
        <v>127.66</v>
      </c>
      <c r="H85" s="1"/>
      <c r="I85" s="1"/>
      <c r="J85" s="1"/>
    </row>
    <row r="86" spans="1:14" s="40" customFormat="1" ht="13.5" customHeight="1" x14ac:dyDescent="0.2">
      <c r="A86" s="1311" t="s">
        <v>226</v>
      </c>
      <c r="B86" s="34" t="s">
        <v>558</v>
      </c>
      <c r="C86" s="1270">
        <v>46.49</v>
      </c>
      <c r="D86" s="25"/>
      <c r="E86" s="18"/>
      <c r="F86" s="34" t="s">
        <v>7373</v>
      </c>
      <c r="G86" s="1314">
        <v>127.65</v>
      </c>
      <c r="H86" s="1"/>
      <c r="I86" s="1"/>
      <c r="J86" s="1"/>
      <c r="K86" s="1"/>
      <c r="L86" s="1"/>
      <c r="M86" s="1"/>
      <c r="N86" s="1"/>
    </row>
    <row r="87" spans="1:14" s="40" customFormat="1" ht="13.5" customHeight="1" x14ac:dyDescent="0.2">
      <c r="A87" s="1311" t="s">
        <v>226</v>
      </c>
      <c r="B87" s="34" t="s">
        <v>7423</v>
      </c>
      <c r="C87" s="1131">
        <v>-21</v>
      </c>
      <c r="D87" s="25"/>
      <c r="E87" s="18"/>
      <c r="F87" s="34" t="s">
        <v>7534</v>
      </c>
      <c r="G87" s="1309">
        <v>15</v>
      </c>
      <c r="H87" s="1"/>
      <c r="I87" s="1"/>
      <c r="J87" s="1"/>
      <c r="K87" s="1"/>
      <c r="L87" s="1"/>
      <c r="M87" s="1"/>
      <c r="N87" s="1"/>
    </row>
    <row r="88" spans="1:14" s="40" customFormat="1" ht="13.5" customHeight="1" x14ac:dyDescent="0.2">
      <c r="A88" s="1311" t="s">
        <v>226</v>
      </c>
      <c r="B88" s="34" t="s">
        <v>7542</v>
      </c>
      <c r="C88" s="1309">
        <v>10</v>
      </c>
      <c r="D88" s="1071"/>
      <c r="E88" s="1"/>
      <c r="F88" s="1"/>
      <c r="G88" s="40">
        <f>SUM(G74:G87)</f>
        <v>822.18999999999994</v>
      </c>
      <c r="H88" s="1"/>
      <c r="I88" s="1"/>
      <c r="J88" s="1"/>
      <c r="K88" s="1"/>
      <c r="L88" s="1"/>
      <c r="M88" s="1"/>
      <c r="N88" s="1"/>
    </row>
    <row r="89" spans="1:14" s="40" customFormat="1" ht="13.5" customHeight="1" x14ac:dyDescent="0.2">
      <c r="A89" s="1311" t="s">
        <v>226</v>
      </c>
      <c r="B89" s="36" t="s">
        <v>7519</v>
      </c>
      <c r="C89" s="61">
        <v>-1500</v>
      </c>
      <c r="D89" s="1071"/>
      <c r="E89" s="18"/>
      <c r="F89" s="18"/>
      <c r="H89" s="1"/>
      <c r="I89" s="1"/>
      <c r="J89" s="1"/>
      <c r="K89" s="1"/>
      <c r="L89" s="1"/>
      <c r="M89" s="1"/>
      <c r="N89" s="1"/>
    </row>
    <row r="90" spans="1:14" s="40" customFormat="1" ht="13.5" customHeight="1" x14ac:dyDescent="0.2">
      <c r="A90" s="1311" t="s">
        <v>226</v>
      </c>
      <c r="B90" s="36" t="s">
        <v>227</v>
      </c>
      <c r="C90" s="61">
        <f>G88/2</f>
        <v>411.09499999999997</v>
      </c>
      <c r="D90" s="1071"/>
      <c r="E90" s="18"/>
      <c r="F90" s="1"/>
      <c r="H90" s="1"/>
      <c r="I90" s="1"/>
      <c r="J90" s="1"/>
      <c r="K90" s="1"/>
      <c r="L90" s="1"/>
      <c r="M90" s="1"/>
      <c r="N90" s="1"/>
    </row>
    <row r="91" spans="1:14" s="40" customFormat="1" ht="13.5" customHeight="1" x14ac:dyDescent="0.2">
      <c r="A91" s="1311"/>
      <c r="B91" s="36"/>
      <c r="C91" s="186">
        <f>SUM(C73:C90)</f>
        <v>-8654.2750000000015</v>
      </c>
      <c r="D91" s="1071"/>
      <c r="E91" s="18"/>
      <c r="F91" s="18"/>
      <c r="K91" s="1"/>
      <c r="L91" s="1"/>
      <c r="M91" s="1"/>
      <c r="N91" s="1"/>
    </row>
    <row r="92" spans="1:14" s="40" customFormat="1" ht="13.5" customHeight="1" x14ac:dyDescent="0.2">
      <c r="A92" s="1311"/>
      <c r="B92" s="36"/>
      <c r="C92" s="61"/>
      <c r="D92" s="1071"/>
      <c r="E92" s="18"/>
      <c r="F92" s="1"/>
      <c r="K92" s="1"/>
      <c r="L92" s="1"/>
      <c r="M92" s="1"/>
      <c r="N92" s="1"/>
    </row>
    <row r="93" spans="1:14" s="40" customFormat="1" ht="13.5" customHeight="1" x14ac:dyDescent="0.2">
      <c r="A93" s="1311" t="s">
        <v>226</v>
      </c>
      <c r="B93" s="138" t="s">
        <v>199</v>
      </c>
      <c r="C93" s="1270">
        <v>150.86000000000001</v>
      </c>
      <c r="D93" s="25"/>
      <c r="E93" s="1"/>
      <c r="F93" s="18"/>
      <c r="K93" s="1"/>
      <c r="L93" s="1"/>
      <c r="M93" s="1"/>
      <c r="N93" s="1"/>
    </row>
    <row r="94" spans="1:14" s="40" customFormat="1" ht="13.5" customHeight="1" x14ac:dyDescent="0.2">
      <c r="A94" s="1311" t="s">
        <v>226</v>
      </c>
      <c r="B94" s="34" t="s">
        <v>180</v>
      </c>
      <c r="C94" s="1270">
        <v>133.84</v>
      </c>
      <c r="D94" s="25"/>
      <c r="E94" s="18"/>
      <c r="F94" s="1"/>
      <c r="H94" s="1"/>
      <c r="I94" s="1"/>
      <c r="J94" s="1"/>
      <c r="K94" s="1"/>
      <c r="L94" s="1"/>
      <c r="M94" s="1"/>
      <c r="N94" s="1"/>
    </row>
    <row r="95" spans="1:14" s="40" customFormat="1" ht="13.5" customHeight="1" x14ac:dyDescent="0.2">
      <c r="A95" s="1311" t="s">
        <v>226</v>
      </c>
      <c r="B95" s="34" t="s">
        <v>7528</v>
      </c>
      <c r="C95" s="1309">
        <v>5</v>
      </c>
      <c r="D95" s="1309"/>
      <c r="E95" s="1"/>
      <c r="F95" s="18"/>
      <c r="K95" s="1"/>
      <c r="L95" s="1"/>
      <c r="M95" s="1"/>
      <c r="N95" s="1"/>
    </row>
    <row r="96" spans="1:14" s="40" customFormat="1" ht="13.5" customHeight="1" x14ac:dyDescent="0.2">
      <c r="A96" s="1311" t="s">
        <v>226</v>
      </c>
      <c r="B96" s="34" t="s">
        <v>7452</v>
      </c>
      <c r="C96" s="1131">
        <v>16.5</v>
      </c>
      <c r="D96" s="1303"/>
      <c r="E96" s="1"/>
      <c r="F96" s="1"/>
      <c r="H96" s="1"/>
      <c r="I96" s="1"/>
      <c r="J96" s="1"/>
      <c r="K96" s="1"/>
      <c r="L96" s="1"/>
      <c r="M96" s="1"/>
      <c r="N96" s="1"/>
    </row>
    <row r="97" spans="1:14" s="40" customFormat="1" ht="13.5" customHeight="1" x14ac:dyDescent="0.2">
      <c r="A97" s="1311" t="s">
        <v>226</v>
      </c>
      <c r="B97" s="34" t="s">
        <v>7409</v>
      </c>
      <c r="C97" s="1315">
        <v>3</v>
      </c>
      <c r="D97" s="235"/>
      <c r="E97" s="1"/>
      <c r="F97">
        <f>14.9*5</f>
        <v>74.5</v>
      </c>
    </row>
    <row r="98" spans="1:14" s="40" customFormat="1" ht="13.5" customHeight="1" x14ac:dyDescent="0.2">
      <c r="A98" s="1311" t="s">
        <v>226</v>
      </c>
      <c r="B98" s="34" t="s">
        <v>7399</v>
      </c>
      <c r="C98" s="1316">
        <v>14.35</v>
      </c>
      <c r="D98" s="235"/>
      <c r="E98" s="1"/>
      <c r="F98" s="18"/>
      <c r="K98" s="1"/>
      <c r="L98" s="1"/>
      <c r="M98" s="1"/>
      <c r="N98" s="1"/>
    </row>
    <row r="99" spans="1:14" s="40" customFormat="1" ht="13.5" customHeight="1" x14ac:dyDescent="0.2">
      <c r="A99" s="1311" t="s">
        <v>226</v>
      </c>
      <c r="B99" s="34" t="s">
        <v>7430</v>
      </c>
      <c r="C99" s="1131">
        <v>2.5</v>
      </c>
      <c r="D99" s="1303"/>
      <c r="E99" s="1"/>
      <c r="F99" s="18"/>
    </row>
    <row r="100" spans="1:14" s="40" customFormat="1" ht="13.5" customHeight="1" x14ac:dyDescent="0.2">
      <c r="A100" s="1311" t="s">
        <v>226</v>
      </c>
      <c r="B100" s="21" t="s">
        <v>7376</v>
      </c>
      <c r="C100" s="1315">
        <v>1.5</v>
      </c>
      <c r="D100" s="60"/>
      <c r="E100" s="1"/>
      <c r="F100" s="18"/>
      <c r="K100" s="1"/>
      <c r="L100" s="1"/>
      <c r="M100" s="1"/>
      <c r="N100" s="1"/>
    </row>
    <row r="101" spans="1:14" s="40" customFormat="1" ht="13.5" customHeight="1" x14ac:dyDescent="0.2">
      <c r="A101" s="1311" t="s">
        <v>226</v>
      </c>
      <c r="B101" s="34" t="s">
        <v>7447</v>
      </c>
      <c r="C101" s="26">
        <v>44</v>
      </c>
      <c r="D101" s="1303"/>
      <c r="E101" s="1"/>
      <c r="F101" s="1"/>
    </row>
    <row r="102" spans="1:14" s="40" customFormat="1" ht="13.5" customHeight="1" x14ac:dyDescent="0.2">
      <c r="A102" s="1311" t="s">
        <v>226</v>
      </c>
      <c r="B102" s="21" t="s">
        <v>7391</v>
      </c>
      <c r="C102" s="1315">
        <v>13.42</v>
      </c>
      <c r="D102" s="235"/>
      <c r="E102" s="1"/>
      <c r="F102" s="1"/>
    </row>
    <row r="103" spans="1:14" s="40" customFormat="1" ht="13.5" customHeight="1" x14ac:dyDescent="0.2">
      <c r="A103" s="1311" t="s">
        <v>226</v>
      </c>
      <c r="B103" s="34" t="s">
        <v>7448</v>
      </c>
      <c r="C103" s="1131">
        <v>20.29</v>
      </c>
      <c r="D103" s="1303"/>
      <c r="E103" s="1"/>
      <c r="F103" s="1"/>
      <c r="H103" s="1"/>
      <c r="I103" s="1"/>
      <c r="J103" s="1"/>
    </row>
    <row r="104" spans="1:14" s="40" customFormat="1" ht="13.5" customHeight="1" x14ac:dyDescent="0.2">
      <c r="A104" s="1311" t="s">
        <v>226</v>
      </c>
      <c r="B104" s="34" t="s">
        <v>7323</v>
      </c>
      <c r="C104" s="1314">
        <v>-300</v>
      </c>
      <c r="D104" s="235"/>
      <c r="E104" s="1"/>
      <c r="F104" s="1"/>
      <c r="H104" s="1"/>
      <c r="I104" s="1"/>
      <c r="J104" s="1"/>
    </row>
    <row r="105" spans="1:14" s="40" customFormat="1" ht="13.5" customHeight="1" x14ac:dyDescent="0.2">
      <c r="A105" s="137" t="s">
        <v>226</v>
      </c>
      <c r="B105" s="34" t="s">
        <v>7505</v>
      </c>
      <c r="C105" s="1314">
        <v>300</v>
      </c>
      <c r="D105" s="235"/>
      <c r="E105" s="1"/>
      <c r="F105" s="1"/>
      <c r="H105" s="1"/>
      <c r="I105" s="1"/>
      <c r="J105" s="1"/>
    </row>
    <row r="106" spans="1:14" s="40" customFormat="1" ht="13.5" customHeight="1" x14ac:dyDescent="0.2">
      <c r="A106" s="1311" t="s">
        <v>226</v>
      </c>
      <c r="B106" s="34" t="s">
        <v>7465</v>
      </c>
      <c r="C106" s="1131">
        <v>3</v>
      </c>
      <c r="D106" s="1303"/>
      <c r="E106" s="1"/>
      <c r="F106" s="18"/>
      <c r="H106" s="1"/>
      <c r="I106" s="1"/>
      <c r="J106" s="1"/>
    </row>
    <row r="107" spans="1:14" s="40" customFormat="1" ht="13.5" customHeight="1" x14ac:dyDescent="0.2">
      <c r="A107" s="1311" t="s">
        <v>226</v>
      </c>
      <c r="B107" s="36" t="s">
        <v>228</v>
      </c>
      <c r="C107" s="61">
        <f>G88/2</f>
        <v>411.09499999999997</v>
      </c>
      <c r="D107" s="1303"/>
      <c r="E107" s="1"/>
      <c r="F107" s="1"/>
      <c r="H107" s="1"/>
      <c r="I107" s="1"/>
      <c r="J107" s="1"/>
    </row>
    <row r="108" spans="1:14" s="40" customFormat="1" ht="13.5" customHeight="1" x14ac:dyDescent="0.2">
      <c r="A108" s="1311"/>
      <c r="B108" s="34"/>
      <c r="C108" s="1317">
        <f>SUM(C93:C107)</f>
        <v>819.35500000000002</v>
      </c>
      <c r="D108" s="1303"/>
      <c r="E108" s="1"/>
      <c r="F108" s="1"/>
      <c r="H108" s="1"/>
      <c r="I108" s="1"/>
      <c r="J108" s="1"/>
    </row>
    <row r="109" spans="1:14" s="40" customFormat="1" ht="13.5" customHeight="1" x14ac:dyDescent="0.2">
      <c r="A109" s="1311"/>
      <c r="B109" s="34"/>
      <c r="C109" s="1131"/>
      <c r="D109" s="1303"/>
      <c r="E109" s="1"/>
      <c r="F109" s="1"/>
      <c r="H109" s="1"/>
      <c r="I109" s="1"/>
      <c r="J109" s="1"/>
    </row>
    <row r="110" spans="1:14" s="40" customFormat="1" ht="13.5" customHeight="1" x14ac:dyDescent="0.2">
      <c r="A110" s="1311" t="s">
        <v>229</v>
      </c>
      <c r="B110" s="34" t="s">
        <v>7548</v>
      </c>
      <c r="C110" s="1131">
        <v>900</v>
      </c>
      <c r="D110" s="1303"/>
      <c r="E110" s="1"/>
      <c r="F110" s="18"/>
    </row>
    <row r="111" spans="1:14" s="40" customFormat="1" ht="13.5" customHeight="1" x14ac:dyDescent="0.2">
      <c r="A111" s="1311" t="s">
        <v>229</v>
      </c>
      <c r="B111" s="34" t="s">
        <v>6710</v>
      </c>
      <c r="C111" s="1131">
        <v>208.33</v>
      </c>
      <c r="D111" s="1303"/>
      <c r="E111" s="1"/>
      <c r="F111" s="1"/>
      <c r="H111" s="1"/>
      <c r="I111" s="1"/>
      <c r="J111" s="1"/>
    </row>
    <row r="112" spans="1:14" s="40" customFormat="1" ht="13.5" customHeight="1" x14ac:dyDescent="0.2">
      <c r="A112" s="1311" t="s">
        <v>229</v>
      </c>
      <c r="B112" s="34" t="s">
        <v>7435</v>
      </c>
      <c r="C112" s="1314">
        <v>292.36</v>
      </c>
      <c r="D112" s="1131"/>
      <c r="E112" s="1"/>
      <c r="F112" s="1"/>
      <c r="K112" s="1"/>
      <c r="L112" s="1"/>
      <c r="M112" s="1"/>
      <c r="N112" s="1"/>
    </row>
    <row r="113" spans="1:14" s="40" customFormat="1" ht="13.5" customHeight="1" x14ac:dyDescent="0.2">
      <c r="A113" s="1311" t="s">
        <v>229</v>
      </c>
      <c r="B113" s="34" t="s">
        <v>7444</v>
      </c>
      <c r="C113" s="1131">
        <v>21.4</v>
      </c>
      <c r="D113" s="1303"/>
      <c r="E113" s="18"/>
      <c r="F113" s="1"/>
      <c r="H113" s="1"/>
      <c r="I113" s="1"/>
      <c r="J113" s="1"/>
      <c r="K113" s="1"/>
      <c r="L113" s="1"/>
      <c r="M113" s="1"/>
      <c r="N113" s="1"/>
    </row>
    <row r="114" spans="1:14" s="40" customFormat="1" ht="13.5" customHeight="1" x14ac:dyDescent="0.2">
      <c r="A114" s="1311" t="s">
        <v>229</v>
      </c>
      <c r="B114" s="34" t="s">
        <v>7405</v>
      </c>
      <c r="C114" s="1316">
        <v>26.3</v>
      </c>
      <c r="D114" s="235"/>
      <c r="E114" s="1"/>
      <c r="F114" s="1"/>
      <c r="H114" s="1"/>
      <c r="I114" s="1"/>
      <c r="J114" s="1"/>
    </row>
    <row r="115" spans="1:14" s="40" customFormat="1" ht="13.5" customHeight="1" x14ac:dyDescent="0.2">
      <c r="A115" s="1311" t="s">
        <v>229</v>
      </c>
      <c r="B115" s="34" t="s">
        <v>7524</v>
      </c>
      <c r="C115" s="1309">
        <v>1600</v>
      </c>
      <c r="D115" s="1309"/>
      <c r="E115" s="1"/>
      <c r="F115" s="1"/>
      <c r="H115" s="1"/>
      <c r="I115" s="1"/>
      <c r="J115" s="1"/>
      <c r="K115" s="1"/>
      <c r="L115" s="1"/>
      <c r="M115" s="1"/>
      <c r="N115" s="1"/>
    </row>
    <row r="116" spans="1:14" s="40" customFormat="1" ht="13.5" customHeight="1" x14ac:dyDescent="0.2">
      <c r="A116" s="1311" t="s">
        <v>229</v>
      </c>
      <c r="B116" s="34" t="s">
        <v>7462</v>
      </c>
      <c r="C116" s="1131">
        <v>8.0399999999999991</v>
      </c>
      <c r="D116" s="1303"/>
      <c r="E116" s="1"/>
      <c r="F116" s="1"/>
      <c r="H116" s="1"/>
      <c r="I116" s="1"/>
      <c r="J116" s="1"/>
    </row>
    <row r="117" spans="1:14" s="40" customFormat="1" ht="13.5" customHeight="1" x14ac:dyDescent="0.2">
      <c r="A117" s="1311" t="s">
        <v>229</v>
      </c>
      <c r="B117" s="34" t="s">
        <v>7406</v>
      </c>
      <c r="C117" s="1316">
        <v>13</v>
      </c>
      <c r="D117" s="235"/>
      <c r="E117" s="1"/>
      <c r="F117" s="1"/>
      <c r="H117" s="1"/>
      <c r="I117" s="1"/>
      <c r="J117" s="1"/>
      <c r="K117" s="1"/>
      <c r="L117" s="1"/>
      <c r="M117" s="1"/>
      <c r="N117" s="1"/>
    </row>
    <row r="118" spans="1:14" s="40" customFormat="1" ht="13.5" customHeight="1" x14ac:dyDescent="0.2">
      <c r="A118" s="1311" t="s">
        <v>229</v>
      </c>
      <c r="B118" s="34" t="s">
        <v>7449</v>
      </c>
      <c r="C118" s="1131">
        <v>8.98</v>
      </c>
      <c r="D118" s="1303"/>
      <c r="E118" s="18"/>
      <c r="F118" s="1"/>
      <c r="H118" s="1"/>
      <c r="I118" s="1"/>
      <c r="J118" s="1"/>
      <c r="K118" s="1"/>
      <c r="L118" s="1"/>
      <c r="M118" s="1"/>
      <c r="N118" s="1"/>
    </row>
    <row r="119" spans="1:14" s="40" customFormat="1" ht="13.5" customHeight="1" x14ac:dyDescent="0.2">
      <c r="A119" s="1311" t="s">
        <v>229</v>
      </c>
      <c r="B119" s="34" t="s">
        <v>7030</v>
      </c>
      <c r="C119" s="1316">
        <v>8.98</v>
      </c>
      <c r="D119" s="235"/>
      <c r="E119" s="1"/>
      <c r="F119" s="1"/>
      <c r="H119" s="1"/>
      <c r="I119" s="1"/>
      <c r="J119" s="1"/>
      <c r="K119" s="1"/>
      <c r="L119" s="1"/>
      <c r="M119" s="1"/>
      <c r="N119" s="1"/>
    </row>
    <row r="120" spans="1:14" s="40" customFormat="1" ht="13.5" customHeight="1" x14ac:dyDescent="0.2">
      <c r="A120" s="1311" t="s">
        <v>229</v>
      </c>
      <c r="B120" s="34" t="s">
        <v>7530</v>
      </c>
      <c r="C120" s="1309">
        <v>17.920000000000002</v>
      </c>
      <c r="D120" s="1309"/>
      <c r="E120" s="1"/>
      <c r="F120" s="1"/>
      <c r="H120" s="1"/>
      <c r="I120" s="1"/>
      <c r="J120" s="1"/>
      <c r="K120" s="1"/>
      <c r="L120" s="1"/>
      <c r="M120" s="1"/>
      <c r="N120" s="1"/>
    </row>
    <row r="121" spans="1:14" s="40" customFormat="1" ht="13.5" customHeight="1" x14ac:dyDescent="0.2">
      <c r="A121" s="1311" t="s">
        <v>229</v>
      </c>
      <c r="B121" s="21" t="s">
        <v>7383</v>
      </c>
      <c r="C121" s="1315">
        <v>915.5</v>
      </c>
      <c r="D121" s="235"/>
      <c r="E121" s="18"/>
      <c r="F121" s="1"/>
      <c r="H121" s="1"/>
      <c r="I121" s="1"/>
      <c r="J121" s="1"/>
      <c r="K121" s="1"/>
      <c r="L121" s="1"/>
      <c r="M121" s="1"/>
      <c r="N121" s="1"/>
    </row>
    <row r="122" spans="1:14" s="40" customFormat="1" ht="13.5" customHeight="1" x14ac:dyDescent="0.2">
      <c r="A122" s="1311"/>
      <c r="B122" s="21"/>
      <c r="C122" s="1318">
        <f>SUM(C110:C121)</f>
        <v>4020.8100000000004</v>
      </c>
      <c r="D122" s="235">
        <f>C122/2</f>
        <v>2010.4050000000002</v>
      </c>
      <c r="E122" s="18"/>
      <c r="F122" s="1"/>
      <c r="H122" s="1"/>
      <c r="I122" s="1"/>
      <c r="J122" s="1"/>
      <c r="K122" s="1"/>
      <c r="L122" s="1"/>
      <c r="M122" s="1"/>
      <c r="N122" s="1"/>
    </row>
    <row r="123" spans="1:14" s="40" customFormat="1" ht="13.5" customHeight="1" x14ac:dyDescent="0.2">
      <c r="A123" s="1311"/>
      <c r="B123" s="21"/>
      <c r="C123" s="1315"/>
      <c r="D123" s="235"/>
      <c r="E123" s="18"/>
      <c r="F123" s="1"/>
      <c r="H123" s="1"/>
      <c r="I123" s="1"/>
      <c r="J123" s="1"/>
      <c r="K123" s="1"/>
      <c r="L123" s="1"/>
      <c r="M123" s="1"/>
      <c r="N123" s="1"/>
    </row>
    <row r="124" spans="1:14" s="40" customFormat="1" ht="13.5" customHeight="1" x14ac:dyDescent="0.2">
      <c r="A124" s="1311" t="s">
        <v>418</v>
      </c>
      <c r="B124" s="34" t="s">
        <v>177</v>
      </c>
      <c r="C124" s="1319">
        <v>307.26</v>
      </c>
      <c r="D124" s="235"/>
      <c r="E124" s="18"/>
      <c r="F124" s="34" t="s">
        <v>7549</v>
      </c>
      <c r="G124" s="1131">
        <v>31.7</v>
      </c>
      <c r="H124" s="1"/>
      <c r="I124" s="1"/>
      <c r="J124" s="1"/>
      <c r="K124" s="1"/>
      <c r="L124" s="1"/>
      <c r="M124" s="1"/>
      <c r="N124" s="1"/>
    </row>
    <row r="125" spans="1:14" s="40" customFormat="1" ht="13.5" customHeight="1" x14ac:dyDescent="0.2">
      <c r="A125" s="1311"/>
      <c r="B125" s="34"/>
      <c r="C125" s="1314"/>
      <c r="D125" s="235"/>
      <c r="E125" s="18"/>
      <c r="F125" s="21" t="s">
        <v>7254</v>
      </c>
      <c r="G125" s="1315">
        <v>260</v>
      </c>
      <c r="H125" s="1"/>
      <c r="I125" s="1"/>
      <c r="J125" s="1"/>
      <c r="K125" s="1"/>
      <c r="L125" s="1"/>
      <c r="M125" s="1"/>
      <c r="N125" s="1"/>
    </row>
    <row r="126" spans="1:14" s="40" customFormat="1" ht="13.5" customHeight="1" x14ac:dyDescent="0.2">
      <c r="A126" s="1311" t="s">
        <v>232</v>
      </c>
      <c r="B126" s="34" t="s">
        <v>7536</v>
      </c>
      <c r="C126" s="1309">
        <v>650</v>
      </c>
      <c r="D126" s="1309"/>
      <c r="E126" s="18"/>
      <c r="F126" s="34" t="s">
        <v>7375</v>
      </c>
      <c r="G126" s="1315">
        <v>60</v>
      </c>
      <c r="H126" s="1"/>
      <c r="I126" s="1"/>
      <c r="J126" s="1"/>
      <c r="K126" s="1"/>
      <c r="L126" s="1"/>
      <c r="M126" s="1"/>
      <c r="N126" s="1"/>
    </row>
    <row r="127" spans="1:14" s="40" customFormat="1" ht="13.5" customHeight="1" x14ac:dyDescent="0.2">
      <c r="A127" s="1311" t="s">
        <v>232</v>
      </c>
      <c r="B127" s="34" t="s">
        <v>7537</v>
      </c>
      <c r="C127" s="1309">
        <v>350</v>
      </c>
      <c r="D127" s="1309"/>
      <c r="E127" s="1"/>
      <c r="F127" s="21" t="s">
        <v>7374</v>
      </c>
      <c r="G127" s="1315">
        <v>140</v>
      </c>
      <c r="K127" s="1"/>
      <c r="L127" s="1"/>
      <c r="M127" s="1"/>
      <c r="N127" s="1"/>
    </row>
    <row r="128" spans="1:14" s="40" customFormat="1" ht="13.5" customHeight="1" x14ac:dyDescent="0.2">
      <c r="A128" s="1311" t="s">
        <v>232</v>
      </c>
      <c r="B128" s="34" t="s">
        <v>837</v>
      </c>
      <c r="C128" s="1309">
        <f>G147/2</f>
        <v>1868.9649999999999</v>
      </c>
      <c r="D128" s="1309"/>
      <c r="E128" s="1"/>
      <c r="F128" s="34" t="s">
        <v>7550</v>
      </c>
      <c r="G128" s="1131">
        <v>29</v>
      </c>
      <c r="K128" s="1"/>
      <c r="L128" s="1"/>
      <c r="M128" s="1"/>
      <c r="N128" s="1"/>
    </row>
    <row r="129" spans="1:14" s="40" customFormat="1" ht="13.5" customHeight="1" x14ac:dyDescent="0.2">
      <c r="A129" s="1311"/>
      <c r="B129" s="34"/>
      <c r="C129" s="1320">
        <f>SUM(C126:C128)</f>
        <v>2868.9650000000001</v>
      </c>
      <c r="D129" s="1309"/>
      <c r="E129" s="1"/>
      <c r="F129" s="34" t="s">
        <v>7551</v>
      </c>
      <c r="G129" s="1316">
        <v>23.7</v>
      </c>
      <c r="K129" s="1"/>
      <c r="L129" s="1"/>
      <c r="M129" s="1"/>
      <c r="N129" s="1"/>
    </row>
    <row r="130" spans="1:14" s="40" customFormat="1" ht="13.5" customHeight="1" x14ac:dyDescent="0.2">
      <c r="A130" s="1311"/>
      <c r="B130" s="34"/>
      <c r="C130" s="1309"/>
      <c r="D130" s="1309"/>
      <c r="E130" s="1"/>
      <c r="F130" s="34" t="s">
        <v>7552</v>
      </c>
      <c r="G130" s="1131">
        <v>20.03</v>
      </c>
      <c r="K130" s="1"/>
      <c r="L130" s="1"/>
      <c r="M130" s="1"/>
      <c r="N130" s="1"/>
    </row>
    <row r="131" spans="1:14" s="40" customFormat="1" ht="13.5" customHeight="1" x14ac:dyDescent="0.2">
      <c r="A131" s="137" t="s">
        <v>232</v>
      </c>
      <c r="B131" s="34" t="s">
        <v>7499</v>
      </c>
      <c r="C131" s="1314">
        <v>762.32</v>
      </c>
      <c r="D131" s="1303"/>
      <c r="E131" s="1"/>
      <c r="F131" s="34" t="s">
        <v>7553</v>
      </c>
      <c r="G131" s="1131">
        <v>14.74</v>
      </c>
    </row>
    <row r="132" spans="1:14" s="40" customFormat="1" ht="13.5" customHeight="1" x14ac:dyDescent="0.2">
      <c r="A132" s="137" t="s">
        <v>232</v>
      </c>
      <c r="B132" s="34" t="s">
        <v>7503</v>
      </c>
      <c r="C132" s="1314">
        <v>405.68</v>
      </c>
      <c r="D132" s="235"/>
      <c r="E132" s="1"/>
      <c r="F132" s="21" t="s">
        <v>7554</v>
      </c>
      <c r="G132" s="1315">
        <v>5</v>
      </c>
    </row>
    <row r="133" spans="1:14" s="40" customFormat="1" ht="13.5" customHeight="1" x14ac:dyDescent="0.2">
      <c r="A133" s="137" t="s">
        <v>232</v>
      </c>
      <c r="B133" s="34" t="s">
        <v>7501</v>
      </c>
      <c r="C133" s="1314">
        <v>405.68</v>
      </c>
      <c r="D133" s="1303"/>
      <c r="E133" s="1"/>
      <c r="F133" s="34" t="s">
        <v>7555</v>
      </c>
      <c r="G133" s="1315">
        <v>33.42</v>
      </c>
    </row>
    <row r="134" spans="1:14" s="40" customFormat="1" ht="13.5" customHeight="1" x14ac:dyDescent="0.2">
      <c r="A134" s="1311" t="s">
        <v>232</v>
      </c>
      <c r="B134" s="36" t="s">
        <v>7533</v>
      </c>
      <c r="C134" s="61">
        <v>70</v>
      </c>
      <c r="D134" s="61"/>
      <c r="E134" s="1"/>
      <c r="F134" s="34" t="s">
        <v>6960</v>
      </c>
      <c r="G134" s="1131">
        <v>8.98</v>
      </c>
      <c r="H134" s="1"/>
      <c r="I134" s="1"/>
      <c r="J134" s="1"/>
    </row>
    <row r="135" spans="1:14" s="40" customFormat="1" ht="13.5" customHeight="1" x14ac:dyDescent="0.2">
      <c r="A135" s="137" t="s">
        <v>232</v>
      </c>
      <c r="B135" s="36" t="s">
        <v>1034</v>
      </c>
      <c r="C135" s="26">
        <v>50</v>
      </c>
      <c r="D135" s="12"/>
      <c r="E135" s="1"/>
      <c r="F135" s="34" t="s">
        <v>6960</v>
      </c>
      <c r="G135" s="1316">
        <v>9.6999999999999993</v>
      </c>
    </row>
    <row r="136" spans="1:14" s="40" customFormat="1" ht="13.5" customHeight="1" x14ac:dyDescent="0.2">
      <c r="A136" s="137" t="s">
        <v>232</v>
      </c>
      <c r="B136" s="36" t="s">
        <v>7442</v>
      </c>
      <c r="C136" s="26">
        <v>240</v>
      </c>
      <c r="D136" s="12"/>
      <c r="E136" s="1"/>
      <c r="F136" s="34" t="s">
        <v>1022</v>
      </c>
      <c r="G136" s="1131">
        <v>45.4</v>
      </c>
    </row>
    <row r="137" spans="1:14" s="40" customFormat="1" ht="13.5" customHeight="1" x14ac:dyDescent="0.2">
      <c r="A137" s="137" t="s">
        <v>232</v>
      </c>
      <c r="B137" s="34" t="s">
        <v>7442</v>
      </c>
      <c r="C137" s="26">
        <v>370</v>
      </c>
      <c r="D137" s="12"/>
      <c r="E137" s="1"/>
      <c r="F137" s="34" t="s">
        <v>7556</v>
      </c>
      <c r="G137" s="1309">
        <v>9.35</v>
      </c>
    </row>
    <row r="138" spans="1:14" s="40" customFormat="1" ht="13.5" customHeight="1" x14ac:dyDescent="0.2">
      <c r="A138" s="137" t="s">
        <v>232</v>
      </c>
      <c r="B138" s="34" t="s">
        <v>7441</v>
      </c>
      <c r="C138" s="26">
        <v>370</v>
      </c>
      <c r="D138" s="12"/>
      <c r="E138" s="1"/>
      <c r="F138" s="34" t="s">
        <v>6353</v>
      </c>
      <c r="G138" s="1309">
        <v>8</v>
      </c>
      <c r="H138" s="1"/>
      <c r="I138" s="1"/>
      <c r="J138" s="1"/>
      <c r="K138" s="1"/>
      <c r="L138" s="1"/>
      <c r="M138" s="1"/>
      <c r="N138" s="1"/>
    </row>
    <row r="139" spans="1:14" s="40" customFormat="1" ht="13.5" customHeight="1" x14ac:dyDescent="0.2">
      <c r="A139" s="137" t="s">
        <v>232</v>
      </c>
      <c r="B139" s="36" t="s">
        <v>7441</v>
      </c>
      <c r="C139" s="26">
        <v>600</v>
      </c>
      <c r="D139" s="12"/>
      <c r="E139" s="1"/>
      <c r="F139" s="34" t="s">
        <v>855</v>
      </c>
      <c r="G139" s="1131">
        <v>200</v>
      </c>
      <c r="H139" s="1"/>
      <c r="I139" s="1"/>
      <c r="J139" s="1"/>
    </row>
    <row r="140" spans="1:14" s="40" customFormat="1" ht="13.5" customHeight="1" x14ac:dyDescent="0.2">
      <c r="A140" s="1311" t="s">
        <v>232</v>
      </c>
      <c r="B140" s="36" t="s">
        <v>7269</v>
      </c>
      <c r="C140" s="1097">
        <v>220</v>
      </c>
      <c r="D140" s="60"/>
      <c r="E140" s="1"/>
      <c r="F140" s="34" t="s">
        <v>855</v>
      </c>
      <c r="G140" s="1131">
        <v>280</v>
      </c>
    </row>
    <row r="141" spans="1:14" s="40" customFormat="1" ht="13.5" customHeight="1" x14ac:dyDescent="0.2">
      <c r="A141" s="1311" t="s">
        <v>232</v>
      </c>
      <c r="B141" s="34" t="s">
        <v>837</v>
      </c>
      <c r="C141" s="1309">
        <f>G147/2</f>
        <v>1868.9649999999999</v>
      </c>
      <c r="D141" s="1309"/>
      <c r="E141" s="1"/>
      <c r="F141" s="34" t="s">
        <v>107</v>
      </c>
      <c r="G141" s="1315">
        <v>200</v>
      </c>
      <c r="H141" s="1"/>
      <c r="I141" s="1"/>
      <c r="J141" s="1"/>
    </row>
    <row r="142" spans="1:14" s="40" customFormat="1" ht="13.5" customHeight="1" x14ac:dyDescent="0.2">
      <c r="A142" s="1311"/>
      <c r="B142" s="36"/>
      <c r="C142" s="186">
        <f>SUM(C131:C141)</f>
        <v>5362.6450000000004</v>
      </c>
      <c r="D142" s="61"/>
      <c r="E142" s="1"/>
      <c r="F142" s="34" t="s">
        <v>173</v>
      </c>
      <c r="G142" s="1314">
        <v>950.84</v>
      </c>
      <c r="K142" s="1"/>
      <c r="L142" s="1"/>
      <c r="M142" s="1"/>
      <c r="N142" s="1"/>
    </row>
    <row r="143" spans="1:14" s="40" customFormat="1" ht="13.5" customHeight="1" x14ac:dyDescent="0.2">
      <c r="A143" s="1311"/>
      <c r="B143" s="36"/>
      <c r="C143" s="61"/>
      <c r="D143" s="61"/>
      <c r="E143" s="1"/>
      <c r="F143" s="34" t="s">
        <v>171</v>
      </c>
      <c r="G143" s="1314">
        <v>538.17999999999995</v>
      </c>
      <c r="H143" s="1"/>
      <c r="I143" s="1"/>
      <c r="J143" s="1"/>
      <c r="K143" s="1"/>
      <c r="L143" s="1"/>
      <c r="M143" s="1"/>
      <c r="N143" s="1"/>
    </row>
    <row r="144" spans="1:14" s="40" customFormat="1" ht="13.5" customHeight="1" x14ac:dyDescent="0.2">
      <c r="A144" s="1311" t="s">
        <v>234</v>
      </c>
      <c r="B144" s="36" t="s">
        <v>7427</v>
      </c>
      <c r="C144" s="26">
        <v>8</v>
      </c>
      <c r="D144" s="12"/>
      <c r="E144" s="1"/>
      <c r="F144" s="34" t="s">
        <v>172</v>
      </c>
      <c r="G144" s="1314">
        <v>569.89</v>
      </c>
    </row>
    <row r="145" spans="1:14" s="40" customFormat="1" ht="13.5" customHeight="1" x14ac:dyDescent="0.2">
      <c r="A145" s="1311" t="s">
        <v>234</v>
      </c>
      <c r="B145" s="36" t="s">
        <v>7429</v>
      </c>
      <c r="C145" s="26">
        <v>4.2</v>
      </c>
      <c r="D145" s="12"/>
      <c r="E145" s="1"/>
      <c r="F145" s="34" t="s">
        <v>7147</v>
      </c>
      <c r="G145" s="1314">
        <v>150</v>
      </c>
      <c r="K145" s="1"/>
      <c r="L145" s="1"/>
      <c r="M145" s="1"/>
      <c r="N145" s="1"/>
    </row>
    <row r="146" spans="1:14" s="40" customFormat="1" ht="13.5" customHeight="1" x14ac:dyDescent="0.2">
      <c r="A146" s="1311" t="s">
        <v>234</v>
      </c>
      <c r="B146" s="36" t="s">
        <v>7472</v>
      </c>
      <c r="C146" s="1274">
        <v>430</v>
      </c>
      <c r="D146" s="60"/>
      <c r="E146" s="1"/>
      <c r="F146" s="34" t="s">
        <v>7147</v>
      </c>
      <c r="G146" s="1314">
        <v>150</v>
      </c>
      <c r="H146" s="1"/>
      <c r="I146" s="1"/>
      <c r="J146" s="1"/>
    </row>
    <row r="147" spans="1:14" s="40" customFormat="1" ht="13.5" customHeight="1" x14ac:dyDescent="0.2">
      <c r="A147" s="1311" t="s">
        <v>234</v>
      </c>
      <c r="B147" s="36" t="s">
        <v>7557</v>
      </c>
      <c r="C147" s="26">
        <v>28.9</v>
      </c>
      <c r="D147" s="12"/>
      <c r="E147" s="18"/>
      <c r="F147" s="18"/>
      <c r="G147" s="40">
        <f>SUM(G124:G146)</f>
        <v>3737.93</v>
      </c>
      <c r="H147" s="1"/>
      <c r="I147" s="1"/>
      <c r="J147" s="1"/>
      <c r="K147" s="1"/>
      <c r="L147" s="1"/>
      <c r="M147" s="1"/>
      <c r="N147" s="1"/>
    </row>
    <row r="148" spans="1:14" s="40" customFormat="1" ht="13.5" customHeight="1" x14ac:dyDescent="0.2">
      <c r="A148" s="1311"/>
      <c r="B148" s="36"/>
      <c r="C148" s="276">
        <f>SUM(C144:C147)</f>
        <v>471.09999999999997</v>
      </c>
      <c r="D148" s="12"/>
      <c r="E148" s="1"/>
      <c r="F148" s="18"/>
    </row>
    <row r="149" spans="1:14" s="40" customFormat="1" ht="13.5" customHeight="1" x14ac:dyDescent="0.2">
      <c r="A149" s="1311"/>
      <c r="B149" s="36"/>
      <c r="C149" s="26"/>
      <c r="D149" s="12"/>
      <c r="E149" s="1"/>
      <c r="F149" s="18"/>
    </row>
    <row r="150" spans="1:14" s="40" customFormat="1" ht="13.5" customHeight="1" x14ac:dyDescent="0.2">
      <c r="A150" s="1311" t="s">
        <v>234</v>
      </c>
      <c r="B150" s="36" t="s">
        <v>7431</v>
      </c>
      <c r="C150" s="26">
        <v>1.6</v>
      </c>
      <c r="D150" s="12"/>
      <c r="E150" s="1"/>
      <c r="F150" s="18"/>
      <c r="K150" s="1"/>
      <c r="L150" s="1"/>
      <c r="M150" s="1"/>
      <c r="N150" s="1"/>
    </row>
    <row r="151" spans="1:14" s="40" customFormat="1" ht="13.5" customHeight="1" x14ac:dyDescent="0.2">
      <c r="A151" s="1311" t="s">
        <v>234</v>
      </c>
      <c r="B151" s="56" t="s">
        <v>7392</v>
      </c>
      <c r="C151" s="1097">
        <v>12.7</v>
      </c>
      <c r="D151" s="60"/>
      <c r="E151" s="1"/>
      <c r="F151" s="1"/>
      <c r="K151" s="1"/>
      <c r="L151" s="1"/>
      <c r="M151" s="1"/>
      <c r="N151" s="1"/>
    </row>
    <row r="152" spans="1:14" s="40" customFormat="1" ht="13.5" customHeight="1" x14ac:dyDescent="0.2">
      <c r="A152" s="1311" t="s">
        <v>234</v>
      </c>
      <c r="B152" s="36" t="s">
        <v>7396</v>
      </c>
      <c r="C152" s="43">
        <v>5.6</v>
      </c>
      <c r="D152" s="60"/>
      <c r="E152" s="1"/>
      <c r="F152" s="1"/>
    </row>
    <row r="153" spans="1:14" s="40" customFormat="1" ht="13.5" customHeight="1" x14ac:dyDescent="0.2">
      <c r="A153" s="1311" t="s">
        <v>234</v>
      </c>
      <c r="B153" s="36" t="s">
        <v>96</v>
      </c>
      <c r="C153" s="26">
        <v>10.8</v>
      </c>
      <c r="D153" s="12"/>
      <c r="E153" s="1"/>
      <c r="F153" s="18"/>
      <c r="H153" s="1"/>
      <c r="I153" s="1"/>
      <c r="J153" s="1"/>
    </row>
    <row r="154" spans="1:14" s="40" customFormat="1" ht="13.5" customHeight="1" x14ac:dyDescent="0.2">
      <c r="A154" s="1311" t="s">
        <v>234</v>
      </c>
      <c r="B154" s="36" t="s">
        <v>7410</v>
      </c>
      <c r="C154" s="1097">
        <v>5.25</v>
      </c>
      <c r="D154" s="60"/>
      <c r="E154" s="1"/>
      <c r="F154" s="18"/>
      <c r="H154" s="1"/>
      <c r="I154" s="1"/>
      <c r="J154" s="1"/>
    </row>
    <row r="155" spans="1:14" s="40" customFormat="1" ht="13.5" customHeight="1" x14ac:dyDescent="0.2">
      <c r="A155" s="1311" t="s">
        <v>234</v>
      </c>
      <c r="B155" s="36" t="s">
        <v>7451</v>
      </c>
      <c r="C155" s="26">
        <v>4.5999999999999996</v>
      </c>
      <c r="D155" s="12"/>
      <c r="E155" s="1"/>
      <c r="F155" s="1"/>
    </row>
    <row r="156" spans="1:14" s="40" customFormat="1" ht="13.5" customHeight="1" x14ac:dyDescent="0.2">
      <c r="A156" s="1311" t="s">
        <v>234</v>
      </c>
      <c r="B156" s="56" t="s">
        <v>6776</v>
      </c>
      <c r="C156" s="1097">
        <v>9.5</v>
      </c>
      <c r="D156" s="60"/>
      <c r="E156" s="1"/>
      <c r="F156" s="18"/>
    </row>
    <row r="157" spans="1:14" ht="13.5" customHeight="1" x14ac:dyDescent="0.2">
      <c r="A157" s="1311" t="s">
        <v>234</v>
      </c>
      <c r="B157" s="34" t="s">
        <v>7433</v>
      </c>
      <c r="C157" s="26">
        <v>25</v>
      </c>
      <c r="D157" s="12"/>
      <c r="F157" s="18"/>
      <c r="H157" s="40"/>
      <c r="I157" s="40"/>
      <c r="J157" s="40"/>
    </row>
    <row r="158" spans="1:14" ht="13.5" customHeight="1" x14ac:dyDescent="0.2">
      <c r="A158" s="1311" t="s">
        <v>234</v>
      </c>
      <c r="B158" s="36" t="s">
        <v>7466</v>
      </c>
      <c r="C158" s="26">
        <v>111.5</v>
      </c>
      <c r="D158" s="12"/>
      <c r="E158" s="18"/>
      <c r="H158" s="40"/>
      <c r="I158" s="40"/>
      <c r="J158" s="40"/>
    </row>
    <row r="159" spans="1:14" ht="13.5" customHeight="1" x14ac:dyDescent="0.2">
      <c r="A159" s="1311" t="s">
        <v>234</v>
      </c>
      <c r="B159" s="36" t="s">
        <v>7464</v>
      </c>
      <c r="C159" s="26">
        <v>11.4</v>
      </c>
      <c r="D159" s="12"/>
      <c r="H159" s="40"/>
      <c r="I159" s="40"/>
      <c r="J159" s="40"/>
      <c r="K159" s="40"/>
      <c r="L159" s="40"/>
      <c r="M159" s="40"/>
      <c r="N159" s="40"/>
    </row>
    <row r="160" spans="1:14" ht="13.5" customHeight="1" x14ac:dyDescent="0.2">
      <c r="A160" s="1311" t="s">
        <v>234</v>
      </c>
      <c r="B160" s="36" t="s">
        <v>7522</v>
      </c>
      <c r="C160" s="61">
        <v>30</v>
      </c>
      <c r="D160" s="61"/>
      <c r="H160" s="40"/>
      <c r="I160" s="40"/>
      <c r="J160" s="40"/>
      <c r="K160" s="40"/>
      <c r="L160" s="40"/>
      <c r="M160" s="40"/>
      <c r="N160" s="40"/>
    </row>
    <row r="161" spans="1:14" ht="13.5" customHeight="1" x14ac:dyDescent="0.2">
      <c r="A161" s="137" t="s">
        <v>234</v>
      </c>
      <c r="B161" s="36" t="s">
        <v>7513</v>
      </c>
      <c r="C161" s="1274">
        <v>55.1</v>
      </c>
      <c r="D161" s="60"/>
      <c r="H161" s="40"/>
      <c r="I161" s="40"/>
      <c r="J161" s="40"/>
      <c r="K161" s="40"/>
      <c r="L161" s="40"/>
      <c r="M161" s="40"/>
      <c r="N161" s="40"/>
    </row>
    <row r="162" spans="1:14" ht="13.5" customHeight="1" x14ac:dyDescent="0.2">
      <c r="A162" s="137" t="s">
        <v>234</v>
      </c>
      <c r="B162" s="36" t="s">
        <v>7558</v>
      </c>
      <c r="C162" s="1274">
        <v>59.95</v>
      </c>
      <c r="D162" s="60"/>
      <c r="F162" s="18"/>
      <c r="K162" s="40"/>
      <c r="L162" s="40"/>
      <c r="M162" s="40"/>
      <c r="N162" s="40"/>
    </row>
    <row r="163" spans="1:14" ht="13.5" customHeight="1" x14ac:dyDescent="0.2">
      <c r="A163" s="137" t="s">
        <v>234</v>
      </c>
      <c r="B163" s="32" t="s">
        <v>7490</v>
      </c>
      <c r="C163" s="1274">
        <v>105.6</v>
      </c>
      <c r="D163" s="60"/>
      <c r="K163" s="40"/>
      <c r="L163" s="40"/>
      <c r="M163" s="40"/>
      <c r="N163" s="40"/>
    </row>
    <row r="164" spans="1:14" ht="13.5" customHeight="1" x14ac:dyDescent="0.2">
      <c r="A164" s="137" t="s">
        <v>234</v>
      </c>
      <c r="B164" s="36" t="s">
        <v>7481</v>
      </c>
      <c r="C164" s="1274">
        <v>650</v>
      </c>
      <c r="D164" s="60"/>
      <c r="F164" s="18"/>
      <c r="H164" s="40"/>
      <c r="I164" s="40"/>
      <c r="J164" s="40"/>
      <c r="K164" s="40"/>
      <c r="L164" s="40"/>
      <c r="M164" s="40"/>
      <c r="N164" s="40"/>
    </row>
    <row r="165" spans="1:14" ht="13.5" customHeight="1" x14ac:dyDescent="0.2">
      <c r="A165" s="1311" t="s">
        <v>234</v>
      </c>
      <c r="B165" s="36" t="s">
        <v>7511</v>
      </c>
      <c r="C165" s="1274">
        <v>-42</v>
      </c>
      <c r="D165" s="60"/>
      <c r="F165" s="18"/>
      <c r="H165" s="40"/>
      <c r="I165" s="40"/>
      <c r="J165" s="40"/>
      <c r="K165" s="40"/>
      <c r="L165" s="40"/>
      <c r="M165" s="40"/>
      <c r="N165" s="40"/>
    </row>
    <row r="166" spans="1:14" ht="13.5" customHeight="1" x14ac:dyDescent="0.2">
      <c r="A166" s="1311"/>
      <c r="B166" s="36"/>
      <c r="C166" s="1281">
        <f>SUM(C150:C165)</f>
        <v>1056.5999999999999</v>
      </c>
      <c r="D166" s="60"/>
      <c r="F166" s="18"/>
      <c r="H166" s="40"/>
      <c r="I166" s="40"/>
      <c r="J166" s="40"/>
    </row>
    <row r="167" spans="1:14" ht="13.5" customHeight="1" x14ac:dyDescent="0.2">
      <c r="A167" s="1311"/>
      <c r="B167" s="36"/>
      <c r="C167" s="1274"/>
      <c r="D167" s="60"/>
    </row>
    <row r="168" spans="1:14" ht="13.5" customHeight="1" x14ac:dyDescent="0.2">
      <c r="A168" s="1311" t="s">
        <v>235</v>
      </c>
      <c r="B168" s="36" t="s">
        <v>195</v>
      </c>
      <c r="C168" s="1274">
        <v>449.44</v>
      </c>
      <c r="D168" s="60"/>
      <c r="F168" s="18"/>
      <c r="H168" s="40"/>
      <c r="I168" s="40"/>
      <c r="J168" s="40"/>
    </row>
    <row r="169" spans="1:14" ht="13.5" customHeight="1" x14ac:dyDescent="0.2">
      <c r="A169" s="137" t="s">
        <v>235</v>
      </c>
      <c r="B169" s="36" t="s">
        <v>194</v>
      </c>
      <c r="C169" s="1274">
        <v>97.38</v>
      </c>
      <c r="D169" s="60"/>
      <c r="F169" s="18"/>
    </row>
    <row r="170" spans="1:14" ht="13.5" customHeight="1" x14ac:dyDescent="0.2">
      <c r="A170" s="137"/>
      <c r="B170" s="36"/>
      <c r="C170" s="1281">
        <f>SUM(C168:C169)</f>
        <v>546.81999999999994</v>
      </c>
      <c r="D170" s="60"/>
      <c r="F170" s="18"/>
      <c r="H170" s="40"/>
      <c r="I170" s="40"/>
      <c r="J170" s="40"/>
      <c r="K170" s="40"/>
      <c r="L170" s="40"/>
      <c r="M170" s="40"/>
      <c r="N170" s="40"/>
    </row>
    <row r="171" spans="1:14" ht="13.5" customHeight="1" x14ac:dyDescent="0.2">
      <c r="A171" s="137"/>
      <c r="B171" s="36"/>
      <c r="C171" s="1274"/>
      <c r="D171" s="60"/>
      <c r="H171" s="40"/>
      <c r="I171" s="40"/>
      <c r="J171" s="40"/>
    </row>
    <row r="172" spans="1:14" ht="13.5" customHeight="1" x14ac:dyDescent="0.2">
      <c r="A172" s="137" t="s">
        <v>247</v>
      </c>
      <c r="B172" s="36" t="s">
        <v>7436</v>
      </c>
      <c r="C172" s="1281">
        <v>520</v>
      </c>
      <c r="D172" s="12"/>
      <c r="H172" s="40"/>
      <c r="I172" s="40"/>
      <c r="J172" s="40"/>
      <c r="K172" s="40"/>
      <c r="L172" s="40"/>
      <c r="M172" s="40"/>
      <c r="N172" s="40"/>
    </row>
    <row r="173" spans="1:14" ht="13.5" customHeight="1" x14ac:dyDescent="0.2">
      <c r="A173" s="137"/>
      <c r="B173" s="36"/>
      <c r="C173" s="1274"/>
      <c r="D173" s="12"/>
    </row>
    <row r="174" spans="1:14" ht="13.5" customHeight="1" x14ac:dyDescent="0.2">
      <c r="A174" s="1311" t="s">
        <v>236</v>
      </c>
      <c r="B174" s="36" t="s">
        <v>1002</v>
      </c>
      <c r="C174" s="61">
        <v>3880.3900000000003</v>
      </c>
      <c r="D174" s="61"/>
      <c r="K174" s="40"/>
      <c r="L174" s="40"/>
      <c r="M174" s="40"/>
      <c r="N174" s="40"/>
    </row>
    <row r="175" spans="1:14" ht="13.5" customHeight="1" x14ac:dyDescent="0.2">
      <c r="A175" s="1311" t="s">
        <v>236</v>
      </c>
      <c r="B175" s="36" t="s">
        <v>7402</v>
      </c>
      <c r="C175" s="1274">
        <v>300</v>
      </c>
      <c r="D175" s="60"/>
      <c r="H175" s="40"/>
      <c r="I175" s="40"/>
      <c r="J175" s="40"/>
      <c r="K175" s="40"/>
      <c r="L175" s="40"/>
      <c r="M175" s="40"/>
      <c r="N175" s="40"/>
    </row>
    <row r="176" spans="1:14" ht="13.5" customHeight="1" x14ac:dyDescent="0.2">
      <c r="A176" s="1311" t="s">
        <v>236</v>
      </c>
      <c r="B176" s="36" t="s">
        <v>132</v>
      </c>
      <c r="C176" s="1274">
        <v>278.87</v>
      </c>
      <c r="D176" s="12"/>
      <c r="K176" s="40"/>
      <c r="L176" s="40"/>
      <c r="M176" s="40"/>
      <c r="N176" s="40"/>
    </row>
    <row r="177" spans="1:14" s="40" customFormat="1" ht="13.5" customHeight="1" x14ac:dyDescent="0.2">
      <c r="A177" s="1311" t="s">
        <v>236</v>
      </c>
      <c r="B177" s="34" t="s">
        <v>130</v>
      </c>
      <c r="C177" s="1274">
        <v>149.76</v>
      </c>
      <c r="D177" s="12"/>
      <c r="E177" s="18"/>
      <c r="F177" s="1"/>
      <c r="H177" s="1"/>
      <c r="I177" s="1"/>
      <c r="J177" s="1"/>
      <c r="K177" s="1"/>
      <c r="L177" s="1"/>
      <c r="M177" s="1"/>
      <c r="N177" s="1"/>
    </row>
    <row r="178" spans="1:14" s="40" customFormat="1" ht="13.5" customHeight="1" x14ac:dyDescent="0.2">
      <c r="A178" s="1311" t="s">
        <v>236</v>
      </c>
      <c r="B178" s="36" t="s">
        <v>53</v>
      </c>
      <c r="C178" s="1274">
        <v>511.71</v>
      </c>
      <c r="D178" s="60"/>
      <c r="E178" s="1"/>
      <c r="F178" s="1"/>
      <c r="K178" s="1"/>
      <c r="L178" s="1"/>
      <c r="M178" s="1"/>
      <c r="N178" s="1"/>
    </row>
    <row r="179" spans="1:14" s="40" customFormat="1" ht="13.5" customHeight="1" x14ac:dyDescent="0.2">
      <c r="A179" s="1311" t="s">
        <v>236</v>
      </c>
      <c r="B179" s="36" t="s">
        <v>55</v>
      </c>
      <c r="C179" s="1274">
        <v>350</v>
      </c>
      <c r="D179" s="60"/>
      <c r="E179" s="1"/>
      <c r="F179" s="18"/>
      <c r="H179" s="1"/>
      <c r="I179" s="1"/>
      <c r="J179" s="1"/>
    </row>
    <row r="180" spans="1:14" s="40" customFormat="1" ht="13.5" customHeight="1" x14ac:dyDescent="0.2">
      <c r="A180" s="1311" t="s">
        <v>236</v>
      </c>
      <c r="B180" s="36" t="s">
        <v>7450</v>
      </c>
      <c r="C180" s="1274">
        <v>648</v>
      </c>
      <c r="D180" s="12"/>
      <c r="E180" s="1"/>
      <c r="F180" s="1"/>
      <c r="H180" s="1"/>
      <c r="I180" s="1"/>
      <c r="J180" s="1"/>
      <c r="K180" s="1"/>
      <c r="L180" s="1"/>
      <c r="M180" s="1"/>
      <c r="N180" s="1"/>
    </row>
    <row r="181" spans="1:14" s="40" customFormat="1" ht="13.5" customHeight="1" x14ac:dyDescent="0.2">
      <c r="A181" s="1311" t="s">
        <v>236</v>
      </c>
      <c r="B181" s="36" t="s">
        <v>7469</v>
      </c>
      <c r="C181" s="1274">
        <v>296.22000000000003</v>
      </c>
      <c r="D181" s="12"/>
      <c r="E181" s="1"/>
      <c r="F181" s="1"/>
      <c r="K181" s="1"/>
      <c r="L181" s="1"/>
      <c r="M181" s="1"/>
      <c r="N181" s="1"/>
    </row>
    <row r="182" spans="1:14" s="40" customFormat="1" ht="13.5" customHeight="1" x14ac:dyDescent="0.2">
      <c r="A182" s="1311" t="s">
        <v>236</v>
      </c>
      <c r="B182" s="36" t="s">
        <v>7394</v>
      </c>
      <c r="C182" s="1274">
        <v>72.86</v>
      </c>
      <c r="D182" s="60"/>
      <c r="E182" s="1"/>
      <c r="F182" s="1"/>
      <c r="H182" s="1"/>
      <c r="I182" s="1"/>
      <c r="J182" s="1"/>
    </row>
    <row r="183" spans="1:14" s="40" customFormat="1" ht="13.5" customHeight="1" x14ac:dyDescent="0.2">
      <c r="A183" s="1311" t="s">
        <v>236</v>
      </c>
      <c r="B183" s="36" t="s">
        <v>7415</v>
      </c>
      <c r="C183" s="1274">
        <v>46.07</v>
      </c>
      <c r="D183" s="60"/>
      <c r="E183" s="1"/>
      <c r="F183" s="1"/>
      <c r="H183" s="1"/>
      <c r="I183" s="1"/>
      <c r="J183" s="1"/>
      <c r="K183" s="1"/>
      <c r="L183" s="1"/>
      <c r="M183" s="1"/>
      <c r="N183" s="1"/>
    </row>
    <row r="184" spans="1:14" s="40" customFormat="1" ht="13.5" customHeight="1" x14ac:dyDescent="0.2">
      <c r="A184" s="1311" t="s">
        <v>236</v>
      </c>
      <c r="B184" s="36" t="s">
        <v>7455</v>
      </c>
      <c r="C184" s="1274">
        <v>278.57</v>
      </c>
      <c r="D184" s="12"/>
      <c r="E184" s="1"/>
      <c r="F184" s="1"/>
      <c r="H184" s="1"/>
      <c r="I184" s="1"/>
      <c r="J184" s="1"/>
      <c r="K184" s="1"/>
      <c r="L184" s="1"/>
      <c r="M184" s="1"/>
      <c r="N184" s="1"/>
    </row>
    <row r="185" spans="1:14" s="40" customFormat="1" ht="13.5" customHeight="1" x14ac:dyDescent="0.2">
      <c r="A185" s="1311" t="s">
        <v>236</v>
      </c>
      <c r="B185" s="34" t="s">
        <v>7424</v>
      </c>
      <c r="C185" s="1274">
        <v>1000</v>
      </c>
      <c r="D185" s="71"/>
      <c r="E185" s="1"/>
      <c r="F185" s="18"/>
      <c r="H185" s="1"/>
      <c r="I185" s="1"/>
      <c r="J185" s="1"/>
      <c r="K185" s="1"/>
      <c r="L185" s="1"/>
      <c r="M185" s="1"/>
      <c r="N185" s="1"/>
    </row>
    <row r="186" spans="1:14" s="40" customFormat="1" ht="13.5" customHeight="1" x14ac:dyDescent="0.2">
      <c r="A186" s="1311" t="s">
        <v>236</v>
      </c>
      <c r="B186" s="34" t="s">
        <v>133</v>
      </c>
      <c r="C186" s="1274">
        <v>685.17</v>
      </c>
      <c r="D186" s="89"/>
      <c r="E186" s="1"/>
      <c r="F186" s="18"/>
      <c r="H186" s="1"/>
      <c r="I186" s="1"/>
      <c r="J186" s="1"/>
      <c r="K186" s="1"/>
      <c r="L186" s="1"/>
      <c r="M186" s="1"/>
      <c r="N186" s="1"/>
    </row>
    <row r="187" spans="1:14" s="40" customFormat="1" ht="13.5" customHeight="1" x14ac:dyDescent="0.2">
      <c r="A187" s="1311" t="s">
        <v>236</v>
      </c>
      <c r="B187" s="34" t="s">
        <v>82</v>
      </c>
      <c r="C187" s="1274">
        <v>337.34</v>
      </c>
      <c r="D187" s="71"/>
      <c r="E187" s="1"/>
      <c r="F187" s="18"/>
      <c r="H187" s="1"/>
      <c r="I187" s="1"/>
      <c r="J187" s="1"/>
    </row>
    <row r="188" spans="1:14" s="40" customFormat="1" ht="13.5" customHeight="1" x14ac:dyDescent="0.2">
      <c r="A188" s="1311" t="s">
        <v>236</v>
      </c>
      <c r="B188" s="34" t="s">
        <v>18</v>
      </c>
      <c r="C188" s="1274">
        <v>390.56</v>
      </c>
      <c r="D188" s="1321"/>
      <c r="E188" s="1"/>
      <c r="F188" s="18"/>
      <c r="H188" s="1"/>
      <c r="I188" s="1"/>
      <c r="J188" s="1"/>
      <c r="K188" s="1"/>
      <c r="L188" s="1"/>
      <c r="M188" s="1"/>
      <c r="N188" s="1"/>
    </row>
    <row r="189" spans="1:14" s="40" customFormat="1" ht="13.5" customHeight="1" x14ac:dyDescent="0.2">
      <c r="A189" s="1311" t="s">
        <v>236</v>
      </c>
      <c r="B189" s="34" t="s">
        <v>114</v>
      </c>
      <c r="C189" s="1274">
        <v>213.84</v>
      </c>
      <c r="D189" s="71"/>
      <c r="E189" s="1"/>
      <c r="F189" s="1"/>
      <c r="K189" s="1"/>
      <c r="L189" s="1"/>
      <c r="M189" s="1"/>
      <c r="N189" s="1"/>
    </row>
    <row r="190" spans="1:14" s="40" customFormat="1" ht="13.5" customHeight="1" x14ac:dyDescent="0.2">
      <c r="A190" s="1311"/>
      <c r="B190" s="34"/>
      <c r="C190" s="1281">
        <f>SUM(C174:C189)</f>
        <v>9439.3599999999988</v>
      </c>
      <c r="D190" s="71"/>
      <c r="E190" s="1"/>
      <c r="F190" s="1"/>
      <c r="K190" s="1"/>
      <c r="L190" s="1"/>
      <c r="M190" s="1"/>
      <c r="N190" s="1"/>
    </row>
    <row r="191" spans="1:14" s="40" customFormat="1" ht="13.5" customHeight="1" x14ac:dyDescent="0.2">
      <c r="A191" s="1311"/>
      <c r="B191" s="34"/>
      <c r="C191" s="1274"/>
      <c r="D191" s="71"/>
      <c r="E191" s="18"/>
      <c r="F191" s="18"/>
      <c r="H191" s="1"/>
      <c r="I191" s="1"/>
      <c r="J191" s="1"/>
      <c r="K191" s="1"/>
      <c r="L191" s="1"/>
      <c r="M191" s="1"/>
      <c r="N191" s="1"/>
    </row>
    <row r="192" spans="1:14" s="40" customFormat="1" ht="13.5" customHeight="1" x14ac:dyDescent="0.2">
      <c r="A192" s="1311" t="s">
        <v>236</v>
      </c>
      <c r="B192" s="34" t="s">
        <v>7468</v>
      </c>
      <c r="C192" s="1274">
        <v>1473.19</v>
      </c>
      <c r="D192" s="89"/>
      <c r="E192" s="18"/>
      <c r="F192" s="18"/>
      <c r="H192" s="1"/>
      <c r="I192" s="1"/>
      <c r="J192" s="1"/>
      <c r="K192" s="1"/>
      <c r="L192" s="1"/>
      <c r="M192" s="1"/>
      <c r="N192" s="1"/>
    </row>
    <row r="193" spans="1:14" s="40" customFormat="1" ht="13.5" customHeight="1" x14ac:dyDescent="0.2">
      <c r="A193" s="1311" t="s">
        <v>236</v>
      </c>
      <c r="B193" s="34" t="s">
        <v>7416</v>
      </c>
      <c r="C193" s="1274">
        <v>51.42</v>
      </c>
      <c r="D193" s="71"/>
      <c r="E193" s="1"/>
      <c r="F193" s="1"/>
    </row>
    <row r="194" spans="1:14" ht="13.5" customHeight="1" x14ac:dyDescent="0.2">
      <c r="A194" s="1311" t="s">
        <v>236</v>
      </c>
      <c r="B194" s="36" t="s">
        <v>38</v>
      </c>
      <c r="C194" s="1097">
        <v>5000</v>
      </c>
      <c r="D194" s="60"/>
      <c r="H194" s="40"/>
      <c r="I194" s="40"/>
      <c r="J194" s="40"/>
      <c r="K194" s="40"/>
      <c r="L194" s="40"/>
      <c r="M194" s="40"/>
      <c r="N194" s="40"/>
    </row>
    <row r="195" spans="1:14" ht="13.5" customHeight="1" x14ac:dyDescent="0.2">
      <c r="A195" s="1311"/>
      <c r="B195" s="34"/>
      <c r="C195" s="1281">
        <f>SUM(C192:C194)</f>
        <v>6524.6100000000006</v>
      </c>
      <c r="D195" s="71"/>
      <c r="F195" s="18"/>
    </row>
    <row r="196" spans="1:14" ht="13.5" customHeight="1" x14ac:dyDescent="0.2">
      <c r="A196" s="1311"/>
      <c r="B196" s="34"/>
      <c r="C196" s="1274"/>
      <c r="D196" s="71"/>
      <c r="H196" s="40"/>
      <c r="I196" s="40"/>
      <c r="J196" s="40"/>
    </row>
    <row r="197" spans="1:14" ht="13.5" customHeight="1" x14ac:dyDescent="0.2">
      <c r="A197" s="137" t="s">
        <v>237</v>
      </c>
      <c r="B197" s="34" t="s">
        <v>7478</v>
      </c>
      <c r="C197" s="1274">
        <v>270</v>
      </c>
      <c r="D197" s="71"/>
      <c r="F197" s="18"/>
      <c r="H197" s="40"/>
      <c r="I197" s="40"/>
      <c r="J197" s="40"/>
      <c r="K197" s="40"/>
      <c r="L197" s="40"/>
      <c r="M197" s="40"/>
      <c r="N197" s="40"/>
    </row>
    <row r="198" spans="1:14" ht="13.5" customHeight="1" x14ac:dyDescent="0.2">
      <c r="A198" s="1311" t="s">
        <v>237</v>
      </c>
      <c r="B198" s="34" t="s">
        <v>7477</v>
      </c>
      <c r="C198" s="1274">
        <v>1627.83</v>
      </c>
      <c r="D198" s="71"/>
      <c r="H198" s="40"/>
      <c r="I198" s="40"/>
      <c r="J198" s="40"/>
      <c r="K198" s="40"/>
      <c r="L198" s="40"/>
      <c r="M198" s="40"/>
      <c r="N198" s="40"/>
    </row>
    <row r="199" spans="1:14" ht="13.5" customHeight="1" x14ac:dyDescent="0.2">
      <c r="A199" s="137" t="s">
        <v>237</v>
      </c>
      <c r="B199" s="34" t="s">
        <v>7484</v>
      </c>
      <c r="C199" s="1274">
        <v>700</v>
      </c>
      <c r="D199" s="71"/>
      <c r="F199" s="18"/>
      <c r="H199" s="40"/>
      <c r="I199" s="40"/>
      <c r="J199" s="40"/>
    </row>
    <row r="200" spans="1:14" ht="13.5" customHeight="1" x14ac:dyDescent="0.2">
      <c r="A200" s="1311" t="s">
        <v>237</v>
      </c>
      <c r="B200" s="34" t="s">
        <v>7453</v>
      </c>
      <c r="C200" s="26">
        <v>50</v>
      </c>
      <c r="D200" s="89"/>
      <c r="K200" s="40"/>
      <c r="L200" s="40"/>
      <c r="M200" s="40"/>
      <c r="N200" s="40"/>
    </row>
    <row r="201" spans="1:14" ht="13.5" customHeight="1" x14ac:dyDescent="0.2">
      <c r="A201" s="1311"/>
      <c r="B201" s="34"/>
      <c r="C201" s="276">
        <f>SUM(C197:C200)</f>
        <v>2647.83</v>
      </c>
      <c r="D201" s="89"/>
      <c r="F201" s="18"/>
      <c r="H201" s="40"/>
      <c r="I201" s="40"/>
      <c r="J201" s="40"/>
      <c r="K201" s="40"/>
      <c r="L201" s="40"/>
      <c r="M201" s="40"/>
      <c r="N201" s="40"/>
    </row>
    <row r="202" spans="1:14" ht="13.5" customHeight="1" x14ac:dyDescent="0.2">
      <c r="A202" s="1311"/>
      <c r="B202" s="34"/>
      <c r="C202" s="26"/>
      <c r="D202" s="89"/>
      <c r="H202" s="40"/>
      <c r="I202" s="40"/>
      <c r="J202" s="40"/>
      <c r="K202" s="40"/>
      <c r="L202" s="40"/>
      <c r="M202" s="40"/>
      <c r="N202" s="40"/>
    </row>
    <row r="203" spans="1:14" ht="13.5" customHeight="1" x14ac:dyDescent="0.2">
      <c r="A203" s="1311" t="s">
        <v>238</v>
      </c>
      <c r="B203" s="34" t="s">
        <v>20</v>
      </c>
      <c r="C203" s="1274">
        <v>0.01</v>
      </c>
      <c r="D203" s="71"/>
      <c r="H203" s="40"/>
      <c r="I203" s="40"/>
      <c r="J203" s="40"/>
      <c r="K203" s="40"/>
      <c r="L203" s="40"/>
      <c r="M203" s="40"/>
      <c r="N203" s="40"/>
    </row>
    <row r="204" spans="1:14" ht="13.5" customHeight="1" x14ac:dyDescent="0.2">
      <c r="A204" s="1311" t="s">
        <v>238</v>
      </c>
      <c r="B204" s="34" t="s">
        <v>20</v>
      </c>
      <c r="C204" s="26">
        <v>-0.01</v>
      </c>
      <c r="D204" s="1321"/>
      <c r="H204" s="40"/>
      <c r="I204" s="40"/>
      <c r="J204" s="40"/>
    </row>
    <row r="205" spans="1:14" ht="13.5" customHeight="1" x14ac:dyDescent="0.2">
      <c r="A205" s="1311" t="s">
        <v>238</v>
      </c>
      <c r="B205" s="34" t="s">
        <v>20</v>
      </c>
      <c r="C205" s="26">
        <v>-0.01</v>
      </c>
      <c r="D205" s="89"/>
      <c r="K205" s="40"/>
      <c r="L205" s="40"/>
      <c r="M205" s="40"/>
      <c r="N205" s="40"/>
    </row>
    <row r="206" spans="1:14" ht="13.5" customHeight="1" x14ac:dyDescent="0.2">
      <c r="A206" s="1311" t="s">
        <v>238</v>
      </c>
      <c r="B206" s="34" t="s">
        <v>20</v>
      </c>
      <c r="C206" s="26">
        <v>-0.06</v>
      </c>
      <c r="D206" s="71"/>
      <c r="F206" s="18"/>
      <c r="K206" s="40"/>
      <c r="L206" s="40"/>
      <c r="M206" s="40"/>
      <c r="N206" s="40"/>
    </row>
    <row r="207" spans="1:14" ht="13.5" customHeight="1" x14ac:dyDescent="0.2">
      <c r="A207" s="1311" t="s">
        <v>238</v>
      </c>
      <c r="B207" s="34" t="s">
        <v>20</v>
      </c>
      <c r="C207" s="26">
        <v>-0.06</v>
      </c>
      <c r="D207" s="89"/>
      <c r="F207" s="18"/>
      <c r="K207" s="40"/>
      <c r="L207" s="40"/>
      <c r="M207" s="40"/>
      <c r="N207" s="40"/>
    </row>
    <row r="208" spans="1:14" ht="13.5" customHeight="1" x14ac:dyDescent="0.2">
      <c r="A208" s="1311" t="s">
        <v>238</v>
      </c>
      <c r="B208" s="34" t="s">
        <v>86</v>
      </c>
      <c r="C208" s="1274">
        <v>78</v>
      </c>
      <c r="D208" s="71"/>
      <c r="F208" s="18"/>
      <c r="K208" s="40"/>
      <c r="L208" s="40"/>
      <c r="M208" s="40"/>
      <c r="N208" s="40"/>
    </row>
    <row r="209" spans="1:14" ht="13.5" customHeight="1" x14ac:dyDescent="0.2">
      <c r="A209" s="1311" t="s">
        <v>238</v>
      </c>
      <c r="B209" s="34" t="s">
        <v>86</v>
      </c>
      <c r="C209" s="1274">
        <v>69</v>
      </c>
      <c r="D209" s="71"/>
      <c r="K209" s="40"/>
      <c r="L209" s="40"/>
      <c r="M209" s="40"/>
      <c r="N209" s="40"/>
    </row>
    <row r="210" spans="1:14" ht="13.5" customHeight="1" x14ac:dyDescent="0.2">
      <c r="A210" s="1311" t="s">
        <v>238</v>
      </c>
      <c r="B210" s="34" t="s">
        <v>86</v>
      </c>
      <c r="C210" s="1274">
        <v>11.9</v>
      </c>
      <c r="D210" s="71"/>
      <c r="F210" s="18"/>
      <c r="H210" s="40"/>
      <c r="I210" s="40"/>
      <c r="J210" s="40"/>
      <c r="K210" s="40"/>
      <c r="L210" s="40"/>
      <c r="M210" s="40"/>
      <c r="N210" s="40"/>
    </row>
    <row r="211" spans="1:14" ht="13.5" customHeight="1" x14ac:dyDescent="0.2">
      <c r="A211" s="1311" t="s">
        <v>238</v>
      </c>
      <c r="B211" s="34" t="s">
        <v>86</v>
      </c>
      <c r="C211" s="1274">
        <v>9.5</v>
      </c>
      <c r="D211" s="71"/>
      <c r="H211" s="40"/>
      <c r="I211" s="40"/>
      <c r="J211" s="40"/>
    </row>
    <row r="212" spans="1:14" ht="13.5" customHeight="1" x14ac:dyDescent="0.2">
      <c r="A212" s="1311"/>
      <c r="B212" s="34"/>
      <c r="C212" s="1281">
        <f>SUM(C203:C211)</f>
        <v>168.27</v>
      </c>
      <c r="D212" s="71">
        <f>C212/2</f>
        <v>84.135000000000005</v>
      </c>
      <c r="F212" s="18"/>
      <c r="H212" s="40"/>
      <c r="I212" s="40"/>
      <c r="J212" s="40"/>
    </row>
    <row r="213" spans="1:14" s="40" customFormat="1" ht="13.5" customHeight="1" x14ac:dyDescent="0.2">
      <c r="A213" s="1311"/>
      <c r="B213" s="34"/>
      <c r="C213" s="1274"/>
      <c r="D213" s="71"/>
      <c r="E213" s="1"/>
      <c r="F213" s="18"/>
      <c r="K213" s="1"/>
      <c r="L213" s="1"/>
      <c r="M213" s="1"/>
      <c r="N213" s="1"/>
    </row>
    <row r="214" spans="1:14" ht="13.5" customHeight="1" x14ac:dyDescent="0.2">
      <c r="A214" s="1311" t="s">
        <v>239</v>
      </c>
      <c r="B214" s="36" t="s">
        <v>6937</v>
      </c>
      <c r="C214" s="61">
        <v>100</v>
      </c>
      <c r="D214" s="59"/>
      <c r="F214" s="18"/>
    </row>
    <row r="215" spans="1:14" ht="13.5" customHeight="1" x14ac:dyDescent="0.2">
      <c r="A215" s="1311" t="s">
        <v>239</v>
      </c>
      <c r="B215" s="34" t="s">
        <v>7559</v>
      </c>
      <c r="C215" s="26">
        <v>5</v>
      </c>
      <c r="D215" s="89"/>
      <c r="H215" s="40"/>
      <c r="I215" s="40"/>
      <c r="J215" s="40"/>
    </row>
    <row r="216" spans="1:14" ht="13.5" customHeight="1" x14ac:dyDescent="0.2">
      <c r="A216" s="137" t="s">
        <v>239</v>
      </c>
      <c r="B216" s="34" t="s">
        <v>7560</v>
      </c>
      <c r="C216" s="61">
        <v>200</v>
      </c>
      <c r="D216" s="59"/>
      <c r="F216" s="18"/>
      <c r="H216" s="40"/>
      <c r="I216" s="40"/>
      <c r="J216" s="40"/>
    </row>
    <row r="217" spans="1:14" ht="13.5" customHeight="1" x14ac:dyDescent="0.2">
      <c r="A217" s="1311" t="s">
        <v>239</v>
      </c>
      <c r="B217" s="34" t="s">
        <v>7540</v>
      </c>
      <c r="C217" s="61">
        <v>215</v>
      </c>
      <c r="D217" s="59"/>
      <c r="H217" s="40"/>
      <c r="I217" s="40"/>
      <c r="J217" s="40"/>
      <c r="K217" s="40"/>
      <c r="L217" s="40"/>
      <c r="M217" s="40"/>
      <c r="N217" s="40"/>
    </row>
    <row r="218" spans="1:14" ht="13.5" customHeight="1" x14ac:dyDescent="0.2">
      <c r="A218" s="1311"/>
      <c r="B218" s="34"/>
      <c r="C218" s="186">
        <f>SUM(C214:C217)</f>
        <v>520</v>
      </c>
      <c r="D218" s="59">
        <f>C218/2</f>
        <v>260</v>
      </c>
      <c r="H218" s="40"/>
      <c r="I218" s="40"/>
      <c r="J218" s="40"/>
    </row>
    <row r="219" spans="1:14" ht="13.5" customHeight="1" x14ac:dyDescent="0.2">
      <c r="A219" s="1311"/>
      <c r="B219" s="34"/>
      <c r="C219" s="61"/>
      <c r="D219" s="59"/>
      <c r="H219" s="40"/>
      <c r="I219" s="40"/>
      <c r="J219" s="40"/>
      <c r="K219" s="40"/>
      <c r="L219" s="40"/>
      <c r="M219" s="40"/>
      <c r="N219" s="40"/>
    </row>
    <row r="220" spans="1:14" ht="13.5" customHeight="1" x14ac:dyDescent="0.2">
      <c r="A220" s="1311" t="s">
        <v>421</v>
      </c>
      <c r="B220" s="34" t="s">
        <v>7543</v>
      </c>
      <c r="C220" s="61">
        <v>169.83</v>
      </c>
      <c r="D220" s="59"/>
      <c r="H220" s="40"/>
      <c r="I220" s="40"/>
      <c r="J220" s="40"/>
      <c r="K220" s="40"/>
      <c r="L220" s="40"/>
      <c r="M220" s="40"/>
      <c r="N220" s="40"/>
    </row>
    <row r="221" spans="1:14" ht="13.5" customHeight="1" x14ac:dyDescent="0.2">
      <c r="A221" s="1311" t="s">
        <v>421</v>
      </c>
      <c r="B221" s="34" t="s">
        <v>7408</v>
      </c>
      <c r="C221" s="1274">
        <v>118.69</v>
      </c>
      <c r="D221" s="71"/>
      <c r="H221" s="40"/>
      <c r="I221" s="40"/>
      <c r="J221" s="40"/>
      <c r="K221" s="40"/>
      <c r="L221" s="40"/>
      <c r="M221" s="40"/>
      <c r="N221" s="40"/>
    </row>
    <row r="222" spans="1:14" ht="13.5" customHeight="1" x14ac:dyDescent="0.2">
      <c r="A222" s="1311" t="s">
        <v>421</v>
      </c>
      <c r="B222" s="34" t="s">
        <v>7526</v>
      </c>
      <c r="C222" s="1309">
        <v>10.65</v>
      </c>
      <c r="D222" s="657"/>
      <c r="H222" s="40"/>
      <c r="I222" s="40"/>
      <c r="J222" s="40"/>
      <c r="K222" s="40"/>
      <c r="L222" s="40"/>
      <c r="M222" s="40"/>
      <c r="N222" s="40"/>
    </row>
    <row r="223" spans="1:14" ht="13.5" customHeight="1" x14ac:dyDescent="0.2">
      <c r="A223" s="1311" t="s">
        <v>421</v>
      </c>
      <c r="B223" s="34" t="s">
        <v>7532</v>
      </c>
      <c r="C223" s="1309">
        <v>120</v>
      </c>
      <c r="D223" s="657"/>
      <c r="K223" s="40"/>
      <c r="L223" s="40"/>
      <c r="M223" s="40"/>
      <c r="N223" s="40"/>
    </row>
    <row r="224" spans="1:14" ht="13.5" customHeight="1" x14ac:dyDescent="0.2">
      <c r="A224" s="1311" t="s">
        <v>421</v>
      </c>
      <c r="B224" s="34" t="s">
        <v>7527</v>
      </c>
      <c r="C224" s="1309">
        <v>121.92</v>
      </c>
      <c r="D224" s="657"/>
      <c r="F224" s="18"/>
      <c r="H224" s="40"/>
      <c r="I224" s="40"/>
      <c r="J224" s="40"/>
      <c r="K224" s="40"/>
      <c r="L224" s="40"/>
      <c r="M224" s="40"/>
      <c r="N224" s="40"/>
    </row>
    <row r="225" spans="1:14" ht="13.5" customHeight="1" x14ac:dyDescent="0.2">
      <c r="A225" s="1311" t="s">
        <v>421</v>
      </c>
      <c r="B225" s="34" t="s">
        <v>7539</v>
      </c>
      <c r="C225" s="1309">
        <v>-50</v>
      </c>
      <c r="D225" s="657"/>
      <c r="K225" s="40"/>
      <c r="L225" s="40"/>
      <c r="M225" s="40"/>
      <c r="N225" s="40"/>
    </row>
    <row r="226" spans="1:14" ht="13.5" customHeight="1" x14ac:dyDescent="0.2">
      <c r="A226" s="1311"/>
      <c r="B226" s="34"/>
      <c r="C226" s="1320">
        <f>SUM(C220:C225)</f>
        <v>491.08999999999992</v>
      </c>
      <c r="D226" s="657"/>
      <c r="H226" s="40"/>
      <c r="I226" s="40"/>
      <c r="J226" s="40"/>
      <c r="K226" s="40"/>
      <c r="L226" s="40"/>
      <c r="M226" s="40"/>
      <c r="N226" s="40"/>
    </row>
    <row r="227" spans="1:14" ht="13.5" customHeight="1" x14ac:dyDescent="0.2">
      <c r="A227" s="1311"/>
      <c r="B227" s="34"/>
      <c r="C227" s="1309"/>
      <c r="D227" s="657"/>
    </row>
    <row r="228" spans="1:14" ht="13.5" customHeight="1" x14ac:dyDescent="0.2">
      <c r="A228" s="137" t="s">
        <v>421</v>
      </c>
      <c r="B228" s="34" t="s">
        <v>7425</v>
      </c>
      <c r="C228" s="1274">
        <v>1500</v>
      </c>
      <c r="D228" s="71"/>
      <c r="K228" s="40"/>
      <c r="L228" s="40"/>
      <c r="M228" s="40"/>
      <c r="N228" s="40"/>
    </row>
    <row r="229" spans="1:14" ht="13.5" customHeight="1" x14ac:dyDescent="0.2">
      <c r="A229" s="137" t="s">
        <v>421</v>
      </c>
      <c r="B229" s="36" t="s">
        <v>7520</v>
      </c>
      <c r="C229" s="61">
        <v>1590</v>
      </c>
      <c r="D229" s="59"/>
      <c r="E229" s="18"/>
    </row>
    <row r="230" spans="1:14" ht="13.5" customHeight="1" x14ac:dyDescent="0.2">
      <c r="C230" s="124">
        <f>SUM(C228:C229)</f>
        <v>3090</v>
      </c>
      <c r="K230" s="40"/>
      <c r="L230" s="40"/>
      <c r="M230" s="40"/>
      <c r="N230" s="40"/>
    </row>
    <row r="231" spans="1:14" ht="13.5" customHeight="1" x14ac:dyDescent="0.2">
      <c r="K231" s="40"/>
      <c r="L231" s="40"/>
      <c r="M231" s="40"/>
      <c r="N231" s="40"/>
    </row>
    <row r="232" spans="1:14" ht="13.5" customHeight="1" x14ac:dyDescent="0.2">
      <c r="H232" s="40"/>
      <c r="I232" s="40"/>
      <c r="J232" s="40"/>
      <c r="K232" s="40"/>
      <c r="L232" s="40"/>
      <c r="M232" s="40"/>
      <c r="N232" s="40"/>
    </row>
    <row r="233" spans="1:14" ht="13.5" customHeight="1" x14ac:dyDescent="0.2">
      <c r="E233" s="18"/>
    </row>
    <row r="234" spans="1:14" ht="13.5" customHeight="1" x14ac:dyDescent="0.2">
      <c r="E234" s="18"/>
    </row>
    <row r="235" spans="1:14" ht="13.5" customHeight="1" x14ac:dyDescent="0.2">
      <c r="E235" s="18"/>
    </row>
    <row r="236" spans="1:14" ht="13.5" customHeight="1" x14ac:dyDescent="0.2">
      <c r="K236" s="40"/>
      <c r="L236" s="40"/>
      <c r="M236" s="40"/>
      <c r="N236" s="40"/>
    </row>
    <row r="237" spans="1:14" ht="13.5" customHeight="1" x14ac:dyDescent="0.2">
      <c r="K237" s="40"/>
      <c r="L237" s="40"/>
      <c r="M237" s="40"/>
      <c r="N237" s="40"/>
    </row>
    <row r="238" spans="1:14" ht="13.5" customHeight="1" x14ac:dyDescent="0.2">
      <c r="K238" s="40"/>
      <c r="L238" s="40"/>
      <c r="M238" s="40"/>
      <c r="N238" s="40"/>
    </row>
    <row r="239" spans="1:14" ht="13.5" customHeight="1" x14ac:dyDescent="0.2"/>
    <row r="240" spans="1:14" ht="13.5" customHeight="1" x14ac:dyDescent="0.2">
      <c r="E240" s="18"/>
    </row>
    <row r="241" spans="5:5" ht="13.5" customHeight="1" x14ac:dyDescent="0.2">
      <c r="E241" s="18"/>
    </row>
    <row r="242" spans="5:5" ht="13.5" customHeight="1" x14ac:dyDescent="0.2">
      <c r="E242" s="18"/>
    </row>
    <row r="243" spans="5:5" ht="13.5" customHeight="1" x14ac:dyDescent="0.2">
      <c r="E243" s="18"/>
    </row>
    <row r="247" spans="5:5" ht="13.5" customHeight="1" x14ac:dyDescent="0.2">
      <c r="E247" s="18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O330"/>
  <sheetViews>
    <sheetView topLeftCell="A116" zoomScale="80" zoomScaleNormal="80" workbookViewId="0">
      <selection activeCell="B86" sqref="B86"/>
    </sheetView>
  </sheetViews>
  <sheetFormatPr defaultColWidth="9" defaultRowHeight="12.75" x14ac:dyDescent="0.2"/>
  <cols>
    <col min="1" max="1" width="14" style="1" customWidth="1"/>
    <col min="2" max="2" width="1.875" style="1" customWidth="1"/>
    <col min="3" max="3" width="95.875" style="1" customWidth="1"/>
    <col min="4" max="4" width="12" style="1" customWidth="1"/>
    <col min="5" max="5" width="12.375" style="1" customWidth="1"/>
    <col min="6" max="6" width="10.75" style="1" customWidth="1"/>
    <col min="7" max="7" width="11.875" style="1" customWidth="1"/>
    <col min="8" max="9" width="10.75" style="18" customWidth="1"/>
    <col min="10" max="10" width="10.875" style="66" customWidth="1"/>
    <col min="11" max="11" width="16" style="1" customWidth="1"/>
    <col min="12" max="12" width="10.375" style="1" customWidth="1"/>
    <col min="13" max="14" width="9" style="1"/>
    <col min="15" max="15" width="10.875" style="40" bestFit="1" customWidth="1"/>
    <col min="16" max="16384" width="9" style="1"/>
  </cols>
  <sheetData>
    <row r="1" spans="1:12" ht="13.5" customHeight="1" thickBot="1" x14ac:dyDescent="0.25">
      <c r="A1" s="1418" t="s">
        <v>7561</v>
      </c>
      <c r="B1" s="1418"/>
      <c r="C1" s="1419"/>
      <c r="D1" s="1420" t="s">
        <v>0</v>
      </c>
      <c r="E1" s="1421"/>
      <c r="F1" s="1421"/>
      <c r="G1" s="1422"/>
      <c r="H1" s="1423" t="s">
        <v>1</v>
      </c>
      <c r="I1" s="1423"/>
      <c r="J1" s="1424"/>
    </row>
    <row r="2" spans="1:12" ht="13.5" customHeight="1" thickBot="1" x14ac:dyDescent="0.25">
      <c r="A2" s="2" t="s">
        <v>2</v>
      </c>
      <c r="B2" s="3"/>
      <c r="C2" s="3" t="s">
        <v>3</v>
      </c>
      <c r="D2" s="3" t="s">
        <v>4</v>
      </c>
      <c r="E2" s="3" t="s">
        <v>5</v>
      </c>
      <c r="F2" s="3" t="s">
        <v>6</v>
      </c>
      <c r="G2" s="5" t="s">
        <v>7</v>
      </c>
      <c r="H2" s="6" t="s">
        <v>5</v>
      </c>
      <c r="I2" s="4" t="s">
        <v>6</v>
      </c>
      <c r="J2" s="7" t="s">
        <v>7</v>
      </c>
    </row>
    <row r="3" spans="1:12" ht="13.5" customHeight="1" x14ac:dyDescent="0.2">
      <c r="A3" s="8">
        <v>43221</v>
      </c>
      <c r="B3" s="9"/>
      <c r="C3" s="10" t="s">
        <v>8</v>
      </c>
      <c r="D3" s="11"/>
      <c r="E3" s="12"/>
      <c r="F3" s="13"/>
      <c r="G3" s="14">
        <v>1447.12</v>
      </c>
      <c r="H3" s="15"/>
      <c r="I3" s="16"/>
      <c r="J3" s="17">
        <v>2978.87</v>
      </c>
      <c r="K3" s="18"/>
      <c r="L3" s="12">
        <v>2978.87</v>
      </c>
    </row>
    <row r="4" spans="1:12" ht="13.5" customHeight="1" x14ac:dyDescent="0.2">
      <c r="A4" s="19">
        <v>43222</v>
      </c>
      <c r="B4" s="20"/>
      <c r="C4" s="34" t="s">
        <v>7562</v>
      </c>
      <c r="D4" s="11"/>
      <c r="E4" s="12"/>
      <c r="F4" s="22"/>
      <c r="G4" s="23"/>
      <c r="H4" s="24">
        <v>18.8</v>
      </c>
      <c r="I4" s="25"/>
      <c r="J4" s="26"/>
      <c r="K4" s="18"/>
      <c r="L4" s="12">
        <v>2960.0699999999997</v>
      </c>
    </row>
    <row r="5" spans="1:12" ht="13.5" customHeight="1" x14ac:dyDescent="0.2">
      <c r="A5" s="19"/>
      <c r="B5" s="20"/>
      <c r="C5" s="34" t="s">
        <v>7563</v>
      </c>
      <c r="D5" s="11"/>
      <c r="E5" s="12"/>
      <c r="F5" s="22"/>
      <c r="G5" s="23"/>
      <c r="H5" s="24">
        <v>34</v>
      </c>
      <c r="I5" s="25"/>
      <c r="J5" s="26"/>
      <c r="K5" s="18"/>
      <c r="L5" s="12">
        <v>2926.0699999999997</v>
      </c>
    </row>
    <row r="6" spans="1:12" ht="13.5" customHeight="1" x14ac:dyDescent="0.2">
      <c r="A6" s="19"/>
      <c r="B6" s="20"/>
      <c r="C6" s="34" t="s">
        <v>7564</v>
      </c>
      <c r="D6" s="11"/>
      <c r="E6" s="12"/>
      <c r="F6" s="22"/>
      <c r="G6" s="23"/>
      <c r="H6" s="24">
        <v>14.25</v>
      </c>
      <c r="I6" s="25"/>
      <c r="J6" s="26"/>
      <c r="K6" s="18"/>
      <c r="L6" s="12">
        <v>2911.8199999999997</v>
      </c>
    </row>
    <row r="7" spans="1:12" ht="13.5" customHeight="1" x14ac:dyDescent="0.2">
      <c r="A7" s="19"/>
      <c r="B7" s="20"/>
      <c r="C7" s="34" t="s">
        <v>7565</v>
      </c>
      <c r="D7" s="11"/>
      <c r="E7" s="12"/>
      <c r="F7" s="22"/>
      <c r="G7" s="23"/>
      <c r="H7" s="24"/>
      <c r="I7" s="25">
        <v>1070</v>
      </c>
      <c r="J7" s="26"/>
      <c r="K7" s="18"/>
      <c r="L7" s="12">
        <v>3981.8199999999997</v>
      </c>
    </row>
    <row r="8" spans="1:12" ht="13.5" customHeight="1" x14ac:dyDescent="0.2">
      <c r="A8" s="19"/>
      <c r="B8" s="20"/>
      <c r="C8" s="34" t="s">
        <v>7566</v>
      </c>
      <c r="D8" s="11"/>
      <c r="E8" s="12"/>
      <c r="F8" s="22"/>
      <c r="G8" s="23"/>
      <c r="H8" s="24"/>
      <c r="I8" s="25">
        <v>220</v>
      </c>
      <c r="J8" s="26"/>
      <c r="K8" s="18"/>
      <c r="L8" s="12">
        <v>4201.82</v>
      </c>
    </row>
    <row r="9" spans="1:12" ht="13.5" customHeight="1" x14ac:dyDescent="0.2">
      <c r="A9" s="19"/>
      <c r="B9" s="20"/>
      <c r="C9" s="34" t="s">
        <v>107</v>
      </c>
      <c r="D9" s="11"/>
      <c r="E9" s="12"/>
      <c r="F9" s="22"/>
      <c r="G9" s="23"/>
      <c r="H9" s="24">
        <v>200</v>
      </c>
      <c r="I9" s="25"/>
      <c r="J9" s="26"/>
      <c r="K9" s="18"/>
      <c r="L9" s="12">
        <v>4001.8199999999997</v>
      </c>
    </row>
    <row r="10" spans="1:12" ht="13.5" customHeight="1" x14ac:dyDescent="0.2">
      <c r="A10" s="19"/>
      <c r="B10" s="20"/>
      <c r="C10" s="34" t="s">
        <v>7567</v>
      </c>
      <c r="D10" s="11"/>
      <c r="E10" s="12"/>
      <c r="F10" s="22"/>
      <c r="G10" s="23"/>
      <c r="H10" s="24"/>
      <c r="I10" s="25">
        <v>1075</v>
      </c>
      <c r="J10" s="26">
        <v>5076.82</v>
      </c>
      <c r="K10" s="18"/>
      <c r="L10" s="12">
        <v>5076.82</v>
      </c>
    </row>
    <row r="11" spans="1:12" ht="13.5" customHeight="1" x14ac:dyDescent="0.2">
      <c r="A11" s="19">
        <v>43223</v>
      </c>
      <c r="B11" s="20"/>
      <c r="C11" s="34" t="s">
        <v>36</v>
      </c>
      <c r="D11" s="11"/>
      <c r="E11" s="12"/>
      <c r="F11" s="22"/>
      <c r="G11" s="23"/>
      <c r="H11" s="24">
        <v>350</v>
      </c>
      <c r="I11" s="25"/>
      <c r="J11" s="26"/>
      <c r="K11" s="18"/>
      <c r="L11" s="12"/>
    </row>
    <row r="12" spans="1:12" ht="13.5" customHeight="1" x14ac:dyDescent="0.2">
      <c r="A12" s="19"/>
      <c r="B12" s="20"/>
      <c r="C12" s="34" t="s">
        <v>7568</v>
      </c>
      <c r="D12" s="11"/>
      <c r="E12" s="12"/>
      <c r="F12" s="22"/>
      <c r="G12" s="23"/>
      <c r="H12" s="24">
        <v>20.88</v>
      </c>
      <c r="I12" s="25"/>
      <c r="J12" s="26"/>
      <c r="K12" s="18"/>
      <c r="L12" s="12"/>
    </row>
    <row r="13" spans="1:12" ht="13.5" customHeight="1" x14ac:dyDescent="0.2">
      <c r="A13" s="19"/>
      <c r="B13" s="20"/>
      <c r="C13" s="34" t="s">
        <v>1131</v>
      </c>
      <c r="D13" s="11"/>
      <c r="E13" s="12"/>
      <c r="F13" s="22"/>
      <c r="G13" s="23"/>
      <c r="H13" s="24">
        <v>23.35</v>
      </c>
      <c r="I13" s="25"/>
      <c r="J13" s="26">
        <v>4682.5899999999992</v>
      </c>
      <c r="K13" s="18"/>
      <c r="L13" s="12"/>
    </row>
    <row r="14" spans="1:12" ht="13.5" customHeight="1" x14ac:dyDescent="0.2">
      <c r="A14" s="19">
        <v>43224</v>
      </c>
      <c r="B14" s="20"/>
      <c r="C14" s="34" t="s">
        <v>7569</v>
      </c>
      <c r="D14" s="11"/>
      <c r="E14" s="12"/>
      <c r="F14" s="22"/>
      <c r="G14" s="23"/>
      <c r="H14" s="24"/>
      <c r="I14" s="25">
        <v>5072</v>
      </c>
      <c r="J14" s="26"/>
      <c r="K14" s="18"/>
      <c r="L14" s="12"/>
    </row>
    <row r="15" spans="1:12" ht="13.5" customHeight="1" x14ac:dyDescent="0.2">
      <c r="A15" s="19"/>
      <c r="B15" s="20"/>
      <c r="C15" s="34" t="s">
        <v>7570</v>
      </c>
      <c r="D15" s="11"/>
      <c r="E15" s="12"/>
      <c r="F15" s="22"/>
      <c r="G15" s="23"/>
      <c r="H15" s="24"/>
      <c r="I15" s="25">
        <v>1360</v>
      </c>
      <c r="J15" s="26"/>
      <c r="K15" s="18"/>
      <c r="L15" s="12"/>
    </row>
    <row r="16" spans="1:12" ht="13.5" customHeight="1" x14ac:dyDescent="0.2">
      <c r="A16" s="19"/>
      <c r="B16" s="20"/>
      <c r="C16" s="34" t="s">
        <v>7571</v>
      </c>
      <c r="D16" s="11"/>
      <c r="E16" s="12"/>
      <c r="F16" s="22"/>
      <c r="G16" s="23"/>
      <c r="H16" s="24">
        <v>60</v>
      </c>
      <c r="I16" s="25"/>
      <c r="J16" s="26"/>
      <c r="K16" s="18"/>
      <c r="L16" s="12"/>
    </row>
    <row r="17" spans="1:12" ht="13.5" customHeight="1" x14ac:dyDescent="0.2">
      <c r="A17" s="19"/>
      <c r="B17" s="20"/>
      <c r="C17" s="34" t="s">
        <v>77</v>
      </c>
      <c r="D17" s="11"/>
      <c r="E17" s="12"/>
      <c r="F17" s="22"/>
      <c r="G17" s="23"/>
      <c r="H17" s="44">
        <v>500</v>
      </c>
      <c r="I17" s="25"/>
      <c r="J17" s="26"/>
      <c r="K17" s="18"/>
      <c r="L17" s="12"/>
    </row>
    <row r="18" spans="1:12" ht="13.5" customHeight="1" x14ac:dyDescent="0.2">
      <c r="A18" s="19"/>
      <c r="B18" s="20"/>
      <c r="C18" s="34" t="s">
        <v>7572</v>
      </c>
      <c r="D18" s="11"/>
      <c r="E18" s="12"/>
      <c r="F18" s="22"/>
      <c r="G18" s="23"/>
      <c r="H18" s="24">
        <v>250</v>
      </c>
      <c r="I18" s="25"/>
      <c r="J18" s="26"/>
      <c r="K18" s="18"/>
      <c r="L18" s="12"/>
    </row>
    <row r="19" spans="1:12" ht="13.5" customHeight="1" x14ac:dyDescent="0.2">
      <c r="A19" s="19"/>
      <c r="B19" s="20"/>
      <c r="C19" s="34" t="s">
        <v>7573</v>
      </c>
      <c r="D19" s="11"/>
      <c r="E19" s="12"/>
      <c r="F19" s="22"/>
      <c r="G19" s="23"/>
      <c r="H19" s="24">
        <v>900</v>
      </c>
      <c r="I19" s="25"/>
      <c r="J19" s="26"/>
      <c r="K19" s="18"/>
      <c r="L19" s="12"/>
    </row>
    <row r="20" spans="1:12" ht="13.5" customHeight="1" x14ac:dyDescent="0.2">
      <c r="A20" s="19"/>
      <c r="B20" s="20"/>
      <c r="C20" s="34" t="s">
        <v>7574</v>
      </c>
      <c r="D20" s="11"/>
      <c r="E20" s="12"/>
      <c r="F20" s="22"/>
      <c r="G20" s="23"/>
      <c r="H20" s="24">
        <v>15.7</v>
      </c>
      <c r="I20" s="25"/>
      <c r="J20" s="1322">
        <v>9388.89</v>
      </c>
      <c r="K20" s="18"/>
      <c r="L20" s="12"/>
    </row>
    <row r="21" spans="1:12" ht="13.5" customHeight="1" x14ac:dyDescent="0.2">
      <c r="A21" s="19">
        <v>43227</v>
      </c>
      <c r="B21" s="20"/>
      <c r="C21" s="34" t="s">
        <v>7575</v>
      </c>
      <c r="D21" s="11"/>
      <c r="E21" s="12"/>
      <c r="F21" s="22"/>
      <c r="G21" s="23"/>
      <c r="H21" s="24">
        <v>32.200000000000003</v>
      </c>
      <c r="I21" s="25"/>
      <c r="J21" s="26"/>
      <c r="K21" s="18"/>
      <c r="L21" s="12"/>
    </row>
    <row r="22" spans="1:12" ht="13.5" customHeight="1" x14ac:dyDescent="0.2">
      <c r="A22" s="19"/>
      <c r="B22" s="20"/>
      <c r="C22" s="34" t="s">
        <v>7576</v>
      </c>
      <c r="D22" s="11"/>
      <c r="E22" s="12"/>
      <c r="F22" s="22"/>
      <c r="G22" s="23"/>
      <c r="H22" s="24">
        <v>26.9</v>
      </c>
      <c r="I22" s="25"/>
      <c r="J22" s="26"/>
      <c r="K22" s="18"/>
      <c r="L22" s="12"/>
    </row>
    <row r="23" spans="1:12" ht="13.5" customHeight="1" x14ac:dyDescent="0.2">
      <c r="A23" s="19"/>
      <c r="B23" s="20"/>
      <c r="C23" s="34" t="s">
        <v>7577</v>
      </c>
      <c r="D23" s="11"/>
      <c r="E23" s="12"/>
      <c r="F23" s="22"/>
      <c r="G23" s="23"/>
      <c r="H23" s="24"/>
      <c r="I23" s="25">
        <v>1020</v>
      </c>
      <c r="J23" s="1323">
        <v>10349.789999999999</v>
      </c>
      <c r="K23" s="18"/>
      <c r="L23" s="12"/>
    </row>
    <row r="24" spans="1:12" ht="13.5" customHeight="1" x14ac:dyDescent="0.2">
      <c r="A24" s="19"/>
      <c r="B24" s="20"/>
      <c r="C24" s="34" t="s">
        <v>55</v>
      </c>
      <c r="D24" s="11">
        <v>451000</v>
      </c>
      <c r="E24" s="12">
        <v>-350</v>
      </c>
      <c r="F24" s="22"/>
      <c r="G24" s="23"/>
      <c r="H24" s="24"/>
      <c r="I24" s="25"/>
      <c r="J24" s="26"/>
      <c r="K24" s="18"/>
      <c r="L24" s="12"/>
    </row>
    <row r="25" spans="1:12" ht="13.5" customHeight="1" x14ac:dyDescent="0.2">
      <c r="A25" s="19"/>
      <c r="B25" s="20"/>
      <c r="C25" s="34" t="s">
        <v>53</v>
      </c>
      <c r="D25" s="11">
        <v>221000</v>
      </c>
      <c r="E25" s="12">
        <v>-511.71</v>
      </c>
      <c r="F25" s="22"/>
      <c r="G25" s="23"/>
      <c r="H25" s="24"/>
      <c r="I25" s="25"/>
      <c r="J25" s="26"/>
      <c r="K25" s="18"/>
      <c r="L25" s="12"/>
    </row>
    <row r="26" spans="1:12" ht="13.5" customHeight="1" x14ac:dyDescent="0.2">
      <c r="A26" s="19"/>
      <c r="B26" s="20"/>
      <c r="C26" s="34" t="s">
        <v>20</v>
      </c>
      <c r="D26" s="11">
        <v>0</v>
      </c>
      <c r="E26" s="12"/>
      <c r="F26" s="22">
        <v>0.03</v>
      </c>
      <c r="G26" s="23">
        <v>585.44000000000005</v>
      </c>
      <c r="H26" s="24"/>
      <c r="I26" s="25"/>
      <c r="J26" s="26"/>
      <c r="K26" s="18"/>
      <c r="L26" s="12"/>
    </row>
    <row r="27" spans="1:12" ht="13.5" customHeight="1" x14ac:dyDescent="0.2">
      <c r="A27" s="19">
        <v>43228</v>
      </c>
      <c r="B27" s="20"/>
      <c r="C27" s="34" t="s">
        <v>7578</v>
      </c>
      <c r="D27" s="11"/>
      <c r="E27" s="12"/>
      <c r="F27" s="22"/>
      <c r="G27" s="23"/>
      <c r="H27" s="24"/>
      <c r="I27" s="25">
        <v>1226.46</v>
      </c>
      <c r="J27" s="26"/>
      <c r="K27" s="18"/>
      <c r="L27" s="12"/>
    </row>
    <row r="28" spans="1:12" ht="13.5" customHeight="1" x14ac:dyDescent="0.2">
      <c r="A28" s="19"/>
      <c r="B28" s="20"/>
      <c r="C28" s="34" t="s">
        <v>7579</v>
      </c>
      <c r="D28" s="11"/>
      <c r="E28" s="12"/>
      <c r="F28" s="22"/>
      <c r="G28" s="23"/>
      <c r="H28" s="24"/>
      <c r="I28" s="25">
        <v>150</v>
      </c>
      <c r="J28" s="26"/>
      <c r="K28" s="18"/>
      <c r="L28" s="12"/>
    </row>
    <row r="29" spans="1:12" ht="13.5" customHeight="1" x14ac:dyDescent="0.2">
      <c r="A29" s="19"/>
      <c r="B29" s="20"/>
      <c r="C29" s="34" t="s">
        <v>7580</v>
      </c>
      <c r="D29" s="11"/>
      <c r="E29" s="12"/>
      <c r="F29" s="22"/>
      <c r="G29" s="23"/>
      <c r="H29" s="24"/>
      <c r="I29" s="25">
        <v>190</v>
      </c>
      <c r="J29" s="26"/>
      <c r="K29" s="18"/>
      <c r="L29" s="12"/>
    </row>
    <row r="30" spans="1:12" ht="13.5" customHeight="1" x14ac:dyDescent="0.2">
      <c r="A30" s="19"/>
      <c r="B30" s="20"/>
      <c r="C30" s="34" t="s">
        <v>458</v>
      </c>
      <c r="D30" s="11"/>
      <c r="E30" s="12"/>
      <c r="F30" s="22"/>
      <c r="G30" s="23"/>
      <c r="H30" s="174">
        <v>190</v>
      </c>
      <c r="I30" s="25"/>
      <c r="J30" s="26"/>
      <c r="K30" s="18"/>
      <c r="L30" s="12"/>
    </row>
    <row r="31" spans="1:12" ht="13.5" customHeight="1" x14ac:dyDescent="0.2">
      <c r="A31" s="19"/>
      <c r="B31" s="20"/>
      <c r="C31" s="34" t="s">
        <v>77</v>
      </c>
      <c r="D31" s="11"/>
      <c r="E31" s="12"/>
      <c r="F31" s="22"/>
      <c r="G31" s="23"/>
      <c r="H31" s="44">
        <v>8000</v>
      </c>
      <c r="I31" s="25"/>
      <c r="J31" s="1323">
        <v>3726.25</v>
      </c>
      <c r="K31" s="18"/>
      <c r="L31" s="12"/>
    </row>
    <row r="32" spans="1:12" ht="13.5" customHeight="1" x14ac:dyDescent="0.2">
      <c r="A32" s="19"/>
      <c r="B32" s="20" t="s">
        <v>591</v>
      </c>
      <c r="C32" s="34" t="s">
        <v>458</v>
      </c>
      <c r="D32" s="11">
        <v>64974</v>
      </c>
      <c r="E32" s="12"/>
      <c r="F32" s="162">
        <v>190</v>
      </c>
      <c r="G32" s="23"/>
      <c r="H32" s="24"/>
      <c r="I32" s="25"/>
      <c r="J32" s="26"/>
      <c r="K32" s="18"/>
      <c r="L32" s="12"/>
    </row>
    <row r="33" spans="1:12" ht="13.5" customHeight="1" x14ac:dyDescent="0.2">
      <c r="A33" s="19"/>
      <c r="B33" s="20"/>
      <c r="C33" s="34" t="s">
        <v>7581</v>
      </c>
      <c r="D33" s="11">
        <v>0</v>
      </c>
      <c r="E33" s="12">
        <v>-265.60000000000002</v>
      </c>
      <c r="F33" s="22"/>
      <c r="G33" s="23">
        <v>509.84</v>
      </c>
      <c r="H33" s="24"/>
      <c r="I33" s="25"/>
      <c r="J33" s="26"/>
      <c r="K33" s="18"/>
      <c r="L33" s="12"/>
    </row>
    <row r="34" spans="1:12" ht="13.5" customHeight="1" x14ac:dyDescent="0.2">
      <c r="A34" s="19">
        <v>43229</v>
      </c>
      <c r="B34" s="20"/>
      <c r="C34" s="34" t="s">
        <v>7582</v>
      </c>
      <c r="D34" s="11"/>
      <c r="E34" s="12"/>
      <c r="F34" s="22"/>
      <c r="G34" s="23"/>
      <c r="H34" s="24"/>
      <c r="I34" s="25">
        <v>190</v>
      </c>
      <c r="J34" s="26"/>
      <c r="K34" s="18"/>
      <c r="L34" s="12"/>
    </row>
    <row r="35" spans="1:12" ht="13.5" customHeight="1" x14ac:dyDescent="0.2">
      <c r="A35" s="19"/>
      <c r="B35" s="20"/>
      <c r="C35" s="34" t="s">
        <v>7583</v>
      </c>
      <c r="D35" s="11"/>
      <c r="E35" s="12"/>
      <c r="F35" s="22"/>
      <c r="G35" s="23"/>
      <c r="H35" s="24"/>
      <c r="I35" s="25">
        <v>2148.66</v>
      </c>
      <c r="J35" s="1323">
        <v>6064.91</v>
      </c>
      <c r="K35" s="18"/>
      <c r="L35" s="12"/>
    </row>
    <row r="36" spans="1:12" ht="13.5" customHeight="1" x14ac:dyDescent="0.2">
      <c r="A36" s="46"/>
      <c r="B36" s="46"/>
      <c r="C36" s="34" t="s">
        <v>558</v>
      </c>
      <c r="D36" s="42">
        <v>0</v>
      </c>
      <c r="E36" s="43">
        <v>-46.49</v>
      </c>
      <c r="F36" s="43"/>
      <c r="G36" s="23"/>
      <c r="H36" s="24"/>
      <c r="I36" s="25"/>
      <c r="J36" s="26"/>
      <c r="K36" s="18"/>
      <c r="L36" s="12"/>
    </row>
    <row r="37" spans="1:12" ht="13.5" customHeight="1" x14ac:dyDescent="0.2">
      <c r="A37" s="46"/>
      <c r="B37" s="46"/>
      <c r="C37" s="34" t="s">
        <v>62</v>
      </c>
      <c r="D37" s="42">
        <v>0</v>
      </c>
      <c r="E37" s="43">
        <v>-413.03</v>
      </c>
      <c r="F37" s="43"/>
      <c r="G37" s="23"/>
      <c r="H37" s="24"/>
      <c r="I37" s="25"/>
      <c r="J37" s="26"/>
      <c r="K37" s="18"/>
      <c r="L37" s="12"/>
    </row>
    <row r="38" spans="1:12" ht="13.5" customHeight="1" x14ac:dyDescent="0.2">
      <c r="A38" s="19"/>
      <c r="B38" s="20"/>
      <c r="C38" s="34" t="s">
        <v>20</v>
      </c>
      <c r="D38" s="11">
        <v>0</v>
      </c>
      <c r="E38" s="12"/>
      <c r="F38" s="22">
        <v>0.03</v>
      </c>
      <c r="G38" s="23">
        <v>50.35</v>
      </c>
      <c r="H38" s="24"/>
      <c r="I38" s="25"/>
      <c r="J38" s="26"/>
      <c r="K38" s="18"/>
      <c r="L38" s="12"/>
    </row>
    <row r="39" spans="1:12" ht="13.5" customHeight="1" x14ac:dyDescent="0.2">
      <c r="A39" s="19">
        <v>43230</v>
      </c>
      <c r="B39" s="20"/>
      <c r="C39" s="34" t="s">
        <v>846</v>
      </c>
      <c r="D39" s="11"/>
      <c r="E39" s="12"/>
      <c r="F39" s="22"/>
      <c r="G39" s="23"/>
      <c r="H39" s="24">
        <v>48.63</v>
      </c>
      <c r="I39" s="25"/>
      <c r="J39" s="26"/>
      <c r="K39" s="18"/>
      <c r="L39" s="12"/>
    </row>
    <row r="40" spans="1:12" ht="13.5" customHeight="1" x14ac:dyDescent="0.2">
      <c r="A40" s="19"/>
      <c r="B40" s="20"/>
      <c r="C40" s="34" t="s">
        <v>7584</v>
      </c>
      <c r="D40" s="11"/>
      <c r="E40" s="12"/>
      <c r="F40" s="22"/>
      <c r="G40" s="23"/>
      <c r="H40" s="24"/>
      <c r="I40" s="25">
        <v>80</v>
      </c>
      <c r="J40" s="1323">
        <v>6096.28</v>
      </c>
      <c r="K40" s="18"/>
      <c r="L40" s="12"/>
    </row>
    <row r="41" spans="1:12" ht="13.5" customHeight="1" x14ac:dyDescent="0.2">
      <c r="A41" s="19"/>
      <c r="B41" s="20"/>
      <c r="C41" s="34" t="s">
        <v>82</v>
      </c>
      <c r="D41" s="11">
        <v>0</v>
      </c>
      <c r="E41" s="12">
        <v>-318.25</v>
      </c>
      <c r="F41" s="22"/>
      <c r="G41" s="23">
        <v>-267.89999999999998</v>
      </c>
      <c r="H41" s="24"/>
      <c r="I41" s="25"/>
      <c r="J41" s="26"/>
      <c r="K41" s="18"/>
      <c r="L41" s="12"/>
    </row>
    <row r="42" spans="1:12" ht="13.5" customHeight="1" x14ac:dyDescent="0.2">
      <c r="A42" s="19">
        <v>43231</v>
      </c>
      <c r="B42" s="20"/>
      <c r="C42" s="21" t="s">
        <v>7585</v>
      </c>
      <c r="D42" s="11"/>
      <c r="E42" s="12"/>
      <c r="F42" s="22"/>
      <c r="G42" s="23"/>
      <c r="H42" s="24"/>
      <c r="I42" s="25">
        <v>185</v>
      </c>
      <c r="J42" s="26"/>
      <c r="K42" s="18"/>
      <c r="L42" s="12"/>
    </row>
    <row r="43" spans="1:12" ht="13.5" customHeight="1" x14ac:dyDescent="0.2">
      <c r="A43" s="19"/>
      <c r="B43" s="20"/>
      <c r="C43" s="21" t="s">
        <v>7586</v>
      </c>
      <c r="D43" s="11"/>
      <c r="E43" s="12"/>
      <c r="F43" s="22"/>
      <c r="G43" s="23"/>
      <c r="H43" s="174">
        <v>185</v>
      </c>
      <c r="I43" s="25"/>
      <c r="J43" s="26"/>
      <c r="K43" s="18"/>
      <c r="L43" s="12"/>
    </row>
    <row r="44" spans="1:12" ht="13.5" customHeight="1" x14ac:dyDescent="0.2">
      <c r="A44" s="19"/>
      <c r="B44" s="20"/>
      <c r="C44" s="34" t="s">
        <v>7587</v>
      </c>
      <c r="D44" s="11"/>
      <c r="E44" s="12"/>
      <c r="F44" s="22"/>
      <c r="G44" s="23"/>
      <c r="H44" s="24">
        <v>87.72</v>
      </c>
      <c r="I44" s="25"/>
      <c r="J44" s="26"/>
      <c r="K44" s="18"/>
      <c r="L44" s="12"/>
    </row>
    <row r="45" spans="1:12" ht="13.5" customHeight="1" x14ac:dyDescent="0.2">
      <c r="A45" s="19"/>
      <c r="B45" s="20"/>
      <c r="C45" s="21" t="s">
        <v>7588</v>
      </c>
      <c r="D45" s="11"/>
      <c r="E45" s="12"/>
      <c r="F45" s="22"/>
      <c r="G45" s="23"/>
      <c r="H45" s="24">
        <v>75</v>
      </c>
      <c r="I45" s="25"/>
      <c r="J45" s="26"/>
      <c r="K45" s="18"/>
      <c r="L45" s="12"/>
    </row>
    <row r="46" spans="1:12" ht="13.5" customHeight="1" x14ac:dyDescent="0.2">
      <c r="A46" s="19"/>
      <c r="B46" s="20"/>
      <c r="C46" s="21" t="s">
        <v>7589</v>
      </c>
      <c r="D46" s="11"/>
      <c r="E46" s="12"/>
      <c r="F46" s="22"/>
      <c r="G46" s="23"/>
      <c r="H46" s="24">
        <v>75</v>
      </c>
      <c r="I46" s="25"/>
      <c r="J46" s="26"/>
      <c r="K46" s="18"/>
      <c r="L46" s="12"/>
    </row>
    <row r="47" spans="1:12" ht="13.5" customHeight="1" x14ac:dyDescent="0.2">
      <c r="A47" s="19"/>
      <c r="B47" s="20"/>
      <c r="C47" s="21" t="s">
        <v>7590</v>
      </c>
      <c r="D47" s="11"/>
      <c r="E47" s="12"/>
      <c r="F47" s="22"/>
      <c r="G47" s="23"/>
      <c r="H47" s="24">
        <v>75</v>
      </c>
      <c r="I47" s="25"/>
      <c r="J47" s="26"/>
      <c r="K47" s="18"/>
      <c r="L47" s="12"/>
    </row>
    <row r="48" spans="1:12" ht="13.5" customHeight="1" x14ac:dyDescent="0.2">
      <c r="A48" s="19"/>
      <c r="B48" s="20"/>
      <c r="C48" s="34" t="s">
        <v>7591</v>
      </c>
      <c r="D48" s="11"/>
      <c r="E48" s="12"/>
      <c r="F48" s="22"/>
      <c r="G48" s="23"/>
      <c r="H48" s="24">
        <v>75</v>
      </c>
      <c r="I48" s="25"/>
      <c r="J48" s="26"/>
      <c r="K48" s="18"/>
      <c r="L48" s="12"/>
    </row>
    <row r="49" spans="1:12" ht="13.5" customHeight="1" x14ac:dyDescent="0.2">
      <c r="A49" s="19"/>
      <c r="B49" s="20"/>
      <c r="C49" s="34" t="s">
        <v>7592</v>
      </c>
      <c r="D49" s="11"/>
      <c r="E49" s="12"/>
      <c r="F49" s="22"/>
      <c r="G49" s="23"/>
      <c r="H49" s="24">
        <v>70</v>
      </c>
      <c r="I49" s="25"/>
      <c r="J49" s="26"/>
      <c r="K49" s="18"/>
      <c r="L49" s="12"/>
    </row>
    <row r="50" spans="1:12" ht="13.5" customHeight="1" x14ac:dyDescent="0.2">
      <c r="A50" s="19"/>
      <c r="B50" s="20"/>
      <c r="C50" s="34" t="s">
        <v>7593</v>
      </c>
      <c r="D50" s="11"/>
      <c r="E50" s="12"/>
      <c r="F50" s="22"/>
      <c r="G50" s="23"/>
      <c r="H50" s="24"/>
      <c r="I50" s="25">
        <v>1020</v>
      </c>
      <c r="J50" s="26"/>
      <c r="K50" s="18"/>
      <c r="L50" s="12"/>
    </row>
    <row r="51" spans="1:12" ht="13.5" customHeight="1" x14ac:dyDescent="0.2">
      <c r="A51" s="19"/>
      <c r="B51" s="20"/>
      <c r="C51" s="21" t="s">
        <v>7594</v>
      </c>
      <c r="D51" s="11"/>
      <c r="E51" s="12"/>
      <c r="F51" s="22"/>
      <c r="G51" s="23"/>
      <c r="H51" s="24">
        <v>350</v>
      </c>
      <c r="I51" s="25"/>
      <c r="J51" s="26"/>
      <c r="K51" s="18"/>
      <c r="L51" s="12"/>
    </row>
    <row r="52" spans="1:12" ht="13.5" customHeight="1" x14ac:dyDescent="0.2">
      <c r="A52" s="19"/>
      <c r="B52" s="20"/>
      <c r="C52" s="34" t="s">
        <v>7595</v>
      </c>
      <c r="D52" s="11"/>
      <c r="E52" s="12"/>
      <c r="F52" s="22"/>
      <c r="G52" s="23"/>
      <c r="H52" s="24"/>
      <c r="I52" s="25">
        <v>2103.2800000000002</v>
      </c>
      <c r="J52" s="26"/>
      <c r="K52" s="18"/>
      <c r="L52" s="12"/>
    </row>
    <row r="53" spans="1:12" ht="13.5" customHeight="1" x14ac:dyDescent="0.2">
      <c r="A53" s="19"/>
      <c r="B53" s="20"/>
      <c r="C53" s="34" t="s">
        <v>7596</v>
      </c>
      <c r="D53" s="11"/>
      <c r="E53" s="12"/>
      <c r="F53" s="22"/>
      <c r="G53" s="23"/>
      <c r="H53" s="24"/>
      <c r="I53" s="25">
        <v>1337.49</v>
      </c>
      <c r="J53" s="1323">
        <v>9749.33</v>
      </c>
      <c r="K53" s="18"/>
      <c r="L53" s="12"/>
    </row>
    <row r="54" spans="1:12" ht="13.5" customHeight="1" x14ac:dyDescent="0.2">
      <c r="A54" s="19"/>
      <c r="B54" s="20"/>
      <c r="C54" s="34" t="s">
        <v>7597</v>
      </c>
      <c r="D54" s="11">
        <v>791000</v>
      </c>
      <c r="E54" s="12">
        <v>-118.69</v>
      </c>
      <c r="F54" s="22"/>
      <c r="G54" s="23"/>
      <c r="H54" s="24"/>
      <c r="I54" s="25"/>
      <c r="J54" s="26"/>
      <c r="K54" s="18"/>
      <c r="L54" s="12"/>
    </row>
    <row r="55" spans="1:12" ht="13.5" customHeight="1" x14ac:dyDescent="0.2">
      <c r="A55" s="19"/>
      <c r="B55" s="20"/>
      <c r="C55" s="34" t="s">
        <v>7598</v>
      </c>
      <c r="D55" s="11">
        <v>0</v>
      </c>
      <c r="E55" s="12">
        <v>-161.47999999999999</v>
      </c>
      <c r="F55" s="22"/>
      <c r="G55" s="23"/>
      <c r="H55" s="24"/>
      <c r="I55" s="25"/>
      <c r="J55" s="26"/>
      <c r="K55" s="18"/>
      <c r="L55" s="12"/>
    </row>
    <row r="56" spans="1:12" ht="13.5" customHeight="1" x14ac:dyDescent="0.2">
      <c r="A56" s="19"/>
      <c r="B56" s="20"/>
      <c r="C56" s="34" t="s">
        <v>80</v>
      </c>
      <c r="D56" s="11">
        <v>0</v>
      </c>
      <c r="E56" s="12">
        <v>-35.1</v>
      </c>
      <c r="F56" s="22"/>
      <c r="G56" s="23"/>
      <c r="H56" s="24"/>
      <c r="I56" s="25"/>
      <c r="J56" s="26"/>
      <c r="K56" s="18"/>
      <c r="L56" s="12"/>
    </row>
    <row r="57" spans="1:12" ht="13.5" customHeight="1" x14ac:dyDescent="0.2">
      <c r="A57" s="19"/>
      <c r="B57" s="20" t="s">
        <v>591</v>
      </c>
      <c r="C57" s="21" t="s">
        <v>7586</v>
      </c>
      <c r="D57" s="11">
        <v>64985</v>
      </c>
      <c r="E57" s="12"/>
      <c r="F57" s="162">
        <v>185</v>
      </c>
      <c r="G57" s="23">
        <v>-398.17</v>
      </c>
      <c r="H57" s="24"/>
      <c r="I57" s="25"/>
      <c r="J57" s="26"/>
      <c r="K57" s="18"/>
      <c r="L57" s="12"/>
    </row>
    <row r="58" spans="1:12" ht="13.5" customHeight="1" x14ac:dyDescent="0.2">
      <c r="A58" s="19" t="s">
        <v>7599</v>
      </c>
      <c r="B58" s="20"/>
      <c r="C58" s="34" t="s">
        <v>7600</v>
      </c>
      <c r="D58" s="11"/>
      <c r="E58" s="12"/>
      <c r="F58" s="22"/>
      <c r="G58" s="23"/>
      <c r="H58" s="24"/>
      <c r="I58" s="25">
        <v>60</v>
      </c>
      <c r="J58" s="26"/>
      <c r="K58" s="18"/>
      <c r="L58" s="12"/>
    </row>
    <row r="59" spans="1:12" ht="13.5" customHeight="1" x14ac:dyDescent="0.2">
      <c r="A59" s="19"/>
      <c r="B59" s="20"/>
      <c r="C59" s="34" t="s">
        <v>7601</v>
      </c>
      <c r="D59" s="11"/>
      <c r="E59" s="12"/>
      <c r="F59" s="22"/>
      <c r="G59" s="23"/>
      <c r="H59" s="24"/>
      <c r="I59" s="25">
        <v>1159.94</v>
      </c>
      <c r="J59" s="26"/>
      <c r="K59" s="18"/>
      <c r="L59" s="12"/>
    </row>
    <row r="60" spans="1:12" ht="13.5" customHeight="1" x14ac:dyDescent="0.2">
      <c r="A60" s="19"/>
      <c r="B60" s="20"/>
      <c r="C60" s="34" t="s">
        <v>7602</v>
      </c>
      <c r="D60" s="11"/>
      <c r="E60" s="12"/>
      <c r="F60" s="22"/>
      <c r="G60" s="23"/>
      <c r="H60" s="24"/>
      <c r="I60" s="25">
        <v>3587.45</v>
      </c>
      <c r="J60" s="26"/>
      <c r="K60" s="18"/>
      <c r="L60" s="12"/>
    </row>
    <row r="61" spans="1:12" ht="13.5" customHeight="1" x14ac:dyDescent="0.2">
      <c r="A61" s="19"/>
      <c r="B61" s="20"/>
      <c r="C61" s="34" t="s">
        <v>7603</v>
      </c>
      <c r="D61" s="11"/>
      <c r="E61" s="12"/>
      <c r="F61" s="22"/>
      <c r="G61" s="23"/>
      <c r="H61" s="24"/>
      <c r="I61" s="25">
        <v>190</v>
      </c>
      <c r="J61" s="26"/>
      <c r="K61" s="18"/>
      <c r="L61" s="12"/>
    </row>
    <row r="62" spans="1:12" ht="13.5" customHeight="1" x14ac:dyDescent="0.2">
      <c r="A62" s="19"/>
      <c r="B62" s="20"/>
      <c r="C62" s="34" t="s">
        <v>7604</v>
      </c>
      <c r="D62" s="11"/>
      <c r="E62" s="12"/>
      <c r="F62" s="22"/>
      <c r="G62" s="23"/>
      <c r="H62" s="24"/>
      <c r="I62" s="25">
        <v>60</v>
      </c>
      <c r="J62" s="26"/>
      <c r="K62" s="18"/>
      <c r="L62" s="12"/>
    </row>
    <row r="63" spans="1:12" ht="13.5" customHeight="1" x14ac:dyDescent="0.2">
      <c r="A63" s="19"/>
      <c r="B63" s="20"/>
      <c r="C63" s="34" t="s">
        <v>891</v>
      </c>
      <c r="D63" s="11"/>
      <c r="E63" s="12"/>
      <c r="F63" s="22"/>
      <c r="G63" s="23"/>
      <c r="H63" s="24">
        <v>50</v>
      </c>
      <c r="I63" s="25"/>
      <c r="J63" s="26"/>
      <c r="K63" s="18"/>
      <c r="L63" s="12"/>
    </row>
    <row r="64" spans="1:12" ht="13.5" customHeight="1" x14ac:dyDescent="0.2">
      <c r="A64" s="19"/>
      <c r="B64" s="20"/>
      <c r="C64" s="34" t="s">
        <v>7605</v>
      </c>
      <c r="D64" s="11"/>
      <c r="E64" s="12"/>
      <c r="F64" s="22"/>
      <c r="G64" s="23"/>
      <c r="H64" s="24">
        <v>60</v>
      </c>
      <c r="I64" s="25"/>
      <c r="J64" s="26"/>
      <c r="K64" s="18"/>
      <c r="L64" s="12"/>
    </row>
    <row r="65" spans="1:12" ht="13.5" customHeight="1" x14ac:dyDescent="0.2">
      <c r="A65" s="19"/>
      <c r="B65" s="20"/>
      <c r="C65" s="34" t="s">
        <v>7606</v>
      </c>
      <c r="D65" s="11"/>
      <c r="E65" s="12"/>
      <c r="F65" s="22"/>
      <c r="G65" s="23"/>
      <c r="H65" s="24"/>
      <c r="I65" s="25">
        <v>60</v>
      </c>
      <c r="J65" s="26"/>
      <c r="K65" s="18"/>
      <c r="L65" s="12"/>
    </row>
    <row r="66" spans="1:12" ht="13.5" customHeight="1" x14ac:dyDescent="0.2">
      <c r="A66" s="19"/>
      <c r="B66" s="20"/>
      <c r="C66" s="34" t="s">
        <v>7032</v>
      </c>
      <c r="D66" s="11"/>
      <c r="E66" s="12"/>
      <c r="F66" s="22"/>
      <c r="G66" s="23"/>
      <c r="H66" s="174">
        <v>800</v>
      </c>
      <c r="I66" s="25"/>
      <c r="J66" s="26"/>
      <c r="K66" s="18"/>
      <c r="L66" s="12"/>
    </row>
    <row r="67" spans="1:12" ht="13.5" customHeight="1" x14ac:dyDescent="0.2">
      <c r="A67" s="19"/>
      <c r="B67" s="20"/>
      <c r="C67" s="34" t="s">
        <v>77</v>
      </c>
      <c r="D67" s="11"/>
      <c r="E67" s="12"/>
      <c r="F67" s="22"/>
      <c r="G67" s="23"/>
      <c r="H67" s="44">
        <v>10000</v>
      </c>
      <c r="I67" s="25"/>
      <c r="J67" s="1323">
        <v>3956.7200000000012</v>
      </c>
      <c r="K67" s="18"/>
      <c r="L67" s="12"/>
    </row>
    <row r="68" spans="1:12" ht="13.5" customHeight="1" x14ac:dyDescent="0.2">
      <c r="A68" s="19"/>
      <c r="B68" s="20"/>
      <c r="C68" s="34" t="s">
        <v>129</v>
      </c>
      <c r="D68" s="11">
        <v>0</v>
      </c>
      <c r="E68" s="12">
        <v>-52.92</v>
      </c>
      <c r="F68" s="22"/>
      <c r="G68" s="23"/>
      <c r="H68" s="24"/>
      <c r="I68" s="25"/>
      <c r="J68" s="26"/>
      <c r="K68" s="18"/>
      <c r="L68" s="12"/>
    </row>
    <row r="69" spans="1:12" ht="13.5" customHeight="1" x14ac:dyDescent="0.2">
      <c r="A69" s="19"/>
      <c r="B69" s="20"/>
      <c r="C69" s="36" t="s">
        <v>7607</v>
      </c>
      <c r="D69" s="11">
        <v>0</v>
      </c>
      <c r="E69" s="12">
        <v>-46.07</v>
      </c>
      <c r="F69" s="22"/>
      <c r="G69" s="23"/>
      <c r="H69" s="24"/>
      <c r="I69" s="25"/>
      <c r="J69" s="26"/>
      <c r="K69" s="18"/>
      <c r="L69" s="12"/>
    </row>
    <row r="70" spans="1:12" ht="13.5" customHeight="1" x14ac:dyDescent="0.2">
      <c r="A70" s="19"/>
      <c r="B70" s="20"/>
      <c r="C70" s="36" t="s">
        <v>7608</v>
      </c>
      <c r="D70" s="11">
        <v>0</v>
      </c>
      <c r="E70" s="12">
        <v>-51.42</v>
      </c>
      <c r="F70" s="22"/>
      <c r="G70" s="23"/>
      <c r="H70" s="24"/>
      <c r="I70" s="25"/>
      <c r="J70" s="26"/>
      <c r="K70" s="18"/>
      <c r="L70" s="12"/>
    </row>
    <row r="71" spans="1:12" ht="13.5" customHeight="1" x14ac:dyDescent="0.2">
      <c r="A71" s="19"/>
      <c r="B71" s="20" t="s">
        <v>591</v>
      </c>
      <c r="C71" s="34" t="s">
        <v>7032</v>
      </c>
      <c r="D71" s="11">
        <v>673340</v>
      </c>
      <c r="E71" s="12"/>
      <c r="F71" s="162">
        <v>800</v>
      </c>
      <c r="G71" s="23"/>
      <c r="H71" s="24"/>
      <c r="I71" s="25"/>
      <c r="J71" s="26"/>
      <c r="K71" s="18"/>
      <c r="L71" s="12"/>
    </row>
    <row r="72" spans="1:12" ht="13.5" customHeight="1" x14ac:dyDescent="0.2">
      <c r="A72" s="19"/>
      <c r="B72" s="20"/>
      <c r="C72" s="34" t="s">
        <v>7439</v>
      </c>
      <c r="D72" s="11">
        <v>345868</v>
      </c>
      <c r="E72" s="12"/>
      <c r="F72" s="409">
        <v>1000</v>
      </c>
      <c r="G72" s="23">
        <v>1251.42</v>
      </c>
      <c r="H72" s="24"/>
      <c r="I72" s="25"/>
      <c r="J72" s="26"/>
      <c r="K72" s="18"/>
      <c r="L72" s="12"/>
    </row>
    <row r="73" spans="1:12" ht="13.5" customHeight="1" x14ac:dyDescent="0.2">
      <c r="A73" s="19">
        <v>43235</v>
      </c>
      <c r="B73" s="27"/>
      <c r="C73" s="32" t="s">
        <v>7609</v>
      </c>
      <c r="D73" s="27"/>
      <c r="E73" s="27"/>
      <c r="F73" s="27"/>
      <c r="G73" s="23"/>
      <c r="H73" s="38">
        <v>7</v>
      </c>
      <c r="I73" s="38"/>
      <c r="J73" s="1323"/>
      <c r="K73" s="18"/>
      <c r="L73" s="12"/>
    </row>
    <row r="74" spans="1:12" ht="13.5" customHeight="1" x14ac:dyDescent="0.2">
      <c r="A74" s="27"/>
      <c r="B74" s="27"/>
      <c r="C74" s="32" t="s">
        <v>7610</v>
      </c>
      <c r="D74" s="27"/>
      <c r="E74" s="27"/>
      <c r="F74" s="27"/>
      <c r="G74" s="23"/>
      <c r="H74" s="38">
        <v>10.5</v>
      </c>
      <c r="I74" s="38"/>
      <c r="J74" s="1323"/>
      <c r="K74" s="18"/>
      <c r="L74" s="12"/>
    </row>
    <row r="75" spans="1:12" ht="13.5" customHeight="1" x14ac:dyDescent="0.2">
      <c r="A75" s="27"/>
      <c r="B75" s="27"/>
      <c r="C75" s="33" t="s">
        <v>7611</v>
      </c>
      <c r="D75" s="27"/>
      <c r="E75" s="27"/>
      <c r="F75" s="27"/>
      <c r="G75" s="23"/>
      <c r="H75" s="38"/>
      <c r="I75" s="38">
        <v>60</v>
      </c>
      <c r="J75" s="1323"/>
      <c r="K75" s="18"/>
      <c r="L75" s="12"/>
    </row>
    <row r="76" spans="1:12" ht="13.5" customHeight="1" x14ac:dyDescent="0.2">
      <c r="A76" s="27"/>
      <c r="B76" s="27"/>
      <c r="C76" s="32" t="s">
        <v>7612</v>
      </c>
      <c r="D76" s="27"/>
      <c r="E76" s="27"/>
      <c r="F76" s="27"/>
      <c r="G76" s="23"/>
      <c r="H76" s="38"/>
      <c r="I76" s="38">
        <v>203.5</v>
      </c>
      <c r="J76" s="1323"/>
      <c r="K76" s="18"/>
      <c r="L76" s="12"/>
    </row>
    <row r="77" spans="1:12" ht="13.5" customHeight="1" x14ac:dyDescent="0.2">
      <c r="A77" s="27"/>
      <c r="B77" s="27"/>
      <c r="C77" s="32" t="s">
        <v>7613</v>
      </c>
      <c r="D77" s="27"/>
      <c r="E77" s="27"/>
      <c r="F77" s="27"/>
      <c r="G77" s="23"/>
      <c r="H77" s="38"/>
      <c r="I77" s="38">
        <v>185</v>
      </c>
      <c r="J77" s="1323">
        <v>4387.7200000000012</v>
      </c>
      <c r="K77" s="18"/>
      <c r="L77" s="12"/>
    </row>
    <row r="78" spans="1:12" ht="13.5" customHeight="1" x14ac:dyDescent="0.2">
      <c r="A78" s="19"/>
      <c r="B78" s="20"/>
      <c r="C78" s="34" t="s">
        <v>86</v>
      </c>
      <c r="D78" s="11">
        <v>0</v>
      </c>
      <c r="E78" s="12">
        <v>-69</v>
      </c>
      <c r="F78" s="22"/>
      <c r="G78" s="23"/>
      <c r="H78" s="24"/>
      <c r="I78" s="25"/>
      <c r="J78" s="26"/>
      <c r="K78" s="18"/>
      <c r="L78" s="12"/>
    </row>
    <row r="79" spans="1:12" ht="13.5" customHeight="1" x14ac:dyDescent="0.2">
      <c r="A79" s="19"/>
      <c r="B79" s="20"/>
      <c r="C79" s="36" t="s">
        <v>114</v>
      </c>
      <c r="D79" s="11">
        <v>221000</v>
      </c>
      <c r="E79" s="12">
        <v>-213.84</v>
      </c>
      <c r="F79" s="22"/>
      <c r="G79" s="23"/>
      <c r="H79" s="24"/>
      <c r="I79" s="25"/>
      <c r="J79" s="26"/>
      <c r="K79" s="18"/>
      <c r="L79" s="12"/>
    </row>
    <row r="80" spans="1:12" ht="13.5" customHeight="1" x14ac:dyDescent="0.2">
      <c r="A80" s="19"/>
      <c r="B80" s="20" t="s">
        <v>591</v>
      </c>
      <c r="C80" s="34" t="s">
        <v>7614</v>
      </c>
      <c r="D80" s="11">
        <v>991098</v>
      </c>
      <c r="E80" s="12"/>
      <c r="F80" s="22">
        <v>940</v>
      </c>
      <c r="G80" s="23">
        <v>1908.58</v>
      </c>
      <c r="H80" s="24"/>
      <c r="I80" s="25"/>
      <c r="J80" s="26"/>
      <c r="K80" s="18"/>
      <c r="L80" s="12"/>
    </row>
    <row r="81" spans="1:12" ht="13.5" customHeight="1" x14ac:dyDescent="0.2">
      <c r="A81" s="19">
        <v>43236</v>
      </c>
      <c r="B81" s="27"/>
      <c r="C81" s="32" t="s">
        <v>7615</v>
      </c>
      <c r="D81" s="27"/>
      <c r="E81" s="27"/>
      <c r="F81" s="27"/>
      <c r="G81" s="23"/>
      <c r="H81" s="38"/>
      <c r="I81" s="38">
        <v>7977.69</v>
      </c>
      <c r="J81" s="1323"/>
      <c r="K81" s="18"/>
      <c r="L81" s="12"/>
    </row>
    <row r="82" spans="1:12" ht="13.5" customHeight="1" x14ac:dyDescent="0.2">
      <c r="A82" s="19"/>
      <c r="B82" s="27"/>
      <c r="C82" s="32" t="s">
        <v>7616</v>
      </c>
      <c r="D82" s="27"/>
      <c r="E82" s="27"/>
      <c r="F82" s="27"/>
      <c r="G82" s="23"/>
      <c r="H82" s="38"/>
      <c r="I82" s="38">
        <v>500</v>
      </c>
      <c r="J82" s="1323">
        <v>12865.41</v>
      </c>
      <c r="K82" s="18"/>
      <c r="L82" s="12"/>
    </row>
    <row r="83" spans="1:12" ht="13.5" customHeight="1" x14ac:dyDescent="0.2">
      <c r="A83" s="19"/>
      <c r="B83" s="20"/>
      <c r="C83" s="34" t="s">
        <v>7617</v>
      </c>
      <c r="D83" s="11">
        <v>0</v>
      </c>
      <c r="E83" s="12">
        <v>-950</v>
      </c>
      <c r="F83" s="22"/>
      <c r="G83" s="23">
        <v>958.58</v>
      </c>
      <c r="H83" s="24"/>
      <c r="I83" s="25"/>
      <c r="J83" s="26"/>
      <c r="K83" s="18"/>
      <c r="L83" s="12"/>
    </row>
    <row r="84" spans="1:12" ht="13.5" customHeight="1" x14ac:dyDescent="0.2">
      <c r="A84" s="19">
        <v>43237</v>
      </c>
      <c r="B84" s="27"/>
      <c r="C84" s="33" t="s">
        <v>7618</v>
      </c>
      <c r="D84" s="27"/>
      <c r="E84" s="27"/>
      <c r="F84" s="27"/>
      <c r="G84" s="23"/>
      <c r="H84" s="38">
        <v>20</v>
      </c>
      <c r="I84" s="38"/>
      <c r="J84" s="1323"/>
      <c r="K84" s="18"/>
      <c r="L84" s="12"/>
    </row>
    <row r="85" spans="1:12" ht="13.5" customHeight="1" x14ac:dyDescent="0.2">
      <c r="A85" s="19"/>
      <c r="B85" s="27"/>
      <c r="C85" s="33" t="s">
        <v>7619</v>
      </c>
      <c r="D85" s="27"/>
      <c r="E85" s="27"/>
      <c r="F85" s="27"/>
      <c r="G85" s="23"/>
      <c r="H85" s="38">
        <v>7</v>
      </c>
      <c r="I85" s="38"/>
      <c r="J85" s="1323"/>
      <c r="K85" s="18"/>
      <c r="L85" s="12"/>
    </row>
    <row r="86" spans="1:12" ht="13.5" customHeight="1" x14ac:dyDescent="0.2">
      <c r="A86" s="19"/>
      <c r="B86" s="27"/>
      <c r="C86" s="33" t="s">
        <v>7620</v>
      </c>
      <c r="D86" s="27"/>
      <c r="E86" s="27"/>
      <c r="F86" s="27"/>
      <c r="G86" s="23"/>
      <c r="H86" s="38">
        <v>17.8</v>
      </c>
      <c r="I86" s="38"/>
      <c r="J86" s="1323"/>
      <c r="K86" s="18"/>
      <c r="L86" s="12"/>
    </row>
    <row r="87" spans="1:12" ht="13.5" customHeight="1" x14ac:dyDescent="0.2">
      <c r="A87" s="19"/>
      <c r="B87" s="27"/>
      <c r="C87" s="33" t="s">
        <v>959</v>
      </c>
      <c r="D87" s="27"/>
      <c r="E87" s="27"/>
      <c r="F87" s="27"/>
      <c r="G87" s="23"/>
      <c r="H87" s="38">
        <v>21.5</v>
      </c>
      <c r="I87" s="38"/>
      <c r="J87" s="1323"/>
      <c r="K87" s="18"/>
      <c r="L87" s="12"/>
    </row>
    <row r="88" spans="1:12" ht="13.5" customHeight="1" x14ac:dyDescent="0.2">
      <c r="A88" s="19"/>
      <c r="B88" s="27"/>
      <c r="C88" s="33" t="s">
        <v>7621</v>
      </c>
      <c r="D88" s="27"/>
      <c r="E88" s="27"/>
      <c r="F88" s="27"/>
      <c r="G88" s="23"/>
      <c r="H88" s="38">
        <v>2.4900000000000002</v>
      </c>
      <c r="I88" s="38"/>
      <c r="J88" s="1323"/>
      <c r="K88" s="18"/>
      <c r="L88" s="12"/>
    </row>
    <row r="89" spans="1:12" ht="13.5" customHeight="1" x14ac:dyDescent="0.2">
      <c r="A89" s="19"/>
      <c r="B89" s="27"/>
      <c r="C89" s="33" t="s">
        <v>7622</v>
      </c>
      <c r="D89" s="27"/>
      <c r="E89" s="27"/>
      <c r="F89" s="27"/>
      <c r="G89" s="23"/>
      <c r="H89" s="38">
        <v>2.2000000000000002</v>
      </c>
      <c r="I89" s="38"/>
      <c r="J89" s="1323"/>
      <c r="K89" s="18"/>
      <c r="L89" s="12"/>
    </row>
    <row r="90" spans="1:12" ht="13.5" customHeight="1" x14ac:dyDescent="0.2">
      <c r="A90" s="19"/>
      <c r="B90" s="27"/>
      <c r="C90" s="33" t="s">
        <v>7623</v>
      </c>
      <c r="D90" s="27"/>
      <c r="E90" s="27"/>
      <c r="F90" s="27"/>
      <c r="G90" s="23"/>
      <c r="H90" s="38">
        <v>15</v>
      </c>
      <c r="I90" s="38"/>
      <c r="J90" s="1323">
        <v>12779.42</v>
      </c>
      <c r="K90" s="18"/>
      <c r="L90" s="12"/>
    </row>
    <row r="91" spans="1:12" ht="13.5" customHeight="1" x14ac:dyDescent="0.2">
      <c r="A91" s="19"/>
      <c r="B91" s="20"/>
      <c r="C91" s="34" t="s">
        <v>18</v>
      </c>
      <c r="D91" s="11">
        <v>921000</v>
      </c>
      <c r="E91" s="12">
        <v>-352.45</v>
      </c>
      <c r="F91" s="22"/>
      <c r="G91" s="23">
        <v>606.13</v>
      </c>
      <c r="H91" s="24"/>
      <c r="I91" s="25"/>
      <c r="J91" s="26"/>
      <c r="K91" s="18"/>
      <c r="L91" s="12"/>
    </row>
    <row r="92" spans="1:12" ht="13.5" customHeight="1" x14ac:dyDescent="0.2">
      <c r="A92" s="19">
        <v>43238</v>
      </c>
      <c r="B92" s="27"/>
      <c r="C92" s="32" t="s">
        <v>36</v>
      </c>
      <c r="D92" s="27"/>
      <c r="E92" s="27"/>
      <c r="F92" s="27"/>
      <c r="G92" s="23"/>
      <c r="H92" s="38">
        <v>350</v>
      </c>
      <c r="I92" s="38"/>
      <c r="J92" s="1323"/>
      <c r="K92" s="18"/>
      <c r="L92" s="12"/>
    </row>
    <row r="93" spans="1:12" ht="13.5" customHeight="1" x14ac:dyDescent="0.2">
      <c r="A93" s="19"/>
      <c r="B93" s="27"/>
      <c r="C93" s="32" t="s">
        <v>7624</v>
      </c>
      <c r="D93" s="27"/>
      <c r="E93" s="27"/>
      <c r="F93" s="27"/>
      <c r="G93" s="23"/>
      <c r="H93" s="38"/>
      <c r="I93" s="38">
        <v>190</v>
      </c>
      <c r="J93" s="1323"/>
      <c r="K93" s="18"/>
      <c r="L93" s="12"/>
    </row>
    <row r="94" spans="1:12" ht="13.5" customHeight="1" x14ac:dyDescent="0.2">
      <c r="A94" s="19"/>
      <c r="B94" s="27"/>
      <c r="C94" s="32" t="s">
        <v>7625</v>
      </c>
      <c r="D94" s="27"/>
      <c r="E94" s="27"/>
      <c r="F94" s="27"/>
      <c r="G94" s="23"/>
      <c r="H94" s="38"/>
      <c r="I94" s="38">
        <v>183</v>
      </c>
      <c r="J94" s="1323"/>
      <c r="K94" s="18"/>
      <c r="L94" s="12"/>
    </row>
    <row r="95" spans="1:12" ht="13.5" customHeight="1" x14ac:dyDescent="0.2">
      <c r="A95" s="19"/>
      <c r="B95" s="27"/>
      <c r="C95" s="32" t="s">
        <v>5995</v>
      </c>
      <c r="D95" s="27"/>
      <c r="E95" s="27"/>
      <c r="F95" s="27"/>
      <c r="G95" s="23"/>
      <c r="H95" s="1324">
        <v>8477.69</v>
      </c>
      <c r="I95" s="38"/>
      <c r="J95" s="1323"/>
      <c r="K95" s="18"/>
      <c r="L95" s="12"/>
    </row>
    <row r="96" spans="1:12" ht="13.5" customHeight="1" x14ac:dyDescent="0.2">
      <c r="A96" s="19"/>
      <c r="B96" s="27"/>
      <c r="C96" s="33" t="s">
        <v>7626</v>
      </c>
      <c r="D96" s="27"/>
      <c r="E96" s="27"/>
      <c r="F96" s="27"/>
      <c r="G96" s="23"/>
      <c r="H96" s="38">
        <v>68.599999999999994</v>
      </c>
      <c r="I96" s="38"/>
      <c r="J96" s="1323">
        <v>4256.1299999999992</v>
      </c>
      <c r="K96" s="18"/>
      <c r="L96" s="12"/>
    </row>
    <row r="97" spans="1:12" ht="13.5" customHeight="1" x14ac:dyDescent="0.2">
      <c r="A97" s="19" t="s">
        <v>7627</v>
      </c>
      <c r="B97" s="20"/>
      <c r="C97" s="34" t="s">
        <v>7628</v>
      </c>
      <c r="D97" s="11">
        <v>0</v>
      </c>
      <c r="E97" s="12">
        <v>-189.9</v>
      </c>
      <c r="F97" s="22"/>
      <c r="G97" s="23">
        <v>416.23</v>
      </c>
      <c r="H97" s="24"/>
      <c r="I97" s="25"/>
      <c r="J97" s="26"/>
      <c r="K97" s="18"/>
      <c r="L97" s="12"/>
    </row>
    <row r="98" spans="1:12" ht="13.5" customHeight="1" x14ac:dyDescent="0.2">
      <c r="A98" s="19">
        <v>43241</v>
      </c>
      <c r="B98" s="27"/>
      <c r="C98" s="32" t="s">
        <v>470</v>
      </c>
      <c r="D98" s="27"/>
      <c r="E98" s="27"/>
      <c r="F98" s="27"/>
      <c r="G98" s="23"/>
      <c r="H98" s="1324">
        <v>1000</v>
      </c>
      <c r="I98" s="38"/>
      <c r="J98" s="1323"/>
      <c r="K98" s="18"/>
      <c r="L98" s="12"/>
    </row>
    <row r="99" spans="1:12" ht="13.5" customHeight="1" x14ac:dyDescent="0.2">
      <c r="A99" s="19"/>
      <c r="B99" s="27"/>
      <c r="C99" s="32" t="s">
        <v>7407</v>
      </c>
      <c r="D99" s="27"/>
      <c r="E99" s="27"/>
      <c r="F99" s="27"/>
      <c r="G99" s="23"/>
      <c r="H99" s="1324">
        <v>1020</v>
      </c>
      <c r="I99" s="38"/>
      <c r="J99" s="1323">
        <v>2236.1299999999992</v>
      </c>
      <c r="K99" s="18"/>
      <c r="L99" s="12"/>
    </row>
    <row r="100" spans="1:12" ht="13.5" customHeight="1" x14ac:dyDescent="0.2">
      <c r="A100" s="19" t="s">
        <v>7629</v>
      </c>
      <c r="B100" s="20"/>
      <c r="C100" s="34" t="s">
        <v>7630</v>
      </c>
      <c r="D100" s="11">
        <v>491000</v>
      </c>
      <c r="E100" s="12">
        <v>-79.03</v>
      </c>
      <c r="F100" s="22"/>
      <c r="G100" s="23"/>
      <c r="H100" s="24"/>
      <c r="I100" s="25"/>
      <c r="J100" s="26"/>
      <c r="K100" s="18"/>
      <c r="L100" s="12"/>
    </row>
    <row r="101" spans="1:12" ht="13.5" customHeight="1" x14ac:dyDescent="0.2">
      <c r="A101" s="19"/>
      <c r="B101" s="20"/>
      <c r="C101" s="34" t="s">
        <v>132</v>
      </c>
      <c r="D101" s="11">
        <v>871000</v>
      </c>
      <c r="E101" s="12">
        <v>-1236.1500000000001</v>
      </c>
      <c r="F101" s="22"/>
      <c r="G101" s="23"/>
      <c r="H101" s="24"/>
      <c r="I101" s="25"/>
      <c r="J101" s="26"/>
      <c r="K101" s="18"/>
      <c r="L101" s="12"/>
    </row>
    <row r="102" spans="1:12" ht="13.5" customHeight="1" x14ac:dyDescent="0.2">
      <c r="A102" s="19"/>
      <c r="B102" s="20"/>
      <c r="C102" s="34" t="s">
        <v>133</v>
      </c>
      <c r="D102" s="11">
        <v>891000</v>
      </c>
      <c r="E102" s="12">
        <v>-685.17</v>
      </c>
      <c r="F102" s="22"/>
      <c r="G102" s="23"/>
      <c r="H102" s="24"/>
      <c r="I102" s="25"/>
      <c r="J102" s="26"/>
      <c r="K102" s="18"/>
      <c r="L102" s="12"/>
    </row>
    <row r="103" spans="1:12" ht="13.5" customHeight="1" x14ac:dyDescent="0.2">
      <c r="A103" s="19"/>
      <c r="B103" s="20" t="s">
        <v>591</v>
      </c>
      <c r="C103" s="32" t="s">
        <v>7407</v>
      </c>
      <c r="D103" s="11">
        <v>62840</v>
      </c>
      <c r="E103" s="12"/>
      <c r="F103" s="162">
        <v>1020</v>
      </c>
      <c r="G103" s="23"/>
      <c r="H103" s="24"/>
      <c r="I103" s="25"/>
      <c r="J103" s="26"/>
      <c r="K103" s="18"/>
      <c r="L103" s="12"/>
    </row>
    <row r="104" spans="1:12" ht="13.5" customHeight="1" x14ac:dyDescent="0.2">
      <c r="A104" s="19"/>
      <c r="B104" s="20" t="s">
        <v>591</v>
      </c>
      <c r="C104" s="32" t="s">
        <v>470</v>
      </c>
      <c r="D104" s="11">
        <v>62830</v>
      </c>
      <c r="E104" s="12"/>
      <c r="F104" s="162">
        <v>1000</v>
      </c>
      <c r="G104" s="23">
        <v>435.88</v>
      </c>
      <c r="H104" s="24"/>
      <c r="I104" s="25"/>
      <c r="J104" s="26"/>
      <c r="K104" s="18"/>
      <c r="L104" s="12"/>
    </row>
    <row r="105" spans="1:12" ht="13.5" customHeight="1" x14ac:dyDescent="0.2">
      <c r="A105" s="19">
        <v>43242</v>
      </c>
      <c r="B105" s="27"/>
      <c r="C105" s="33" t="s">
        <v>1112</v>
      </c>
      <c r="D105" s="27"/>
      <c r="E105" s="27"/>
      <c r="F105" s="27"/>
      <c r="G105" s="23"/>
      <c r="H105" s="38">
        <v>19.8</v>
      </c>
      <c r="I105" s="38"/>
      <c r="J105" s="1323"/>
      <c r="K105" s="18"/>
      <c r="L105" s="12"/>
    </row>
    <row r="106" spans="1:12" ht="13.5" customHeight="1" x14ac:dyDescent="0.2">
      <c r="A106" s="19"/>
      <c r="B106" s="27"/>
      <c r="C106" s="33" t="s">
        <v>7631</v>
      </c>
      <c r="D106" s="27"/>
      <c r="E106" s="27"/>
      <c r="F106" s="27"/>
      <c r="G106" s="23"/>
      <c r="H106" s="38">
        <v>17.5</v>
      </c>
      <c r="I106" s="38"/>
      <c r="J106" s="1323"/>
      <c r="K106" s="18"/>
      <c r="L106" s="12"/>
    </row>
    <row r="107" spans="1:12" ht="13.5" customHeight="1" x14ac:dyDescent="0.2">
      <c r="A107" s="19"/>
      <c r="B107" s="27"/>
      <c r="C107" s="33" t="s">
        <v>701</v>
      </c>
      <c r="D107" s="27"/>
      <c r="E107" s="27"/>
      <c r="F107" s="27"/>
      <c r="G107" s="23"/>
      <c r="H107" s="38">
        <v>8.5</v>
      </c>
      <c r="I107" s="38"/>
      <c r="J107" s="1323"/>
      <c r="K107" s="18"/>
      <c r="L107" s="12"/>
    </row>
    <row r="108" spans="1:12" ht="13.5" customHeight="1" x14ac:dyDescent="0.2">
      <c r="A108" s="19"/>
      <c r="B108" s="27"/>
      <c r="C108" s="32" t="s">
        <v>7632</v>
      </c>
      <c r="D108" s="27"/>
      <c r="E108" s="27"/>
      <c r="F108" s="27"/>
      <c r="G108" s="23"/>
      <c r="H108" s="38"/>
      <c r="I108" s="38">
        <v>1271.3399999999999</v>
      </c>
      <c r="J108" s="1323"/>
      <c r="K108" s="18"/>
      <c r="L108" s="12"/>
    </row>
    <row r="109" spans="1:12" ht="13.5" customHeight="1" x14ac:dyDescent="0.2">
      <c r="A109" s="19"/>
      <c r="B109" s="27"/>
      <c r="C109" s="28" t="s">
        <v>7633</v>
      </c>
      <c r="D109" s="27"/>
      <c r="E109" s="27"/>
      <c r="F109" s="27"/>
      <c r="G109" s="23"/>
      <c r="H109" s="38">
        <v>20.68</v>
      </c>
      <c r="I109" s="38"/>
      <c r="J109" s="1323">
        <v>3440.9899999999993</v>
      </c>
      <c r="K109" s="18"/>
      <c r="L109" s="12"/>
    </row>
    <row r="110" spans="1:12" ht="13.5" customHeight="1" x14ac:dyDescent="0.2">
      <c r="A110" s="19"/>
      <c r="B110" s="20"/>
      <c r="C110" s="34" t="s">
        <v>127</v>
      </c>
      <c r="D110" s="11">
        <v>0</v>
      </c>
      <c r="E110" s="12">
        <v>-22.31</v>
      </c>
      <c r="F110" s="22"/>
      <c r="G110" s="23"/>
      <c r="H110" s="24"/>
      <c r="I110" s="25"/>
      <c r="J110" s="26"/>
      <c r="K110" s="18"/>
      <c r="L110" s="12"/>
    </row>
    <row r="111" spans="1:12" ht="13.5" customHeight="1" x14ac:dyDescent="0.2">
      <c r="A111" s="19"/>
      <c r="B111" s="20"/>
      <c r="C111" s="34" t="s">
        <v>128</v>
      </c>
      <c r="D111" s="11">
        <v>0</v>
      </c>
      <c r="E111" s="12">
        <v>-24.92</v>
      </c>
      <c r="F111" s="22"/>
      <c r="G111" s="23"/>
      <c r="H111" s="24"/>
      <c r="I111" s="25"/>
      <c r="J111" s="26"/>
      <c r="K111" s="18"/>
      <c r="L111" s="12"/>
    </row>
    <row r="112" spans="1:12" ht="13.5" customHeight="1" x14ac:dyDescent="0.2">
      <c r="A112" s="19"/>
      <c r="B112" s="20"/>
      <c r="C112" s="34" t="s">
        <v>131</v>
      </c>
      <c r="D112" s="11">
        <v>0</v>
      </c>
      <c r="E112" s="12">
        <v>-34.61</v>
      </c>
      <c r="F112" s="22"/>
      <c r="G112" s="23"/>
      <c r="H112" s="24"/>
      <c r="I112" s="25"/>
      <c r="J112" s="26"/>
      <c r="K112" s="18"/>
      <c r="L112" s="12"/>
    </row>
    <row r="113" spans="1:12" ht="13.5" customHeight="1" x14ac:dyDescent="0.2">
      <c r="A113" s="19"/>
      <c r="B113" s="20"/>
      <c r="C113" s="34" t="s">
        <v>129</v>
      </c>
      <c r="D113" s="11">
        <v>0</v>
      </c>
      <c r="E113" s="12">
        <v>-37.21</v>
      </c>
      <c r="F113" s="22"/>
      <c r="G113" s="23"/>
      <c r="H113" s="24"/>
      <c r="I113" s="25"/>
      <c r="J113" s="26"/>
      <c r="K113" s="18"/>
      <c r="L113" s="12"/>
    </row>
    <row r="114" spans="1:12" ht="13.5" customHeight="1" x14ac:dyDescent="0.2">
      <c r="A114" s="19"/>
      <c r="B114" s="20"/>
      <c r="C114" s="34" t="s">
        <v>130</v>
      </c>
      <c r="D114" s="11">
        <v>0</v>
      </c>
      <c r="E114" s="12">
        <v>-108.47</v>
      </c>
      <c r="F114" s="22"/>
      <c r="G114" s="23"/>
      <c r="H114" s="24"/>
      <c r="I114" s="25"/>
      <c r="J114" s="26"/>
      <c r="K114" s="18"/>
      <c r="L114" s="12"/>
    </row>
    <row r="115" spans="1:12" ht="13.5" customHeight="1" x14ac:dyDescent="0.2">
      <c r="A115" s="19"/>
      <c r="B115" s="20"/>
      <c r="C115" s="34" t="s">
        <v>7634</v>
      </c>
      <c r="D115" s="11">
        <v>850025</v>
      </c>
      <c r="E115" s="168">
        <v>-1020</v>
      </c>
      <c r="F115" s="22"/>
      <c r="G115" s="23">
        <v>-811.64</v>
      </c>
      <c r="H115" s="24"/>
      <c r="I115" s="25"/>
      <c r="J115" s="26"/>
      <c r="K115" s="18"/>
      <c r="L115" s="12"/>
    </row>
    <row r="116" spans="1:12" ht="13.5" customHeight="1" x14ac:dyDescent="0.2">
      <c r="A116" s="19">
        <v>43243</v>
      </c>
      <c r="B116" s="27"/>
      <c r="C116" s="33" t="s">
        <v>1131</v>
      </c>
      <c r="D116" s="27"/>
      <c r="E116" s="27"/>
      <c r="F116" s="27"/>
      <c r="G116" s="23"/>
      <c r="H116" s="38">
        <v>40.6</v>
      </c>
      <c r="I116" s="38"/>
      <c r="J116" s="1323"/>
      <c r="K116" s="18"/>
      <c r="L116" s="12"/>
    </row>
    <row r="117" spans="1:12" ht="13.5" customHeight="1" x14ac:dyDescent="0.2">
      <c r="A117" s="19"/>
      <c r="B117" s="27"/>
      <c r="C117" s="32" t="s">
        <v>7635</v>
      </c>
      <c r="D117" s="27"/>
      <c r="E117" s="27"/>
      <c r="F117" s="27"/>
      <c r="G117" s="23"/>
      <c r="H117" s="38">
        <v>7</v>
      </c>
      <c r="I117" s="38"/>
      <c r="J117" s="1323"/>
      <c r="K117" s="18"/>
      <c r="L117" s="12"/>
    </row>
    <row r="118" spans="1:12" ht="13.5" customHeight="1" x14ac:dyDescent="0.2">
      <c r="A118" s="19"/>
      <c r="B118" s="27"/>
      <c r="C118" s="32" t="s">
        <v>7636</v>
      </c>
      <c r="D118" s="27"/>
      <c r="E118" s="27"/>
      <c r="F118" s="27"/>
      <c r="G118" s="23"/>
      <c r="H118" s="38">
        <v>15</v>
      </c>
      <c r="I118" s="38"/>
      <c r="J118" s="1323">
        <v>3378.3899999999994</v>
      </c>
      <c r="K118" s="18"/>
      <c r="L118" s="12"/>
    </row>
    <row r="119" spans="1:12" ht="13.5" customHeight="1" x14ac:dyDescent="0.2">
      <c r="A119" s="19"/>
      <c r="B119" s="20"/>
      <c r="C119" s="34" t="s">
        <v>7439</v>
      </c>
      <c r="D119" s="11">
        <v>345890</v>
      </c>
      <c r="E119" s="12"/>
      <c r="F119" s="409">
        <v>1000</v>
      </c>
      <c r="G119" s="23"/>
      <c r="H119" s="24"/>
      <c r="I119" s="25"/>
      <c r="J119" s="26"/>
      <c r="K119" s="18"/>
      <c r="L119" s="12"/>
    </row>
    <row r="120" spans="1:12" ht="13.5" customHeight="1" x14ac:dyDescent="0.2">
      <c r="A120" s="19"/>
      <c r="B120" s="20"/>
      <c r="C120" s="34" t="s">
        <v>7439</v>
      </c>
      <c r="D120" s="11">
        <v>345901</v>
      </c>
      <c r="E120" s="12"/>
      <c r="F120" s="409">
        <v>1000</v>
      </c>
      <c r="G120" s="23"/>
      <c r="H120" s="24"/>
      <c r="I120" s="25"/>
      <c r="J120" s="26"/>
      <c r="K120" s="18"/>
      <c r="L120" s="12"/>
    </row>
    <row r="121" spans="1:12" ht="13.5" customHeight="1" x14ac:dyDescent="0.2">
      <c r="A121" s="172"/>
      <c r="B121" s="172" t="s">
        <v>591</v>
      </c>
      <c r="C121" s="34" t="s">
        <v>7634</v>
      </c>
      <c r="D121" s="42">
        <v>955097</v>
      </c>
      <c r="E121" s="43"/>
      <c r="F121" s="175">
        <v>1020</v>
      </c>
      <c r="G121" s="23"/>
      <c r="H121" s="24"/>
      <c r="I121" s="25"/>
      <c r="J121" s="26"/>
      <c r="K121" s="18"/>
      <c r="L121" s="12"/>
    </row>
    <row r="122" spans="1:12" ht="13.5" customHeight="1" x14ac:dyDescent="0.2">
      <c r="A122" s="19"/>
      <c r="B122" s="20"/>
      <c r="C122" s="34" t="s">
        <v>368</v>
      </c>
      <c r="D122" s="11">
        <v>0</v>
      </c>
      <c r="E122" s="12">
        <v>-205.94</v>
      </c>
      <c r="F122" s="22"/>
      <c r="G122" s="23">
        <v>2002.42</v>
      </c>
      <c r="H122" s="24"/>
      <c r="I122" s="25"/>
      <c r="J122" s="26"/>
      <c r="K122" s="18"/>
      <c r="L122" s="12"/>
    </row>
    <row r="123" spans="1:12" ht="13.5" customHeight="1" x14ac:dyDescent="0.2">
      <c r="A123" s="19">
        <v>43244</v>
      </c>
      <c r="B123" s="27"/>
      <c r="C123" s="32" t="s">
        <v>7637</v>
      </c>
      <c r="D123" s="27"/>
      <c r="E123" s="27"/>
      <c r="F123" s="27"/>
      <c r="G123" s="23"/>
      <c r="H123" s="38">
        <v>75</v>
      </c>
      <c r="I123" s="38"/>
      <c r="J123" s="1323"/>
      <c r="K123" s="18"/>
      <c r="L123" s="12"/>
    </row>
    <row r="124" spans="1:12" ht="13.5" customHeight="1" x14ac:dyDescent="0.2">
      <c r="A124" s="19"/>
      <c r="B124" s="27"/>
      <c r="C124" s="32" t="s">
        <v>7638</v>
      </c>
      <c r="D124" s="27"/>
      <c r="E124" s="27"/>
      <c r="F124" s="27"/>
      <c r="G124" s="23"/>
      <c r="H124" s="38">
        <v>75</v>
      </c>
      <c r="I124" s="38"/>
      <c r="J124" s="1323"/>
      <c r="K124" s="18"/>
      <c r="L124" s="12"/>
    </row>
    <row r="125" spans="1:12" ht="13.5" customHeight="1" x14ac:dyDescent="0.2">
      <c r="A125" s="19"/>
      <c r="B125" s="27"/>
      <c r="C125" s="32" t="s">
        <v>7639</v>
      </c>
      <c r="D125" s="27"/>
      <c r="E125" s="27"/>
      <c r="F125" s="27"/>
      <c r="G125" s="23"/>
      <c r="H125" s="38">
        <v>75</v>
      </c>
      <c r="I125" s="38"/>
      <c r="J125" s="1323"/>
      <c r="K125" s="18"/>
      <c r="L125" s="12"/>
    </row>
    <row r="126" spans="1:12" ht="13.5" customHeight="1" x14ac:dyDescent="0.2">
      <c r="A126" s="19"/>
      <c r="B126" s="27"/>
      <c r="C126" s="32" t="s">
        <v>7640</v>
      </c>
      <c r="D126" s="27"/>
      <c r="E126" s="27"/>
      <c r="F126" s="27"/>
      <c r="G126" s="23"/>
      <c r="H126" s="38">
        <v>75</v>
      </c>
      <c r="I126" s="38"/>
      <c r="J126" s="1323">
        <v>3078.3899999999994</v>
      </c>
      <c r="K126" s="18"/>
      <c r="L126" s="12"/>
    </row>
    <row r="127" spans="1:12" ht="13.5" customHeight="1" x14ac:dyDescent="0.2">
      <c r="A127" s="171">
        <v>43245</v>
      </c>
      <c r="B127" s="172"/>
      <c r="C127" s="34" t="s">
        <v>36</v>
      </c>
      <c r="D127" s="42"/>
      <c r="E127" s="43"/>
      <c r="F127" s="173"/>
      <c r="G127" s="23"/>
      <c r="H127" s="24">
        <v>350</v>
      </c>
      <c r="I127" s="25"/>
      <c r="J127" s="26">
        <v>2728.3899999999994</v>
      </c>
      <c r="K127" s="18"/>
      <c r="L127" s="12"/>
    </row>
    <row r="128" spans="1:12" ht="13.5" customHeight="1" x14ac:dyDescent="0.2">
      <c r="A128" s="19"/>
      <c r="B128" s="20"/>
      <c r="C128" s="34" t="s">
        <v>136</v>
      </c>
      <c r="D128" s="11">
        <v>0</v>
      </c>
      <c r="E128" s="12">
        <v>-37.9</v>
      </c>
      <c r="F128" s="22"/>
      <c r="G128" s="23"/>
      <c r="H128" s="24"/>
      <c r="I128" s="25"/>
      <c r="J128" s="26"/>
      <c r="K128" s="18"/>
      <c r="L128" s="12"/>
    </row>
    <row r="129" spans="1:12" ht="13.5" customHeight="1" x14ac:dyDescent="0.2">
      <c r="A129" s="19"/>
      <c r="B129" s="20"/>
      <c r="C129" s="34" t="s">
        <v>7641</v>
      </c>
      <c r="D129" s="11">
        <v>0</v>
      </c>
      <c r="E129" s="12">
        <v>-278.57</v>
      </c>
      <c r="F129" s="22"/>
      <c r="G129" s="23"/>
      <c r="H129" s="24"/>
      <c r="I129" s="25"/>
      <c r="J129" s="26"/>
      <c r="K129" s="18"/>
      <c r="L129" s="12"/>
    </row>
    <row r="130" spans="1:12" ht="13.5" customHeight="1" x14ac:dyDescent="0.2">
      <c r="A130" s="19"/>
      <c r="B130" s="46"/>
      <c r="C130" s="34" t="s">
        <v>6199</v>
      </c>
      <c r="D130" s="42">
        <v>0</v>
      </c>
      <c r="E130" s="43">
        <v>-132.04</v>
      </c>
      <c r="F130" s="43"/>
      <c r="G130" s="23">
        <v>1553.92</v>
      </c>
      <c r="H130" s="24"/>
      <c r="I130" s="25"/>
      <c r="J130" s="26"/>
      <c r="K130" s="18"/>
      <c r="L130" s="12"/>
    </row>
    <row r="131" spans="1:12" ht="13.5" customHeight="1" x14ac:dyDescent="0.2">
      <c r="A131" s="171">
        <v>43248</v>
      </c>
      <c r="B131" s="172"/>
      <c r="C131" s="34" t="s">
        <v>7642</v>
      </c>
      <c r="D131" s="42"/>
      <c r="E131" s="43"/>
      <c r="F131" s="173"/>
      <c r="G131" s="23"/>
      <c r="H131" s="24">
        <v>18.54</v>
      </c>
      <c r="I131" s="25"/>
      <c r="J131" s="26"/>
      <c r="K131" s="18"/>
      <c r="L131" s="12"/>
    </row>
    <row r="132" spans="1:12" ht="13.5" customHeight="1" x14ac:dyDescent="0.2">
      <c r="A132" s="171"/>
      <c r="B132" s="172"/>
      <c r="C132" s="34" t="s">
        <v>340</v>
      </c>
      <c r="D132" s="42"/>
      <c r="E132" s="43"/>
      <c r="F132" s="173"/>
      <c r="G132" s="23"/>
      <c r="H132" s="24">
        <v>4.49</v>
      </c>
      <c r="I132" s="25"/>
      <c r="J132" s="26"/>
      <c r="K132" s="18"/>
      <c r="L132" s="12"/>
    </row>
    <row r="133" spans="1:12" ht="13.5" customHeight="1" x14ac:dyDescent="0.2">
      <c r="A133" s="171"/>
      <c r="B133" s="172"/>
      <c r="C133" s="34" t="s">
        <v>470</v>
      </c>
      <c r="D133" s="42"/>
      <c r="E133" s="43"/>
      <c r="F133" s="173"/>
      <c r="G133" s="23"/>
      <c r="H133" s="174">
        <v>1100</v>
      </c>
      <c r="I133" s="25"/>
      <c r="J133" s="26">
        <v>1605.3599999999997</v>
      </c>
      <c r="K133" s="18"/>
      <c r="L133" s="12"/>
    </row>
    <row r="134" spans="1:12" ht="13.5" customHeight="1" x14ac:dyDescent="0.2">
      <c r="A134" s="171"/>
      <c r="B134" s="172" t="s">
        <v>591</v>
      </c>
      <c r="C134" s="34" t="s">
        <v>470</v>
      </c>
      <c r="D134" s="42">
        <v>65007</v>
      </c>
      <c r="E134" s="43"/>
      <c r="F134" s="175">
        <v>1100</v>
      </c>
      <c r="G134" s="128">
        <v>2653.92</v>
      </c>
      <c r="H134" s="24"/>
      <c r="I134" s="25"/>
      <c r="J134" s="26"/>
      <c r="K134" s="18"/>
      <c r="L134" s="12"/>
    </row>
    <row r="135" spans="1:12" ht="13.5" customHeight="1" x14ac:dyDescent="0.2">
      <c r="A135" s="171">
        <v>43250</v>
      </c>
      <c r="B135" s="46"/>
      <c r="C135" s="34" t="s">
        <v>7643</v>
      </c>
      <c r="D135" s="42"/>
      <c r="E135" s="43"/>
      <c r="F135" s="43"/>
      <c r="G135" s="23"/>
      <c r="H135" s="24">
        <v>44</v>
      </c>
      <c r="I135" s="25"/>
      <c r="J135" s="26"/>
      <c r="K135" s="18"/>
      <c r="L135" s="12"/>
    </row>
    <row r="136" spans="1:12" ht="13.5" customHeight="1" x14ac:dyDescent="0.2">
      <c r="A136" s="171"/>
      <c r="B136" s="46"/>
      <c r="C136" s="34" t="s">
        <v>7643</v>
      </c>
      <c r="D136" s="42"/>
      <c r="E136" s="43"/>
      <c r="F136" s="43"/>
      <c r="G136" s="23"/>
      <c r="H136" s="24">
        <v>34.6</v>
      </c>
      <c r="I136" s="25"/>
      <c r="J136" s="276"/>
      <c r="K136" s="18"/>
      <c r="L136" s="12"/>
    </row>
    <row r="137" spans="1:12" ht="13.5" customHeight="1" x14ac:dyDescent="0.2">
      <c r="A137" s="271"/>
      <c r="B137" s="172"/>
      <c r="C137" s="34" t="s">
        <v>36</v>
      </c>
      <c r="D137" s="42"/>
      <c r="E137" s="43"/>
      <c r="F137" s="1316"/>
      <c r="G137" s="23"/>
      <c r="H137" s="1325">
        <v>210</v>
      </c>
      <c r="I137" s="254"/>
      <c r="J137" s="1133">
        <v>1316.7599999999998</v>
      </c>
      <c r="K137" s="18"/>
      <c r="L137" s="12"/>
    </row>
    <row r="138" spans="1:12" ht="13.5" customHeight="1" thickBot="1" x14ac:dyDescent="0.25">
      <c r="A138" s="47"/>
      <c r="B138" s="48"/>
      <c r="C138" s="49"/>
      <c r="D138" s="50"/>
      <c r="E138" s="51"/>
      <c r="F138" s="52"/>
      <c r="G138" s="53"/>
      <c r="H138" s="54"/>
      <c r="I138" s="55"/>
      <c r="J138" s="52"/>
      <c r="L138" s="12"/>
    </row>
    <row r="139" spans="1:12" ht="13.5" customHeight="1" thickBot="1" x14ac:dyDescent="0.25">
      <c r="A139" s="2" t="s">
        <v>2</v>
      </c>
      <c r="B139" s="3"/>
      <c r="C139" s="3" t="s">
        <v>481</v>
      </c>
      <c r="D139" s="3" t="s">
        <v>4</v>
      </c>
      <c r="E139" s="3" t="s">
        <v>5</v>
      </c>
      <c r="F139" s="3" t="s">
        <v>6</v>
      </c>
      <c r="G139" s="5" t="s">
        <v>7</v>
      </c>
      <c r="H139" s="1415" t="s">
        <v>482</v>
      </c>
      <c r="I139" s="1416"/>
      <c r="J139" s="1417"/>
    </row>
    <row r="140" spans="1:12" ht="13.5" customHeight="1" x14ac:dyDescent="0.2">
      <c r="A140" s="8" t="s">
        <v>7644</v>
      </c>
      <c r="B140" s="56"/>
      <c r="C140" s="10" t="s">
        <v>8</v>
      </c>
      <c r="D140" s="11">
        <v>0</v>
      </c>
      <c r="E140" s="51"/>
      <c r="F140" s="12"/>
      <c r="G140" s="178">
        <v>0</v>
      </c>
      <c r="H140" s="179"/>
      <c r="I140" s="57"/>
      <c r="J140" s="58">
        <v>19575.41</v>
      </c>
      <c r="L140" s="51"/>
    </row>
    <row r="141" spans="1:12" ht="13.5" customHeight="1" x14ac:dyDescent="0.2">
      <c r="A141" s="180" t="s">
        <v>7645</v>
      </c>
      <c r="B141" s="56" t="s">
        <v>483</v>
      </c>
      <c r="C141" s="36" t="s">
        <v>7646</v>
      </c>
      <c r="D141" s="11" t="s">
        <v>488</v>
      </c>
      <c r="E141" s="30"/>
      <c r="F141" s="183">
        <v>89.99</v>
      </c>
      <c r="G141" s="182">
        <v>89.99</v>
      </c>
      <c r="H141" s="59"/>
      <c r="I141" s="60"/>
      <c r="J141" s="61">
        <v>19575.41</v>
      </c>
      <c r="K141" s="18"/>
      <c r="L141" s="30"/>
    </row>
    <row r="142" spans="1:12" ht="13.5" customHeight="1" x14ac:dyDescent="0.2">
      <c r="A142" s="180"/>
      <c r="B142" s="56" t="s">
        <v>483</v>
      </c>
      <c r="C142" s="36" t="s">
        <v>7647</v>
      </c>
      <c r="D142" s="11" t="s">
        <v>7648</v>
      </c>
      <c r="E142" s="181">
        <v>-225</v>
      </c>
      <c r="F142" s="12"/>
      <c r="G142" s="182" t="s">
        <v>483</v>
      </c>
      <c r="H142" s="59"/>
      <c r="I142" s="60"/>
      <c r="J142" s="61">
        <v>19575.41</v>
      </c>
      <c r="K142" s="18"/>
      <c r="L142" s="30"/>
    </row>
    <row r="143" spans="1:12" ht="13.5" customHeight="1" x14ac:dyDescent="0.2">
      <c r="A143" s="180"/>
      <c r="B143" s="56" t="s">
        <v>483</v>
      </c>
      <c r="C143" s="36" t="s">
        <v>173</v>
      </c>
      <c r="D143" s="11" t="s">
        <v>7649</v>
      </c>
      <c r="E143" s="181">
        <v>-1166.03</v>
      </c>
      <c r="F143" s="12"/>
      <c r="G143" s="182" t="s">
        <v>483</v>
      </c>
      <c r="H143" s="59"/>
      <c r="I143" s="60"/>
      <c r="J143" s="61">
        <v>19575.41</v>
      </c>
      <c r="K143" s="18"/>
      <c r="L143" s="30"/>
    </row>
    <row r="144" spans="1:12" ht="13.5" customHeight="1" x14ac:dyDescent="0.2">
      <c r="A144" s="180"/>
      <c r="B144" s="56" t="s">
        <v>483</v>
      </c>
      <c r="C144" s="34" t="s">
        <v>172</v>
      </c>
      <c r="D144" s="11" t="s">
        <v>7650</v>
      </c>
      <c r="E144" s="181">
        <v>-765.37</v>
      </c>
      <c r="F144" s="12"/>
      <c r="G144" s="182" t="s">
        <v>483</v>
      </c>
      <c r="H144" s="59"/>
      <c r="I144" s="60"/>
      <c r="J144" s="61">
        <v>19575.41</v>
      </c>
      <c r="K144" s="18"/>
      <c r="L144" s="30"/>
    </row>
    <row r="145" spans="1:12" ht="13.5" customHeight="1" x14ac:dyDescent="0.2">
      <c r="A145" s="180"/>
      <c r="B145" s="56" t="s">
        <v>483</v>
      </c>
      <c r="C145" s="34" t="s">
        <v>171</v>
      </c>
      <c r="D145" s="11" t="s">
        <v>7651</v>
      </c>
      <c r="E145" s="181">
        <v>-610.87</v>
      </c>
      <c r="F145" s="12"/>
      <c r="G145" s="182" t="s">
        <v>483</v>
      </c>
      <c r="H145" s="59"/>
      <c r="I145" s="60"/>
      <c r="J145" s="61">
        <v>19575.41</v>
      </c>
      <c r="K145" s="18"/>
      <c r="L145" s="30"/>
    </row>
    <row r="146" spans="1:12" ht="13.5" customHeight="1" x14ac:dyDescent="0.2">
      <c r="A146" s="180"/>
      <c r="B146" s="56" t="s">
        <v>483</v>
      </c>
      <c r="C146" s="36" t="s">
        <v>174</v>
      </c>
      <c r="D146" s="11" t="s">
        <v>488</v>
      </c>
      <c r="E146" s="30"/>
      <c r="F146" s="183">
        <v>2677.28</v>
      </c>
      <c r="G146" s="182">
        <v>0</v>
      </c>
      <c r="H146" s="59">
        <v>2677.28</v>
      </c>
      <c r="I146" s="60"/>
      <c r="J146" s="61">
        <v>16898.13</v>
      </c>
      <c r="K146" s="18"/>
      <c r="L146" s="30"/>
    </row>
    <row r="147" spans="1:12" ht="13.5" customHeight="1" x14ac:dyDescent="0.2">
      <c r="A147" s="180" t="s">
        <v>7652</v>
      </c>
      <c r="B147" s="56" t="s">
        <v>483</v>
      </c>
      <c r="C147" s="36" t="s">
        <v>180</v>
      </c>
      <c r="D147" s="11" t="s">
        <v>488</v>
      </c>
      <c r="E147" s="181">
        <v>-283.94</v>
      </c>
      <c r="F147" s="12"/>
      <c r="G147" s="182" t="s">
        <v>483</v>
      </c>
      <c r="H147" s="59"/>
      <c r="I147" s="60"/>
      <c r="J147" s="61">
        <v>16898.13</v>
      </c>
      <c r="K147" s="18"/>
      <c r="L147" s="30"/>
    </row>
    <row r="148" spans="1:12" ht="13.5" customHeight="1" x14ac:dyDescent="0.2">
      <c r="A148" s="180"/>
      <c r="B148" s="56" t="s">
        <v>483</v>
      </c>
      <c r="C148" s="36" t="s">
        <v>177</v>
      </c>
      <c r="D148" s="11" t="s">
        <v>3005</v>
      </c>
      <c r="E148" s="181">
        <v>-352.84</v>
      </c>
      <c r="F148" s="12"/>
      <c r="G148" s="182" t="s">
        <v>483</v>
      </c>
      <c r="H148" s="59"/>
      <c r="I148" s="60"/>
      <c r="J148" s="61">
        <v>16898.13</v>
      </c>
      <c r="K148" s="18"/>
      <c r="L148" s="30"/>
    </row>
    <row r="149" spans="1:12" ht="13.5" customHeight="1" x14ac:dyDescent="0.2">
      <c r="A149" s="180"/>
      <c r="B149" s="56" t="s">
        <v>483</v>
      </c>
      <c r="C149" s="36" t="s">
        <v>7653</v>
      </c>
      <c r="D149" s="11" t="s">
        <v>7654</v>
      </c>
      <c r="E149" s="181">
        <v>-95</v>
      </c>
      <c r="F149" s="12"/>
      <c r="G149" s="182" t="s">
        <v>483</v>
      </c>
      <c r="H149" s="59"/>
      <c r="I149" s="60"/>
      <c r="J149" s="61">
        <v>16898.13</v>
      </c>
      <c r="K149" s="18"/>
      <c r="L149" s="30"/>
    </row>
    <row r="150" spans="1:12" ht="13.5" customHeight="1" x14ac:dyDescent="0.2">
      <c r="A150" s="180"/>
      <c r="B150" s="56" t="s">
        <v>483</v>
      </c>
      <c r="C150" s="36" t="s">
        <v>174</v>
      </c>
      <c r="D150" s="11" t="s">
        <v>488</v>
      </c>
      <c r="E150" s="30"/>
      <c r="F150" s="183">
        <v>731.78</v>
      </c>
      <c r="G150" s="182">
        <v>0</v>
      </c>
      <c r="H150" s="59">
        <v>731.78</v>
      </c>
      <c r="I150" s="60"/>
      <c r="J150" s="61">
        <v>16166.35</v>
      </c>
      <c r="K150" s="18"/>
      <c r="L150" s="30"/>
    </row>
    <row r="151" spans="1:12" ht="13.5" customHeight="1" x14ac:dyDescent="0.2">
      <c r="A151" s="180" t="s">
        <v>7655</v>
      </c>
      <c r="B151" s="56" t="s">
        <v>483</v>
      </c>
      <c r="C151" s="36" t="s">
        <v>7656</v>
      </c>
      <c r="D151" s="11" t="s">
        <v>7657</v>
      </c>
      <c r="E151" s="181">
        <v>-153</v>
      </c>
      <c r="F151" s="12"/>
      <c r="G151" s="182" t="s">
        <v>483</v>
      </c>
      <c r="H151" s="59"/>
      <c r="I151" s="60"/>
      <c r="J151" s="61">
        <v>16166.35</v>
      </c>
      <c r="K151" s="18"/>
      <c r="L151" s="30"/>
    </row>
    <row r="152" spans="1:12" ht="13.5" customHeight="1" x14ac:dyDescent="0.2">
      <c r="A152" s="180"/>
      <c r="B152" s="56" t="s">
        <v>483</v>
      </c>
      <c r="C152" s="36" t="s">
        <v>174</v>
      </c>
      <c r="D152" s="11" t="s">
        <v>488</v>
      </c>
      <c r="E152" s="30"/>
      <c r="F152" s="183">
        <v>153</v>
      </c>
      <c r="G152" s="182">
        <v>0</v>
      </c>
      <c r="H152" s="59">
        <v>153</v>
      </c>
      <c r="I152" s="60"/>
      <c r="J152" s="61">
        <v>16013.35</v>
      </c>
      <c r="K152" s="18"/>
      <c r="L152" s="30"/>
    </row>
    <row r="153" spans="1:12" ht="13.5" customHeight="1" x14ac:dyDescent="0.2">
      <c r="A153" s="180" t="s">
        <v>7658</v>
      </c>
      <c r="B153" s="56" t="s">
        <v>483</v>
      </c>
      <c r="C153" s="36" t="s">
        <v>7659</v>
      </c>
      <c r="D153" s="11" t="s">
        <v>7660</v>
      </c>
      <c r="E153" s="181">
        <v>-101</v>
      </c>
      <c r="F153" s="12"/>
      <c r="G153" s="182" t="s">
        <v>483</v>
      </c>
      <c r="H153" s="59"/>
      <c r="I153" s="60"/>
      <c r="J153" s="61">
        <v>16013.35</v>
      </c>
      <c r="K153" s="18"/>
      <c r="L153" s="30"/>
    </row>
    <row r="154" spans="1:12" ht="13.5" customHeight="1" x14ac:dyDescent="0.2">
      <c r="A154" s="180"/>
      <c r="B154" s="56" t="s">
        <v>483</v>
      </c>
      <c r="C154" s="36" t="s">
        <v>174</v>
      </c>
      <c r="D154" s="11" t="s">
        <v>488</v>
      </c>
      <c r="E154" s="30"/>
      <c r="F154" s="183">
        <v>101</v>
      </c>
      <c r="G154" s="182">
        <v>0</v>
      </c>
      <c r="H154" s="59">
        <v>101</v>
      </c>
      <c r="I154" s="60"/>
      <c r="J154" s="61">
        <v>15912.35</v>
      </c>
      <c r="K154" s="18"/>
      <c r="L154" s="30"/>
    </row>
    <row r="155" spans="1:12" ht="13.5" customHeight="1" x14ac:dyDescent="0.2">
      <c r="A155" s="180" t="s">
        <v>7661</v>
      </c>
      <c r="B155" s="56" t="s">
        <v>483</v>
      </c>
      <c r="C155" s="36" t="s">
        <v>7662</v>
      </c>
      <c r="D155" s="11" t="s">
        <v>4212</v>
      </c>
      <c r="E155" s="181">
        <v>-1157.5</v>
      </c>
      <c r="F155" s="12"/>
      <c r="G155" s="182"/>
      <c r="H155" s="59"/>
      <c r="I155" s="60"/>
      <c r="J155" s="61">
        <v>15912.35</v>
      </c>
      <c r="K155" s="18"/>
      <c r="L155" s="30"/>
    </row>
    <row r="156" spans="1:12" ht="13.5" customHeight="1" x14ac:dyDescent="0.2">
      <c r="A156" s="180"/>
      <c r="B156" s="56" t="s">
        <v>483</v>
      </c>
      <c r="C156" s="32" t="s">
        <v>7663</v>
      </c>
      <c r="D156" s="11" t="s">
        <v>7664</v>
      </c>
      <c r="E156" s="181">
        <v>-110.4</v>
      </c>
      <c r="F156" s="12"/>
      <c r="G156" s="182" t="s">
        <v>483</v>
      </c>
      <c r="H156" s="59"/>
      <c r="I156" s="60"/>
      <c r="J156" s="61">
        <v>15912.35</v>
      </c>
      <c r="K156" s="18"/>
      <c r="L156" s="30"/>
    </row>
    <row r="157" spans="1:12" ht="13.5" customHeight="1" x14ac:dyDescent="0.2">
      <c r="A157" s="180"/>
      <c r="B157" s="56" t="s">
        <v>483</v>
      </c>
      <c r="C157" s="36" t="s">
        <v>174</v>
      </c>
      <c r="D157" s="11" t="s">
        <v>488</v>
      </c>
      <c r="E157" s="30"/>
      <c r="F157" s="183">
        <v>1267.9000000000001</v>
      </c>
      <c r="G157" s="182">
        <v>0</v>
      </c>
      <c r="H157" s="59">
        <v>1267.9000000000001</v>
      </c>
      <c r="I157" s="60"/>
      <c r="J157" s="61">
        <v>14644.45</v>
      </c>
      <c r="K157" s="18"/>
      <c r="L157" s="30"/>
    </row>
    <row r="158" spans="1:12" ht="13.5" customHeight="1" x14ac:dyDescent="0.2">
      <c r="A158" s="180" t="s">
        <v>7665</v>
      </c>
      <c r="B158" s="56" t="s">
        <v>483</v>
      </c>
      <c r="C158" s="34" t="s">
        <v>7666</v>
      </c>
      <c r="D158" s="11" t="s">
        <v>976</v>
      </c>
      <c r="E158" s="181">
        <v>-720.85</v>
      </c>
      <c r="F158" s="12"/>
      <c r="G158" s="182"/>
      <c r="H158" s="59"/>
      <c r="I158" s="60"/>
      <c r="J158" s="61">
        <v>14644.45</v>
      </c>
      <c r="K158" s="18"/>
      <c r="L158" s="30"/>
    </row>
    <row r="159" spans="1:12" ht="13.5" customHeight="1" x14ac:dyDescent="0.2">
      <c r="A159" s="180"/>
      <c r="B159" s="56" t="s">
        <v>483</v>
      </c>
      <c r="C159" s="36" t="s">
        <v>174</v>
      </c>
      <c r="D159" s="11" t="s">
        <v>488</v>
      </c>
      <c r="E159" s="30"/>
      <c r="F159" s="183">
        <v>720.85</v>
      </c>
      <c r="G159" s="182">
        <v>0</v>
      </c>
      <c r="H159" s="59">
        <v>720.85</v>
      </c>
      <c r="I159" s="60"/>
      <c r="J159" s="61">
        <v>13923.6</v>
      </c>
      <c r="K159" s="18"/>
      <c r="L159" s="30"/>
    </row>
    <row r="160" spans="1:12" ht="13.5" customHeight="1" x14ac:dyDescent="0.2">
      <c r="A160" s="180" t="s">
        <v>7667</v>
      </c>
      <c r="B160" s="56" t="s">
        <v>483</v>
      </c>
      <c r="C160" s="36" t="s">
        <v>7668</v>
      </c>
      <c r="D160" s="11" t="s">
        <v>488</v>
      </c>
      <c r="E160" s="30"/>
      <c r="F160" s="183">
        <v>4980.5</v>
      </c>
      <c r="G160" s="182" t="s">
        <v>483</v>
      </c>
      <c r="H160" s="59"/>
      <c r="I160" s="60"/>
      <c r="J160" s="61">
        <v>13923.6</v>
      </c>
      <c r="K160" s="18"/>
      <c r="L160" s="30"/>
    </row>
    <row r="161" spans="1:12" ht="13.5" customHeight="1" x14ac:dyDescent="0.2">
      <c r="A161" s="180"/>
      <c r="B161" s="56" t="s">
        <v>483</v>
      </c>
      <c r="C161" s="36" t="s">
        <v>7669</v>
      </c>
      <c r="D161" s="11" t="s">
        <v>7670</v>
      </c>
      <c r="E161" s="181">
        <v>-763.32</v>
      </c>
      <c r="F161" s="12"/>
      <c r="G161" s="182" t="s">
        <v>483</v>
      </c>
      <c r="H161" s="59"/>
      <c r="I161" s="60"/>
      <c r="J161" s="61">
        <v>13923.6</v>
      </c>
      <c r="K161" s="18"/>
      <c r="L161" s="30"/>
    </row>
    <row r="162" spans="1:12" ht="13.5" customHeight="1" x14ac:dyDescent="0.2">
      <c r="A162" s="180"/>
      <c r="B162" s="56" t="s">
        <v>483</v>
      </c>
      <c r="C162" s="36" t="s">
        <v>7671</v>
      </c>
      <c r="D162" s="11" t="s">
        <v>7672</v>
      </c>
      <c r="E162" s="181">
        <v>-405.68</v>
      </c>
      <c r="F162" s="12"/>
      <c r="G162" s="182" t="s">
        <v>483</v>
      </c>
      <c r="H162" s="59"/>
      <c r="I162" s="60"/>
      <c r="J162" s="61">
        <v>13923.6</v>
      </c>
      <c r="K162" s="18"/>
      <c r="L162" s="30"/>
    </row>
    <row r="163" spans="1:12" ht="13.5" customHeight="1" x14ac:dyDescent="0.2">
      <c r="A163" s="180"/>
      <c r="B163" s="56" t="s">
        <v>483</v>
      </c>
      <c r="C163" s="36" t="s">
        <v>7673</v>
      </c>
      <c r="D163" s="11" t="s">
        <v>7674</v>
      </c>
      <c r="E163" s="181">
        <v>-405.68</v>
      </c>
      <c r="F163" s="12"/>
      <c r="G163" s="182" t="s">
        <v>483</v>
      </c>
      <c r="H163" s="59"/>
      <c r="I163" s="60"/>
      <c r="J163" s="61">
        <v>13923.6</v>
      </c>
      <c r="K163" s="18"/>
      <c r="L163" s="30"/>
    </row>
    <row r="164" spans="1:12" ht="13.5" customHeight="1" x14ac:dyDescent="0.2">
      <c r="A164" s="180"/>
      <c r="B164" s="56" t="s">
        <v>483</v>
      </c>
      <c r="C164" s="36" t="s">
        <v>189</v>
      </c>
      <c r="D164" s="11" t="s">
        <v>488</v>
      </c>
      <c r="E164" s="181">
        <v>-3405.82</v>
      </c>
      <c r="F164" s="12"/>
      <c r="G164" s="182">
        <v>0</v>
      </c>
      <c r="H164" s="59"/>
      <c r="I164" s="60">
        <v>3405.82</v>
      </c>
      <c r="J164" s="61">
        <v>17329.420000000002</v>
      </c>
      <c r="K164" s="18"/>
      <c r="L164" s="30"/>
    </row>
    <row r="165" spans="1:12" ht="13.5" customHeight="1" x14ac:dyDescent="0.2">
      <c r="A165" s="180" t="s">
        <v>7675</v>
      </c>
      <c r="B165" s="56" t="s">
        <v>483</v>
      </c>
      <c r="C165" s="36" t="s">
        <v>7676</v>
      </c>
      <c r="D165" s="11" t="s">
        <v>3196</v>
      </c>
      <c r="E165" s="181">
        <v>-1380.5</v>
      </c>
      <c r="F165" s="12"/>
      <c r="G165" s="182" t="s">
        <v>483</v>
      </c>
      <c r="H165" s="59"/>
      <c r="I165" s="60"/>
      <c r="J165" s="61">
        <v>17329.420000000002</v>
      </c>
      <c r="K165" s="18"/>
      <c r="L165" s="30"/>
    </row>
    <row r="166" spans="1:12" ht="13.5" customHeight="1" x14ac:dyDescent="0.2">
      <c r="A166" s="180"/>
      <c r="B166" s="56" t="s">
        <v>483</v>
      </c>
      <c r="C166" s="36" t="s">
        <v>394</v>
      </c>
      <c r="D166" s="11" t="s">
        <v>7677</v>
      </c>
      <c r="E166" s="181">
        <v>-1800.84</v>
      </c>
      <c r="F166" s="12"/>
      <c r="G166" s="182" t="s">
        <v>483</v>
      </c>
      <c r="H166" s="59"/>
      <c r="I166" s="60"/>
      <c r="J166" s="61">
        <v>17329.420000000002</v>
      </c>
      <c r="K166" s="18"/>
      <c r="L166" s="30"/>
    </row>
    <row r="167" spans="1:12" ht="13.5" customHeight="1" x14ac:dyDescent="0.2">
      <c r="A167" s="180"/>
      <c r="B167" s="56" t="s">
        <v>591</v>
      </c>
      <c r="C167" s="32" t="s">
        <v>5995</v>
      </c>
      <c r="D167" s="11" t="s">
        <v>7678</v>
      </c>
      <c r="E167" s="181"/>
      <c r="F167" s="168">
        <v>8477.69</v>
      </c>
      <c r="G167" s="182" t="s">
        <v>483</v>
      </c>
      <c r="H167" s="59"/>
      <c r="I167" s="60"/>
      <c r="J167" s="61">
        <v>17329.420000000002</v>
      </c>
      <c r="K167" s="18"/>
      <c r="L167" s="30"/>
    </row>
    <row r="168" spans="1:12" ht="13.5" customHeight="1" x14ac:dyDescent="0.2">
      <c r="A168" s="180"/>
      <c r="B168" s="56" t="s">
        <v>483</v>
      </c>
      <c r="C168" s="36" t="s">
        <v>174</v>
      </c>
      <c r="D168" s="11" t="s">
        <v>488</v>
      </c>
      <c r="E168" s="30"/>
      <c r="F168" s="183">
        <v>3181.34</v>
      </c>
      <c r="G168" s="182">
        <v>8477.69</v>
      </c>
      <c r="H168" s="59">
        <v>3181.34</v>
      </c>
      <c r="I168" s="60"/>
      <c r="J168" s="61">
        <v>14148.080000000002</v>
      </c>
      <c r="K168" s="18"/>
      <c r="L168" s="30"/>
    </row>
    <row r="169" spans="1:12" ht="13.5" customHeight="1" x14ac:dyDescent="0.2">
      <c r="A169" s="180" t="s">
        <v>7679</v>
      </c>
      <c r="B169" s="56" t="s">
        <v>483</v>
      </c>
      <c r="C169" s="36" t="s">
        <v>86</v>
      </c>
      <c r="D169" s="11" t="s">
        <v>488</v>
      </c>
      <c r="E169" s="181">
        <v>-78</v>
      </c>
      <c r="F169" s="12"/>
      <c r="G169" s="182">
        <v>8399.69</v>
      </c>
      <c r="H169" s="59"/>
      <c r="I169" s="60"/>
      <c r="J169" s="61">
        <v>14148.080000000002</v>
      </c>
      <c r="K169" s="18"/>
      <c r="L169" s="30"/>
    </row>
    <row r="170" spans="1:12" ht="13.5" customHeight="1" x14ac:dyDescent="0.2">
      <c r="A170" s="180"/>
      <c r="B170" s="56" t="s">
        <v>483</v>
      </c>
      <c r="C170" s="36" t="s">
        <v>7680</v>
      </c>
      <c r="D170" s="11" t="s">
        <v>6478</v>
      </c>
      <c r="E170" s="165">
        <v>-8477.69</v>
      </c>
      <c r="F170" s="183"/>
      <c r="G170" s="182" t="s">
        <v>483</v>
      </c>
      <c r="H170" s="59"/>
      <c r="I170" s="60"/>
      <c r="J170" s="61">
        <v>14148.080000000002</v>
      </c>
      <c r="K170" s="18"/>
      <c r="L170" s="30"/>
    </row>
    <row r="171" spans="1:12" ht="13.5" customHeight="1" x14ac:dyDescent="0.2">
      <c r="A171" s="180"/>
      <c r="B171" s="56" t="s">
        <v>483</v>
      </c>
      <c r="C171" s="36" t="s">
        <v>7681</v>
      </c>
      <c r="D171" s="11" t="s">
        <v>7682</v>
      </c>
      <c r="E171" s="181">
        <v>-265</v>
      </c>
      <c r="F171" s="12"/>
      <c r="G171" s="182" t="s">
        <v>483</v>
      </c>
      <c r="H171" s="59"/>
      <c r="I171" s="60"/>
      <c r="J171" s="61">
        <v>14148.080000000002</v>
      </c>
      <c r="K171" s="18"/>
      <c r="L171" s="30"/>
    </row>
    <row r="172" spans="1:12" ht="13.5" customHeight="1" x14ac:dyDescent="0.2">
      <c r="A172" s="180"/>
      <c r="B172" s="56" t="s">
        <v>483</v>
      </c>
      <c r="C172" s="36" t="s">
        <v>174</v>
      </c>
      <c r="D172" s="11" t="s">
        <v>488</v>
      </c>
      <c r="E172" s="30"/>
      <c r="F172" s="183">
        <v>343</v>
      </c>
      <c r="G172" s="182">
        <v>0</v>
      </c>
      <c r="H172" s="59">
        <v>343</v>
      </c>
      <c r="I172" s="60"/>
      <c r="J172" s="61">
        <v>13805.080000000002</v>
      </c>
      <c r="K172" s="18"/>
      <c r="L172" s="30"/>
    </row>
    <row r="173" spans="1:12" ht="13.5" customHeight="1" x14ac:dyDescent="0.2">
      <c r="A173" s="180" t="s">
        <v>7683</v>
      </c>
      <c r="B173" s="56" t="s">
        <v>483</v>
      </c>
      <c r="C173" s="32" t="s">
        <v>199</v>
      </c>
      <c r="D173" s="11" t="s">
        <v>488</v>
      </c>
      <c r="E173" s="181">
        <v>-126.3</v>
      </c>
      <c r="F173" s="12"/>
      <c r="G173" s="182"/>
      <c r="H173" s="59"/>
      <c r="I173" s="60"/>
      <c r="J173" s="61">
        <v>13805.080000000002</v>
      </c>
      <c r="K173" s="18"/>
      <c r="L173" s="30"/>
    </row>
    <row r="174" spans="1:12" ht="13.5" customHeight="1" x14ac:dyDescent="0.2">
      <c r="A174" s="180"/>
      <c r="B174" s="56" t="s">
        <v>483</v>
      </c>
      <c r="C174" s="36" t="s">
        <v>174</v>
      </c>
      <c r="D174" s="11" t="s">
        <v>488</v>
      </c>
      <c r="E174" s="30"/>
      <c r="F174" s="183">
        <v>126.3</v>
      </c>
      <c r="G174" s="182">
        <v>0</v>
      </c>
      <c r="H174" s="59">
        <v>126.3</v>
      </c>
      <c r="I174" s="60"/>
      <c r="J174" s="61">
        <v>13678.780000000002</v>
      </c>
      <c r="K174" s="18"/>
      <c r="L174" s="30"/>
    </row>
    <row r="175" spans="1:12" ht="13.5" customHeight="1" x14ac:dyDescent="0.2">
      <c r="A175" s="180" t="s">
        <v>7684</v>
      </c>
      <c r="B175" s="56" t="s">
        <v>483</v>
      </c>
      <c r="C175" s="36" t="s">
        <v>7680</v>
      </c>
      <c r="D175" s="11" t="s">
        <v>7685</v>
      </c>
      <c r="E175" s="181"/>
      <c r="F175" s="168">
        <v>8477.69</v>
      </c>
      <c r="G175" s="182" t="s">
        <v>483</v>
      </c>
      <c r="H175" s="59"/>
      <c r="I175" s="60"/>
      <c r="J175" s="61">
        <v>13678.780000000002</v>
      </c>
      <c r="K175" s="18"/>
      <c r="L175" s="30"/>
    </row>
    <row r="176" spans="1:12" ht="13.5" customHeight="1" x14ac:dyDescent="0.2">
      <c r="A176" s="180"/>
      <c r="B176" s="56" t="s">
        <v>483</v>
      </c>
      <c r="C176" s="34" t="s">
        <v>194</v>
      </c>
      <c r="D176" s="11" t="s">
        <v>488</v>
      </c>
      <c r="E176" s="181">
        <v>-82.75</v>
      </c>
      <c r="F176" s="12"/>
      <c r="G176" s="182" t="s">
        <v>483</v>
      </c>
      <c r="H176" s="59"/>
      <c r="I176" s="60"/>
      <c r="J176" s="61">
        <v>13678.780000000002</v>
      </c>
      <c r="K176" s="18"/>
      <c r="L176" s="30"/>
    </row>
    <row r="177" spans="1:15" x14ac:dyDescent="0.2">
      <c r="A177" s="180"/>
      <c r="B177" s="56" t="s">
        <v>483</v>
      </c>
      <c r="C177" s="36" t="s">
        <v>195</v>
      </c>
      <c r="D177" s="11" t="s">
        <v>488</v>
      </c>
      <c r="E177" s="181">
        <v>-381.94</v>
      </c>
      <c r="F177" s="12"/>
      <c r="G177" s="182" t="s">
        <v>483</v>
      </c>
      <c r="H177" s="59"/>
      <c r="I177" s="60"/>
      <c r="J177" s="61">
        <v>13678.780000000002</v>
      </c>
      <c r="K177" s="18"/>
      <c r="L177" s="30"/>
    </row>
    <row r="178" spans="1:15" x14ac:dyDescent="0.2">
      <c r="A178" s="180"/>
      <c r="B178" s="56" t="s">
        <v>483</v>
      </c>
      <c r="C178" s="32" t="s">
        <v>6918</v>
      </c>
      <c r="D178" s="11" t="s">
        <v>488</v>
      </c>
      <c r="E178" s="181">
        <v>-1894.9</v>
      </c>
      <c r="F178" s="12"/>
      <c r="G178" s="182" t="s">
        <v>483</v>
      </c>
      <c r="H178" s="59"/>
      <c r="I178" s="60"/>
      <c r="J178" s="61">
        <v>13678.780000000002</v>
      </c>
      <c r="K178" s="18"/>
      <c r="L178" s="30"/>
    </row>
    <row r="179" spans="1:15" ht="13.5" customHeight="1" x14ac:dyDescent="0.2">
      <c r="A179" s="180"/>
      <c r="B179" s="56" t="s">
        <v>483</v>
      </c>
      <c r="C179" s="32" t="s">
        <v>197</v>
      </c>
      <c r="D179" s="11" t="s">
        <v>488</v>
      </c>
      <c r="E179" s="181">
        <v>-3158.16</v>
      </c>
      <c r="F179" s="12"/>
      <c r="G179" s="182"/>
      <c r="H179" s="59"/>
      <c r="I179" s="60"/>
      <c r="J179" s="61">
        <v>13678.780000000002</v>
      </c>
      <c r="K179" s="18"/>
      <c r="L179" s="30"/>
    </row>
    <row r="180" spans="1:15" ht="13.5" customHeight="1" x14ac:dyDescent="0.2">
      <c r="A180" s="180"/>
      <c r="B180" s="56" t="s">
        <v>483</v>
      </c>
      <c r="C180" s="36" t="s">
        <v>7686</v>
      </c>
      <c r="D180" s="11" t="s">
        <v>488</v>
      </c>
      <c r="E180" s="181">
        <v>-1086.56</v>
      </c>
      <c r="F180" s="12"/>
      <c r="G180" s="182"/>
      <c r="H180" s="59"/>
      <c r="I180" s="60"/>
      <c r="J180" s="61">
        <v>13678.780000000002</v>
      </c>
      <c r="K180" s="18"/>
      <c r="L180" s="30"/>
    </row>
    <row r="181" spans="1:15" ht="13.5" customHeight="1" x14ac:dyDescent="0.2">
      <c r="A181" s="180"/>
      <c r="B181" s="56" t="s">
        <v>483</v>
      </c>
      <c r="C181" s="36" t="s">
        <v>189</v>
      </c>
      <c r="D181" s="11" t="s">
        <v>488</v>
      </c>
      <c r="E181" s="181">
        <v>-1873.38</v>
      </c>
      <c r="F181" s="12"/>
      <c r="G181" s="182">
        <v>0</v>
      </c>
      <c r="H181" s="59"/>
      <c r="I181" s="60">
        <v>1873.38</v>
      </c>
      <c r="J181" s="61">
        <v>15552.160000000003</v>
      </c>
      <c r="K181" s="18"/>
      <c r="L181" s="30"/>
    </row>
    <row r="182" spans="1:15" ht="13.5" customHeight="1" x14ac:dyDescent="0.2">
      <c r="A182" s="180" t="s">
        <v>7687</v>
      </c>
      <c r="B182" s="56" t="s">
        <v>483</v>
      </c>
      <c r="C182" s="36" t="s">
        <v>7688</v>
      </c>
      <c r="D182" s="11" t="s">
        <v>488</v>
      </c>
      <c r="E182" s="181">
        <v>-3039.45</v>
      </c>
      <c r="F182" s="12"/>
      <c r="G182" s="182" t="s">
        <v>483</v>
      </c>
      <c r="H182" s="59"/>
      <c r="I182" s="60"/>
      <c r="J182" s="61">
        <v>15552.160000000003</v>
      </c>
      <c r="K182" s="18"/>
      <c r="L182" s="30"/>
    </row>
    <row r="183" spans="1:15" ht="13.5" customHeight="1" x14ac:dyDescent="0.2">
      <c r="A183" s="180"/>
      <c r="B183" s="56" t="s">
        <v>483</v>
      </c>
      <c r="C183" s="36" t="s">
        <v>174</v>
      </c>
      <c r="D183" s="11" t="s">
        <v>488</v>
      </c>
      <c r="E183" s="30"/>
      <c r="F183" s="183">
        <v>3039.45</v>
      </c>
      <c r="G183" s="182">
        <v>0</v>
      </c>
      <c r="H183" s="59">
        <v>3039.45</v>
      </c>
      <c r="I183" s="60"/>
      <c r="J183" s="61">
        <v>12512.710000000003</v>
      </c>
      <c r="K183" s="18"/>
      <c r="L183" s="30"/>
    </row>
    <row r="184" spans="1:15" s="64" customFormat="1" ht="13.5" customHeight="1" x14ac:dyDescent="0.2">
      <c r="A184" s="184" t="s">
        <v>7689</v>
      </c>
      <c r="B184" s="63" t="s">
        <v>483</v>
      </c>
      <c r="C184" s="36" t="s">
        <v>86</v>
      </c>
      <c r="D184" s="50" t="s">
        <v>488</v>
      </c>
      <c r="E184" s="181">
        <v>-11.9</v>
      </c>
      <c r="F184" s="13"/>
      <c r="G184" s="53" t="s">
        <v>483</v>
      </c>
      <c r="H184" s="179"/>
      <c r="I184" s="57"/>
      <c r="J184" s="61">
        <v>12512.710000000003</v>
      </c>
      <c r="K184" s="18"/>
      <c r="L184" s="51"/>
      <c r="O184" s="65"/>
    </row>
    <row r="185" spans="1:15" s="64" customFormat="1" ht="13.5" customHeight="1" x14ac:dyDescent="0.2">
      <c r="A185" s="184"/>
      <c r="B185" s="63" t="s">
        <v>483</v>
      </c>
      <c r="C185" s="32" t="s">
        <v>7690</v>
      </c>
      <c r="D185" s="50" t="s">
        <v>488</v>
      </c>
      <c r="E185" s="181">
        <v>-964.09</v>
      </c>
      <c r="F185" s="13"/>
      <c r="G185" s="53"/>
      <c r="H185" s="179"/>
      <c r="I185" s="57"/>
      <c r="J185" s="61">
        <v>12512.710000000003</v>
      </c>
      <c r="K185" s="18"/>
      <c r="L185" s="51"/>
      <c r="O185" s="65"/>
    </row>
    <row r="186" spans="1:15" s="64" customFormat="1" ht="13.5" customHeight="1" x14ac:dyDescent="0.2">
      <c r="A186" s="184"/>
      <c r="B186" s="63" t="s">
        <v>483</v>
      </c>
      <c r="C186" s="36" t="s">
        <v>7659</v>
      </c>
      <c r="D186" s="50" t="s">
        <v>7691</v>
      </c>
      <c r="E186" s="181">
        <v>-108.55</v>
      </c>
      <c r="F186" s="13"/>
      <c r="G186" s="53" t="s">
        <v>483</v>
      </c>
      <c r="H186" s="179"/>
      <c r="I186" s="57"/>
      <c r="J186" s="61">
        <v>12512.710000000003</v>
      </c>
      <c r="K186" s="18"/>
      <c r="L186" s="51"/>
      <c r="O186" s="65"/>
    </row>
    <row r="187" spans="1:15" s="64" customFormat="1" ht="13.5" customHeight="1" x14ac:dyDescent="0.2">
      <c r="A187" s="184"/>
      <c r="B187" s="63" t="s">
        <v>483</v>
      </c>
      <c r="C187" s="36" t="s">
        <v>174</v>
      </c>
      <c r="D187" s="50" t="s">
        <v>488</v>
      </c>
      <c r="E187" s="51"/>
      <c r="F187" s="183">
        <v>1084.54</v>
      </c>
      <c r="G187" s="53">
        <v>0</v>
      </c>
      <c r="H187" s="179">
        <v>1084.54</v>
      </c>
      <c r="I187" s="57"/>
      <c r="J187" s="61">
        <v>11428.170000000002</v>
      </c>
      <c r="K187" s="18"/>
      <c r="L187" s="51"/>
      <c r="O187" s="65"/>
    </row>
    <row r="188" spans="1:15" s="64" customFormat="1" ht="13.5" customHeight="1" x14ac:dyDescent="0.2">
      <c r="A188" s="184" t="s">
        <v>7692</v>
      </c>
      <c r="B188" s="63" t="s">
        <v>483</v>
      </c>
      <c r="C188" s="36" t="s">
        <v>7100</v>
      </c>
      <c r="D188" s="50" t="s">
        <v>4073</v>
      </c>
      <c r="E188" s="181">
        <v>-150</v>
      </c>
      <c r="F188" s="13"/>
      <c r="G188" s="53">
        <v>-150</v>
      </c>
      <c r="H188" s="179"/>
      <c r="I188" s="57"/>
      <c r="J188" s="61">
        <v>11428.170000000002</v>
      </c>
      <c r="K188" s="18"/>
      <c r="L188" s="51"/>
      <c r="O188" s="65"/>
    </row>
    <row r="189" spans="1:15" s="64" customFormat="1" ht="13.5" customHeight="1" x14ac:dyDescent="0.2">
      <c r="A189" s="184"/>
      <c r="B189" s="63" t="s">
        <v>483</v>
      </c>
      <c r="C189" s="36" t="s">
        <v>7693</v>
      </c>
      <c r="D189" s="50" t="s">
        <v>488</v>
      </c>
      <c r="E189" s="51">
        <v>-149</v>
      </c>
      <c r="F189" s="13" t="s">
        <v>483</v>
      </c>
      <c r="G189" s="53"/>
      <c r="H189" s="179"/>
      <c r="I189" s="57"/>
      <c r="J189" s="61">
        <v>11428.170000000002</v>
      </c>
      <c r="K189" s="18"/>
      <c r="L189" s="51"/>
      <c r="O189" s="65"/>
    </row>
    <row r="190" spans="1:15" s="64" customFormat="1" ht="13.5" customHeight="1" x14ac:dyDescent="0.2">
      <c r="A190" s="184"/>
      <c r="B190" s="63" t="s">
        <v>483</v>
      </c>
      <c r="C190" s="36" t="s">
        <v>174</v>
      </c>
      <c r="D190" s="50" t="s">
        <v>488</v>
      </c>
      <c r="E190" s="51"/>
      <c r="F190" s="183">
        <v>299</v>
      </c>
      <c r="G190" s="228">
        <v>0</v>
      </c>
      <c r="H190" s="179">
        <v>299</v>
      </c>
      <c r="I190" s="57"/>
      <c r="J190" s="61">
        <v>11129.170000000002</v>
      </c>
      <c r="K190" s="18"/>
      <c r="L190" s="51"/>
      <c r="O190" s="65"/>
    </row>
    <row r="191" spans="1:15" s="64" customFormat="1" ht="13.5" customHeight="1" x14ac:dyDescent="0.2">
      <c r="A191" s="184"/>
      <c r="B191" s="63"/>
      <c r="C191" s="36" t="s">
        <v>20</v>
      </c>
      <c r="D191" s="50"/>
      <c r="E191" s="51"/>
      <c r="F191" s="13"/>
      <c r="G191" s="53"/>
      <c r="H191" s="179"/>
      <c r="I191" s="57">
        <v>3.2299999999977445</v>
      </c>
      <c r="J191" s="186">
        <v>11132.4</v>
      </c>
      <c r="K191" s="18"/>
      <c r="L191" s="51"/>
      <c r="O191" s="65"/>
    </row>
    <row r="192" spans="1:15" s="64" customFormat="1" ht="13.5" customHeight="1" x14ac:dyDescent="0.2">
      <c r="A192" s="184"/>
      <c r="B192" s="63"/>
      <c r="C192" s="63"/>
      <c r="D192" s="50"/>
      <c r="E192" s="51"/>
      <c r="F192" s="13"/>
      <c r="G192" s="53"/>
      <c r="H192" s="179"/>
      <c r="I192" s="57"/>
      <c r="J192" s="67"/>
      <c r="L192" s="51"/>
      <c r="O192" s="65"/>
    </row>
    <row r="193" spans="1:15" s="64" customFormat="1" ht="13.5" customHeight="1" thickBot="1" x14ac:dyDescent="0.25">
      <c r="A193" s="184"/>
      <c r="B193" s="63"/>
      <c r="C193" s="63"/>
      <c r="D193" s="50"/>
      <c r="E193" s="51"/>
      <c r="F193" s="13"/>
      <c r="G193" s="53"/>
      <c r="H193" s="179"/>
      <c r="I193" s="57"/>
      <c r="J193" s="67"/>
      <c r="L193" s="51"/>
      <c r="O193" s="65"/>
    </row>
    <row r="194" spans="1:15" ht="13.5" customHeight="1" thickBot="1" x14ac:dyDescent="0.25">
      <c r="A194" s="2" t="s">
        <v>2</v>
      </c>
      <c r="B194" s="3"/>
      <c r="C194" s="3" t="s">
        <v>525</v>
      </c>
      <c r="D194" s="3" t="s">
        <v>4</v>
      </c>
      <c r="E194" s="3" t="s">
        <v>5</v>
      </c>
      <c r="F194" s="3" t="s">
        <v>6</v>
      </c>
      <c r="G194" s="5" t="s">
        <v>7</v>
      </c>
      <c r="H194" s="187"/>
      <c r="I194" s="188"/>
      <c r="J194" s="189"/>
    </row>
    <row r="195" spans="1:15" ht="13.5" customHeight="1" x14ac:dyDescent="0.2">
      <c r="A195" s="8" t="s">
        <v>7644</v>
      </c>
      <c r="B195" s="56"/>
      <c r="C195" s="10" t="s">
        <v>8</v>
      </c>
      <c r="D195" s="11"/>
      <c r="E195" s="51"/>
      <c r="F195" s="12"/>
      <c r="G195" s="178">
        <v>5773.57</v>
      </c>
      <c r="H195" s="179"/>
      <c r="I195" s="57"/>
      <c r="J195" s="67"/>
      <c r="L195" s="51"/>
    </row>
    <row r="196" spans="1:15" s="64" customFormat="1" ht="13.5" customHeight="1" x14ac:dyDescent="0.2">
      <c r="A196" s="184">
        <v>43225</v>
      </c>
      <c r="B196" s="63"/>
      <c r="C196" s="56" t="s">
        <v>815</v>
      </c>
      <c r="D196" s="50"/>
      <c r="E196" s="181">
        <v>849.06</v>
      </c>
      <c r="F196" s="13"/>
      <c r="G196" s="53">
        <f>G195-E196+F196</f>
        <v>4924.51</v>
      </c>
      <c r="H196" s="179"/>
      <c r="I196" s="57"/>
      <c r="J196" s="67"/>
      <c r="L196" s="51"/>
      <c r="O196" s="65"/>
    </row>
    <row r="197" spans="1:15" s="64" customFormat="1" ht="13.5" customHeight="1" x14ac:dyDescent="0.2">
      <c r="A197" s="184">
        <v>43241</v>
      </c>
      <c r="B197" s="63"/>
      <c r="C197" s="36" t="s">
        <v>7694</v>
      </c>
      <c r="D197" s="50"/>
      <c r="E197" s="181">
        <v>166.5</v>
      </c>
      <c r="F197" s="13"/>
      <c r="G197" s="178">
        <f>G196-E197+F197</f>
        <v>4758.01</v>
      </c>
      <c r="H197" s="179"/>
      <c r="I197" s="57"/>
      <c r="J197" s="67"/>
      <c r="L197" s="51"/>
      <c r="O197" s="65"/>
    </row>
    <row r="198" spans="1:15" ht="13.5" customHeight="1" thickBot="1" x14ac:dyDescent="0.25">
      <c r="A198" s="180"/>
      <c r="B198" s="56"/>
      <c r="C198" s="56"/>
      <c r="D198" s="11"/>
      <c r="E198" s="30"/>
      <c r="F198" s="12"/>
      <c r="G198" s="182"/>
      <c r="H198" s="59"/>
      <c r="I198" s="60"/>
      <c r="J198" s="61"/>
      <c r="L198" s="30"/>
    </row>
    <row r="199" spans="1:15" ht="13.5" customHeight="1" thickBot="1" x14ac:dyDescent="0.25">
      <c r="A199" s="2" t="s">
        <v>2</v>
      </c>
      <c r="B199" s="3"/>
      <c r="C199" s="3" t="s">
        <v>536</v>
      </c>
      <c r="D199" s="3"/>
      <c r="E199" s="3"/>
      <c r="F199" s="3"/>
      <c r="G199" s="5" t="s">
        <v>7</v>
      </c>
      <c r="H199" s="6" t="s">
        <v>5</v>
      </c>
      <c r="I199" s="4" t="s">
        <v>6</v>
      </c>
      <c r="J199" s="7" t="s">
        <v>7</v>
      </c>
    </row>
    <row r="200" spans="1:15" ht="13.5" customHeight="1" x14ac:dyDescent="0.2">
      <c r="A200" s="8">
        <v>43221</v>
      </c>
      <c r="B200" s="70"/>
      <c r="C200" s="10" t="s">
        <v>537</v>
      </c>
      <c r="D200" s="125"/>
      <c r="E200" s="67"/>
      <c r="F200" s="67"/>
      <c r="G200" s="178"/>
      <c r="H200" s="179"/>
      <c r="I200" s="57"/>
      <c r="J200" s="58">
        <v>0</v>
      </c>
    </row>
    <row r="201" spans="1:15" customFormat="1" ht="13.5" customHeight="1" x14ac:dyDescent="0.2">
      <c r="A201" s="180"/>
      <c r="B201" s="221"/>
      <c r="C201" s="34" t="s">
        <v>7540</v>
      </c>
      <c r="D201" s="522"/>
      <c r="E201" s="198"/>
      <c r="F201" s="198"/>
      <c r="G201" s="190"/>
      <c r="H201" s="197">
        <v>179.13</v>
      </c>
      <c r="I201" s="122"/>
      <c r="J201" s="198">
        <v>-179.13</v>
      </c>
      <c r="K201" s="72"/>
      <c r="O201" s="40"/>
    </row>
    <row r="202" spans="1:15" customFormat="1" ht="13.5" customHeight="1" x14ac:dyDescent="0.2">
      <c r="A202" s="180"/>
      <c r="B202" s="221"/>
      <c r="C202" s="34" t="s">
        <v>7541</v>
      </c>
      <c r="D202" s="522"/>
      <c r="E202" s="198"/>
      <c r="F202" s="198"/>
      <c r="G202" s="190"/>
      <c r="H202" s="197">
        <v>20.95</v>
      </c>
      <c r="I202" s="122"/>
      <c r="J202" s="198">
        <v>-200.07999999999998</v>
      </c>
      <c r="K202" s="72"/>
      <c r="O202" s="40"/>
    </row>
    <row r="203" spans="1:15" customFormat="1" ht="13.5" customHeight="1" x14ac:dyDescent="0.2">
      <c r="A203" s="180"/>
      <c r="B203" s="221"/>
      <c r="C203" s="34" t="s">
        <v>7695</v>
      </c>
      <c r="D203" s="522"/>
      <c r="E203" s="198"/>
      <c r="F203" s="198"/>
      <c r="G203" s="190"/>
      <c r="H203" s="197">
        <v>25.7</v>
      </c>
      <c r="I203" s="122"/>
      <c r="J203" s="198">
        <v>-225.77999999999997</v>
      </c>
      <c r="K203" s="72"/>
      <c r="O203" s="40"/>
    </row>
    <row r="204" spans="1:15" ht="13.5" customHeight="1" x14ac:dyDescent="0.2">
      <c r="A204" s="180">
        <v>43224</v>
      </c>
      <c r="B204" s="70"/>
      <c r="C204" s="34" t="s">
        <v>77</v>
      </c>
      <c r="D204" s="125"/>
      <c r="E204" s="67"/>
      <c r="F204" s="67"/>
      <c r="G204" s="178"/>
      <c r="H204" s="179"/>
      <c r="I204" s="73">
        <v>500</v>
      </c>
      <c r="J204" s="198">
        <v>274.22000000000003</v>
      </c>
      <c r="K204" s="72"/>
    </row>
    <row r="205" spans="1:15" ht="13.5" customHeight="1" x14ac:dyDescent="0.2">
      <c r="A205" s="180"/>
      <c r="B205" s="70"/>
      <c r="C205" s="34" t="s">
        <v>7696</v>
      </c>
      <c r="D205" s="125"/>
      <c r="E205" s="67"/>
      <c r="F205" s="67"/>
      <c r="G205" s="178"/>
      <c r="H205" s="179">
        <v>180.16</v>
      </c>
      <c r="I205" s="71"/>
      <c r="J205" s="198">
        <v>94.060000000000031</v>
      </c>
      <c r="K205" s="72"/>
    </row>
    <row r="206" spans="1:15" ht="13.5" customHeight="1" x14ac:dyDescent="0.2">
      <c r="A206" s="180">
        <v>43227</v>
      </c>
      <c r="B206" s="70"/>
      <c r="C206" s="34" t="s">
        <v>2164</v>
      </c>
      <c r="D206" s="125"/>
      <c r="E206" s="67"/>
      <c r="F206" s="67"/>
      <c r="G206" s="178"/>
      <c r="H206" s="179">
        <v>5.25</v>
      </c>
      <c r="I206" s="71"/>
      <c r="J206" s="198">
        <v>88.810000000000031</v>
      </c>
      <c r="K206" s="72"/>
    </row>
    <row r="207" spans="1:15" ht="13.5" customHeight="1" x14ac:dyDescent="0.2">
      <c r="A207" s="180">
        <v>43228</v>
      </c>
      <c r="B207" s="70"/>
      <c r="C207" s="34" t="s">
        <v>77</v>
      </c>
      <c r="D207" s="125"/>
      <c r="E207" s="67"/>
      <c r="F207" s="67"/>
      <c r="G207" s="178"/>
      <c r="H207" s="179"/>
      <c r="I207" s="73">
        <v>8000</v>
      </c>
      <c r="J207" s="198">
        <v>8088.81</v>
      </c>
      <c r="K207" s="72"/>
    </row>
    <row r="208" spans="1:15" ht="13.5" customHeight="1" x14ac:dyDescent="0.2">
      <c r="A208" s="180"/>
      <c r="B208" s="9"/>
      <c r="C208" s="34" t="s">
        <v>7540</v>
      </c>
      <c r="D208" s="230"/>
      <c r="E208" s="61"/>
      <c r="F208" s="61"/>
      <c r="G208" s="205"/>
      <c r="H208" s="59">
        <v>275.99</v>
      </c>
      <c r="I208" s="71"/>
      <c r="J208" s="198">
        <v>7812.8200000000006</v>
      </c>
      <c r="K208" s="72"/>
    </row>
    <row r="209" spans="1:13" ht="13.5" customHeight="1" x14ac:dyDescent="0.2">
      <c r="A209" s="180">
        <v>43233</v>
      </c>
      <c r="B209" s="9"/>
      <c r="C209" s="34" t="s">
        <v>1553</v>
      </c>
      <c r="D209" s="230"/>
      <c r="E209" s="61"/>
      <c r="F209" s="61"/>
      <c r="G209" s="205"/>
      <c r="H209" s="59">
        <v>5000</v>
      </c>
      <c r="I209" s="71"/>
      <c r="J209" s="198">
        <v>2812.8200000000006</v>
      </c>
      <c r="K209" s="72"/>
    </row>
    <row r="210" spans="1:13" ht="13.5" customHeight="1" x14ac:dyDescent="0.2">
      <c r="A210" s="180">
        <v>43234</v>
      </c>
      <c r="B210" s="70"/>
      <c r="C210" s="34" t="s">
        <v>7439</v>
      </c>
      <c r="D210" s="125"/>
      <c r="E210" s="67"/>
      <c r="F210" s="67"/>
      <c r="G210" s="178"/>
      <c r="H210" s="531">
        <v>1000</v>
      </c>
      <c r="I210" s="122"/>
      <c r="J210" s="198">
        <v>1812.8200000000006</v>
      </c>
      <c r="K210" s="72"/>
    </row>
    <row r="211" spans="1:13" ht="13.5" customHeight="1" x14ac:dyDescent="0.2">
      <c r="A211" s="180"/>
      <c r="B211" s="70"/>
      <c r="C211" s="34" t="s">
        <v>77</v>
      </c>
      <c r="D211" s="125"/>
      <c r="E211" s="67"/>
      <c r="F211" s="67"/>
      <c r="G211" s="178"/>
      <c r="H211" s="179"/>
      <c r="I211" s="73">
        <v>10000</v>
      </c>
      <c r="J211" s="198">
        <v>11812.82</v>
      </c>
      <c r="K211" s="72"/>
    </row>
    <row r="212" spans="1:13" ht="13.5" customHeight="1" x14ac:dyDescent="0.2">
      <c r="A212" s="180"/>
      <c r="B212" s="221"/>
      <c r="C212" s="34" t="s">
        <v>7697</v>
      </c>
      <c r="D212" s="522"/>
      <c r="E212" s="198"/>
      <c r="F212" s="198"/>
      <c r="G212" s="190"/>
      <c r="H212" s="197">
        <v>2000</v>
      </c>
      <c r="I212" s="122"/>
      <c r="J212" s="198">
        <v>9812.82</v>
      </c>
      <c r="K212" s="72"/>
    </row>
    <row r="213" spans="1:13" ht="13.5" customHeight="1" x14ac:dyDescent="0.2">
      <c r="A213" s="180"/>
      <c r="B213" s="221"/>
      <c r="C213" s="34" t="s">
        <v>7698</v>
      </c>
      <c r="D213" s="522"/>
      <c r="E213" s="198"/>
      <c r="F213" s="198"/>
      <c r="G213" s="190"/>
      <c r="H213" s="197"/>
      <c r="I213" s="122">
        <v>2700</v>
      </c>
      <c r="J213" s="198">
        <v>12512.82</v>
      </c>
      <c r="K213" s="72"/>
    </row>
    <row r="214" spans="1:13" ht="13.5" customHeight="1" x14ac:dyDescent="0.2">
      <c r="A214" s="180"/>
      <c r="B214" s="221"/>
      <c r="C214" s="34" t="s">
        <v>7699</v>
      </c>
      <c r="D214" s="522"/>
      <c r="E214" s="198"/>
      <c r="F214" s="198"/>
      <c r="G214" s="190"/>
      <c r="H214" s="197">
        <v>39</v>
      </c>
      <c r="I214" s="122"/>
      <c r="J214" s="198">
        <v>12473.82</v>
      </c>
      <c r="K214" s="72"/>
    </row>
    <row r="215" spans="1:13" ht="13.5" customHeight="1" x14ac:dyDescent="0.2">
      <c r="A215" s="180"/>
      <c r="B215" s="221"/>
      <c r="C215" s="34" t="s">
        <v>1002</v>
      </c>
      <c r="D215" s="522"/>
      <c r="E215" s="198"/>
      <c r="F215" s="198"/>
      <c r="G215" s="190"/>
      <c r="H215" s="197">
        <v>2625.67</v>
      </c>
      <c r="I215" s="122"/>
      <c r="J215" s="198">
        <v>9848.15</v>
      </c>
      <c r="K215" s="72"/>
    </row>
    <row r="216" spans="1:13" ht="13.5" customHeight="1" x14ac:dyDescent="0.2">
      <c r="A216" s="180"/>
      <c r="B216" s="221"/>
      <c r="C216" s="34" t="s">
        <v>7700</v>
      </c>
      <c r="D216" s="522"/>
      <c r="E216" s="198"/>
      <c r="F216" s="198"/>
      <c r="G216" s="190"/>
      <c r="H216" s="197">
        <v>100</v>
      </c>
      <c r="I216" s="122"/>
      <c r="J216" s="198">
        <v>9748.15</v>
      </c>
      <c r="K216" s="72"/>
    </row>
    <row r="217" spans="1:13" ht="13.5" customHeight="1" x14ac:dyDescent="0.2">
      <c r="A217" s="171">
        <v>43237</v>
      </c>
      <c r="B217" s="46"/>
      <c r="C217" s="34" t="s">
        <v>7701</v>
      </c>
      <c r="D217" s="229"/>
      <c r="E217" s="69"/>
      <c r="F217" s="69"/>
      <c r="G217" s="203"/>
      <c r="H217" s="68">
        <v>39.25</v>
      </c>
      <c r="I217" s="68"/>
      <c r="J217" s="198">
        <v>9708.9</v>
      </c>
      <c r="K217" s="72"/>
      <c r="L217" s="18"/>
      <c r="M217" s="18"/>
    </row>
    <row r="218" spans="1:13" ht="13.5" customHeight="1" x14ac:dyDescent="0.2">
      <c r="A218" s="171">
        <v>43238</v>
      </c>
      <c r="B218" s="46"/>
      <c r="C218" s="34" t="s">
        <v>7702</v>
      </c>
      <c r="D218" s="229"/>
      <c r="E218" s="69"/>
      <c r="F218" s="69"/>
      <c r="G218" s="203"/>
      <c r="H218" s="68">
        <v>3.9</v>
      </c>
      <c r="I218" s="68"/>
      <c r="J218" s="198">
        <v>9705</v>
      </c>
      <c r="K218" s="72"/>
      <c r="L218" s="18"/>
      <c r="M218" s="18"/>
    </row>
    <row r="219" spans="1:13" ht="13.5" customHeight="1" x14ac:dyDescent="0.2">
      <c r="A219" s="171"/>
      <c r="B219" s="46"/>
      <c r="C219" s="34" t="s">
        <v>7703</v>
      </c>
      <c r="D219" s="229"/>
      <c r="E219" s="69"/>
      <c r="F219" s="69"/>
      <c r="G219" s="203"/>
      <c r="H219" s="68">
        <v>22</v>
      </c>
      <c r="I219" s="68"/>
      <c r="J219" s="198">
        <v>9683</v>
      </c>
      <c r="K219" s="72"/>
      <c r="L219" s="18"/>
      <c r="M219" s="18"/>
    </row>
    <row r="220" spans="1:13" ht="13.5" customHeight="1" x14ac:dyDescent="0.2">
      <c r="A220" s="171"/>
      <c r="B220" s="46"/>
      <c r="C220" s="34" t="s">
        <v>7704</v>
      </c>
      <c r="D220" s="229"/>
      <c r="E220" s="69"/>
      <c r="F220" s="69"/>
      <c r="G220" s="203"/>
      <c r="H220" s="68">
        <v>30</v>
      </c>
      <c r="I220" s="68"/>
      <c r="J220" s="198">
        <v>9653</v>
      </c>
      <c r="K220" s="72"/>
      <c r="L220" s="18"/>
      <c r="M220" s="18"/>
    </row>
    <row r="221" spans="1:13" ht="13.5" customHeight="1" x14ac:dyDescent="0.2">
      <c r="A221" s="171">
        <v>43239</v>
      </c>
      <c r="B221" s="46"/>
      <c r="C221" s="34" t="s">
        <v>7705</v>
      </c>
      <c r="D221" s="229"/>
      <c r="E221" s="69"/>
      <c r="F221" s="69"/>
      <c r="G221" s="203"/>
      <c r="H221" s="68">
        <v>81</v>
      </c>
      <c r="I221" s="68"/>
      <c r="J221" s="198">
        <v>9572</v>
      </c>
      <c r="K221" s="72"/>
      <c r="L221" s="18"/>
      <c r="M221" s="18"/>
    </row>
    <row r="222" spans="1:13" ht="13.5" customHeight="1" x14ac:dyDescent="0.2">
      <c r="A222" s="171">
        <v>43241</v>
      </c>
      <c r="B222" s="46"/>
      <c r="C222" s="34" t="s">
        <v>7706</v>
      </c>
      <c r="D222" s="229"/>
      <c r="E222" s="69"/>
      <c r="F222" s="69"/>
      <c r="G222" s="203"/>
      <c r="H222" s="68">
        <v>390</v>
      </c>
      <c r="I222" s="68"/>
      <c r="J222" s="198">
        <v>9182</v>
      </c>
      <c r="K222" s="72"/>
      <c r="L222" s="18"/>
      <c r="M222" s="18"/>
    </row>
    <row r="223" spans="1:13" ht="13.5" customHeight="1" x14ac:dyDescent="0.2">
      <c r="A223" s="171"/>
      <c r="B223" s="46"/>
      <c r="C223" s="34" t="s">
        <v>7707</v>
      </c>
      <c r="D223" s="229"/>
      <c r="E223" s="69"/>
      <c r="F223" s="69"/>
      <c r="G223" s="203"/>
      <c r="H223" s="68">
        <v>210</v>
      </c>
      <c r="I223" s="68"/>
      <c r="J223" s="198">
        <v>8972</v>
      </c>
      <c r="K223" s="72"/>
      <c r="L223" s="18"/>
      <c r="M223" s="18"/>
    </row>
    <row r="224" spans="1:13" ht="13.5" customHeight="1" x14ac:dyDescent="0.2">
      <c r="A224" s="171">
        <v>43243</v>
      </c>
      <c r="B224" s="46"/>
      <c r="C224" s="34" t="s">
        <v>7439</v>
      </c>
      <c r="D224" s="229"/>
      <c r="E224" s="69"/>
      <c r="F224" s="69"/>
      <c r="G224" s="203"/>
      <c r="H224" s="412">
        <v>2000</v>
      </c>
      <c r="I224" s="68"/>
      <c r="J224" s="198">
        <v>6972</v>
      </c>
      <c r="K224" s="72"/>
      <c r="L224" s="18"/>
      <c r="M224" s="18"/>
    </row>
    <row r="225" spans="1:15" ht="13.5" customHeight="1" x14ac:dyDescent="0.2">
      <c r="A225" s="171"/>
      <c r="B225" s="46"/>
      <c r="C225" s="34" t="s">
        <v>7708</v>
      </c>
      <c r="D225" s="229"/>
      <c r="E225" s="69"/>
      <c r="F225" s="69"/>
      <c r="G225" s="203"/>
      <c r="H225" s="68">
        <v>172</v>
      </c>
      <c r="I225" s="68"/>
      <c r="J225" s="198">
        <v>6800</v>
      </c>
      <c r="K225" s="72"/>
      <c r="L225" s="18"/>
      <c r="M225" s="18"/>
    </row>
    <row r="226" spans="1:15" s="64" customFormat="1" ht="13.5" customHeight="1" x14ac:dyDescent="0.2">
      <c r="A226" s="1326">
        <v>43248</v>
      </c>
      <c r="B226" s="221"/>
      <c r="C226" s="138" t="s">
        <v>7709</v>
      </c>
      <c r="D226" s="522"/>
      <c r="E226" s="198"/>
      <c r="F226" s="198"/>
      <c r="G226" s="190"/>
      <c r="H226" s="197">
        <v>2000</v>
      </c>
      <c r="I226" s="197"/>
      <c r="J226" s="198">
        <v>4800</v>
      </c>
      <c r="K226" s="72"/>
      <c r="L226" s="66"/>
      <c r="M226" s="66"/>
      <c r="O226" s="65"/>
    </row>
    <row r="227" spans="1:15" s="64" customFormat="1" ht="13.5" customHeight="1" x14ac:dyDescent="0.2">
      <c r="A227" s="1326"/>
      <c r="B227" s="221"/>
      <c r="C227" s="138" t="s">
        <v>7710</v>
      </c>
      <c r="D227" s="522"/>
      <c r="E227" s="198"/>
      <c r="F227" s="198"/>
      <c r="G227" s="190"/>
      <c r="H227" s="197">
        <v>2000</v>
      </c>
      <c r="I227" s="197"/>
      <c r="J227" s="231">
        <v>2800</v>
      </c>
      <c r="K227" s="72"/>
      <c r="L227" s="66"/>
      <c r="M227" s="66"/>
      <c r="O227" s="65"/>
    </row>
    <row r="228" spans="1:15" ht="13.5" customHeight="1" thickBot="1" x14ac:dyDescent="0.25">
      <c r="A228" s="207"/>
      <c r="B228" s="207"/>
      <c r="C228" s="208"/>
      <c r="D228" s="208"/>
      <c r="E228" s="208"/>
      <c r="F228" s="208"/>
      <c r="G228" s="210"/>
      <c r="H228" s="211"/>
      <c r="I228" s="211"/>
      <c r="J228" s="212"/>
    </row>
    <row r="229" spans="1:15" ht="13.5" customHeight="1" thickBot="1" x14ac:dyDescent="0.25">
      <c r="A229" s="213"/>
      <c r="B229" s="214"/>
      <c r="C229" s="215" t="s">
        <v>539</v>
      </c>
      <c r="D229" s="216"/>
      <c r="E229" s="187"/>
      <c r="F229" s="187"/>
      <c r="G229" s="217" t="s">
        <v>7</v>
      </c>
      <c r="H229" s="187"/>
      <c r="I229" s="187"/>
      <c r="J229" s="189"/>
    </row>
    <row r="230" spans="1:15" ht="13.5" customHeight="1" x14ac:dyDescent="0.2">
      <c r="A230" s="74" t="s">
        <v>540</v>
      </c>
      <c r="B230" s="74"/>
      <c r="C230" s="218" t="s">
        <v>541</v>
      </c>
      <c r="D230" s="219"/>
      <c r="E230" s="220"/>
      <c r="F230" s="220"/>
      <c r="G230" s="75">
        <v>11132.4</v>
      </c>
      <c r="H230" s="220"/>
      <c r="I230" s="220"/>
      <c r="J230" s="220"/>
      <c r="L230" s="72"/>
    </row>
    <row r="231" spans="1:15" ht="13.5" customHeight="1" x14ac:dyDescent="0.2">
      <c r="A231" s="221" t="s">
        <v>540</v>
      </c>
      <c r="B231" s="70"/>
      <c r="C231" s="63" t="s">
        <v>542</v>
      </c>
      <c r="D231" s="50"/>
      <c r="E231" s="13"/>
      <c r="F231" s="13"/>
      <c r="G231" s="75">
        <v>7393.86</v>
      </c>
      <c r="H231" s="13"/>
      <c r="I231" s="13"/>
      <c r="J231" s="13"/>
      <c r="L231" s="72"/>
    </row>
    <row r="232" spans="1:15" ht="13.5" customHeight="1" x14ac:dyDescent="0.2">
      <c r="A232" s="70"/>
      <c r="B232" s="70"/>
      <c r="C232" s="222" t="s">
        <v>543</v>
      </c>
      <c r="D232" s="50"/>
      <c r="E232" s="13"/>
      <c r="F232" s="13"/>
      <c r="G232" s="14">
        <v>18526.259999999998</v>
      </c>
      <c r="H232" s="13"/>
      <c r="I232" s="13"/>
      <c r="J232" s="13"/>
      <c r="L232" s="72"/>
    </row>
    <row r="233" spans="1:15" ht="13.5" customHeight="1" x14ac:dyDescent="0.2">
      <c r="A233" s="70"/>
      <c r="B233" s="70"/>
      <c r="C233" s="63"/>
      <c r="D233" s="50"/>
      <c r="E233" s="13"/>
      <c r="F233" s="13"/>
      <c r="G233" s="14"/>
      <c r="H233" s="13"/>
      <c r="I233" s="13"/>
      <c r="J233" s="13"/>
      <c r="L233" s="18"/>
    </row>
    <row r="234" spans="1:15" ht="13.5" customHeight="1" x14ac:dyDescent="0.2">
      <c r="A234" s="70"/>
      <c r="B234" s="70"/>
      <c r="C234" s="222" t="s">
        <v>544</v>
      </c>
      <c r="D234" s="50"/>
      <c r="E234" s="13"/>
      <c r="F234" s="13"/>
      <c r="G234" s="14">
        <v>5453.92</v>
      </c>
      <c r="H234" s="13"/>
      <c r="I234" s="13"/>
      <c r="J234" s="13"/>
    </row>
    <row r="235" spans="1:15" ht="13.5" customHeight="1" x14ac:dyDescent="0.2">
      <c r="A235" s="70"/>
      <c r="B235" s="70"/>
      <c r="C235" s="63"/>
      <c r="D235" s="50"/>
      <c r="E235" s="13"/>
      <c r="F235" s="13"/>
      <c r="G235" s="75"/>
      <c r="H235" s="13"/>
      <c r="I235" s="13"/>
      <c r="J235" s="13"/>
    </row>
    <row r="236" spans="1:15" ht="13.5" customHeight="1" x14ac:dyDescent="0.2">
      <c r="A236" s="76"/>
      <c r="B236" s="76"/>
      <c r="C236" s="222" t="s">
        <v>545</v>
      </c>
      <c r="D236" s="78"/>
      <c r="E236" s="78"/>
      <c r="F236" s="78"/>
      <c r="G236" s="14">
        <v>23980.18</v>
      </c>
      <c r="H236" s="77"/>
      <c r="I236" s="77"/>
      <c r="J236" s="13"/>
    </row>
    <row r="237" spans="1:15" ht="13.5" customHeight="1" thickBot="1" x14ac:dyDescent="0.25">
      <c r="A237" s="76"/>
      <c r="B237" s="76"/>
      <c r="C237" s="78"/>
      <c r="D237" s="78"/>
      <c r="E237" s="78"/>
      <c r="F237" s="78"/>
      <c r="G237" s="75"/>
      <c r="H237" s="77"/>
      <c r="I237" s="77"/>
      <c r="J237" s="13"/>
    </row>
    <row r="238" spans="1:15" ht="13.5" customHeight="1" thickBot="1" x14ac:dyDescent="0.25">
      <c r="A238" s="1060" t="s">
        <v>5829</v>
      </c>
      <c r="B238" s="214"/>
      <c r="C238" s="215" t="s">
        <v>5843</v>
      </c>
      <c r="D238" s="216"/>
      <c r="E238" s="187"/>
      <c r="F238" s="187"/>
      <c r="G238" s="217" t="s">
        <v>7</v>
      </c>
      <c r="H238" s="187"/>
      <c r="I238" s="187"/>
      <c r="J238" s="189"/>
    </row>
    <row r="239" spans="1:15" ht="13.5" customHeight="1" x14ac:dyDescent="0.2">
      <c r="A239" s="70"/>
      <c r="B239" s="70"/>
      <c r="C239" s="63" t="s">
        <v>5831</v>
      </c>
      <c r="D239" s="50"/>
      <c r="E239" s="13"/>
      <c r="F239" s="13"/>
      <c r="G239" s="75">
        <v>6000</v>
      </c>
      <c r="H239" s="13"/>
      <c r="I239" s="13"/>
      <c r="J239" s="13"/>
    </row>
    <row r="240" spans="1:15" ht="13.5" customHeight="1" x14ac:dyDescent="0.2">
      <c r="A240" s="79">
        <v>42594</v>
      </c>
      <c r="B240" s="70"/>
      <c r="C240" s="63" t="s">
        <v>5844</v>
      </c>
      <c r="D240" s="50"/>
      <c r="E240" s="13">
        <v>2000</v>
      </c>
      <c r="F240" s="13"/>
      <c r="G240" s="75">
        <v>4000</v>
      </c>
      <c r="H240" s="13"/>
      <c r="I240" s="13"/>
      <c r="J240" s="13"/>
    </row>
    <row r="241" spans="1:10" ht="13.5" customHeight="1" x14ac:dyDescent="0.2">
      <c r="A241" s="79">
        <v>42682</v>
      </c>
      <c r="B241" s="79"/>
      <c r="C241" s="63" t="s">
        <v>5845</v>
      </c>
      <c r="D241" s="78"/>
      <c r="E241" s="13">
        <v>3500</v>
      </c>
      <c r="F241" s="13"/>
      <c r="G241" s="75">
        <v>500</v>
      </c>
      <c r="H241" s="77"/>
      <c r="I241" s="77"/>
      <c r="J241" s="13"/>
    </row>
    <row r="242" spans="1:10" ht="13.5" customHeight="1" x14ac:dyDescent="0.2">
      <c r="A242" s="79"/>
      <c r="B242" s="79"/>
      <c r="C242" s="78"/>
      <c r="D242" s="78"/>
      <c r="E242" s="78"/>
      <c r="F242" s="78"/>
      <c r="G242" s="75"/>
      <c r="H242" s="77"/>
      <c r="I242" s="77"/>
      <c r="J242" s="13"/>
    </row>
    <row r="243" spans="1:10" ht="13.5" customHeight="1" x14ac:dyDescent="0.2">
      <c r="A243" s="79"/>
      <c r="B243" s="79"/>
      <c r="C243" s="78"/>
      <c r="D243" s="78"/>
      <c r="E243" s="78"/>
      <c r="F243" s="78"/>
      <c r="G243" s="75"/>
      <c r="H243" s="77"/>
      <c r="I243" s="77"/>
      <c r="J243" s="13"/>
    </row>
    <row r="244" spans="1:10" ht="13.5" customHeight="1" x14ac:dyDescent="0.2">
      <c r="A244" s="79"/>
      <c r="B244" s="79"/>
      <c r="C244" s="78"/>
      <c r="D244" s="78"/>
      <c r="E244" s="13"/>
      <c r="F244" s="13"/>
      <c r="G244" s="75"/>
      <c r="H244" s="77"/>
      <c r="I244" s="77"/>
      <c r="J244" s="13"/>
    </row>
    <row r="245" spans="1:10" ht="13.5" customHeight="1" x14ac:dyDescent="0.2">
      <c r="A245" s="74"/>
      <c r="B245" s="80"/>
      <c r="C245" s="81"/>
      <c r="D245" s="50"/>
      <c r="E245" s="13"/>
      <c r="F245" s="13"/>
      <c r="G245" s="75"/>
      <c r="H245" s="13"/>
      <c r="I245" s="13"/>
      <c r="J245" s="13"/>
    </row>
    <row r="246" spans="1:10" ht="13.5" customHeight="1" x14ac:dyDescent="0.2">
      <c r="A246" s="79"/>
      <c r="B246" s="79"/>
      <c r="C246" s="78"/>
      <c r="D246" s="78"/>
      <c r="E246" s="13"/>
      <c r="F246" s="13"/>
      <c r="G246" s="75"/>
      <c r="H246" s="77"/>
      <c r="I246" s="77"/>
      <c r="J246" s="13"/>
    </row>
    <row r="247" spans="1:10" ht="13.5" customHeight="1" x14ac:dyDescent="0.2">
      <c r="A247" s="79"/>
      <c r="B247" s="79"/>
      <c r="C247" s="78"/>
      <c r="D247" s="78"/>
      <c r="E247" s="13"/>
      <c r="F247" s="13"/>
      <c r="G247" s="75"/>
      <c r="H247" s="77"/>
      <c r="I247" s="77"/>
      <c r="J247" s="13"/>
    </row>
    <row r="248" spans="1:10" ht="13.5" customHeight="1" x14ac:dyDescent="0.2">
      <c r="A248" s="79"/>
      <c r="B248" s="79"/>
      <c r="C248" s="78"/>
      <c r="D248" s="78"/>
      <c r="E248" s="78"/>
      <c r="F248" s="78"/>
      <c r="G248" s="75"/>
      <c r="H248" s="77"/>
      <c r="I248" s="77"/>
      <c r="J248" s="13"/>
    </row>
    <row r="249" spans="1:10" ht="13.5" customHeight="1" x14ac:dyDescent="0.2">
      <c r="A249" s="79"/>
      <c r="B249" s="79"/>
      <c r="C249" s="78"/>
      <c r="D249" s="78"/>
      <c r="E249" s="78"/>
      <c r="F249" s="78"/>
      <c r="G249" s="75"/>
      <c r="H249" s="77"/>
      <c r="I249" s="77"/>
      <c r="J249" s="13"/>
    </row>
    <row r="250" spans="1:10" ht="13.5" customHeight="1" x14ac:dyDescent="0.2">
      <c r="A250" s="79"/>
      <c r="B250" s="79"/>
      <c r="C250" s="78"/>
      <c r="D250" s="78"/>
      <c r="E250" s="78"/>
      <c r="F250" s="78"/>
      <c r="G250" s="75"/>
      <c r="H250" s="77"/>
      <c r="I250" s="77"/>
      <c r="J250" s="13"/>
    </row>
    <row r="251" spans="1:10" ht="13.5" customHeight="1" x14ac:dyDescent="0.2">
      <c r="A251" s="79"/>
      <c r="B251" s="79"/>
      <c r="C251" s="78"/>
      <c r="D251" s="78"/>
      <c r="E251" s="78"/>
      <c r="F251" s="78"/>
      <c r="G251" s="75"/>
      <c r="H251" s="77"/>
      <c r="I251" s="77"/>
      <c r="J251" s="13"/>
    </row>
    <row r="252" spans="1:10" ht="13.5" customHeight="1" x14ac:dyDescent="0.2">
      <c r="A252" s="79"/>
      <c r="B252" s="79"/>
      <c r="C252" s="78"/>
      <c r="D252" s="78"/>
      <c r="E252" s="78"/>
      <c r="F252" s="78"/>
      <c r="G252" s="75"/>
      <c r="H252" s="77"/>
      <c r="I252" s="77"/>
      <c r="J252" s="13"/>
    </row>
    <row r="253" spans="1:10" ht="13.5" customHeight="1" x14ac:dyDescent="0.2">
      <c r="A253" s="79"/>
      <c r="B253" s="79"/>
      <c r="C253" s="78"/>
      <c r="D253" s="78"/>
      <c r="E253" s="78"/>
      <c r="F253" s="78"/>
      <c r="G253" s="14"/>
      <c r="H253" s="77"/>
      <c r="I253" s="77"/>
      <c r="J253" s="130"/>
    </row>
    <row r="254" spans="1:10" ht="13.5" customHeight="1" x14ac:dyDescent="0.2">
      <c r="A254" s="70"/>
      <c r="B254" s="70"/>
      <c r="C254" s="63"/>
      <c r="D254" s="50"/>
      <c r="E254" s="13"/>
      <c r="F254" s="13"/>
      <c r="G254" s="75"/>
      <c r="H254" s="82"/>
      <c r="I254" s="13"/>
      <c r="J254" s="13"/>
    </row>
    <row r="255" spans="1:10" ht="13.5" customHeight="1" x14ac:dyDescent="0.2">
      <c r="A255" s="70"/>
      <c r="B255" s="70"/>
      <c r="C255" s="63"/>
      <c r="D255" s="50"/>
      <c r="E255" s="13"/>
      <c r="F255" s="13"/>
      <c r="G255" s="75"/>
      <c r="H255" s="82"/>
      <c r="I255" s="13"/>
      <c r="J255" s="13"/>
    </row>
    <row r="256" spans="1:10" ht="13.5" customHeight="1" x14ac:dyDescent="0.2">
      <c r="A256" s="70"/>
      <c r="B256" s="70"/>
      <c r="C256" s="63"/>
      <c r="D256" s="50"/>
      <c r="E256" s="13"/>
      <c r="F256" s="13"/>
      <c r="G256" s="75"/>
      <c r="H256" s="82"/>
      <c r="I256" s="13"/>
      <c r="J256" s="13"/>
    </row>
    <row r="257" spans="1:10" ht="13.5" customHeight="1" x14ac:dyDescent="0.2">
      <c r="A257" s="70"/>
      <c r="B257" s="70"/>
      <c r="C257" s="63"/>
      <c r="D257" s="50"/>
      <c r="E257" s="13"/>
      <c r="F257" s="13"/>
      <c r="G257" s="75"/>
      <c r="H257" s="82"/>
      <c r="I257" s="13"/>
      <c r="J257" s="13"/>
    </row>
    <row r="258" spans="1:10" ht="13.5" customHeight="1" x14ac:dyDescent="0.2">
      <c r="A258" s="70"/>
      <c r="B258" s="70"/>
      <c r="C258" s="63"/>
      <c r="D258" s="50"/>
      <c r="E258" s="13"/>
      <c r="F258" s="13"/>
      <c r="G258" s="75"/>
      <c r="H258" s="82"/>
      <c r="I258" s="13"/>
      <c r="J258" s="13"/>
    </row>
    <row r="259" spans="1:10" ht="13.5" customHeight="1" x14ac:dyDescent="0.2">
      <c r="A259" s="70"/>
      <c r="B259" s="70"/>
      <c r="C259" s="63"/>
      <c r="D259" s="50"/>
      <c r="E259" s="13"/>
      <c r="F259" s="13"/>
      <c r="G259" s="75"/>
      <c r="H259" s="82"/>
      <c r="I259" s="13"/>
      <c r="J259" s="13"/>
    </row>
    <row r="260" spans="1:10" ht="13.5" customHeight="1" x14ac:dyDescent="0.2">
      <c r="A260" s="70"/>
      <c r="B260" s="70"/>
      <c r="C260" s="63"/>
      <c r="D260" s="50"/>
      <c r="E260" s="13"/>
      <c r="F260" s="13"/>
      <c r="G260" s="75"/>
      <c r="H260" s="82"/>
      <c r="I260" s="13"/>
      <c r="J260" s="13"/>
    </row>
    <row r="261" spans="1:10" ht="13.5" customHeight="1" x14ac:dyDescent="0.2">
      <c r="A261" s="70"/>
      <c r="B261" s="70"/>
      <c r="C261" s="63"/>
      <c r="D261" s="50"/>
      <c r="E261" s="13"/>
      <c r="F261" s="13"/>
      <c r="G261" s="75"/>
      <c r="H261" s="82"/>
      <c r="I261" s="13"/>
      <c r="J261" s="13"/>
    </row>
    <row r="262" spans="1:10" ht="13.5" customHeight="1" x14ac:dyDescent="0.2">
      <c r="A262" s="70"/>
      <c r="B262" s="70"/>
      <c r="C262" s="63"/>
      <c r="D262" s="50"/>
      <c r="E262" s="13"/>
      <c r="F262" s="13"/>
      <c r="G262" s="75"/>
      <c r="H262" s="82"/>
      <c r="I262" s="13"/>
      <c r="J262" s="13"/>
    </row>
    <row r="263" spans="1:10" ht="13.5" customHeight="1" x14ac:dyDescent="0.2">
      <c r="A263" s="70"/>
      <c r="B263" s="70"/>
      <c r="C263" s="63"/>
      <c r="D263" s="50"/>
      <c r="E263" s="13"/>
      <c r="F263" s="13"/>
      <c r="G263" s="75"/>
      <c r="H263" s="82"/>
      <c r="I263" s="13"/>
      <c r="J263" s="13"/>
    </row>
    <row r="264" spans="1:10" ht="13.5" customHeight="1" x14ac:dyDescent="0.2">
      <c r="A264" s="70"/>
      <c r="B264" s="70"/>
      <c r="C264" s="63"/>
      <c r="D264" s="50"/>
      <c r="E264" s="13"/>
      <c r="F264" s="13"/>
      <c r="G264" s="75"/>
      <c r="H264" s="82"/>
      <c r="I264" s="13"/>
      <c r="J264" s="13"/>
    </row>
    <row r="265" spans="1:10" ht="13.5" customHeight="1" x14ac:dyDescent="0.2">
      <c r="A265" s="70"/>
      <c r="B265" s="70"/>
      <c r="C265" s="63"/>
      <c r="D265" s="50"/>
      <c r="E265" s="13"/>
      <c r="F265" s="13"/>
      <c r="G265" s="75"/>
      <c r="H265" s="82"/>
      <c r="I265" s="13"/>
      <c r="J265" s="13"/>
    </row>
    <row r="266" spans="1:10" ht="13.5" customHeight="1" x14ac:dyDescent="0.2">
      <c r="A266" s="70"/>
      <c r="B266" s="70"/>
      <c r="C266" s="63"/>
      <c r="D266" s="50"/>
      <c r="E266" s="13"/>
      <c r="F266" s="13"/>
      <c r="G266" s="75"/>
      <c r="H266" s="82"/>
      <c r="I266" s="13"/>
      <c r="J266" s="13"/>
    </row>
    <row r="267" spans="1:10" ht="13.5" customHeight="1" x14ac:dyDescent="0.2">
      <c r="A267" s="70"/>
      <c r="B267" s="70"/>
      <c r="C267" s="63"/>
      <c r="D267" s="50"/>
      <c r="E267" s="13"/>
      <c r="F267" s="13"/>
      <c r="G267" s="75"/>
      <c r="H267" s="82"/>
      <c r="I267" s="13"/>
      <c r="J267" s="13"/>
    </row>
    <row r="268" spans="1:10" ht="13.5" customHeight="1" x14ac:dyDescent="0.2">
      <c r="A268" s="70"/>
      <c r="B268" s="70"/>
      <c r="C268" s="63"/>
      <c r="D268" s="50"/>
      <c r="E268" s="13"/>
      <c r="F268" s="13"/>
      <c r="G268" s="75"/>
      <c r="H268" s="82"/>
      <c r="I268" s="13"/>
      <c r="J268" s="13"/>
    </row>
    <row r="269" spans="1:10" ht="13.5" customHeight="1" x14ac:dyDescent="0.2">
      <c r="A269" s="70"/>
      <c r="B269" s="70"/>
      <c r="C269" s="63"/>
      <c r="D269" s="50"/>
      <c r="E269" s="13"/>
      <c r="F269" s="13"/>
      <c r="G269" s="75"/>
      <c r="H269" s="82"/>
      <c r="I269" s="13"/>
      <c r="J269" s="13"/>
    </row>
    <row r="270" spans="1:10" ht="13.5" customHeight="1" x14ac:dyDescent="0.2">
      <c r="A270" s="70"/>
      <c r="B270" s="70"/>
      <c r="C270" s="63"/>
      <c r="D270" s="50"/>
      <c r="E270" s="13"/>
      <c r="F270" s="13"/>
      <c r="G270" s="75"/>
      <c r="H270" s="82"/>
      <c r="I270" s="13"/>
      <c r="J270" s="13"/>
    </row>
    <row r="271" spans="1:10" ht="13.5" customHeight="1" x14ac:dyDescent="0.2">
      <c r="A271" s="70"/>
      <c r="B271" s="70"/>
      <c r="C271" s="63"/>
      <c r="D271" s="50"/>
      <c r="E271" s="13"/>
      <c r="F271" s="13"/>
      <c r="G271" s="75"/>
      <c r="H271" s="82"/>
      <c r="I271" s="13"/>
      <c r="J271" s="13"/>
    </row>
    <row r="272" spans="1:10" ht="13.5" customHeight="1" x14ac:dyDescent="0.2">
      <c r="A272" s="70"/>
      <c r="B272" s="70"/>
      <c r="C272" s="63"/>
      <c r="D272" s="50"/>
      <c r="E272" s="13"/>
      <c r="F272" s="13"/>
      <c r="G272" s="75"/>
      <c r="H272" s="82"/>
      <c r="I272" s="13"/>
      <c r="J272" s="13"/>
    </row>
    <row r="273" spans="1:10" ht="13.5" customHeight="1" x14ac:dyDescent="0.2">
      <c r="A273" s="70"/>
      <c r="B273" s="70"/>
      <c r="C273" s="63"/>
      <c r="D273" s="50"/>
      <c r="E273" s="13"/>
      <c r="F273" s="13"/>
      <c r="G273" s="75"/>
      <c r="H273" s="82"/>
      <c r="I273" s="13"/>
      <c r="J273" s="13"/>
    </row>
    <row r="274" spans="1:10" ht="13.5" customHeight="1" x14ac:dyDescent="0.2">
      <c r="A274" s="70"/>
      <c r="B274" s="70"/>
      <c r="C274" s="63"/>
      <c r="D274" s="50"/>
      <c r="E274" s="13"/>
      <c r="F274" s="13"/>
      <c r="G274" s="75"/>
      <c r="H274" s="82"/>
      <c r="I274" s="13"/>
      <c r="J274" s="13"/>
    </row>
    <row r="275" spans="1:10" ht="13.5" customHeight="1" x14ac:dyDescent="0.2">
      <c r="A275" s="70"/>
      <c r="B275" s="70"/>
      <c r="C275" s="63"/>
      <c r="D275" s="50"/>
      <c r="E275" s="13"/>
      <c r="F275" s="13"/>
      <c r="G275" s="75"/>
      <c r="H275" s="82"/>
      <c r="I275" s="13"/>
      <c r="J275" s="13"/>
    </row>
    <row r="276" spans="1:10" ht="13.5" customHeight="1" x14ac:dyDescent="0.2">
      <c r="A276" s="70"/>
      <c r="B276" s="70"/>
      <c r="C276" s="63"/>
      <c r="D276" s="50"/>
      <c r="E276" s="13"/>
      <c r="F276" s="13"/>
      <c r="G276" s="75"/>
      <c r="H276" s="82"/>
      <c r="I276" s="13"/>
      <c r="J276" s="13"/>
    </row>
    <row r="277" spans="1:10" ht="13.5" customHeight="1" x14ac:dyDescent="0.2">
      <c r="A277" s="70"/>
      <c r="B277" s="70"/>
      <c r="C277" s="63"/>
      <c r="D277" s="50"/>
      <c r="E277" s="13"/>
      <c r="F277" s="13"/>
      <c r="G277" s="75"/>
      <c r="H277" s="82"/>
      <c r="I277" s="13"/>
      <c r="J277" s="13"/>
    </row>
    <row r="278" spans="1:10" ht="13.5" customHeight="1" x14ac:dyDescent="0.2">
      <c r="A278" s="70"/>
      <c r="B278" s="70"/>
      <c r="C278" s="63"/>
      <c r="D278" s="50"/>
      <c r="E278" s="13"/>
      <c r="F278" s="13"/>
      <c r="G278" s="75"/>
      <c r="H278" s="82"/>
      <c r="I278" s="13"/>
      <c r="J278" s="13"/>
    </row>
    <row r="279" spans="1:10" ht="13.5" customHeight="1" x14ac:dyDescent="0.2">
      <c r="A279" s="70"/>
      <c r="B279" s="70"/>
      <c r="C279" s="63"/>
      <c r="D279" s="50"/>
      <c r="E279" s="13"/>
      <c r="F279" s="13"/>
      <c r="G279" s="75"/>
      <c r="H279" s="82"/>
      <c r="I279" s="13"/>
      <c r="J279" s="13"/>
    </row>
    <row r="280" spans="1:10" ht="13.5" customHeight="1" x14ac:dyDescent="0.2">
      <c r="A280" s="70"/>
      <c r="B280" s="70"/>
      <c r="C280" s="63"/>
      <c r="D280" s="50"/>
      <c r="E280" s="13"/>
      <c r="F280" s="13"/>
      <c r="G280" s="75"/>
      <c r="H280" s="82"/>
      <c r="I280" s="13"/>
      <c r="J280" s="13"/>
    </row>
    <row r="281" spans="1:10" ht="13.5" customHeight="1" x14ac:dyDescent="0.2">
      <c r="A281" s="70"/>
      <c r="B281" s="70"/>
      <c r="C281" s="63"/>
      <c r="D281" s="50"/>
      <c r="E281" s="13"/>
      <c r="F281" s="13"/>
      <c r="G281" s="75"/>
      <c r="H281" s="82"/>
      <c r="I281" s="13"/>
      <c r="J281" s="13"/>
    </row>
    <row r="282" spans="1:10" ht="13.5" customHeight="1" x14ac:dyDescent="0.2">
      <c r="A282" s="70"/>
      <c r="B282" s="70"/>
      <c r="C282" s="63"/>
      <c r="D282" s="50"/>
      <c r="E282" s="13"/>
      <c r="F282" s="13"/>
      <c r="G282" s="75"/>
      <c r="H282" s="82"/>
      <c r="I282" s="13"/>
      <c r="J282" s="13"/>
    </row>
    <row r="283" spans="1:10" ht="13.5" customHeight="1" x14ac:dyDescent="0.2">
      <c r="A283" s="70"/>
      <c r="B283" s="70"/>
      <c r="C283" s="63"/>
      <c r="D283" s="50"/>
      <c r="E283" s="13"/>
      <c r="F283" s="13"/>
      <c r="G283" s="75"/>
      <c r="H283" s="82"/>
      <c r="I283" s="13"/>
      <c r="J283" s="13"/>
    </row>
    <row r="284" spans="1:10" ht="13.5" customHeight="1" x14ac:dyDescent="0.2">
      <c r="A284" s="70"/>
      <c r="B284" s="70"/>
      <c r="C284" s="63"/>
      <c r="D284" s="50"/>
      <c r="E284" s="13"/>
      <c r="F284" s="13"/>
      <c r="G284" s="75"/>
      <c r="H284" s="82"/>
      <c r="I284" s="13"/>
      <c r="J284" s="13"/>
    </row>
    <row r="285" spans="1:10" ht="13.5" customHeight="1" x14ac:dyDescent="0.2">
      <c r="A285" s="70"/>
      <c r="B285" s="70"/>
      <c r="C285" s="63"/>
      <c r="D285" s="50"/>
      <c r="E285" s="13"/>
      <c r="F285" s="13"/>
      <c r="G285" s="75"/>
      <c r="H285" s="82"/>
      <c r="I285" s="13"/>
      <c r="J285" s="13"/>
    </row>
    <row r="286" spans="1:10" ht="13.5" customHeight="1" x14ac:dyDescent="0.2">
      <c r="A286" s="70"/>
      <c r="B286" s="70"/>
      <c r="C286" s="63"/>
      <c r="D286" s="50"/>
      <c r="E286" s="13"/>
      <c r="F286" s="13"/>
      <c r="G286" s="75"/>
      <c r="H286" s="82"/>
      <c r="I286" s="13"/>
      <c r="J286" s="13"/>
    </row>
    <row r="287" spans="1:10" ht="13.5" customHeight="1" x14ac:dyDescent="0.2">
      <c r="A287" s="70"/>
      <c r="B287" s="70"/>
      <c r="C287" s="63"/>
      <c r="D287" s="50"/>
      <c r="E287" s="13"/>
      <c r="F287" s="13"/>
      <c r="G287" s="75"/>
      <c r="H287" s="82"/>
      <c r="I287" s="13"/>
      <c r="J287" s="13"/>
    </row>
    <row r="288" spans="1:10" ht="13.5" customHeight="1" x14ac:dyDescent="0.2">
      <c r="A288" s="70"/>
      <c r="B288" s="70"/>
      <c r="C288" s="63"/>
      <c r="D288" s="50"/>
      <c r="E288" s="13"/>
      <c r="F288" s="13"/>
      <c r="G288" s="75"/>
      <c r="H288" s="82"/>
      <c r="I288" s="13"/>
      <c r="J288" s="13"/>
    </row>
    <row r="289" spans="1:10" ht="13.5" customHeight="1" x14ac:dyDescent="0.2">
      <c r="A289" s="70"/>
      <c r="B289" s="70"/>
      <c r="C289" s="63"/>
      <c r="D289" s="50"/>
      <c r="E289" s="13"/>
      <c r="F289" s="13"/>
      <c r="G289" s="75"/>
      <c r="H289" s="82"/>
      <c r="I289" s="13"/>
      <c r="J289" s="13"/>
    </row>
    <row r="290" spans="1:10" ht="13.5" customHeight="1" x14ac:dyDescent="0.2">
      <c r="A290" s="70"/>
      <c r="B290" s="70"/>
      <c r="C290" s="63"/>
      <c r="D290" s="50"/>
      <c r="E290" s="13"/>
      <c r="F290" s="13"/>
      <c r="G290" s="75"/>
      <c r="H290" s="82"/>
      <c r="I290" s="13"/>
      <c r="J290" s="13"/>
    </row>
    <row r="291" spans="1:10" ht="13.5" customHeight="1" x14ac:dyDescent="0.2">
      <c r="A291" s="70"/>
      <c r="B291" s="70"/>
      <c r="C291" s="63"/>
      <c r="D291" s="50"/>
      <c r="E291" s="13"/>
      <c r="F291" s="13"/>
      <c r="G291" s="75"/>
      <c r="H291" s="82"/>
      <c r="I291" s="13"/>
      <c r="J291" s="13"/>
    </row>
    <row r="292" spans="1:10" ht="13.5" customHeight="1" x14ac:dyDescent="0.2">
      <c r="A292" s="70"/>
      <c r="B292" s="70"/>
      <c r="C292" s="63"/>
      <c r="D292" s="50"/>
      <c r="E292" s="13"/>
      <c r="F292" s="13"/>
      <c r="G292" s="75"/>
      <c r="H292" s="82"/>
      <c r="I292" s="13"/>
      <c r="J292" s="13"/>
    </row>
    <row r="293" spans="1:10" ht="13.5" customHeight="1" x14ac:dyDescent="0.2">
      <c r="A293" s="70"/>
      <c r="B293" s="70"/>
      <c r="C293" s="63"/>
      <c r="D293" s="50"/>
      <c r="E293" s="13"/>
      <c r="F293" s="13"/>
      <c r="G293" s="75"/>
      <c r="H293" s="82"/>
      <c r="I293" s="13"/>
      <c r="J293" s="13"/>
    </row>
    <row r="294" spans="1:10" ht="13.5" customHeight="1" x14ac:dyDescent="0.2">
      <c r="A294" s="70"/>
      <c r="B294" s="70"/>
      <c r="C294" s="63"/>
      <c r="D294" s="50"/>
      <c r="E294" s="13"/>
      <c r="F294" s="13"/>
      <c r="G294" s="75"/>
      <c r="H294" s="83"/>
      <c r="I294" s="13"/>
      <c r="J294" s="13"/>
    </row>
    <row r="295" spans="1:10" ht="13.5" customHeight="1" x14ac:dyDescent="0.2">
      <c r="A295" s="70"/>
      <c r="B295" s="70"/>
      <c r="C295" s="63"/>
      <c r="D295" s="50"/>
      <c r="E295" s="13"/>
      <c r="F295" s="13"/>
      <c r="G295" s="75"/>
      <c r="H295" s="83"/>
      <c r="I295" s="13"/>
      <c r="J295" s="13"/>
    </row>
    <row r="296" spans="1:10" ht="13.5" customHeight="1" x14ac:dyDescent="0.2">
      <c r="A296" s="131"/>
      <c r="B296" s="70"/>
      <c r="C296" s="64"/>
      <c r="D296" s="50"/>
      <c r="E296" s="13"/>
      <c r="F296" s="13"/>
      <c r="G296" s="75"/>
      <c r="H296" s="84"/>
      <c r="I296" s="13"/>
      <c r="J296" s="13"/>
    </row>
    <row r="297" spans="1:10" ht="13.5" customHeight="1" x14ac:dyDescent="0.2">
      <c r="A297" s="70"/>
      <c r="B297" s="70"/>
      <c r="C297" s="63"/>
      <c r="D297" s="50"/>
      <c r="E297" s="13"/>
      <c r="F297" s="13"/>
      <c r="G297" s="75"/>
      <c r="H297" s="83"/>
      <c r="I297" s="13"/>
      <c r="J297" s="13"/>
    </row>
    <row r="298" spans="1:10" ht="13.5" customHeight="1" x14ac:dyDescent="0.2">
      <c r="A298" s="70"/>
      <c r="B298" s="70"/>
      <c r="C298" s="63"/>
      <c r="D298" s="50"/>
      <c r="E298" s="13"/>
      <c r="F298" s="13"/>
      <c r="G298" s="75"/>
      <c r="H298" s="83"/>
      <c r="I298" s="13"/>
      <c r="J298" s="13"/>
    </row>
    <row r="299" spans="1:10" ht="13.5" customHeight="1" x14ac:dyDescent="0.2">
      <c r="A299" s="131"/>
      <c r="B299" s="70"/>
      <c r="C299" s="85"/>
      <c r="D299" s="50"/>
      <c r="E299" s="13"/>
      <c r="F299" s="13"/>
      <c r="G299" s="75"/>
      <c r="H299" s="83"/>
      <c r="I299" s="13"/>
      <c r="J299" s="13"/>
    </row>
    <row r="300" spans="1:10" ht="13.5" customHeight="1" x14ac:dyDescent="0.2">
      <c r="A300" s="131"/>
      <c r="B300" s="70"/>
      <c r="C300" s="63"/>
      <c r="D300" s="50"/>
      <c r="E300" s="13"/>
      <c r="F300" s="13"/>
      <c r="G300" s="75"/>
      <c r="H300" s="83"/>
      <c r="I300" s="13"/>
      <c r="J300" s="13"/>
    </row>
    <row r="301" spans="1:10" ht="13.5" customHeight="1" x14ac:dyDescent="0.2">
      <c r="A301" s="131"/>
      <c r="B301" s="70"/>
      <c r="C301" s="63"/>
      <c r="D301" s="50"/>
      <c r="E301" s="13"/>
      <c r="F301" s="13"/>
      <c r="G301" s="75"/>
      <c r="H301" s="84"/>
      <c r="I301" s="13"/>
      <c r="J301" s="13"/>
    </row>
    <row r="302" spans="1:10" ht="13.5" customHeight="1" x14ac:dyDescent="0.2">
      <c r="A302" s="131"/>
      <c r="B302" s="70"/>
      <c r="C302" s="64"/>
      <c r="D302" s="50"/>
      <c r="E302" s="13"/>
      <c r="F302" s="13"/>
      <c r="G302" s="75"/>
      <c r="H302" s="83"/>
      <c r="I302" s="13"/>
      <c r="J302" s="13"/>
    </row>
    <row r="303" spans="1:10" ht="13.5" customHeight="1" x14ac:dyDescent="0.2">
      <c r="A303" s="70"/>
      <c r="B303" s="70"/>
      <c r="C303" s="63"/>
      <c r="D303" s="50"/>
      <c r="E303" s="13"/>
      <c r="F303" s="13"/>
      <c r="G303" s="75"/>
      <c r="H303" s="83"/>
      <c r="I303" s="13"/>
      <c r="J303" s="13"/>
    </row>
    <row r="304" spans="1:10" ht="13.5" customHeight="1" x14ac:dyDescent="0.2">
      <c r="A304" s="131"/>
      <c r="B304" s="70"/>
      <c r="C304" s="63"/>
      <c r="D304" s="50"/>
      <c r="E304" s="13"/>
      <c r="F304" s="13"/>
      <c r="G304" s="75"/>
      <c r="H304" s="84"/>
      <c r="I304" s="13"/>
      <c r="J304" s="13"/>
    </row>
    <row r="305" spans="1:10" ht="13.5" customHeight="1" x14ac:dyDescent="0.2">
      <c r="A305" s="131"/>
      <c r="B305" s="70"/>
      <c r="C305" s="64"/>
      <c r="D305" s="50"/>
      <c r="E305" s="13"/>
      <c r="F305" s="13"/>
      <c r="G305" s="75"/>
      <c r="H305" s="84"/>
      <c r="I305" s="13"/>
      <c r="J305" s="13"/>
    </row>
    <row r="306" spans="1:10" ht="13.5" customHeight="1" x14ac:dyDescent="0.2">
      <c r="A306" s="70"/>
      <c r="B306" s="70"/>
      <c r="C306" s="63"/>
      <c r="D306" s="50"/>
      <c r="E306" s="13"/>
      <c r="F306" s="13"/>
      <c r="G306" s="75"/>
      <c r="H306" s="83"/>
      <c r="I306" s="13"/>
      <c r="J306" s="13"/>
    </row>
    <row r="307" spans="1:10" ht="13.5" customHeight="1" x14ac:dyDescent="0.2">
      <c r="A307" s="131"/>
      <c r="B307" s="70"/>
      <c r="C307" s="63"/>
      <c r="D307" s="50"/>
      <c r="E307" s="13"/>
      <c r="F307" s="13"/>
      <c r="G307" s="75"/>
      <c r="H307" s="84"/>
      <c r="I307" s="13"/>
      <c r="J307" s="13"/>
    </row>
    <row r="308" spans="1:10" ht="13.5" customHeight="1" x14ac:dyDescent="0.2">
      <c r="A308" s="131"/>
      <c r="B308" s="70"/>
      <c r="C308" s="64"/>
      <c r="D308" s="50"/>
      <c r="E308" s="13"/>
      <c r="F308" s="13"/>
      <c r="G308" s="75"/>
      <c r="H308" s="84"/>
      <c r="I308" s="13"/>
      <c r="J308" s="13"/>
    </row>
    <row r="309" spans="1:10" ht="13.5" customHeight="1" x14ac:dyDescent="0.2">
      <c r="A309" s="70"/>
      <c r="B309" s="70"/>
      <c r="C309" s="63"/>
      <c r="D309" s="50"/>
      <c r="E309" s="13"/>
      <c r="F309" s="13"/>
      <c r="G309" s="75"/>
      <c r="H309" s="83"/>
      <c r="I309" s="13"/>
      <c r="J309" s="13"/>
    </row>
    <row r="310" spans="1:10" ht="13.5" customHeight="1" x14ac:dyDescent="0.2">
      <c r="A310" s="70"/>
      <c r="B310" s="70"/>
      <c r="C310" s="63"/>
      <c r="D310" s="50"/>
      <c r="E310" s="13"/>
      <c r="F310" s="13"/>
      <c r="G310" s="75"/>
      <c r="H310" s="83"/>
      <c r="I310" s="13"/>
      <c r="J310" s="13"/>
    </row>
    <row r="311" spans="1:10" ht="13.5" customHeight="1" x14ac:dyDescent="0.2">
      <c r="A311" s="70"/>
      <c r="B311" s="70"/>
      <c r="C311" s="63"/>
      <c r="D311" s="50"/>
      <c r="E311" s="13"/>
      <c r="F311" s="13"/>
      <c r="G311" s="75"/>
      <c r="H311" s="82"/>
      <c r="I311" s="13"/>
      <c r="J311" s="13"/>
    </row>
    <row r="312" spans="1:10" ht="13.5" customHeight="1" x14ac:dyDescent="0.2">
      <c r="A312" s="131"/>
      <c r="B312" s="70"/>
      <c r="C312" s="86"/>
      <c r="D312" s="50"/>
      <c r="E312" s="13"/>
      <c r="F312" s="13"/>
      <c r="G312" s="75"/>
      <c r="H312" s="82"/>
      <c r="I312" s="13"/>
      <c r="J312" s="13"/>
    </row>
    <row r="313" spans="1:10" ht="13.5" customHeight="1" x14ac:dyDescent="0.2">
      <c r="A313" s="131"/>
      <c r="B313" s="70"/>
      <c r="C313" s="85"/>
      <c r="D313" s="50"/>
      <c r="E313" s="13"/>
      <c r="F313" s="13"/>
      <c r="G313" s="75"/>
      <c r="H313" s="82"/>
      <c r="I313" s="13"/>
      <c r="J313" s="13"/>
    </row>
    <row r="314" spans="1:10" ht="13.5" customHeight="1" x14ac:dyDescent="0.2">
      <c r="A314" s="131"/>
      <c r="B314" s="70"/>
      <c r="C314" s="87"/>
      <c r="D314" s="50"/>
      <c r="E314" s="13"/>
      <c r="F314" s="13"/>
      <c r="G314" s="75"/>
      <c r="H314" s="82"/>
      <c r="I314" s="13"/>
      <c r="J314" s="13"/>
    </row>
    <row r="315" spans="1:10" ht="13.5" customHeight="1" x14ac:dyDescent="0.2">
      <c r="A315" s="131"/>
      <c r="B315" s="70"/>
      <c r="C315" s="88"/>
      <c r="D315" s="50"/>
      <c r="E315" s="13"/>
      <c r="F315" s="13"/>
      <c r="G315" s="75"/>
      <c r="H315" s="82"/>
      <c r="I315" s="13"/>
      <c r="J315" s="13"/>
    </row>
    <row r="316" spans="1:10" ht="13.5" customHeight="1" x14ac:dyDescent="0.2">
      <c r="A316" s="91"/>
      <c r="B316" s="9"/>
      <c r="C316" s="56"/>
      <c r="D316" s="11"/>
      <c r="E316" s="12"/>
      <c r="F316" s="12"/>
      <c r="G316" s="23"/>
      <c r="H316" s="89"/>
      <c r="I316" s="12"/>
      <c r="J316" s="13"/>
    </row>
    <row r="317" spans="1:10" ht="13.5" customHeight="1" x14ac:dyDescent="0.2">
      <c r="A317" s="9"/>
      <c r="B317" s="9"/>
      <c r="C317" s="56"/>
      <c r="D317" s="11"/>
      <c r="E317" s="12"/>
      <c r="F317" s="12"/>
      <c r="G317" s="23"/>
      <c r="H317" s="90"/>
      <c r="I317" s="12"/>
      <c r="J317" s="13"/>
    </row>
    <row r="318" spans="1:10" ht="13.5" customHeight="1" x14ac:dyDescent="0.2">
      <c r="A318" s="9"/>
      <c r="B318" s="9"/>
      <c r="C318" s="56"/>
      <c r="D318" s="11"/>
      <c r="E318" s="12"/>
      <c r="F318" s="12"/>
      <c r="G318" s="23"/>
      <c r="H318" s="89"/>
      <c r="I318" s="12"/>
      <c r="J318" s="13"/>
    </row>
    <row r="319" spans="1:10" ht="13.5" customHeight="1" x14ac:dyDescent="0.2">
      <c r="A319" s="91"/>
      <c r="B319" s="9"/>
      <c r="D319" s="11"/>
      <c r="E319" s="12"/>
      <c r="F319" s="12"/>
      <c r="G319" s="23"/>
      <c r="H319" s="89"/>
      <c r="I319" s="12"/>
      <c r="J319" s="13"/>
    </row>
    <row r="320" spans="1:10" ht="13.5" customHeight="1" x14ac:dyDescent="0.2">
      <c r="A320" s="9"/>
      <c r="B320" s="9"/>
      <c r="C320" s="56"/>
      <c r="D320" s="11"/>
      <c r="E320" s="12"/>
      <c r="F320" s="12"/>
      <c r="G320" s="23"/>
      <c r="H320" s="90"/>
      <c r="I320" s="12"/>
      <c r="J320" s="13"/>
    </row>
    <row r="321" spans="1:10" ht="13.5" customHeight="1" x14ac:dyDescent="0.2">
      <c r="A321" s="9"/>
      <c r="B321" s="9"/>
      <c r="C321" s="56"/>
      <c r="D321" s="11"/>
      <c r="E321" s="12"/>
      <c r="F321" s="12"/>
      <c r="G321" s="23"/>
      <c r="H321" s="90"/>
      <c r="I321" s="12"/>
      <c r="J321" s="13"/>
    </row>
    <row r="322" spans="1:10" ht="13.5" customHeight="1" x14ac:dyDescent="0.2">
      <c r="A322" s="9"/>
      <c r="B322" s="9"/>
      <c r="C322" s="56"/>
      <c r="D322" s="11"/>
      <c r="E322" s="12"/>
      <c r="F322" s="12"/>
      <c r="G322" s="23"/>
      <c r="H322" s="90"/>
      <c r="I322" s="12"/>
      <c r="J322" s="13"/>
    </row>
    <row r="323" spans="1:10" ht="13.5" customHeight="1" x14ac:dyDescent="0.2">
      <c r="A323" s="91"/>
      <c r="B323" s="9"/>
      <c r="C323" s="27"/>
      <c r="D323" s="11"/>
      <c r="E323" s="12"/>
      <c r="F323" s="12"/>
      <c r="G323" s="23"/>
      <c r="H323" s="92"/>
      <c r="I323" s="12"/>
      <c r="J323" s="13"/>
    </row>
    <row r="324" spans="1:10" ht="13.5" customHeight="1" x14ac:dyDescent="0.2">
      <c r="A324" s="91"/>
      <c r="B324" s="9"/>
      <c r="C324" s="27"/>
      <c r="D324" s="11"/>
      <c r="E324" s="12"/>
      <c r="F324" s="12"/>
      <c r="G324" s="23"/>
      <c r="H324" s="90"/>
      <c r="I324" s="12"/>
      <c r="J324" s="13"/>
    </row>
    <row r="325" spans="1:10" ht="13.5" customHeight="1" x14ac:dyDescent="0.2">
      <c r="A325" s="91"/>
      <c r="B325" s="9"/>
      <c r="D325" s="11"/>
      <c r="E325" s="12"/>
      <c r="F325" s="12"/>
      <c r="G325" s="23"/>
      <c r="H325" s="92"/>
      <c r="I325" s="12"/>
      <c r="J325" s="13"/>
    </row>
    <row r="326" spans="1:10" ht="13.5" customHeight="1" x14ac:dyDescent="0.2">
      <c r="A326" s="9"/>
      <c r="B326" s="9"/>
      <c r="C326" s="56"/>
      <c r="D326" s="11"/>
      <c r="E326" s="12"/>
      <c r="F326" s="12"/>
      <c r="G326" s="23"/>
      <c r="H326" s="89"/>
      <c r="I326" s="12"/>
      <c r="J326" s="13"/>
    </row>
    <row r="327" spans="1:10" ht="13.5" customHeight="1" x14ac:dyDescent="0.2">
      <c r="A327" s="9"/>
      <c r="B327" s="9"/>
      <c r="C327" s="56"/>
      <c r="D327" s="11"/>
      <c r="E327" s="12"/>
      <c r="F327" s="12"/>
      <c r="G327" s="23"/>
      <c r="H327" s="89"/>
      <c r="I327" s="12"/>
      <c r="J327" s="13"/>
    </row>
    <row r="328" spans="1:10" ht="13.5" customHeight="1" x14ac:dyDescent="0.2">
      <c r="A328" s="9"/>
      <c r="B328" s="9"/>
      <c r="C328" s="56"/>
      <c r="D328" s="11"/>
      <c r="E328" s="12"/>
      <c r="F328" s="12"/>
      <c r="G328" s="23"/>
      <c r="H328" s="89"/>
      <c r="I328" s="12"/>
      <c r="J328" s="13"/>
    </row>
    <row r="329" spans="1:10" ht="13.5" customHeight="1" x14ac:dyDescent="0.2">
      <c r="A329" s="9"/>
      <c r="B329" s="9"/>
      <c r="C329" s="56"/>
      <c r="D329" s="11"/>
      <c r="E329" s="12"/>
      <c r="F329" s="12"/>
      <c r="G329" s="23"/>
      <c r="H329" s="89"/>
      <c r="I329" s="12"/>
      <c r="J329" s="13"/>
    </row>
    <row r="330" spans="1:10" x14ac:dyDescent="0.2">
      <c r="A330" s="132"/>
      <c r="B330" s="93"/>
      <c r="C330" s="94"/>
      <c r="D330" s="27"/>
      <c r="E330" s="27"/>
      <c r="F330" s="27"/>
      <c r="G330" s="27"/>
      <c r="H330" s="95"/>
      <c r="I330" s="30"/>
      <c r="J330" s="51"/>
    </row>
  </sheetData>
  <mergeCells count="4">
    <mergeCell ref="A1:C1"/>
    <mergeCell ref="D1:G1"/>
    <mergeCell ref="H1:J1"/>
    <mergeCell ref="H139:J139"/>
  </mergeCells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J235"/>
  <sheetViews>
    <sheetView topLeftCell="A18" zoomScale="80" zoomScaleNormal="80" workbookViewId="0">
      <selection activeCell="B86" sqref="B86"/>
    </sheetView>
  </sheetViews>
  <sheetFormatPr defaultColWidth="9" defaultRowHeight="12.75" x14ac:dyDescent="0.2"/>
  <cols>
    <col min="1" max="1" width="11.5" style="96" customWidth="1"/>
    <col min="2" max="2" width="94.625" style="1" customWidth="1"/>
    <col min="3" max="4" width="10.75" style="18" customWidth="1"/>
    <col min="5" max="5" width="11.75" style="1" bestFit="1" customWidth="1"/>
    <col min="6" max="6" width="10.125" style="1" customWidth="1"/>
    <col min="7" max="7" width="10.875" style="529" bestFit="1" customWidth="1"/>
    <col min="8" max="9" width="9" style="1"/>
    <col min="10" max="10" width="10.5" style="1" bestFit="1" customWidth="1"/>
    <col min="11" max="16384" width="9" style="1"/>
  </cols>
  <sheetData>
    <row r="1" spans="1:10" x14ac:dyDescent="0.2">
      <c r="F1" s="97" t="s">
        <v>218</v>
      </c>
      <c r="G1" s="97" t="s">
        <v>219</v>
      </c>
      <c r="H1" s="97" t="s">
        <v>220</v>
      </c>
      <c r="I1" s="97" t="s">
        <v>221</v>
      </c>
      <c r="J1" s="97" t="s">
        <v>222</v>
      </c>
    </row>
    <row r="2" spans="1:10" ht="13.5" customHeight="1" x14ac:dyDescent="0.2">
      <c r="A2" s="137" t="s">
        <v>222</v>
      </c>
      <c r="B2" s="34" t="s">
        <v>7577</v>
      </c>
      <c r="C2" s="528"/>
      <c r="D2" s="25">
        <v>940</v>
      </c>
      <c r="F2" s="100">
        <v>1020</v>
      </c>
      <c r="G2" s="402">
        <v>80</v>
      </c>
      <c r="H2" s="402"/>
      <c r="I2" s="402"/>
      <c r="J2" s="618">
        <v>940</v>
      </c>
    </row>
    <row r="3" spans="1:10" ht="13.5" customHeight="1" x14ac:dyDescent="0.2">
      <c r="A3" s="137" t="s">
        <v>222</v>
      </c>
      <c r="B3" s="34" t="s">
        <v>7614</v>
      </c>
      <c r="C3" s="528"/>
      <c r="D3" s="25">
        <v>860</v>
      </c>
      <c r="F3" s="100">
        <v>940</v>
      </c>
      <c r="G3" s="402">
        <v>80</v>
      </c>
      <c r="H3" s="402"/>
      <c r="I3" s="402"/>
      <c r="J3" s="618">
        <f t="shared" ref="J3:J10" si="0">F3-G3-H3-I3</f>
        <v>860</v>
      </c>
    </row>
    <row r="4" spans="1:10" ht="13.5" customHeight="1" x14ac:dyDescent="0.2">
      <c r="A4" s="137" t="s">
        <v>222</v>
      </c>
      <c r="B4" s="34" t="s">
        <v>7593</v>
      </c>
      <c r="C4" s="528"/>
      <c r="D4" s="25">
        <v>940</v>
      </c>
      <c r="F4" s="100">
        <v>1020</v>
      </c>
      <c r="G4" s="402">
        <v>80</v>
      </c>
      <c r="H4" s="402"/>
      <c r="I4" s="402"/>
      <c r="J4" s="618">
        <f t="shared" si="0"/>
        <v>940</v>
      </c>
    </row>
    <row r="5" spans="1:10" ht="13.5" customHeight="1" x14ac:dyDescent="0.2">
      <c r="A5" s="137" t="s">
        <v>222</v>
      </c>
      <c r="B5" s="34" t="s">
        <v>7565</v>
      </c>
      <c r="C5" s="528"/>
      <c r="D5" s="25">
        <v>990</v>
      </c>
      <c r="F5" s="100">
        <v>1070</v>
      </c>
      <c r="G5" s="402">
        <v>80</v>
      </c>
      <c r="H5" s="402"/>
      <c r="I5" s="402"/>
      <c r="J5" s="618">
        <f t="shared" si="0"/>
        <v>990</v>
      </c>
    </row>
    <row r="6" spans="1:10" ht="13.5" customHeight="1" x14ac:dyDescent="0.2">
      <c r="A6" s="137" t="s">
        <v>222</v>
      </c>
      <c r="B6" s="34" t="s">
        <v>7601</v>
      </c>
      <c r="C6" s="528"/>
      <c r="D6" s="25">
        <v>862</v>
      </c>
      <c r="F6" s="100">
        <v>1159.94</v>
      </c>
      <c r="G6" s="402">
        <v>80</v>
      </c>
      <c r="H6" s="402"/>
      <c r="I6" s="402">
        <v>217.94</v>
      </c>
      <c r="J6" s="618">
        <f t="shared" si="0"/>
        <v>862</v>
      </c>
    </row>
    <row r="7" spans="1:10" ht="13.5" customHeight="1" x14ac:dyDescent="0.2">
      <c r="A7" s="137" t="s">
        <v>222</v>
      </c>
      <c r="B7" s="34" t="s">
        <v>7567</v>
      </c>
      <c r="C7" s="528"/>
      <c r="D7" s="25">
        <v>1075</v>
      </c>
      <c r="F7" s="100">
        <v>1075</v>
      </c>
      <c r="G7" s="402"/>
      <c r="H7" s="402"/>
      <c r="I7" s="402"/>
      <c r="J7" s="618">
        <f t="shared" si="0"/>
        <v>1075</v>
      </c>
    </row>
    <row r="8" spans="1:10" ht="13.5" customHeight="1" x14ac:dyDescent="0.2">
      <c r="A8" s="137" t="s">
        <v>222</v>
      </c>
      <c r="B8" s="34" t="s">
        <v>7596</v>
      </c>
      <c r="C8" s="528"/>
      <c r="D8" s="25">
        <v>1200</v>
      </c>
      <c r="E8" s="18"/>
      <c r="F8" s="344">
        <v>1337.49</v>
      </c>
      <c r="G8" s="403">
        <v>80</v>
      </c>
      <c r="H8" s="403">
        <v>22.31</v>
      </c>
      <c r="I8" s="403">
        <v>35.18</v>
      </c>
      <c r="J8" s="1066">
        <f t="shared" si="0"/>
        <v>1200</v>
      </c>
    </row>
    <row r="9" spans="1:10" ht="13.5" customHeight="1" x14ac:dyDescent="0.2">
      <c r="A9" s="137" t="s">
        <v>222</v>
      </c>
      <c r="B9" s="34" t="s">
        <v>7632</v>
      </c>
      <c r="C9" s="1327"/>
      <c r="D9" s="1328">
        <v>1150</v>
      </c>
      <c r="E9" s="18"/>
      <c r="F9" s="344">
        <v>1271.3399999999999</v>
      </c>
      <c r="G9" s="403">
        <v>80</v>
      </c>
      <c r="H9" s="403"/>
      <c r="I9" s="403">
        <v>41.34</v>
      </c>
      <c r="J9" s="1066">
        <f t="shared" si="0"/>
        <v>1150</v>
      </c>
    </row>
    <row r="10" spans="1:10" ht="13.5" customHeight="1" x14ac:dyDescent="0.2">
      <c r="A10" s="137" t="s">
        <v>222</v>
      </c>
      <c r="B10" s="34" t="s">
        <v>6079</v>
      </c>
      <c r="C10" s="1327"/>
      <c r="D10" s="1328">
        <v>900</v>
      </c>
      <c r="E10" s="18"/>
      <c r="F10" s="344">
        <v>900</v>
      </c>
      <c r="G10" s="403"/>
      <c r="H10" s="403"/>
      <c r="I10" s="403"/>
      <c r="J10" s="1066">
        <f t="shared" si="0"/>
        <v>900</v>
      </c>
    </row>
    <row r="11" spans="1:10" ht="13.5" customHeight="1" x14ac:dyDescent="0.2">
      <c r="A11" s="137" t="s">
        <v>222</v>
      </c>
      <c r="B11" s="34" t="s">
        <v>10</v>
      </c>
      <c r="C11" s="1327"/>
      <c r="D11" s="1328">
        <v>560</v>
      </c>
      <c r="E11" s="18"/>
      <c r="G11" s="1"/>
    </row>
    <row r="12" spans="1:10" ht="13.5" customHeight="1" x14ac:dyDescent="0.2">
      <c r="A12" s="137" t="s">
        <v>222</v>
      </c>
      <c r="B12" s="34" t="s">
        <v>7583</v>
      </c>
      <c r="C12" s="528"/>
      <c r="D12" s="25">
        <v>1971.4099999999999</v>
      </c>
      <c r="E12" s="18"/>
      <c r="F12" s="100">
        <v>2148.66</v>
      </c>
      <c r="G12" s="101"/>
      <c r="H12" s="102"/>
      <c r="I12" s="24">
        <v>177.25</v>
      </c>
      <c r="J12" s="618">
        <f t="shared" ref="J12:J17" si="1">F12-G12-H12-I12</f>
        <v>1971.4099999999999</v>
      </c>
    </row>
    <row r="13" spans="1:10" ht="13.5" customHeight="1" x14ac:dyDescent="0.2">
      <c r="A13" s="137" t="s">
        <v>222</v>
      </c>
      <c r="B13" s="34" t="s">
        <v>7570</v>
      </c>
      <c r="C13" s="528"/>
      <c r="D13" s="25">
        <v>1360</v>
      </c>
      <c r="E13" s="18"/>
      <c r="F13" s="100">
        <v>1360</v>
      </c>
      <c r="G13" s="101"/>
      <c r="H13" s="102"/>
      <c r="I13" s="24"/>
      <c r="J13" s="618">
        <f t="shared" si="1"/>
        <v>1360</v>
      </c>
    </row>
    <row r="14" spans="1:10" ht="13.5" customHeight="1" x14ac:dyDescent="0.2">
      <c r="A14" s="137" t="s">
        <v>222</v>
      </c>
      <c r="B14" s="34" t="s">
        <v>7578</v>
      </c>
      <c r="C14" s="528"/>
      <c r="D14" s="25">
        <v>1200</v>
      </c>
      <c r="E14" s="18"/>
      <c r="F14" s="100">
        <v>1226.46</v>
      </c>
      <c r="G14" s="101"/>
      <c r="H14" s="102">
        <v>26.46</v>
      </c>
      <c r="I14" s="24"/>
      <c r="J14" s="618">
        <f t="shared" si="1"/>
        <v>1200</v>
      </c>
    </row>
    <row r="15" spans="1:10" ht="13.5" customHeight="1" x14ac:dyDescent="0.2">
      <c r="A15" s="137" t="s">
        <v>222</v>
      </c>
      <c r="B15" s="34" t="s">
        <v>7602</v>
      </c>
      <c r="C15" s="528"/>
      <c r="D15" s="25">
        <v>3500</v>
      </c>
      <c r="E15" s="18"/>
      <c r="F15" s="100">
        <v>3587.45</v>
      </c>
      <c r="G15" s="101"/>
      <c r="H15" s="102"/>
      <c r="I15" s="24">
        <v>87.45</v>
      </c>
      <c r="J15" s="618">
        <f t="shared" si="1"/>
        <v>3500</v>
      </c>
    </row>
    <row r="16" spans="1:10" ht="13.5" customHeight="1" x14ac:dyDescent="0.2">
      <c r="A16" s="137" t="s">
        <v>222</v>
      </c>
      <c r="B16" s="34" t="s">
        <v>7595</v>
      </c>
      <c r="C16" s="528"/>
      <c r="D16" s="25">
        <v>2050</v>
      </c>
      <c r="E16" s="18"/>
      <c r="F16" s="100">
        <v>2103.2800000000002</v>
      </c>
      <c r="G16" s="101"/>
      <c r="H16" s="102"/>
      <c r="I16" s="24">
        <v>53.28</v>
      </c>
      <c r="J16" s="618">
        <f t="shared" si="1"/>
        <v>2050</v>
      </c>
    </row>
    <row r="17" spans="1:10" ht="13.5" customHeight="1" x14ac:dyDescent="0.2">
      <c r="A17" s="137" t="s">
        <v>222</v>
      </c>
      <c r="B17" s="34" t="s">
        <v>7569</v>
      </c>
      <c r="C17" s="528"/>
      <c r="D17" s="25">
        <v>5000</v>
      </c>
      <c r="E17" s="18"/>
      <c r="F17" s="100">
        <v>5072</v>
      </c>
      <c r="G17" s="101"/>
      <c r="H17" s="102"/>
      <c r="I17" s="24">
        <v>72</v>
      </c>
      <c r="J17" s="618">
        <f t="shared" si="1"/>
        <v>5000</v>
      </c>
    </row>
    <row r="18" spans="1:10" ht="13.5" customHeight="1" x14ac:dyDescent="0.2">
      <c r="A18" s="137" t="s">
        <v>222</v>
      </c>
      <c r="B18" s="34" t="s">
        <v>7624</v>
      </c>
      <c r="C18" s="1327"/>
      <c r="D18" s="1329">
        <v>190</v>
      </c>
      <c r="G18" s="529">
        <f>SUM(G2:G17)</f>
        <v>560</v>
      </c>
      <c r="I18" s="529">
        <f>SUM(I2:I17)</f>
        <v>684.44</v>
      </c>
    </row>
    <row r="19" spans="1:10" ht="13.5" customHeight="1" x14ac:dyDescent="0.2">
      <c r="A19" s="137" t="s">
        <v>222</v>
      </c>
      <c r="B19" s="34" t="s">
        <v>7580</v>
      </c>
      <c r="C19" s="528"/>
      <c r="D19" s="1330">
        <v>190</v>
      </c>
      <c r="E19"/>
    </row>
    <row r="20" spans="1:10" ht="13.5" customHeight="1" x14ac:dyDescent="0.2">
      <c r="A20" s="137" t="s">
        <v>222</v>
      </c>
      <c r="B20" s="21" t="s">
        <v>7585</v>
      </c>
      <c r="C20" s="528"/>
      <c r="D20" s="1330">
        <v>185</v>
      </c>
      <c r="F20"/>
    </row>
    <row r="21" spans="1:10" ht="13.5" customHeight="1" x14ac:dyDescent="0.2">
      <c r="A21" s="137" t="s">
        <v>222</v>
      </c>
      <c r="B21" s="34" t="s">
        <v>7582</v>
      </c>
      <c r="C21" s="528"/>
      <c r="D21" s="1330">
        <v>190</v>
      </c>
      <c r="E21"/>
      <c r="F21" s="18"/>
    </row>
    <row r="22" spans="1:10" ht="13.5" customHeight="1" x14ac:dyDescent="0.2">
      <c r="A22" s="137" t="s">
        <v>222</v>
      </c>
      <c r="B22" s="34" t="s">
        <v>7603</v>
      </c>
      <c r="C22" s="528"/>
      <c r="D22" s="1330">
        <v>190</v>
      </c>
      <c r="E22"/>
      <c r="F22"/>
    </row>
    <row r="23" spans="1:10" ht="13.5" customHeight="1" x14ac:dyDescent="0.2">
      <c r="A23" s="137" t="s">
        <v>222</v>
      </c>
      <c r="B23" s="34" t="s">
        <v>7612</v>
      </c>
      <c r="C23" s="1327"/>
      <c r="D23" s="1329">
        <v>203.5</v>
      </c>
      <c r="F23"/>
    </row>
    <row r="24" spans="1:10" ht="13.5" customHeight="1" x14ac:dyDescent="0.2">
      <c r="A24" s="137" t="s">
        <v>222</v>
      </c>
      <c r="B24" s="34" t="s">
        <v>7613</v>
      </c>
      <c r="C24" s="1327"/>
      <c r="D24" s="1329">
        <v>185</v>
      </c>
    </row>
    <row r="25" spans="1:10" ht="13.5" customHeight="1" x14ac:dyDescent="0.2">
      <c r="A25" s="137" t="s">
        <v>222</v>
      </c>
      <c r="B25" s="34" t="s">
        <v>7579</v>
      </c>
      <c r="C25" s="528"/>
      <c r="D25" s="1330">
        <v>150</v>
      </c>
    </row>
    <row r="26" spans="1:10" ht="13.5" customHeight="1" x14ac:dyDescent="0.2">
      <c r="A26" s="137" t="s">
        <v>222</v>
      </c>
      <c r="B26" s="34" t="s">
        <v>7566</v>
      </c>
      <c r="C26" s="528"/>
      <c r="D26" s="1330">
        <v>220</v>
      </c>
    </row>
    <row r="27" spans="1:10" ht="13.5" customHeight="1" x14ac:dyDescent="0.2">
      <c r="A27" s="137" t="s">
        <v>222</v>
      </c>
      <c r="B27" s="34" t="s">
        <v>7600</v>
      </c>
      <c r="C27" s="528"/>
      <c r="D27" s="1330">
        <v>60</v>
      </c>
    </row>
    <row r="28" spans="1:10" ht="13.5" customHeight="1" x14ac:dyDescent="0.2">
      <c r="A28" s="137" t="s">
        <v>222</v>
      </c>
      <c r="B28" s="34" t="s">
        <v>7604</v>
      </c>
      <c r="C28" s="528"/>
      <c r="D28" s="1330">
        <v>60</v>
      </c>
    </row>
    <row r="29" spans="1:10" ht="13.5" customHeight="1" x14ac:dyDescent="0.2">
      <c r="A29" s="137" t="s">
        <v>222</v>
      </c>
      <c r="B29" s="34" t="s">
        <v>7584</v>
      </c>
      <c r="C29" s="528"/>
      <c r="D29" s="1330">
        <v>80</v>
      </c>
      <c r="E29" s="1331">
        <f>SUM(D18:D29)</f>
        <v>1903.5</v>
      </c>
    </row>
    <row r="30" spans="1:10" ht="13.5" customHeight="1" x14ac:dyDescent="0.2">
      <c r="A30" s="137" t="s">
        <v>222</v>
      </c>
      <c r="B30" s="34" t="s">
        <v>1792</v>
      </c>
      <c r="C30" s="528"/>
      <c r="D30" s="25">
        <v>684.44</v>
      </c>
    </row>
    <row r="31" spans="1:10" ht="13.5" customHeight="1" x14ac:dyDescent="0.2">
      <c r="A31" s="137"/>
      <c r="B31" s="34"/>
      <c r="C31" s="528"/>
      <c r="D31" s="1332">
        <f>SUM(D2:D30)</f>
        <v>27146.35</v>
      </c>
    </row>
    <row r="32" spans="1:10" ht="13.5" customHeight="1" x14ac:dyDescent="0.2">
      <c r="A32" s="137"/>
      <c r="B32" s="34"/>
      <c r="C32" s="528"/>
      <c r="D32" s="25"/>
    </row>
    <row r="33" spans="1:10" ht="13.5" customHeight="1" x14ac:dyDescent="0.2">
      <c r="A33" s="137" t="s">
        <v>222</v>
      </c>
      <c r="B33" s="34" t="s">
        <v>7625</v>
      </c>
      <c r="C33" s="1327"/>
      <c r="D33" s="1328">
        <v>183</v>
      </c>
      <c r="F33" s="100">
        <v>183</v>
      </c>
      <c r="G33" s="109"/>
      <c r="H33" s="109"/>
      <c r="I33" s="109"/>
      <c r="J33" s="618">
        <f>F33-G33-H33-I33</f>
        <v>183</v>
      </c>
    </row>
    <row r="34" spans="1:10" ht="13.5" customHeight="1" x14ac:dyDescent="0.2">
      <c r="A34" s="137" t="s">
        <v>222</v>
      </c>
      <c r="B34" s="34" t="s">
        <v>7615</v>
      </c>
      <c r="C34" s="1327"/>
      <c r="D34" s="1328">
        <v>7500</v>
      </c>
      <c r="E34" s="18"/>
      <c r="F34" s="100">
        <v>7977.69</v>
      </c>
      <c r="G34" s="109"/>
      <c r="H34" s="109"/>
      <c r="I34" s="109">
        <v>477.69</v>
      </c>
      <c r="J34" s="618">
        <f>F34-G34-H34-I34</f>
        <v>7500</v>
      </c>
    </row>
    <row r="35" spans="1:10" ht="13.5" customHeight="1" x14ac:dyDescent="0.2">
      <c r="A35" s="137" t="s">
        <v>222</v>
      </c>
      <c r="B35" s="34" t="s">
        <v>7616</v>
      </c>
      <c r="C35" s="1327"/>
      <c r="D35" s="1328">
        <v>500</v>
      </c>
      <c r="F35" s="100">
        <v>500</v>
      </c>
      <c r="G35" s="109"/>
      <c r="H35" s="109"/>
      <c r="I35" s="109"/>
      <c r="J35" s="618">
        <f>F35-G35-H35-I35</f>
        <v>500</v>
      </c>
    </row>
    <row r="36" spans="1:10" ht="13.5" customHeight="1" x14ac:dyDescent="0.2">
      <c r="A36" s="137" t="s">
        <v>222</v>
      </c>
      <c r="B36" s="34" t="s">
        <v>7668</v>
      </c>
      <c r="C36" s="284"/>
      <c r="D36" s="25">
        <v>4980.5</v>
      </c>
      <c r="F36" s="100">
        <v>4980.5</v>
      </c>
      <c r="G36" s="109"/>
      <c r="H36" s="109"/>
      <c r="I36" s="109"/>
      <c r="J36" s="618">
        <f>F36-G36-H36-I36</f>
        <v>4980.5</v>
      </c>
    </row>
    <row r="37" spans="1:10" ht="13.5" customHeight="1" x14ac:dyDescent="0.2">
      <c r="A37" s="137" t="s">
        <v>222</v>
      </c>
      <c r="B37" s="34" t="s">
        <v>3542</v>
      </c>
      <c r="C37" s="284"/>
      <c r="D37" s="25">
        <v>477.69</v>
      </c>
      <c r="F37" s="668"/>
      <c r="G37" s="642"/>
      <c r="H37" s="642"/>
      <c r="I37" s="642"/>
      <c r="J37" s="405"/>
    </row>
    <row r="38" spans="1:10" ht="13.5" customHeight="1" x14ac:dyDescent="0.2">
      <c r="A38" s="137"/>
      <c r="B38" s="34"/>
      <c r="C38" s="284"/>
      <c r="D38" s="1332">
        <f>SUM(D33:D37)</f>
        <v>13641.19</v>
      </c>
      <c r="F38" s="885"/>
      <c r="G38" s="1044">
        <f>SUM(G35,G18)</f>
        <v>560</v>
      </c>
      <c r="H38" s="1044">
        <f>SUM(H27:H35)</f>
        <v>0</v>
      </c>
      <c r="I38" s="1045">
        <f>SUM(I27:I35)</f>
        <v>477.69</v>
      </c>
      <c r="J38" s="887"/>
    </row>
    <row r="39" spans="1:10" ht="13.5" customHeight="1" x14ac:dyDescent="0.2">
      <c r="A39" s="137"/>
      <c r="B39" s="34"/>
      <c r="C39" s="284"/>
      <c r="D39" s="25"/>
    </row>
    <row r="40" spans="1:10" ht="13.5" customHeight="1" x14ac:dyDescent="0.2">
      <c r="A40" s="137" t="s">
        <v>223</v>
      </c>
      <c r="B40" s="34" t="s">
        <v>189</v>
      </c>
      <c r="C40" s="284">
        <v>3405.82</v>
      </c>
      <c r="D40" s="25"/>
    </row>
    <row r="41" spans="1:10" ht="13.5" customHeight="1" x14ac:dyDescent="0.2">
      <c r="A41" s="137" t="s">
        <v>223</v>
      </c>
      <c r="B41" s="34" t="s">
        <v>189</v>
      </c>
      <c r="C41" s="284">
        <v>1873.38</v>
      </c>
      <c r="D41" s="25"/>
    </row>
    <row r="42" spans="1:10" ht="13.5" customHeight="1" x14ac:dyDescent="0.2">
      <c r="A42" s="137" t="s">
        <v>223</v>
      </c>
      <c r="B42" s="34" t="s">
        <v>174</v>
      </c>
      <c r="C42" s="284">
        <v>-101</v>
      </c>
      <c r="D42" s="25"/>
    </row>
    <row r="43" spans="1:10" ht="13.5" customHeight="1" x14ac:dyDescent="0.2">
      <c r="A43" s="137" t="s">
        <v>223</v>
      </c>
      <c r="B43" s="34" t="s">
        <v>174</v>
      </c>
      <c r="C43" s="284">
        <v>-126.3</v>
      </c>
      <c r="D43" s="25"/>
    </row>
    <row r="44" spans="1:10" ht="13.5" customHeight="1" x14ac:dyDescent="0.2">
      <c r="A44" s="137" t="s">
        <v>223</v>
      </c>
      <c r="B44" s="34" t="s">
        <v>174</v>
      </c>
      <c r="C44" s="284">
        <v>-153</v>
      </c>
      <c r="D44" s="25"/>
    </row>
    <row r="45" spans="1:10" ht="13.5" customHeight="1" x14ac:dyDescent="0.2">
      <c r="A45" s="137" t="s">
        <v>223</v>
      </c>
      <c r="B45" s="34" t="s">
        <v>174</v>
      </c>
      <c r="C45" s="284">
        <v>-299</v>
      </c>
      <c r="D45" s="25"/>
    </row>
    <row r="46" spans="1:10" ht="13.5" customHeight="1" x14ac:dyDescent="0.2">
      <c r="A46" s="137" t="s">
        <v>223</v>
      </c>
      <c r="B46" s="34" t="s">
        <v>174</v>
      </c>
      <c r="C46" s="284">
        <v>-343</v>
      </c>
      <c r="D46" s="25"/>
    </row>
    <row r="47" spans="1:10" ht="13.5" customHeight="1" x14ac:dyDescent="0.2">
      <c r="A47" s="137" t="s">
        <v>223</v>
      </c>
      <c r="B47" s="34" t="s">
        <v>174</v>
      </c>
      <c r="C47" s="284">
        <v>-720.85</v>
      </c>
      <c r="D47" s="25"/>
    </row>
    <row r="48" spans="1:10" ht="13.5" customHeight="1" x14ac:dyDescent="0.2">
      <c r="A48" s="137" t="s">
        <v>223</v>
      </c>
      <c r="B48" s="34" t="s">
        <v>174</v>
      </c>
      <c r="C48" s="284">
        <v>-731.78</v>
      </c>
      <c r="D48" s="25"/>
    </row>
    <row r="49" spans="1:4" ht="13.5" customHeight="1" x14ac:dyDescent="0.2">
      <c r="A49" s="137" t="s">
        <v>223</v>
      </c>
      <c r="B49" s="34" t="s">
        <v>174</v>
      </c>
      <c r="C49" s="284">
        <v>-1084.54</v>
      </c>
      <c r="D49" s="25"/>
    </row>
    <row r="50" spans="1:4" ht="13.5" customHeight="1" x14ac:dyDescent="0.2">
      <c r="A50" s="137" t="s">
        <v>223</v>
      </c>
      <c r="B50" s="34" t="s">
        <v>174</v>
      </c>
      <c r="C50" s="284">
        <v>-1267.9000000000001</v>
      </c>
      <c r="D50" s="25"/>
    </row>
    <row r="51" spans="1:4" ht="13.5" customHeight="1" x14ac:dyDescent="0.2">
      <c r="A51" s="137" t="s">
        <v>223</v>
      </c>
      <c r="B51" s="34" t="s">
        <v>174</v>
      </c>
      <c r="C51" s="284">
        <v>-2677.28</v>
      </c>
      <c r="D51" s="25"/>
    </row>
    <row r="52" spans="1:4" ht="13.5" customHeight="1" x14ac:dyDescent="0.2">
      <c r="A52" s="137" t="s">
        <v>223</v>
      </c>
      <c r="B52" s="34" t="s">
        <v>174</v>
      </c>
      <c r="C52" s="284">
        <v>-3039.45</v>
      </c>
      <c r="D52" s="25"/>
    </row>
    <row r="53" spans="1:4" ht="13.5" customHeight="1" x14ac:dyDescent="0.2">
      <c r="A53" s="137" t="s">
        <v>223</v>
      </c>
      <c r="B53" s="34" t="s">
        <v>174</v>
      </c>
      <c r="C53" s="284">
        <v>-3181.34</v>
      </c>
      <c r="D53" s="25"/>
    </row>
    <row r="54" spans="1:4" ht="13.5" customHeight="1" x14ac:dyDescent="0.2">
      <c r="A54" s="137"/>
      <c r="B54" s="34"/>
      <c r="C54" s="1333">
        <f>SUM(C40:C53)</f>
        <v>-8446.24</v>
      </c>
      <c r="D54" s="25"/>
    </row>
    <row r="55" spans="1:4" ht="13.5" customHeight="1" x14ac:dyDescent="0.2">
      <c r="A55" s="137"/>
      <c r="B55" s="34"/>
      <c r="C55" s="284"/>
      <c r="D55" s="25"/>
    </row>
    <row r="56" spans="1:4" ht="13.5" customHeight="1" x14ac:dyDescent="0.2">
      <c r="A56" s="137" t="s">
        <v>224</v>
      </c>
      <c r="B56" s="34" t="s">
        <v>128</v>
      </c>
      <c r="C56" s="284">
        <v>24.92</v>
      </c>
      <c r="D56" s="25"/>
    </row>
    <row r="57" spans="1:4" ht="13.5" customHeight="1" x14ac:dyDescent="0.2">
      <c r="A57" s="137" t="s">
        <v>224</v>
      </c>
      <c r="B57" s="34" t="s">
        <v>62</v>
      </c>
      <c r="C57" s="284">
        <v>413.03</v>
      </c>
      <c r="D57" s="25"/>
    </row>
    <row r="58" spans="1:4" ht="13.5" customHeight="1" x14ac:dyDescent="0.2">
      <c r="A58" s="137" t="s">
        <v>224</v>
      </c>
      <c r="B58" s="34" t="s">
        <v>6199</v>
      </c>
      <c r="C58" s="284">
        <v>132.04</v>
      </c>
      <c r="D58" s="25"/>
    </row>
    <row r="59" spans="1:4" ht="13.5" customHeight="1" x14ac:dyDescent="0.2">
      <c r="A59" s="137" t="s">
        <v>224</v>
      </c>
      <c r="B59" s="34" t="s">
        <v>7628</v>
      </c>
      <c r="C59" s="284">
        <v>189.9</v>
      </c>
      <c r="D59" s="25"/>
    </row>
    <row r="60" spans="1:4" ht="13.5" customHeight="1" x14ac:dyDescent="0.2">
      <c r="A60" s="137" t="s">
        <v>224</v>
      </c>
      <c r="B60" s="34" t="s">
        <v>6710</v>
      </c>
      <c r="C60" s="284">
        <v>400</v>
      </c>
      <c r="D60" s="25"/>
    </row>
    <row r="61" spans="1:4" ht="13.5" customHeight="1" x14ac:dyDescent="0.2">
      <c r="A61" s="137"/>
      <c r="B61" s="34"/>
      <c r="C61" s="1333">
        <f>SUM(C56:C60)</f>
        <v>1159.8899999999999</v>
      </c>
      <c r="D61" s="25"/>
    </row>
    <row r="62" spans="1:4" ht="13.5" customHeight="1" x14ac:dyDescent="0.2">
      <c r="A62" s="137"/>
      <c r="B62" s="34"/>
      <c r="C62" s="284"/>
      <c r="D62" s="25"/>
    </row>
    <row r="63" spans="1:4" ht="13.5" customHeight="1" x14ac:dyDescent="0.2">
      <c r="A63" s="137" t="s">
        <v>224</v>
      </c>
      <c r="B63" s="34" t="s">
        <v>7591</v>
      </c>
      <c r="C63" s="528">
        <v>75</v>
      </c>
      <c r="D63" s="25"/>
    </row>
    <row r="64" spans="1:4" ht="13.5" customHeight="1" x14ac:dyDescent="0.2">
      <c r="A64" s="137" t="s">
        <v>224</v>
      </c>
      <c r="B64" s="34" t="s">
        <v>7640</v>
      </c>
      <c r="C64" s="1327">
        <v>75</v>
      </c>
      <c r="D64" s="1328"/>
    </row>
    <row r="65" spans="1:7" ht="13.5" customHeight="1" x14ac:dyDescent="0.2">
      <c r="A65" s="137" t="s">
        <v>224</v>
      </c>
      <c r="B65" s="34" t="s">
        <v>7638</v>
      </c>
      <c r="C65" s="1327">
        <v>75</v>
      </c>
      <c r="D65" s="1328"/>
    </row>
    <row r="66" spans="1:7" ht="13.5" customHeight="1" x14ac:dyDescent="0.2">
      <c r="A66" s="137" t="s">
        <v>224</v>
      </c>
      <c r="B66" s="21" t="s">
        <v>7589</v>
      </c>
      <c r="C66" s="528">
        <v>75</v>
      </c>
      <c r="D66" s="25"/>
    </row>
    <row r="67" spans="1:7" ht="13.5" customHeight="1" x14ac:dyDescent="0.2">
      <c r="A67" s="137" t="s">
        <v>224</v>
      </c>
      <c r="B67" s="21" t="s">
        <v>7590</v>
      </c>
      <c r="C67" s="528">
        <v>75</v>
      </c>
      <c r="D67" s="25"/>
    </row>
    <row r="68" spans="1:7" ht="13.5" customHeight="1" x14ac:dyDescent="0.2">
      <c r="A68" s="137" t="s">
        <v>224</v>
      </c>
      <c r="B68" s="34" t="s">
        <v>7637</v>
      </c>
      <c r="C68" s="1327">
        <v>75</v>
      </c>
      <c r="D68" s="1328"/>
    </row>
    <row r="69" spans="1:7" ht="13.5" customHeight="1" x14ac:dyDescent="0.2">
      <c r="A69" s="137" t="s">
        <v>224</v>
      </c>
      <c r="B69" s="34" t="s">
        <v>7639</v>
      </c>
      <c r="C69" s="1327">
        <v>75</v>
      </c>
      <c r="D69" s="1328"/>
    </row>
    <row r="70" spans="1:7" ht="13.5" customHeight="1" x14ac:dyDescent="0.2">
      <c r="A70" s="137" t="s">
        <v>224</v>
      </c>
      <c r="B70" s="21" t="s">
        <v>7588</v>
      </c>
      <c r="C70" s="528">
        <v>75</v>
      </c>
      <c r="D70" s="25">
        <f>C71-D71</f>
        <v>400</v>
      </c>
    </row>
    <row r="71" spans="1:7" ht="13.5" customHeight="1" x14ac:dyDescent="0.2">
      <c r="A71" s="137"/>
      <c r="B71" s="21"/>
      <c r="C71" s="528">
        <f>SUM(C63:C70)</f>
        <v>600</v>
      </c>
      <c r="D71" s="25">
        <f>C71/3</f>
        <v>200</v>
      </c>
    </row>
    <row r="72" spans="1:7" ht="13.5" customHeight="1" x14ac:dyDescent="0.2">
      <c r="A72" s="137"/>
      <c r="B72" s="21"/>
      <c r="C72" s="528"/>
      <c r="D72" s="25"/>
    </row>
    <row r="73" spans="1:7" ht="13.5" customHeight="1" x14ac:dyDescent="0.2">
      <c r="A73" s="137" t="s">
        <v>225</v>
      </c>
      <c r="B73" s="36" t="s">
        <v>7666</v>
      </c>
      <c r="C73" s="1333">
        <v>720.85</v>
      </c>
      <c r="D73" s="60"/>
    </row>
    <row r="74" spans="1:7" ht="13.5" customHeight="1" x14ac:dyDescent="0.2">
      <c r="A74" s="137"/>
      <c r="B74" s="34"/>
      <c r="C74" s="284"/>
      <c r="D74" s="60"/>
    </row>
    <row r="75" spans="1:7" ht="13.5" customHeight="1" x14ac:dyDescent="0.2">
      <c r="A75" s="137" t="s">
        <v>226</v>
      </c>
      <c r="B75" s="34" t="s">
        <v>7711</v>
      </c>
      <c r="C75" s="284">
        <v>-26.46</v>
      </c>
      <c r="D75" s="60"/>
      <c r="F75" s="36" t="s">
        <v>1131</v>
      </c>
      <c r="G75" s="889">
        <v>23.35</v>
      </c>
    </row>
    <row r="76" spans="1:7" ht="13.5" customHeight="1" x14ac:dyDescent="0.2">
      <c r="A76" s="137" t="s">
        <v>226</v>
      </c>
      <c r="B76" s="34" t="s">
        <v>7712</v>
      </c>
      <c r="C76" s="284">
        <v>-22.31</v>
      </c>
      <c r="D76" s="60"/>
      <c r="F76" s="33" t="s">
        <v>1131</v>
      </c>
      <c r="G76" s="30">
        <v>40.6</v>
      </c>
    </row>
    <row r="77" spans="1:7" ht="13.5" customHeight="1" x14ac:dyDescent="0.2">
      <c r="A77" s="137" t="s">
        <v>226</v>
      </c>
      <c r="B77" s="36" t="s">
        <v>80</v>
      </c>
      <c r="C77" s="284">
        <v>35.1</v>
      </c>
      <c r="D77" s="60"/>
      <c r="F77" s="36" t="s">
        <v>7695</v>
      </c>
      <c r="G77" s="69">
        <v>25.7</v>
      </c>
    </row>
    <row r="78" spans="1:7" ht="13.5" customHeight="1" x14ac:dyDescent="0.2">
      <c r="A78" s="137" t="s">
        <v>226</v>
      </c>
      <c r="B78" s="36" t="s">
        <v>7598</v>
      </c>
      <c r="C78" s="284">
        <v>161.47999999999999</v>
      </c>
      <c r="D78" s="60"/>
      <c r="F78" s="36" t="s">
        <v>2164</v>
      </c>
      <c r="G78" s="61">
        <v>5.25</v>
      </c>
    </row>
    <row r="79" spans="1:7" ht="13.5" customHeight="1" x14ac:dyDescent="0.2">
      <c r="A79" s="137" t="s">
        <v>226</v>
      </c>
      <c r="B79" s="36" t="s">
        <v>127</v>
      </c>
      <c r="C79" s="12">
        <v>22.31</v>
      </c>
      <c r="D79" s="60"/>
      <c r="F79" s="36" t="s">
        <v>7700</v>
      </c>
      <c r="G79" s="69">
        <v>100</v>
      </c>
    </row>
    <row r="80" spans="1:7" ht="13.5" customHeight="1" x14ac:dyDescent="0.2">
      <c r="A80" s="137" t="s">
        <v>226</v>
      </c>
      <c r="B80" s="36" t="s">
        <v>129</v>
      </c>
      <c r="C80" s="12">
        <v>52.92</v>
      </c>
      <c r="D80" s="60"/>
      <c r="F80" s="36" t="s">
        <v>7541</v>
      </c>
      <c r="G80" s="69">
        <v>20.95</v>
      </c>
    </row>
    <row r="81" spans="1:7" ht="13.5" customHeight="1" x14ac:dyDescent="0.2">
      <c r="A81" s="137" t="s">
        <v>226</v>
      </c>
      <c r="B81" s="34" t="s">
        <v>129</v>
      </c>
      <c r="C81" s="284">
        <v>37.21</v>
      </c>
      <c r="D81" s="25"/>
      <c r="F81" s="34" t="s">
        <v>7581</v>
      </c>
      <c r="G81" s="284">
        <v>265.60000000000002</v>
      </c>
    </row>
    <row r="82" spans="1:7" ht="13.5" customHeight="1" x14ac:dyDescent="0.2">
      <c r="A82" s="137" t="s">
        <v>226</v>
      </c>
      <c r="B82" s="36" t="s">
        <v>131</v>
      </c>
      <c r="C82" s="284">
        <v>34.61</v>
      </c>
      <c r="D82" s="25"/>
      <c r="G82" s="529">
        <f>SUM(G75:G81)</f>
        <v>481.45000000000005</v>
      </c>
    </row>
    <row r="83" spans="1:7" ht="13.5" customHeight="1" x14ac:dyDescent="0.2">
      <c r="A83" s="137" t="s">
        <v>226</v>
      </c>
      <c r="B83" s="34" t="s">
        <v>7571</v>
      </c>
      <c r="C83" s="528">
        <v>60</v>
      </c>
      <c r="D83" s="25"/>
    </row>
    <row r="84" spans="1:7" ht="13.5" customHeight="1" x14ac:dyDescent="0.2">
      <c r="A84" s="137" t="s">
        <v>226</v>
      </c>
      <c r="B84" s="36" t="s">
        <v>558</v>
      </c>
      <c r="C84" s="12">
        <v>46.49</v>
      </c>
      <c r="D84" s="60"/>
    </row>
    <row r="85" spans="1:7" ht="13.5" customHeight="1" x14ac:dyDescent="0.2">
      <c r="A85" s="137" t="s">
        <v>226</v>
      </c>
      <c r="B85" s="36" t="s">
        <v>7699</v>
      </c>
      <c r="C85" s="69">
        <v>39</v>
      </c>
      <c r="D85" s="60"/>
    </row>
    <row r="86" spans="1:7" ht="13.5" customHeight="1" x14ac:dyDescent="0.2">
      <c r="A86" s="137" t="s">
        <v>226</v>
      </c>
      <c r="B86" s="34" t="s">
        <v>7587</v>
      </c>
      <c r="C86" s="528">
        <v>87.72</v>
      </c>
      <c r="D86" s="25"/>
    </row>
    <row r="87" spans="1:7" ht="13.5" customHeight="1" x14ac:dyDescent="0.2">
      <c r="A87" s="137" t="s">
        <v>226</v>
      </c>
      <c r="B87" s="33" t="s">
        <v>7611</v>
      </c>
      <c r="C87" s="30">
        <v>-60</v>
      </c>
      <c r="D87" s="1334"/>
    </row>
    <row r="88" spans="1:7" ht="13.5" customHeight="1" x14ac:dyDescent="0.2">
      <c r="A88" s="137" t="s">
        <v>226</v>
      </c>
      <c r="B88" s="34" t="s">
        <v>7713</v>
      </c>
      <c r="C88" s="113">
        <v>-2700</v>
      </c>
      <c r="D88" s="25"/>
      <c r="E88" s="18"/>
    </row>
    <row r="89" spans="1:7" ht="13.5" customHeight="1" x14ac:dyDescent="0.2">
      <c r="A89" s="137" t="s">
        <v>226</v>
      </c>
      <c r="B89" s="34" t="s">
        <v>227</v>
      </c>
      <c r="C89" s="113">
        <v>240.72500000000002</v>
      </c>
      <c r="D89" s="25"/>
      <c r="E89" s="18"/>
    </row>
    <row r="90" spans="1:7" ht="13.5" customHeight="1" x14ac:dyDescent="0.2">
      <c r="A90" s="137"/>
      <c r="B90" s="34"/>
      <c r="C90" s="112">
        <f>SUM(C75:C89)</f>
        <v>-1991.2049999999999</v>
      </c>
      <c r="D90" s="25"/>
      <c r="E90" s="18"/>
    </row>
    <row r="91" spans="1:7" ht="13.5" customHeight="1" x14ac:dyDescent="0.2">
      <c r="A91" s="137"/>
      <c r="B91" s="34"/>
      <c r="C91" s="113"/>
      <c r="D91" s="25"/>
      <c r="E91" s="18"/>
    </row>
    <row r="92" spans="1:7" ht="13.5" customHeight="1" x14ac:dyDescent="0.2">
      <c r="A92" s="137" t="s">
        <v>226</v>
      </c>
      <c r="B92" s="36" t="s">
        <v>199</v>
      </c>
      <c r="C92" s="284">
        <v>126.3</v>
      </c>
      <c r="D92" s="25"/>
    </row>
    <row r="93" spans="1:7" ht="13.5" customHeight="1" x14ac:dyDescent="0.2">
      <c r="A93" s="137" t="s">
        <v>226</v>
      </c>
      <c r="B93" s="36" t="s">
        <v>180</v>
      </c>
      <c r="C93" s="284">
        <v>283.94</v>
      </c>
      <c r="D93" s="25"/>
    </row>
    <row r="94" spans="1:7" ht="13.5" customHeight="1" x14ac:dyDescent="0.2">
      <c r="A94" s="137" t="s">
        <v>226</v>
      </c>
      <c r="B94" s="33" t="s">
        <v>7621</v>
      </c>
      <c r="C94" s="30">
        <v>2.4900000000000002</v>
      </c>
      <c r="D94" s="1334"/>
    </row>
    <row r="95" spans="1:7" ht="13.5" customHeight="1" x14ac:dyDescent="0.2">
      <c r="A95" s="137" t="s">
        <v>226</v>
      </c>
      <c r="B95" s="36" t="s">
        <v>7646</v>
      </c>
      <c r="C95" s="12">
        <v>-89.99</v>
      </c>
      <c r="D95" s="60"/>
    </row>
    <row r="96" spans="1:7" ht="13.5" customHeight="1" x14ac:dyDescent="0.2">
      <c r="A96" s="137" t="s">
        <v>226</v>
      </c>
      <c r="B96" s="36" t="s">
        <v>7696</v>
      </c>
      <c r="C96" s="61">
        <v>180.16</v>
      </c>
      <c r="D96" s="60"/>
    </row>
    <row r="97" spans="1:5" ht="13.5" customHeight="1" x14ac:dyDescent="0.2">
      <c r="A97" s="137" t="s">
        <v>226</v>
      </c>
      <c r="B97" s="34" t="s">
        <v>6918</v>
      </c>
      <c r="C97" s="12">
        <v>1894.9</v>
      </c>
      <c r="D97" s="71"/>
    </row>
    <row r="98" spans="1:5" ht="13.5" customHeight="1" x14ac:dyDescent="0.2">
      <c r="A98" s="137" t="s">
        <v>226</v>
      </c>
      <c r="B98" s="34" t="s">
        <v>197</v>
      </c>
      <c r="C98" s="12">
        <v>3158.16</v>
      </c>
      <c r="D98" s="71"/>
    </row>
    <row r="99" spans="1:5" ht="13.5" customHeight="1" x14ac:dyDescent="0.2">
      <c r="A99" s="137" t="s">
        <v>226</v>
      </c>
      <c r="B99" s="34" t="s">
        <v>228</v>
      </c>
      <c r="C99" s="113">
        <v>240.72500000000002</v>
      </c>
      <c r="D99" s="25"/>
      <c r="E99" s="18"/>
    </row>
    <row r="100" spans="1:5" ht="13.5" customHeight="1" x14ac:dyDescent="0.2">
      <c r="A100" s="137"/>
      <c r="B100" s="36"/>
      <c r="C100" s="114">
        <f>SUM(C92:C99)</f>
        <v>5796.6850000000004</v>
      </c>
      <c r="D100" s="60"/>
    </row>
    <row r="101" spans="1:5" ht="13.5" customHeight="1" x14ac:dyDescent="0.2">
      <c r="A101" s="137"/>
      <c r="B101" s="36"/>
      <c r="C101" s="61"/>
      <c r="D101" s="60"/>
    </row>
    <row r="102" spans="1:5" ht="13.5" customHeight="1" x14ac:dyDescent="0.2">
      <c r="A102" s="137" t="s">
        <v>229</v>
      </c>
      <c r="B102" s="36" t="s">
        <v>6710</v>
      </c>
      <c r="C102" s="61">
        <v>200</v>
      </c>
      <c r="D102" s="60"/>
    </row>
    <row r="103" spans="1:5" ht="13.5" customHeight="1" x14ac:dyDescent="0.2">
      <c r="A103" s="137" t="s">
        <v>229</v>
      </c>
      <c r="B103" s="36" t="s">
        <v>6079</v>
      </c>
      <c r="C103" s="61">
        <v>900</v>
      </c>
      <c r="D103" s="60"/>
    </row>
    <row r="104" spans="1:5" ht="13.5" customHeight="1" x14ac:dyDescent="0.2">
      <c r="A104" s="137" t="s">
        <v>229</v>
      </c>
      <c r="B104" s="36" t="s">
        <v>7643</v>
      </c>
      <c r="C104" s="43">
        <v>34.6</v>
      </c>
      <c r="D104" s="60"/>
    </row>
    <row r="105" spans="1:5" ht="13.5" customHeight="1" x14ac:dyDescent="0.2">
      <c r="A105" s="137" t="s">
        <v>229</v>
      </c>
      <c r="B105" s="34" t="s">
        <v>7643</v>
      </c>
      <c r="C105" s="173">
        <v>44</v>
      </c>
      <c r="D105" s="25"/>
    </row>
    <row r="106" spans="1:5" ht="13.5" customHeight="1" x14ac:dyDescent="0.2">
      <c r="A106" s="137" t="s">
        <v>229</v>
      </c>
      <c r="B106" s="34" t="s">
        <v>7576</v>
      </c>
      <c r="C106" s="528">
        <v>26.9</v>
      </c>
      <c r="D106" s="25"/>
    </row>
    <row r="107" spans="1:5" ht="13.5" customHeight="1" x14ac:dyDescent="0.2">
      <c r="A107" s="137" t="s">
        <v>229</v>
      </c>
      <c r="B107" s="34" t="s">
        <v>7610</v>
      </c>
      <c r="C107" s="1327">
        <v>10.5</v>
      </c>
      <c r="D107" s="1328"/>
    </row>
    <row r="108" spans="1:5" ht="13.5" customHeight="1" x14ac:dyDescent="0.2">
      <c r="A108" s="137" t="s">
        <v>229</v>
      </c>
      <c r="B108" s="34" t="s">
        <v>7636</v>
      </c>
      <c r="C108" s="1327">
        <v>15</v>
      </c>
      <c r="D108" s="1328"/>
    </row>
    <row r="109" spans="1:5" ht="13.5" customHeight="1" x14ac:dyDescent="0.2">
      <c r="A109" s="137" t="s">
        <v>229</v>
      </c>
      <c r="B109" s="36" t="s">
        <v>340</v>
      </c>
      <c r="C109" s="43">
        <v>4.49</v>
      </c>
      <c r="D109" s="60"/>
    </row>
    <row r="110" spans="1:5" ht="13.5" customHeight="1" x14ac:dyDescent="0.2">
      <c r="A110" s="137" t="s">
        <v>229</v>
      </c>
      <c r="B110" s="36" t="s">
        <v>7574</v>
      </c>
      <c r="C110" s="889">
        <v>15.7</v>
      </c>
      <c r="D110" s="60"/>
    </row>
    <row r="111" spans="1:5" ht="13.5" customHeight="1" x14ac:dyDescent="0.2">
      <c r="A111" s="137" t="s">
        <v>229</v>
      </c>
      <c r="B111" s="36" t="s">
        <v>7690</v>
      </c>
      <c r="C111" s="12">
        <v>964.09</v>
      </c>
      <c r="D111" s="60"/>
    </row>
    <row r="112" spans="1:5" ht="13.5" customHeight="1" x14ac:dyDescent="0.2">
      <c r="A112" s="137" t="s">
        <v>229</v>
      </c>
      <c r="B112" s="36" t="s">
        <v>7573</v>
      </c>
      <c r="C112" s="889">
        <v>900</v>
      </c>
      <c r="D112" s="60"/>
    </row>
    <row r="113" spans="1:7" ht="13.5" customHeight="1" x14ac:dyDescent="0.2">
      <c r="A113" s="137" t="s">
        <v>229</v>
      </c>
      <c r="B113" s="33" t="s">
        <v>7623</v>
      </c>
      <c r="C113" s="30">
        <v>15</v>
      </c>
      <c r="D113" s="1334"/>
    </row>
    <row r="114" spans="1:7" ht="13.5" customHeight="1" x14ac:dyDescent="0.2">
      <c r="A114" s="137"/>
      <c r="B114" s="237"/>
      <c r="C114" s="1335">
        <f>SUM(C102:C113)</f>
        <v>3130.28</v>
      </c>
      <c r="D114" s="1336">
        <f>C114/2</f>
        <v>1565.14</v>
      </c>
    </row>
    <row r="115" spans="1:7" ht="13.5" customHeight="1" x14ac:dyDescent="0.2">
      <c r="A115" s="137"/>
      <c r="B115" s="237"/>
      <c r="C115" s="1327"/>
      <c r="D115" s="1328"/>
    </row>
    <row r="116" spans="1:7" ht="13.5" customHeight="1" x14ac:dyDescent="0.2">
      <c r="A116" s="137" t="s">
        <v>418</v>
      </c>
      <c r="B116" s="34" t="s">
        <v>177</v>
      </c>
      <c r="C116" s="173">
        <v>176.42</v>
      </c>
      <c r="D116" s="1100">
        <v>352.84</v>
      </c>
    </row>
    <row r="117" spans="1:7" ht="13.5" customHeight="1" x14ac:dyDescent="0.2">
      <c r="A117" s="137"/>
      <c r="B117" s="34"/>
      <c r="C117" s="173">
        <v>176.42</v>
      </c>
      <c r="D117" s="1100"/>
    </row>
    <row r="118" spans="1:7" ht="13.5" customHeight="1" x14ac:dyDescent="0.2">
      <c r="A118" s="137"/>
      <c r="B118" s="34"/>
      <c r="C118" s="173"/>
      <c r="D118" s="1100"/>
    </row>
    <row r="119" spans="1:7" ht="13.5" customHeight="1" x14ac:dyDescent="0.2">
      <c r="A119" s="137" t="s">
        <v>419</v>
      </c>
      <c r="B119" s="34" t="s">
        <v>394</v>
      </c>
      <c r="C119" s="173">
        <v>900.42</v>
      </c>
      <c r="D119" s="1100">
        <v>1800.84</v>
      </c>
    </row>
    <row r="120" spans="1:7" ht="13.5" customHeight="1" x14ac:dyDescent="0.2">
      <c r="A120" s="137"/>
      <c r="B120" s="34"/>
      <c r="C120" s="173">
        <v>900.42</v>
      </c>
      <c r="D120" s="25"/>
    </row>
    <row r="121" spans="1:7" ht="13.5" customHeight="1" x14ac:dyDescent="0.2">
      <c r="A121" s="137"/>
      <c r="B121" s="34"/>
      <c r="C121" s="173"/>
      <c r="D121" s="25"/>
    </row>
    <row r="122" spans="1:7" ht="13.5" customHeight="1" x14ac:dyDescent="0.2">
      <c r="A122" s="137" t="s">
        <v>244</v>
      </c>
      <c r="B122" s="34" t="s">
        <v>7659</v>
      </c>
      <c r="C122" s="284">
        <v>108.55</v>
      </c>
      <c r="D122" s="25"/>
    </row>
    <row r="123" spans="1:7" ht="13.5" customHeight="1" x14ac:dyDescent="0.2">
      <c r="A123" s="137" t="s">
        <v>244</v>
      </c>
      <c r="B123" s="34" t="s">
        <v>7659</v>
      </c>
      <c r="C123" s="284">
        <v>101</v>
      </c>
      <c r="D123" s="25"/>
    </row>
    <row r="124" spans="1:7" ht="13.5" customHeight="1" x14ac:dyDescent="0.2">
      <c r="A124" s="137" t="s">
        <v>244</v>
      </c>
      <c r="B124" s="34" t="s">
        <v>7686</v>
      </c>
      <c r="C124" s="284">
        <v>1086.56</v>
      </c>
      <c r="D124" s="25"/>
    </row>
    <row r="125" spans="1:7" ht="13.5" customHeight="1" x14ac:dyDescent="0.2">
      <c r="A125" s="137"/>
      <c r="B125" s="34"/>
      <c r="C125" s="1100">
        <f>SUM(C122:C124)</f>
        <v>1296.1099999999999</v>
      </c>
      <c r="D125" s="418">
        <f>C125/2</f>
        <v>648.05499999999995</v>
      </c>
    </row>
    <row r="126" spans="1:7" ht="13.5" customHeight="1" x14ac:dyDescent="0.2">
      <c r="A126" s="137"/>
      <c r="B126" s="34"/>
      <c r="C126" s="284"/>
      <c r="D126" s="25"/>
      <c r="F126" s="36" t="s">
        <v>7714</v>
      </c>
      <c r="G126" s="889">
        <v>20.88</v>
      </c>
    </row>
    <row r="127" spans="1:7" ht="13.5" customHeight="1" x14ac:dyDescent="0.2">
      <c r="A127" s="137" t="s">
        <v>232</v>
      </c>
      <c r="B127" s="36" t="s">
        <v>7671</v>
      </c>
      <c r="C127" s="12">
        <v>405.68</v>
      </c>
      <c r="D127" s="60"/>
      <c r="F127" s="36" t="s">
        <v>7715</v>
      </c>
      <c r="G127" s="30">
        <v>7</v>
      </c>
    </row>
    <row r="128" spans="1:7" ht="13.5" customHeight="1" x14ac:dyDescent="0.2">
      <c r="A128" s="137" t="s">
        <v>232</v>
      </c>
      <c r="B128" s="36" t="s">
        <v>7708</v>
      </c>
      <c r="C128" s="69">
        <v>172</v>
      </c>
      <c r="D128" s="69"/>
      <c r="F128" s="36" t="s">
        <v>7716</v>
      </c>
      <c r="G128" s="30">
        <v>7</v>
      </c>
    </row>
    <row r="129" spans="1:7" ht="13.5" customHeight="1" x14ac:dyDescent="0.2">
      <c r="A129" s="137" t="s">
        <v>232</v>
      </c>
      <c r="B129" s="34" t="s">
        <v>7706</v>
      </c>
      <c r="C129" s="113">
        <v>390</v>
      </c>
      <c r="D129" s="428"/>
      <c r="F129" s="34" t="s">
        <v>7717</v>
      </c>
      <c r="G129" s="528">
        <v>32.200000000000003</v>
      </c>
    </row>
    <row r="130" spans="1:7" ht="13.5" customHeight="1" x14ac:dyDescent="0.2">
      <c r="A130" s="137" t="s">
        <v>232</v>
      </c>
      <c r="B130" s="36" t="s">
        <v>7605</v>
      </c>
      <c r="C130" s="889">
        <v>60</v>
      </c>
      <c r="D130" s="60"/>
      <c r="F130" s="237" t="s">
        <v>7718</v>
      </c>
      <c r="G130" s="1327">
        <v>17.8</v>
      </c>
    </row>
    <row r="131" spans="1:7" ht="13.5" customHeight="1" x14ac:dyDescent="0.2">
      <c r="A131" s="137" t="s">
        <v>232</v>
      </c>
      <c r="B131" s="36" t="s">
        <v>7707</v>
      </c>
      <c r="C131" s="69">
        <v>210</v>
      </c>
      <c r="D131" s="69"/>
      <c r="F131" s="34" t="s">
        <v>7719</v>
      </c>
      <c r="G131" s="173">
        <v>18.54</v>
      </c>
    </row>
    <row r="132" spans="1:7" ht="13.5" customHeight="1" x14ac:dyDescent="0.2">
      <c r="A132" s="137" t="s">
        <v>232</v>
      </c>
      <c r="B132" s="36" t="s">
        <v>837</v>
      </c>
      <c r="C132" s="69">
        <v>2337.5</v>
      </c>
      <c r="D132" s="69"/>
      <c r="F132" s="257" t="s">
        <v>7720</v>
      </c>
      <c r="G132" s="30">
        <v>20.68</v>
      </c>
    </row>
    <row r="133" spans="1:7" ht="13.5" customHeight="1" x14ac:dyDescent="0.2">
      <c r="A133" s="137"/>
      <c r="B133" s="36"/>
      <c r="C133" s="114">
        <f>SUM(C127:C132)</f>
        <v>3575.1800000000003</v>
      </c>
      <c r="D133" s="69"/>
      <c r="F133" s="34" t="s">
        <v>1022</v>
      </c>
      <c r="G133" s="528">
        <v>48.63</v>
      </c>
    </row>
    <row r="134" spans="1:7" ht="13.5" customHeight="1" x14ac:dyDescent="0.2">
      <c r="A134" s="137"/>
      <c r="B134" s="36"/>
      <c r="C134" s="69"/>
      <c r="D134" s="69"/>
      <c r="F134" s="34" t="s">
        <v>855</v>
      </c>
      <c r="G134" s="173">
        <v>210</v>
      </c>
    </row>
    <row r="135" spans="1:7" ht="13.5" customHeight="1" x14ac:dyDescent="0.2">
      <c r="A135" s="137" t="s">
        <v>232</v>
      </c>
      <c r="B135" s="36" t="s">
        <v>7669</v>
      </c>
      <c r="C135" s="12">
        <v>763.32</v>
      </c>
      <c r="D135" s="1334"/>
      <c r="F135" s="34" t="s">
        <v>855</v>
      </c>
      <c r="G135" s="889">
        <v>350</v>
      </c>
    </row>
    <row r="136" spans="1:7" ht="13.5" customHeight="1" x14ac:dyDescent="0.2">
      <c r="A136" s="137" t="s">
        <v>232</v>
      </c>
      <c r="B136" s="36" t="s">
        <v>7673</v>
      </c>
      <c r="C136" s="12">
        <v>405.68</v>
      </c>
      <c r="D136" s="60"/>
      <c r="F136" s="34" t="s">
        <v>855</v>
      </c>
      <c r="G136" s="30">
        <v>350</v>
      </c>
    </row>
    <row r="137" spans="1:7" ht="13.5" customHeight="1" x14ac:dyDescent="0.2">
      <c r="A137" s="137" t="s">
        <v>232</v>
      </c>
      <c r="B137" s="36" t="s">
        <v>7705</v>
      </c>
      <c r="C137" s="69">
        <v>81</v>
      </c>
      <c r="D137" s="60"/>
      <c r="F137" s="34" t="s">
        <v>855</v>
      </c>
      <c r="G137" s="1316">
        <v>350</v>
      </c>
    </row>
    <row r="138" spans="1:7" ht="13.5" customHeight="1" x14ac:dyDescent="0.2">
      <c r="A138" s="137" t="s">
        <v>232</v>
      </c>
      <c r="B138" s="36" t="s">
        <v>891</v>
      </c>
      <c r="C138" s="889">
        <v>50</v>
      </c>
      <c r="D138" s="60"/>
      <c r="F138" s="56" t="s">
        <v>7721</v>
      </c>
      <c r="G138" s="889">
        <v>350</v>
      </c>
    </row>
    <row r="139" spans="1:7" ht="13.5" customHeight="1" x14ac:dyDescent="0.2">
      <c r="A139" s="137" t="s">
        <v>232</v>
      </c>
      <c r="B139" s="36" t="s">
        <v>7606</v>
      </c>
      <c r="C139" s="889">
        <v>-60</v>
      </c>
      <c r="D139" s="60"/>
      <c r="F139" s="36" t="s">
        <v>107</v>
      </c>
      <c r="G139" s="889">
        <v>200</v>
      </c>
    </row>
    <row r="140" spans="1:7" ht="13.5" customHeight="1" x14ac:dyDescent="0.2">
      <c r="A140" s="137" t="s">
        <v>232</v>
      </c>
      <c r="B140" s="36" t="s">
        <v>7592</v>
      </c>
      <c r="C140" s="889">
        <v>70</v>
      </c>
      <c r="D140" s="60"/>
      <c r="F140" s="36" t="s">
        <v>173</v>
      </c>
      <c r="G140" s="12">
        <v>1166.03</v>
      </c>
    </row>
    <row r="141" spans="1:7" ht="13.5" customHeight="1" x14ac:dyDescent="0.2">
      <c r="A141" s="137" t="s">
        <v>232</v>
      </c>
      <c r="B141" s="36" t="s">
        <v>838</v>
      </c>
      <c r="C141" s="69">
        <v>2337.5</v>
      </c>
      <c r="D141" s="69"/>
      <c r="F141" s="34" t="s">
        <v>171</v>
      </c>
      <c r="G141" s="12">
        <v>610.87</v>
      </c>
    </row>
    <row r="142" spans="1:7" ht="13.5" customHeight="1" x14ac:dyDescent="0.2">
      <c r="A142" s="137"/>
      <c r="B142" s="36"/>
      <c r="C142" s="1337">
        <f>SUM(C135:C141)</f>
        <v>3647.5</v>
      </c>
      <c r="D142" s="60"/>
      <c r="F142" s="34" t="s">
        <v>172</v>
      </c>
      <c r="G142" s="12">
        <v>765.37</v>
      </c>
    </row>
    <row r="143" spans="1:7" ht="13.5" customHeight="1" x14ac:dyDescent="0.2">
      <c r="A143" s="137"/>
      <c r="B143" s="36"/>
      <c r="C143" s="12"/>
      <c r="D143" s="60"/>
      <c r="F143" s="36" t="s">
        <v>7147</v>
      </c>
      <c r="G143" s="12">
        <v>150</v>
      </c>
    </row>
    <row r="144" spans="1:7" ht="13.5" customHeight="1" x14ac:dyDescent="0.2">
      <c r="A144" s="137" t="s">
        <v>234</v>
      </c>
      <c r="B144" s="33" t="s">
        <v>7631</v>
      </c>
      <c r="C144" s="30">
        <v>17.5</v>
      </c>
      <c r="D144" s="1334"/>
      <c r="G144" s="529">
        <f>SUM(G126:G143)</f>
        <v>4675</v>
      </c>
    </row>
    <row r="145" spans="1:4" ht="13.5" customHeight="1" x14ac:dyDescent="0.2">
      <c r="A145" s="137" t="s">
        <v>234</v>
      </c>
      <c r="B145" s="33" t="s">
        <v>701</v>
      </c>
      <c r="C145" s="30">
        <v>8.5</v>
      </c>
      <c r="D145" s="1334"/>
    </row>
    <row r="146" spans="1:4" ht="13.5" customHeight="1" x14ac:dyDescent="0.2">
      <c r="A146" s="137" t="s">
        <v>234</v>
      </c>
      <c r="B146" s="33" t="s">
        <v>7618</v>
      </c>
      <c r="C146" s="30">
        <v>20</v>
      </c>
      <c r="D146" s="1334"/>
    </row>
    <row r="147" spans="1:4" ht="13.5" customHeight="1" x14ac:dyDescent="0.2">
      <c r="A147" s="137" t="s">
        <v>234</v>
      </c>
      <c r="B147" s="36" t="s">
        <v>7562</v>
      </c>
      <c r="C147" s="889">
        <v>18.8</v>
      </c>
      <c r="D147" s="60"/>
    </row>
    <row r="148" spans="1:4" ht="13.5" customHeight="1" x14ac:dyDescent="0.2">
      <c r="A148" s="137" t="s">
        <v>234</v>
      </c>
      <c r="B148" s="36" t="s">
        <v>7704</v>
      </c>
      <c r="C148" s="69">
        <v>30</v>
      </c>
      <c r="D148" s="69"/>
    </row>
    <row r="149" spans="1:4" ht="13.5" customHeight="1" x14ac:dyDescent="0.2">
      <c r="A149" s="137" t="s">
        <v>234</v>
      </c>
      <c r="B149" s="34" t="s">
        <v>7663</v>
      </c>
      <c r="C149" s="12">
        <v>110.4</v>
      </c>
      <c r="D149" s="60"/>
    </row>
    <row r="150" spans="1:4" ht="13.5" customHeight="1" x14ac:dyDescent="0.2">
      <c r="A150" s="137" t="s">
        <v>234</v>
      </c>
      <c r="B150" s="36" t="s">
        <v>7703</v>
      </c>
      <c r="C150" s="69">
        <v>22</v>
      </c>
      <c r="D150" s="69"/>
    </row>
    <row r="151" spans="1:4" ht="13.5" customHeight="1" x14ac:dyDescent="0.2">
      <c r="A151" s="137" t="s">
        <v>234</v>
      </c>
      <c r="B151" s="36" t="s">
        <v>7702</v>
      </c>
      <c r="C151" s="69">
        <v>3.9</v>
      </c>
      <c r="D151" s="69"/>
    </row>
    <row r="152" spans="1:4" ht="13.5" customHeight="1" x14ac:dyDescent="0.2">
      <c r="A152" s="137" t="s">
        <v>234</v>
      </c>
      <c r="B152" s="36" t="s">
        <v>7722</v>
      </c>
      <c r="C152" s="69">
        <v>19.63</v>
      </c>
      <c r="D152" s="69"/>
    </row>
    <row r="153" spans="1:4" ht="13.5" customHeight="1" x14ac:dyDescent="0.2">
      <c r="A153" s="137"/>
      <c r="B153" s="36"/>
      <c r="C153" s="114">
        <f>SUM(C144:C152)</f>
        <v>250.73</v>
      </c>
      <c r="D153" s="69"/>
    </row>
    <row r="154" spans="1:4" ht="13.5" customHeight="1" x14ac:dyDescent="0.2">
      <c r="A154" s="137"/>
      <c r="B154" s="36"/>
      <c r="C154" s="69"/>
      <c r="D154" s="69"/>
    </row>
    <row r="155" spans="1:4" ht="13.5" customHeight="1" x14ac:dyDescent="0.2">
      <c r="A155" s="137" t="s">
        <v>234</v>
      </c>
      <c r="B155" s="36" t="s">
        <v>7681</v>
      </c>
      <c r="C155" s="12">
        <v>265</v>
      </c>
      <c r="D155" s="60"/>
    </row>
    <row r="156" spans="1:4" ht="13.5" customHeight="1" x14ac:dyDescent="0.2">
      <c r="A156" s="137" t="s">
        <v>234</v>
      </c>
      <c r="B156" s="36" t="s">
        <v>7653</v>
      </c>
      <c r="C156" s="12">
        <v>95</v>
      </c>
      <c r="D156" s="60"/>
    </row>
    <row r="157" spans="1:4" ht="13.5" customHeight="1" x14ac:dyDescent="0.2">
      <c r="A157" s="137" t="s">
        <v>234</v>
      </c>
      <c r="B157" s="36" t="s">
        <v>7656</v>
      </c>
      <c r="C157" s="12">
        <v>153</v>
      </c>
      <c r="D157" s="60"/>
    </row>
    <row r="158" spans="1:4" ht="13.5" customHeight="1" x14ac:dyDescent="0.2">
      <c r="A158" s="137" t="s">
        <v>234</v>
      </c>
      <c r="B158" s="33" t="s">
        <v>959</v>
      </c>
      <c r="C158" s="30">
        <v>21.5</v>
      </c>
      <c r="D158" s="1334"/>
    </row>
    <row r="159" spans="1:4" ht="13.5" customHeight="1" x14ac:dyDescent="0.2">
      <c r="A159" s="137" t="s">
        <v>234</v>
      </c>
      <c r="B159" s="33" t="s">
        <v>1112</v>
      </c>
      <c r="C159" s="30">
        <v>19.8</v>
      </c>
      <c r="D159" s="1334"/>
    </row>
    <row r="160" spans="1:4" ht="13.5" customHeight="1" x14ac:dyDescent="0.2">
      <c r="A160" s="137" t="s">
        <v>234</v>
      </c>
      <c r="B160" s="33" t="s">
        <v>7622</v>
      </c>
      <c r="C160" s="30">
        <v>2.2000000000000002</v>
      </c>
      <c r="D160" s="1334"/>
    </row>
    <row r="161" spans="1:4" ht="13.5" customHeight="1" x14ac:dyDescent="0.2">
      <c r="A161" s="137" t="s">
        <v>234</v>
      </c>
      <c r="B161" s="33" t="s">
        <v>7619</v>
      </c>
      <c r="C161" s="30">
        <v>7</v>
      </c>
      <c r="D161" s="1334"/>
    </row>
    <row r="162" spans="1:4" ht="13.5" customHeight="1" x14ac:dyDescent="0.2">
      <c r="A162" s="137" t="s">
        <v>234</v>
      </c>
      <c r="B162" s="36" t="s">
        <v>7563</v>
      </c>
      <c r="C162" s="889">
        <v>34</v>
      </c>
      <c r="D162" s="60"/>
    </row>
    <row r="163" spans="1:4" ht="13.5" customHeight="1" x14ac:dyDescent="0.2">
      <c r="A163" s="137" t="s">
        <v>234</v>
      </c>
      <c r="B163" s="36" t="s">
        <v>7564</v>
      </c>
      <c r="C163" s="889">
        <v>14.25</v>
      </c>
      <c r="D163" s="60"/>
    </row>
    <row r="164" spans="1:4" ht="13.5" customHeight="1" x14ac:dyDescent="0.2">
      <c r="A164" s="137" t="s">
        <v>234</v>
      </c>
      <c r="B164" s="33" t="s">
        <v>7626</v>
      </c>
      <c r="C164" s="30">
        <v>68.599999999999994</v>
      </c>
      <c r="D164" s="1334"/>
    </row>
    <row r="165" spans="1:4" ht="13.5" customHeight="1" x14ac:dyDescent="0.2">
      <c r="A165" s="137" t="s">
        <v>234</v>
      </c>
      <c r="B165" s="36" t="s">
        <v>7676</v>
      </c>
      <c r="C165" s="12">
        <v>1380.5</v>
      </c>
      <c r="D165" s="60"/>
    </row>
    <row r="166" spans="1:4" ht="13.5" customHeight="1" x14ac:dyDescent="0.2">
      <c r="A166" s="137" t="s">
        <v>234</v>
      </c>
      <c r="B166" s="34" t="s">
        <v>7662</v>
      </c>
      <c r="C166" s="12">
        <v>1157.5</v>
      </c>
      <c r="D166" s="60"/>
    </row>
    <row r="167" spans="1:4" ht="13.5" customHeight="1" x14ac:dyDescent="0.2">
      <c r="A167" s="137" t="s">
        <v>234</v>
      </c>
      <c r="B167" s="36" t="s">
        <v>7647</v>
      </c>
      <c r="C167" s="12">
        <v>225</v>
      </c>
      <c r="D167" s="60"/>
    </row>
    <row r="168" spans="1:4" ht="13.5" customHeight="1" x14ac:dyDescent="0.2">
      <c r="A168" s="137" t="s">
        <v>234</v>
      </c>
      <c r="B168" s="36" t="s">
        <v>7693</v>
      </c>
      <c r="C168" s="12">
        <v>149</v>
      </c>
      <c r="D168" s="60"/>
    </row>
    <row r="169" spans="1:4" ht="13.5" customHeight="1" x14ac:dyDescent="0.2">
      <c r="A169" s="137" t="s">
        <v>234</v>
      </c>
      <c r="B169" s="36" t="s">
        <v>7723</v>
      </c>
      <c r="C169" s="12">
        <v>19.63</v>
      </c>
      <c r="D169" s="60"/>
    </row>
    <row r="170" spans="1:4" ht="13.5" customHeight="1" x14ac:dyDescent="0.2">
      <c r="A170" s="137"/>
      <c r="B170" s="36"/>
      <c r="C170" s="1337">
        <f>SUM(C155:C169)</f>
        <v>3611.98</v>
      </c>
      <c r="D170" s="60"/>
    </row>
    <row r="171" spans="1:4" ht="13.5" customHeight="1" x14ac:dyDescent="0.2">
      <c r="A171" s="137"/>
      <c r="B171" s="36"/>
      <c r="C171" s="12"/>
      <c r="D171" s="60"/>
    </row>
    <row r="172" spans="1:4" ht="13.5" customHeight="1" x14ac:dyDescent="0.2">
      <c r="A172" s="137" t="s">
        <v>235</v>
      </c>
      <c r="B172" s="36" t="s">
        <v>195</v>
      </c>
      <c r="C172" s="12">
        <v>381.94</v>
      </c>
      <c r="D172" s="60"/>
    </row>
    <row r="173" spans="1:4" ht="13.5" customHeight="1" x14ac:dyDescent="0.2">
      <c r="A173" s="137" t="s">
        <v>235</v>
      </c>
      <c r="B173" s="36" t="s">
        <v>194</v>
      </c>
      <c r="C173" s="12">
        <v>82.75</v>
      </c>
      <c r="D173" s="60"/>
    </row>
    <row r="174" spans="1:4" ht="13.5" customHeight="1" x14ac:dyDescent="0.2">
      <c r="A174" s="137"/>
      <c r="B174" s="36"/>
      <c r="C174" s="1337">
        <f>SUM(C172:C173)</f>
        <v>464.69</v>
      </c>
      <c r="D174" s="60"/>
    </row>
    <row r="175" spans="1:4" ht="13.5" customHeight="1" x14ac:dyDescent="0.2">
      <c r="A175" s="137"/>
      <c r="B175" s="36"/>
      <c r="C175" s="12"/>
      <c r="D175" s="60"/>
    </row>
    <row r="176" spans="1:4" ht="13.5" customHeight="1" x14ac:dyDescent="0.2">
      <c r="A176" s="137" t="s">
        <v>236</v>
      </c>
      <c r="B176" s="36" t="s">
        <v>1002</v>
      </c>
      <c r="C176" s="69">
        <v>2625.67</v>
      </c>
      <c r="D176" s="60"/>
    </row>
    <row r="177" spans="1:4" ht="13.5" customHeight="1" x14ac:dyDescent="0.2">
      <c r="A177" s="137" t="s">
        <v>236</v>
      </c>
      <c r="B177" s="36" t="s">
        <v>132</v>
      </c>
      <c r="C177" s="12">
        <v>1236.1500000000001</v>
      </c>
      <c r="D177" s="60"/>
    </row>
    <row r="178" spans="1:4" ht="13.5" customHeight="1" x14ac:dyDescent="0.2">
      <c r="A178" s="137" t="s">
        <v>236</v>
      </c>
      <c r="B178" s="36" t="s">
        <v>130</v>
      </c>
      <c r="C178" s="12">
        <v>108.47</v>
      </c>
      <c r="D178" s="60"/>
    </row>
    <row r="179" spans="1:4" ht="13.5" customHeight="1" x14ac:dyDescent="0.2">
      <c r="A179" s="137" t="s">
        <v>236</v>
      </c>
      <c r="B179" s="36" t="s">
        <v>368</v>
      </c>
      <c r="C179" s="12">
        <v>205.94</v>
      </c>
      <c r="D179" s="60"/>
    </row>
    <row r="180" spans="1:4" ht="13.5" customHeight="1" x14ac:dyDescent="0.2">
      <c r="A180" s="137" t="s">
        <v>236</v>
      </c>
      <c r="B180" s="36" t="s">
        <v>53</v>
      </c>
      <c r="C180" s="12">
        <v>511.71</v>
      </c>
      <c r="D180" s="60"/>
    </row>
    <row r="181" spans="1:4" ht="13.5" customHeight="1" x14ac:dyDescent="0.2">
      <c r="A181" s="137" t="s">
        <v>236</v>
      </c>
      <c r="B181" s="36" t="s">
        <v>55</v>
      </c>
      <c r="C181" s="12">
        <v>350</v>
      </c>
      <c r="D181" s="60"/>
    </row>
    <row r="182" spans="1:4" ht="13.5" customHeight="1" x14ac:dyDescent="0.2">
      <c r="A182" s="137" t="s">
        <v>236</v>
      </c>
      <c r="B182" s="36" t="s">
        <v>136</v>
      </c>
      <c r="C182" s="12">
        <v>37.9</v>
      </c>
      <c r="D182" s="60"/>
    </row>
    <row r="183" spans="1:4" ht="13.5" customHeight="1" x14ac:dyDescent="0.2">
      <c r="A183" s="137" t="s">
        <v>236</v>
      </c>
      <c r="B183" s="36" t="s">
        <v>7710</v>
      </c>
      <c r="C183" s="69">
        <v>2000</v>
      </c>
      <c r="D183" s="69"/>
    </row>
    <row r="184" spans="1:4" ht="13.5" customHeight="1" x14ac:dyDescent="0.2">
      <c r="A184" s="137" t="s">
        <v>236</v>
      </c>
      <c r="B184" s="36" t="s">
        <v>7607</v>
      </c>
      <c r="C184" s="12">
        <v>46.07</v>
      </c>
      <c r="D184" s="60"/>
    </row>
    <row r="185" spans="1:4" ht="13.5" customHeight="1" x14ac:dyDescent="0.2">
      <c r="A185" s="137" t="s">
        <v>236</v>
      </c>
      <c r="B185" s="36" t="s">
        <v>7641</v>
      </c>
      <c r="C185" s="12">
        <v>278.57</v>
      </c>
      <c r="D185" s="60"/>
    </row>
    <row r="186" spans="1:4" ht="13.5" customHeight="1" x14ac:dyDescent="0.2">
      <c r="A186" s="137" t="s">
        <v>236</v>
      </c>
      <c r="B186" s="34" t="s">
        <v>7697</v>
      </c>
      <c r="C186" s="69">
        <v>2000</v>
      </c>
      <c r="D186" s="71"/>
    </row>
    <row r="187" spans="1:4" x14ac:dyDescent="0.2">
      <c r="A187" s="137" t="s">
        <v>236</v>
      </c>
      <c r="B187" s="34" t="s">
        <v>133</v>
      </c>
      <c r="C187" s="12">
        <v>685.17</v>
      </c>
      <c r="D187" s="71"/>
    </row>
    <row r="188" spans="1:4" x14ac:dyDescent="0.2">
      <c r="A188" s="137" t="s">
        <v>236</v>
      </c>
      <c r="B188" s="34" t="s">
        <v>82</v>
      </c>
      <c r="C188" s="12">
        <v>318.25</v>
      </c>
      <c r="D188" s="71"/>
    </row>
    <row r="189" spans="1:4" x14ac:dyDescent="0.2">
      <c r="A189" s="137" t="s">
        <v>236</v>
      </c>
      <c r="B189" s="34" t="s">
        <v>7617</v>
      </c>
      <c r="C189" s="12">
        <v>950</v>
      </c>
      <c r="D189" s="71"/>
    </row>
    <row r="190" spans="1:4" x14ac:dyDescent="0.2">
      <c r="A190" s="137" t="s">
        <v>236</v>
      </c>
      <c r="B190" s="34" t="s">
        <v>18</v>
      </c>
      <c r="C190" s="12">
        <v>352.45</v>
      </c>
      <c r="D190" s="71"/>
    </row>
    <row r="191" spans="1:4" x14ac:dyDescent="0.2">
      <c r="A191" s="137" t="s">
        <v>236</v>
      </c>
      <c r="B191" s="34" t="s">
        <v>114</v>
      </c>
      <c r="C191" s="12">
        <v>213.84</v>
      </c>
      <c r="D191" s="71"/>
    </row>
    <row r="192" spans="1:4" ht="13.5" customHeight="1" x14ac:dyDescent="0.2">
      <c r="A192" s="137"/>
      <c r="B192" s="34"/>
      <c r="C192" s="1337">
        <f>SUM(C176:C191)</f>
        <v>11920.19</v>
      </c>
      <c r="D192" s="71"/>
    </row>
    <row r="193" spans="1:10" ht="13.5" customHeight="1" x14ac:dyDescent="0.2">
      <c r="A193" s="137"/>
      <c r="B193" s="34"/>
      <c r="C193" s="12"/>
      <c r="D193" s="71"/>
    </row>
    <row r="194" spans="1:10" ht="13.5" customHeight="1" x14ac:dyDescent="0.2">
      <c r="A194" s="137" t="s">
        <v>236</v>
      </c>
      <c r="B194" s="34" t="s">
        <v>1553</v>
      </c>
      <c r="C194" s="61">
        <v>5000</v>
      </c>
      <c r="D194" s="71"/>
    </row>
    <row r="195" spans="1:10" ht="13.5" customHeight="1" x14ac:dyDescent="0.2">
      <c r="A195" s="137" t="s">
        <v>236</v>
      </c>
      <c r="B195" s="34" t="s">
        <v>7630</v>
      </c>
      <c r="C195" s="12">
        <v>79.03</v>
      </c>
      <c r="D195" s="71"/>
    </row>
    <row r="196" spans="1:10" ht="13.5" customHeight="1" x14ac:dyDescent="0.2">
      <c r="A196" s="137" t="s">
        <v>236</v>
      </c>
      <c r="B196" s="34" t="s">
        <v>7709</v>
      </c>
      <c r="C196" s="69">
        <v>2000</v>
      </c>
      <c r="D196" s="68"/>
    </row>
    <row r="197" spans="1:10" ht="13.5" customHeight="1" x14ac:dyDescent="0.2">
      <c r="A197" s="137" t="s">
        <v>236</v>
      </c>
      <c r="B197" s="34" t="s">
        <v>7608</v>
      </c>
      <c r="C197" s="12">
        <v>51.42</v>
      </c>
      <c r="D197" s="71"/>
    </row>
    <row r="198" spans="1:10" ht="13.5" customHeight="1" x14ac:dyDescent="0.2">
      <c r="A198" s="137"/>
      <c r="B198" s="34"/>
      <c r="C198" s="1337">
        <f>SUM(C194:C197)</f>
        <v>7130.45</v>
      </c>
      <c r="D198" s="71"/>
    </row>
    <row r="199" spans="1:10" ht="13.5" customHeight="1" x14ac:dyDescent="0.2">
      <c r="A199" s="137"/>
      <c r="B199" s="34"/>
      <c r="C199" s="12"/>
      <c r="D199" s="71"/>
    </row>
    <row r="200" spans="1:10" ht="13.5" customHeight="1" x14ac:dyDescent="0.2">
      <c r="A200" s="137" t="s">
        <v>237</v>
      </c>
      <c r="B200" s="34" t="s">
        <v>7572</v>
      </c>
      <c r="C200" s="1338">
        <v>250</v>
      </c>
      <c r="D200" s="71"/>
    </row>
    <row r="201" spans="1:10" ht="13.5" customHeight="1" x14ac:dyDescent="0.2">
      <c r="A201" s="137"/>
      <c r="B201" s="34"/>
      <c r="C201" s="889"/>
      <c r="D201" s="71"/>
    </row>
    <row r="202" spans="1:10" ht="13.5" customHeight="1" x14ac:dyDescent="0.2">
      <c r="A202" s="137" t="s">
        <v>238</v>
      </c>
      <c r="B202" s="34" t="s">
        <v>20</v>
      </c>
      <c r="C202" s="889">
        <v>-0.03</v>
      </c>
      <c r="D202" s="71"/>
    </row>
    <row r="203" spans="1:10" ht="13.5" customHeight="1" x14ac:dyDescent="0.2">
      <c r="A203" s="137" t="s">
        <v>238</v>
      </c>
      <c r="B203" s="34" t="s">
        <v>20</v>
      </c>
      <c r="C203" s="889">
        <v>-0.03</v>
      </c>
      <c r="D203" s="71"/>
    </row>
    <row r="204" spans="1:10" ht="13.5" customHeight="1" x14ac:dyDescent="0.2">
      <c r="A204" s="137" t="s">
        <v>238</v>
      </c>
      <c r="B204" s="34" t="s">
        <v>86</v>
      </c>
      <c r="C204" s="12">
        <v>78</v>
      </c>
      <c r="D204" s="71"/>
    </row>
    <row r="205" spans="1:10" ht="13.5" customHeight="1" x14ac:dyDescent="0.2">
      <c r="A205" s="137" t="s">
        <v>238</v>
      </c>
      <c r="B205" s="34" t="s">
        <v>86</v>
      </c>
      <c r="C205" s="12">
        <v>69</v>
      </c>
      <c r="D205" s="71"/>
    </row>
    <row r="206" spans="1:10" customFormat="1" ht="13.5" customHeight="1" x14ac:dyDescent="0.2">
      <c r="A206" s="137" t="s">
        <v>238</v>
      </c>
      <c r="B206" s="34" t="s">
        <v>86</v>
      </c>
      <c r="C206" s="12">
        <v>11.9</v>
      </c>
      <c r="D206" s="71"/>
      <c r="E206" s="1"/>
      <c r="F206" s="1"/>
      <c r="G206" s="529"/>
      <c r="H206" s="1"/>
      <c r="I206" s="1"/>
      <c r="J206" s="1"/>
    </row>
    <row r="207" spans="1:10" customFormat="1" ht="13.5" customHeight="1" x14ac:dyDescent="0.2">
      <c r="A207" s="137"/>
      <c r="B207" s="34"/>
      <c r="C207" s="530">
        <f>SUM(C202:C206)</f>
        <v>158.84</v>
      </c>
      <c r="D207" s="73">
        <f>C207/2</f>
        <v>79.42</v>
      </c>
      <c r="E207" s="1"/>
      <c r="F207" s="1"/>
      <c r="G207" s="529"/>
    </row>
    <row r="208" spans="1:10" customFormat="1" ht="13.5" customHeight="1" x14ac:dyDescent="0.2">
      <c r="A208" s="137"/>
      <c r="B208" s="34"/>
      <c r="C208" s="12"/>
      <c r="D208" s="71"/>
      <c r="E208" s="1"/>
      <c r="F208" s="1"/>
      <c r="G208" s="529"/>
    </row>
    <row r="209" spans="1:10" ht="13.5" customHeight="1" x14ac:dyDescent="0.2">
      <c r="A209" s="137" t="s">
        <v>239</v>
      </c>
      <c r="B209" s="34" t="s">
        <v>7540</v>
      </c>
      <c r="C209" s="69">
        <v>179.13</v>
      </c>
      <c r="D209" s="71"/>
      <c r="H209"/>
      <c r="I209"/>
      <c r="J209"/>
    </row>
    <row r="210" spans="1:10" ht="13.5" customHeight="1" x14ac:dyDescent="0.2">
      <c r="A210" s="137" t="s">
        <v>239</v>
      </c>
      <c r="B210" s="34" t="s">
        <v>7540</v>
      </c>
      <c r="C210" s="61">
        <v>275.99</v>
      </c>
      <c r="D210" s="71"/>
    </row>
    <row r="211" spans="1:10" ht="13.5" customHeight="1" x14ac:dyDescent="0.2">
      <c r="A211" s="137"/>
      <c r="B211" s="34"/>
      <c r="C211" s="186">
        <f>SUM(C209:C210)</f>
        <v>455.12</v>
      </c>
      <c r="D211" s="73">
        <f>C211/2</f>
        <v>227.56</v>
      </c>
    </row>
    <row r="212" spans="1:10" ht="13.5" customHeight="1" x14ac:dyDescent="0.2">
      <c r="A212" s="137"/>
      <c r="B212" s="34"/>
      <c r="C212" s="61"/>
      <c r="D212" s="71"/>
    </row>
    <row r="213" spans="1:10" ht="13.5" customHeight="1" x14ac:dyDescent="0.2">
      <c r="A213" s="137" t="s">
        <v>421</v>
      </c>
      <c r="B213" s="34" t="s">
        <v>7597</v>
      </c>
      <c r="C213" s="1337">
        <v>118.69</v>
      </c>
      <c r="D213" s="71"/>
    </row>
    <row r="214" spans="1:10" ht="13.5" customHeight="1" x14ac:dyDescent="0.2">
      <c r="A214" s="137"/>
      <c r="B214" s="34"/>
      <c r="C214" s="530"/>
      <c r="D214" s="71"/>
    </row>
    <row r="215" spans="1:10" ht="13.5" customHeight="1" x14ac:dyDescent="0.2">
      <c r="A215" s="137" t="s">
        <v>421</v>
      </c>
      <c r="B215" s="36" t="s">
        <v>7688</v>
      </c>
      <c r="C215" s="1337">
        <v>3039.45</v>
      </c>
      <c r="D215" s="71"/>
    </row>
    <row r="216" spans="1:10" ht="13.5" customHeight="1" x14ac:dyDescent="0.2">
      <c r="C216" s="124"/>
    </row>
    <row r="217" spans="1:10" ht="13.5" customHeight="1" x14ac:dyDescent="0.2"/>
    <row r="218" spans="1:10" ht="13.5" customHeight="1" x14ac:dyDescent="0.2"/>
    <row r="219" spans="1:10" ht="13.5" customHeight="1" x14ac:dyDescent="0.2"/>
    <row r="220" spans="1:10" ht="13.5" customHeight="1" x14ac:dyDescent="0.2"/>
    <row r="221" spans="1:10" ht="13.5" customHeight="1" x14ac:dyDescent="0.2"/>
    <row r="222" spans="1:10" ht="13.5" customHeight="1" x14ac:dyDescent="0.2"/>
    <row r="223" spans="1:10" ht="13.5" customHeight="1" x14ac:dyDescent="0.2"/>
    <row r="224" spans="1:10" ht="13.5" customHeight="1" x14ac:dyDescent="0.2"/>
    <row r="225" ht="13.5" customHeight="1" x14ac:dyDescent="0.2"/>
    <row r="226" ht="13.5" customHeight="1" x14ac:dyDescent="0.2"/>
    <row r="227" ht="13.5" customHeight="1" x14ac:dyDescent="0.2"/>
    <row r="228" ht="13.5" customHeight="1" x14ac:dyDescent="0.2"/>
    <row r="229" ht="13.5" customHeight="1" x14ac:dyDescent="0.2"/>
    <row r="230" ht="13.5" customHeight="1" x14ac:dyDescent="0.2"/>
    <row r="231" ht="13.5" customHeight="1" x14ac:dyDescent="0.2"/>
    <row r="232" ht="13.5" customHeight="1" x14ac:dyDescent="0.2"/>
    <row r="233" ht="13.5" customHeight="1" x14ac:dyDescent="0.2"/>
    <row r="234" ht="13.5" customHeight="1" x14ac:dyDescent="0.2"/>
    <row r="235" ht="13.5" customHeight="1" x14ac:dyDescent="0.2"/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O333"/>
  <sheetViews>
    <sheetView topLeftCell="B1" zoomScale="80" zoomScaleNormal="80" workbookViewId="0">
      <selection activeCell="C7" sqref="C7"/>
    </sheetView>
  </sheetViews>
  <sheetFormatPr defaultColWidth="9" defaultRowHeight="12.75" x14ac:dyDescent="0.2"/>
  <cols>
    <col min="1" max="1" width="14" style="1" customWidth="1"/>
    <col min="2" max="2" width="1.875" style="1" customWidth="1"/>
    <col min="3" max="3" width="95.875" style="1" customWidth="1"/>
    <col min="4" max="4" width="12" style="1" customWidth="1"/>
    <col min="5" max="5" width="12.375" style="1" customWidth="1"/>
    <col min="6" max="6" width="10.75" style="1" customWidth="1"/>
    <col min="7" max="7" width="11.875" style="1" customWidth="1"/>
    <col min="8" max="9" width="10.75" style="18" customWidth="1"/>
    <col min="10" max="10" width="10.875" style="66" customWidth="1"/>
    <col min="11" max="11" width="14.5" style="1" customWidth="1"/>
    <col min="12" max="12" width="10.375" style="1" customWidth="1"/>
    <col min="13" max="14" width="9" style="1"/>
    <col min="15" max="15" width="10.875" style="40" bestFit="1" customWidth="1"/>
    <col min="16" max="16384" width="9" style="1"/>
  </cols>
  <sheetData>
    <row r="1" spans="1:15" ht="13.5" customHeight="1" thickBot="1" x14ac:dyDescent="0.25">
      <c r="A1" s="768" t="s">
        <v>7724</v>
      </c>
      <c r="B1" s="768"/>
      <c r="C1" s="769"/>
      <c r="D1" s="770" t="s">
        <v>0</v>
      </c>
      <c r="E1" s="771"/>
      <c r="F1" s="771"/>
      <c r="G1" s="772"/>
      <c r="H1" s="773" t="s">
        <v>1</v>
      </c>
      <c r="I1" s="773"/>
      <c r="J1" s="774"/>
    </row>
    <row r="2" spans="1:15" ht="13.5" customHeight="1" thickBot="1" x14ac:dyDescent="0.25">
      <c r="A2" s="2" t="s">
        <v>2</v>
      </c>
      <c r="B2" s="3"/>
      <c r="C2" s="3" t="s">
        <v>3</v>
      </c>
      <c r="D2" s="3" t="s">
        <v>4</v>
      </c>
      <c r="E2" s="3" t="s">
        <v>5</v>
      </c>
      <c r="F2" s="3" t="s">
        <v>6</v>
      </c>
      <c r="G2" s="5" t="s">
        <v>7</v>
      </c>
      <c r="H2" s="6" t="s">
        <v>5</v>
      </c>
      <c r="I2" s="4" t="s">
        <v>6</v>
      </c>
      <c r="J2" s="7" t="s">
        <v>7</v>
      </c>
    </row>
    <row r="3" spans="1:15" ht="13.5" customHeight="1" x14ac:dyDescent="0.2">
      <c r="A3" s="8">
        <v>43252</v>
      </c>
      <c r="B3" s="9"/>
      <c r="C3" s="10" t="s">
        <v>8</v>
      </c>
      <c r="D3" s="11"/>
      <c r="E3" s="12"/>
      <c r="F3" s="13"/>
      <c r="G3" s="14">
        <v>2653.92</v>
      </c>
      <c r="H3" s="15"/>
      <c r="I3" s="16"/>
      <c r="J3" s="17">
        <v>1316.7599999999998</v>
      </c>
      <c r="K3" s="18">
        <v>2653.92</v>
      </c>
      <c r="L3" s="12">
        <v>1316.7599999999998</v>
      </c>
    </row>
    <row r="4" spans="1:15" customFormat="1" ht="13.5" customHeight="1" x14ac:dyDescent="0.2">
      <c r="A4" s="19"/>
      <c r="B4" s="172"/>
      <c r="C4" s="34" t="s">
        <v>9</v>
      </c>
      <c r="D4" s="42"/>
      <c r="E4" s="43"/>
      <c r="F4" s="1125">
        <v>0</v>
      </c>
      <c r="G4" s="1061"/>
      <c r="H4" s="1126"/>
      <c r="I4" s="16"/>
      <c r="J4" s="1127"/>
      <c r="K4" s="72">
        <v>2653.92</v>
      </c>
      <c r="L4" s="43">
        <v>1316.7599999999998</v>
      </c>
      <c r="O4" s="40"/>
    </row>
    <row r="5" spans="1:15" customFormat="1" ht="13.5" customHeight="1" x14ac:dyDescent="0.2">
      <c r="A5" s="19"/>
      <c r="B5" s="172"/>
      <c r="C5" s="34" t="s">
        <v>10</v>
      </c>
      <c r="D5" s="42"/>
      <c r="E5" s="43"/>
      <c r="F5" s="1125">
        <v>0</v>
      </c>
      <c r="G5" s="1061"/>
      <c r="H5" s="1126"/>
      <c r="I5" s="16"/>
      <c r="J5" s="1127"/>
      <c r="K5" s="72">
        <v>2653.92</v>
      </c>
      <c r="L5" s="43">
        <v>1316.7599999999998</v>
      </c>
      <c r="O5" s="40"/>
    </row>
    <row r="6" spans="1:15" ht="13.5" customHeight="1" x14ac:dyDescent="0.2">
      <c r="A6" s="19"/>
      <c r="B6" s="20"/>
      <c r="C6" s="34" t="s">
        <v>5557</v>
      </c>
      <c r="D6" s="11">
        <v>0</v>
      </c>
      <c r="E6" s="12">
        <v>-0.36</v>
      </c>
      <c r="F6" s="22"/>
      <c r="G6" s="23"/>
      <c r="H6" s="24"/>
      <c r="I6" s="25"/>
      <c r="J6" s="26"/>
      <c r="K6" s="72">
        <v>2653.56</v>
      </c>
      <c r="L6" s="43">
        <v>1316.7599999999998</v>
      </c>
    </row>
    <row r="7" spans="1:15" ht="13.5" customHeight="1" x14ac:dyDescent="0.2">
      <c r="A7" s="19"/>
      <c r="B7" s="20"/>
      <c r="C7" s="34" t="s">
        <v>5558</v>
      </c>
      <c r="D7" s="11">
        <v>0</v>
      </c>
      <c r="E7" s="12">
        <v>-8.2100000000000009</v>
      </c>
      <c r="F7" s="22"/>
      <c r="G7" s="23">
        <v>2645.35</v>
      </c>
      <c r="H7" s="24"/>
      <c r="I7" s="25"/>
      <c r="J7" s="26"/>
      <c r="K7" s="72">
        <v>2645.35</v>
      </c>
      <c r="L7" s="43">
        <v>1316.7599999999998</v>
      </c>
    </row>
    <row r="8" spans="1:15" ht="13.5" customHeight="1" x14ac:dyDescent="0.2">
      <c r="A8" s="19">
        <v>43255</v>
      </c>
      <c r="B8" s="20"/>
      <c r="C8" s="34" t="s">
        <v>7725</v>
      </c>
      <c r="D8" s="11"/>
      <c r="E8" s="12"/>
      <c r="F8" s="22"/>
      <c r="G8" s="23"/>
      <c r="H8" s="24"/>
      <c r="I8" s="25">
        <v>1070</v>
      </c>
      <c r="J8" s="26"/>
      <c r="K8" s="72">
        <v>2645.35</v>
      </c>
      <c r="L8" s="43">
        <v>2386.7599999999998</v>
      </c>
    </row>
    <row r="9" spans="1:15" ht="13.5" customHeight="1" x14ac:dyDescent="0.2">
      <c r="A9" s="19"/>
      <c r="B9" s="20"/>
      <c r="C9" s="34" t="s">
        <v>7726</v>
      </c>
      <c r="D9" s="11"/>
      <c r="E9" s="12"/>
      <c r="F9" s="22"/>
      <c r="G9" s="23"/>
      <c r="H9" s="24"/>
      <c r="I9" s="25">
        <v>220</v>
      </c>
      <c r="J9" s="26"/>
      <c r="K9" s="72">
        <v>2645.35</v>
      </c>
      <c r="L9" s="43">
        <v>2606.7599999999998</v>
      </c>
    </row>
    <row r="10" spans="1:15" ht="13.5" customHeight="1" x14ac:dyDescent="0.2">
      <c r="A10" s="19"/>
      <c r="B10" s="20"/>
      <c r="C10" s="34" t="s">
        <v>7727</v>
      </c>
      <c r="D10" s="11"/>
      <c r="E10" s="12"/>
      <c r="F10" s="22"/>
      <c r="G10" s="23"/>
      <c r="H10" s="24"/>
      <c r="I10" s="25">
        <v>60</v>
      </c>
      <c r="J10" s="26">
        <v>2666.7599999999998</v>
      </c>
      <c r="K10" s="72">
        <v>2645.35</v>
      </c>
      <c r="L10" s="43">
        <v>2666.7599999999998</v>
      </c>
    </row>
    <row r="11" spans="1:15" ht="13.5" customHeight="1" x14ac:dyDescent="0.2">
      <c r="A11" s="19">
        <v>43256</v>
      </c>
      <c r="B11" s="20"/>
      <c r="C11" s="34" t="s">
        <v>7728</v>
      </c>
      <c r="D11" s="11"/>
      <c r="E11" s="12"/>
      <c r="F11" s="22"/>
      <c r="G11" s="23"/>
      <c r="H11" s="24"/>
      <c r="I11" s="25">
        <v>942</v>
      </c>
      <c r="J11" s="26">
        <v>3608.7599999999998</v>
      </c>
      <c r="K11" s="72">
        <v>2645.35</v>
      </c>
      <c r="L11" s="43">
        <v>3608.7599999999998</v>
      </c>
    </row>
    <row r="12" spans="1:15" ht="13.5" customHeight="1" x14ac:dyDescent="0.2">
      <c r="A12" s="46"/>
      <c r="B12" s="46"/>
      <c r="C12" s="34" t="s">
        <v>53</v>
      </c>
      <c r="D12" s="42">
        <v>441000</v>
      </c>
      <c r="E12" s="43">
        <v>-511.71</v>
      </c>
      <c r="F12" s="43"/>
      <c r="G12" s="23"/>
      <c r="H12" s="24"/>
      <c r="I12" s="25"/>
      <c r="J12" s="26"/>
      <c r="K12" s="72">
        <v>2133.64</v>
      </c>
      <c r="L12" s="43">
        <v>3608.7599999999998</v>
      </c>
    </row>
    <row r="13" spans="1:15" ht="13.5" customHeight="1" x14ac:dyDescent="0.2">
      <c r="A13" s="46"/>
      <c r="B13" s="46"/>
      <c r="C13" s="34" t="s">
        <v>20</v>
      </c>
      <c r="D13" s="42">
        <v>0</v>
      </c>
      <c r="E13" s="43"/>
      <c r="F13" s="43">
        <v>0.02</v>
      </c>
      <c r="G13" s="23">
        <v>2133.66</v>
      </c>
      <c r="H13" s="24"/>
      <c r="I13" s="25"/>
      <c r="J13" s="26"/>
      <c r="K13" s="72">
        <v>2133.66</v>
      </c>
      <c r="L13" s="43">
        <v>3608.7599999999998</v>
      </c>
    </row>
    <row r="14" spans="1:15" ht="13.5" customHeight="1" x14ac:dyDescent="0.2">
      <c r="A14" s="19">
        <v>43257</v>
      </c>
      <c r="B14" s="20"/>
      <c r="C14" s="34" t="s">
        <v>7729</v>
      </c>
      <c r="D14" s="11"/>
      <c r="E14" s="12"/>
      <c r="F14" s="22"/>
      <c r="G14" s="23"/>
      <c r="H14" s="24"/>
      <c r="I14" s="25">
        <v>1205</v>
      </c>
      <c r="J14" s="26"/>
      <c r="K14" s="72">
        <v>2133.66</v>
      </c>
      <c r="L14" s="43">
        <v>4813.76</v>
      </c>
    </row>
    <row r="15" spans="1:15" ht="13.5" customHeight="1" x14ac:dyDescent="0.2">
      <c r="A15" s="19"/>
      <c r="B15" s="20"/>
      <c r="C15" s="34" t="s">
        <v>7730</v>
      </c>
      <c r="D15" s="11"/>
      <c r="E15" s="12"/>
      <c r="F15" s="22"/>
      <c r="G15" s="23"/>
      <c r="H15" s="24">
        <v>220</v>
      </c>
      <c r="I15" s="25"/>
      <c r="J15" s="26"/>
      <c r="K15" s="72">
        <v>2133.66</v>
      </c>
      <c r="L15" s="43">
        <v>4593.76</v>
      </c>
    </row>
    <row r="16" spans="1:15" ht="13.5" customHeight="1" x14ac:dyDescent="0.2">
      <c r="A16" s="19"/>
      <c r="B16" s="20"/>
      <c r="C16" s="34" t="s">
        <v>7731</v>
      </c>
      <c r="D16" s="11"/>
      <c r="E16" s="12"/>
      <c r="F16" s="22"/>
      <c r="G16" s="23"/>
      <c r="H16" s="24">
        <v>57.15</v>
      </c>
      <c r="I16" s="25"/>
      <c r="J16" s="26"/>
      <c r="K16" s="72">
        <v>2133.66</v>
      </c>
      <c r="L16" s="43">
        <v>4536.6100000000006</v>
      </c>
    </row>
    <row r="17" spans="1:12" ht="13.5" customHeight="1" x14ac:dyDescent="0.2">
      <c r="A17" s="19"/>
      <c r="B17" s="20"/>
      <c r="C17" s="34" t="s">
        <v>7732</v>
      </c>
      <c r="D17" s="11"/>
      <c r="E17" s="12"/>
      <c r="F17" s="22"/>
      <c r="G17" s="23"/>
      <c r="H17" s="24">
        <v>900</v>
      </c>
      <c r="I17" s="25"/>
      <c r="J17" s="26"/>
      <c r="K17" s="72">
        <v>2133.66</v>
      </c>
      <c r="L17" s="43">
        <v>3636.6100000000006</v>
      </c>
    </row>
    <row r="18" spans="1:12" ht="13.5" customHeight="1" x14ac:dyDescent="0.2">
      <c r="A18" s="19"/>
      <c r="B18" s="20"/>
      <c r="C18" s="34" t="s">
        <v>7733</v>
      </c>
      <c r="D18" s="11"/>
      <c r="E18" s="12"/>
      <c r="F18" s="22"/>
      <c r="G18" s="23"/>
      <c r="H18" s="24">
        <v>10.84</v>
      </c>
      <c r="I18" s="25"/>
      <c r="J18" s="26">
        <v>3625.7700000000004</v>
      </c>
      <c r="K18" s="72">
        <v>2133.66</v>
      </c>
      <c r="L18" s="43">
        <v>3625.7700000000004</v>
      </c>
    </row>
    <row r="19" spans="1:12" ht="13.5" customHeight="1" x14ac:dyDescent="0.2">
      <c r="A19" s="46"/>
      <c r="B19" s="46"/>
      <c r="C19" s="34" t="s">
        <v>55</v>
      </c>
      <c r="D19" s="42">
        <v>731000</v>
      </c>
      <c r="E19" s="43">
        <v>-350</v>
      </c>
      <c r="F19" s="43"/>
      <c r="G19" s="23"/>
      <c r="H19" s="24"/>
      <c r="I19" s="25"/>
      <c r="J19" s="26"/>
      <c r="K19" s="72">
        <v>1783.6599999999999</v>
      </c>
      <c r="L19" s="43">
        <v>3625.7700000000004</v>
      </c>
    </row>
    <row r="20" spans="1:12" ht="13.5" customHeight="1" x14ac:dyDescent="0.2">
      <c r="A20" s="46"/>
      <c r="B20" s="46"/>
      <c r="C20" s="34" t="s">
        <v>20</v>
      </c>
      <c r="D20" s="42">
        <v>0</v>
      </c>
      <c r="E20" s="43"/>
      <c r="F20" s="43">
        <v>0.02</v>
      </c>
      <c r="G20" s="23"/>
      <c r="H20" s="24"/>
      <c r="I20" s="25"/>
      <c r="J20" s="26"/>
      <c r="K20" s="72">
        <v>1783.6799999999998</v>
      </c>
      <c r="L20" s="43">
        <v>3625.7700000000004</v>
      </c>
    </row>
    <row r="21" spans="1:12" ht="13.5" customHeight="1" x14ac:dyDescent="0.2">
      <c r="A21" s="46"/>
      <c r="B21" s="46" t="s">
        <v>591</v>
      </c>
      <c r="C21" s="34" t="s">
        <v>458</v>
      </c>
      <c r="D21" s="42">
        <v>64391</v>
      </c>
      <c r="E21" s="43"/>
      <c r="F21" s="272">
        <v>190</v>
      </c>
      <c r="G21" s="23">
        <v>1973.68</v>
      </c>
      <c r="H21" s="24"/>
      <c r="I21" s="25"/>
      <c r="J21" s="26"/>
      <c r="K21" s="72">
        <v>1973.6799999999998</v>
      </c>
      <c r="L21" s="43">
        <v>3625.7700000000004</v>
      </c>
    </row>
    <row r="22" spans="1:12" ht="13.5" customHeight="1" x14ac:dyDescent="0.2">
      <c r="A22" s="19">
        <v>43258</v>
      </c>
      <c r="B22" s="20"/>
      <c r="C22" s="34" t="s">
        <v>7734</v>
      </c>
      <c r="D22" s="11"/>
      <c r="E22" s="12"/>
      <c r="F22" s="22"/>
      <c r="G22" s="23"/>
      <c r="H22" s="24"/>
      <c r="I22" s="25">
        <v>2148.66</v>
      </c>
      <c r="J22" s="26"/>
      <c r="K22" s="72">
        <v>1973.6799999999998</v>
      </c>
      <c r="L22" s="43">
        <v>5774.43</v>
      </c>
    </row>
    <row r="23" spans="1:12" ht="13.5" customHeight="1" x14ac:dyDescent="0.2">
      <c r="A23" s="19"/>
      <c r="B23" s="20"/>
      <c r="C23" s="34" t="s">
        <v>7735</v>
      </c>
      <c r="D23" s="11"/>
      <c r="E23" s="12"/>
      <c r="F23" s="22"/>
      <c r="G23" s="23"/>
      <c r="H23" s="24">
        <v>32.08</v>
      </c>
      <c r="I23" s="25"/>
      <c r="J23" s="26"/>
      <c r="K23" s="72">
        <v>1973.6799999999998</v>
      </c>
      <c r="L23" s="43">
        <v>5742.35</v>
      </c>
    </row>
    <row r="24" spans="1:12" ht="13.5" customHeight="1" x14ac:dyDescent="0.2">
      <c r="A24" s="19"/>
      <c r="B24" s="20"/>
      <c r="C24" s="34" t="s">
        <v>7736</v>
      </c>
      <c r="D24" s="11"/>
      <c r="E24" s="12"/>
      <c r="F24" s="22"/>
      <c r="G24" s="23"/>
      <c r="H24" s="24">
        <v>41.3</v>
      </c>
      <c r="I24" s="25"/>
      <c r="J24" s="26"/>
      <c r="K24" s="72">
        <v>1973.6799999999998</v>
      </c>
      <c r="L24" s="43">
        <v>5701.05</v>
      </c>
    </row>
    <row r="25" spans="1:12" ht="13.5" customHeight="1" x14ac:dyDescent="0.2">
      <c r="A25" s="19"/>
      <c r="B25" s="20"/>
      <c r="C25" s="34" t="s">
        <v>7737</v>
      </c>
      <c r="D25" s="11"/>
      <c r="E25" s="12"/>
      <c r="F25" s="22"/>
      <c r="G25" s="23"/>
      <c r="H25" s="24">
        <v>18.23</v>
      </c>
      <c r="I25" s="25"/>
      <c r="J25" s="26"/>
      <c r="K25" s="72">
        <v>1973.6799999999998</v>
      </c>
      <c r="L25" s="43">
        <v>5682.8200000000006</v>
      </c>
    </row>
    <row r="26" spans="1:12" ht="13.5" customHeight="1" x14ac:dyDescent="0.2">
      <c r="A26" s="19"/>
      <c r="B26" s="20"/>
      <c r="C26" s="34" t="s">
        <v>458</v>
      </c>
      <c r="D26" s="11"/>
      <c r="E26" s="12"/>
      <c r="F26" s="22"/>
      <c r="G26" s="23"/>
      <c r="H26" s="174">
        <v>190</v>
      </c>
      <c r="I26" s="25"/>
      <c r="J26" s="26"/>
      <c r="K26" s="72">
        <v>1973.6799999999998</v>
      </c>
      <c r="L26" s="43">
        <v>5492.8200000000006</v>
      </c>
    </row>
    <row r="27" spans="1:12" ht="13.5" customHeight="1" x14ac:dyDescent="0.2">
      <c r="A27" s="19"/>
      <c r="B27" s="20"/>
      <c r="C27" s="34" t="s">
        <v>7738</v>
      </c>
      <c r="D27" s="11"/>
      <c r="E27" s="12"/>
      <c r="F27" s="22"/>
      <c r="G27" s="23"/>
      <c r="H27" s="24"/>
      <c r="I27" s="25">
        <v>942</v>
      </c>
      <c r="J27" s="26"/>
      <c r="K27" s="72">
        <v>1973.6799999999998</v>
      </c>
      <c r="L27" s="43">
        <v>6434.8200000000006</v>
      </c>
    </row>
    <row r="28" spans="1:12" ht="13.5" customHeight="1" x14ac:dyDescent="0.2">
      <c r="A28" s="19"/>
      <c r="B28" s="20"/>
      <c r="C28" s="34" t="s">
        <v>7739</v>
      </c>
      <c r="D28" s="11"/>
      <c r="E28" s="12"/>
      <c r="F28" s="22"/>
      <c r="G28" s="23"/>
      <c r="H28" s="24"/>
      <c r="I28" s="25">
        <v>560</v>
      </c>
      <c r="J28" s="26"/>
      <c r="K28" s="72">
        <v>1973.6799999999998</v>
      </c>
      <c r="L28" s="43">
        <v>6994.8200000000006</v>
      </c>
    </row>
    <row r="29" spans="1:12" ht="13.5" customHeight="1" x14ac:dyDescent="0.2">
      <c r="A29" s="19"/>
      <c r="B29" s="20"/>
      <c r="C29" s="34" t="s">
        <v>7187</v>
      </c>
      <c r="D29" s="11"/>
      <c r="E29" s="12"/>
      <c r="F29" s="22"/>
      <c r="G29" s="23"/>
      <c r="H29" s="24"/>
      <c r="I29" s="25">
        <v>5072.82</v>
      </c>
      <c r="J29" s="26"/>
      <c r="K29" s="72">
        <v>1973.6799999999998</v>
      </c>
      <c r="L29" s="43">
        <v>12067.64</v>
      </c>
    </row>
    <row r="30" spans="1:12" ht="13.5" customHeight="1" x14ac:dyDescent="0.2">
      <c r="A30" s="19"/>
      <c r="B30" s="20"/>
      <c r="C30" s="34" t="s">
        <v>7740</v>
      </c>
      <c r="D30" s="11"/>
      <c r="E30" s="12"/>
      <c r="F30" s="22"/>
      <c r="G30" s="23"/>
      <c r="H30" s="24"/>
      <c r="I30" s="25">
        <v>1360</v>
      </c>
      <c r="J30" s="26"/>
      <c r="K30" s="72">
        <v>1973.6799999999998</v>
      </c>
      <c r="L30" s="43">
        <v>13427.64</v>
      </c>
    </row>
    <row r="31" spans="1:12" ht="13.5" customHeight="1" x14ac:dyDescent="0.2">
      <c r="A31" s="19"/>
      <c r="B31" s="20"/>
      <c r="C31" s="34" t="s">
        <v>7741</v>
      </c>
      <c r="D31" s="11"/>
      <c r="E31" s="12"/>
      <c r="F31" s="22"/>
      <c r="G31" s="23"/>
      <c r="H31" s="24">
        <v>41</v>
      </c>
      <c r="I31" s="25"/>
      <c r="J31" s="26"/>
      <c r="K31" s="72">
        <v>1973.6799999999998</v>
      </c>
      <c r="L31" s="43">
        <v>13386.64</v>
      </c>
    </row>
    <row r="32" spans="1:12" ht="13.5" customHeight="1" x14ac:dyDescent="0.2">
      <c r="A32" s="19"/>
      <c r="B32" s="20"/>
      <c r="C32" s="34" t="s">
        <v>7742</v>
      </c>
      <c r="D32" s="11"/>
      <c r="E32" s="12"/>
      <c r="F32" s="22"/>
      <c r="G32" s="23"/>
      <c r="H32" s="24">
        <v>75</v>
      </c>
      <c r="I32" s="25"/>
      <c r="J32" s="26"/>
      <c r="K32" s="72">
        <v>1973.6799999999998</v>
      </c>
      <c r="L32" s="43">
        <v>13311.64</v>
      </c>
    </row>
    <row r="33" spans="1:12" ht="13.5" customHeight="1" x14ac:dyDescent="0.2">
      <c r="A33" s="19"/>
      <c r="B33" s="20"/>
      <c r="C33" s="34" t="s">
        <v>7743</v>
      </c>
      <c r="D33" s="11"/>
      <c r="E33" s="12"/>
      <c r="F33" s="22"/>
      <c r="G33" s="23"/>
      <c r="H33" s="24">
        <v>75</v>
      </c>
      <c r="I33" s="25"/>
      <c r="J33" s="26"/>
      <c r="K33" s="72">
        <v>1973.6799999999998</v>
      </c>
      <c r="L33" s="43">
        <v>13236.64</v>
      </c>
    </row>
    <row r="34" spans="1:12" ht="13.5" customHeight="1" x14ac:dyDescent="0.2">
      <c r="A34" s="19"/>
      <c r="B34" s="20"/>
      <c r="C34" s="34" t="s">
        <v>7744</v>
      </c>
      <c r="D34" s="11"/>
      <c r="E34" s="12"/>
      <c r="F34" s="22"/>
      <c r="G34" s="23"/>
      <c r="H34" s="24">
        <v>75</v>
      </c>
      <c r="I34" s="25"/>
      <c r="J34" s="26"/>
      <c r="K34" s="72">
        <v>1973.6799999999998</v>
      </c>
      <c r="L34" s="43">
        <v>13161.64</v>
      </c>
    </row>
    <row r="35" spans="1:12" ht="13.5" customHeight="1" x14ac:dyDescent="0.2">
      <c r="A35" s="19"/>
      <c r="B35" s="20"/>
      <c r="C35" s="34" t="s">
        <v>7745</v>
      </c>
      <c r="D35" s="11"/>
      <c r="E35" s="12"/>
      <c r="F35" s="22"/>
      <c r="G35" s="23"/>
      <c r="H35" s="24">
        <v>75</v>
      </c>
      <c r="I35" s="25"/>
      <c r="J35" s="26"/>
      <c r="K35" s="72">
        <v>1973.6799999999998</v>
      </c>
      <c r="L35" s="43">
        <v>13086.64</v>
      </c>
    </row>
    <row r="36" spans="1:12" ht="13.5" customHeight="1" x14ac:dyDescent="0.2">
      <c r="A36" s="19"/>
      <c r="B36" s="20"/>
      <c r="C36" s="34" t="s">
        <v>7746</v>
      </c>
      <c r="D36" s="11"/>
      <c r="E36" s="12"/>
      <c r="F36" s="22"/>
      <c r="G36" s="23"/>
      <c r="H36" s="24">
        <v>23.65</v>
      </c>
      <c r="I36" s="25"/>
      <c r="J36" s="26">
        <v>13062.99</v>
      </c>
      <c r="K36" s="72">
        <v>1973.6799999999998</v>
      </c>
      <c r="L36" s="43">
        <v>13062.99</v>
      </c>
    </row>
    <row r="37" spans="1:12" ht="13.5" customHeight="1" x14ac:dyDescent="0.2">
      <c r="A37" s="19">
        <v>43259</v>
      </c>
      <c r="B37" s="20"/>
      <c r="C37" s="34" t="s">
        <v>7747</v>
      </c>
      <c r="D37" s="11"/>
      <c r="E37" s="12"/>
      <c r="F37" s="22"/>
      <c r="G37" s="23"/>
      <c r="H37" s="24"/>
      <c r="I37" s="25">
        <v>190</v>
      </c>
      <c r="J37" s="26"/>
      <c r="K37" s="72">
        <v>1973.6799999999998</v>
      </c>
      <c r="L37" s="43">
        <v>13252.99</v>
      </c>
    </row>
    <row r="38" spans="1:12" ht="13.5" customHeight="1" x14ac:dyDescent="0.2">
      <c r="A38" s="19"/>
      <c r="B38" s="20"/>
      <c r="C38" s="34" t="s">
        <v>7748</v>
      </c>
      <c r="D38" s="11"/>
      <c r="E38" s="12"/>
      <c r="F38" s="22"/>
      <c r="G38" s="23"/>
      <c r="H38" s="24">
        <v>8.1999999999999993</v>
      </c>
      <c r="I38" s="25"/>
      <c r="J38" s="26"/>
      <c r="K38" s="72">
        <v>1973.6799999999998</v>
      </c>
      <c r="L38" s="43">
        <v>13244.789999999999</v>
      </c>
    </row>
    <row r="39" spans="1:12" ht="13.5" customHeight="1" x14ac:dyDescent="0.2">
      <c r="A39" s="19"/>
      <c r="B39" s="20"/>
      <c r="C39" s="34" t="s">
        <v>7749</v>
      </c>
      <c r="D39" s="11"/>
      <c r="E39" s="12"/>
      <c r="F39" s="22"/>
      <c r="G39" s="23"/>
      <c r="H39" s="24">
        <v>21.3</v>
      </c>
      <c r="I39" s="25"/>
      <c r="J39" s="26"/>
      <c r="K39" s="72">
        <v>1973.6799999999998</v>
      </c>
      <c r="L39" s="43">
        <v>13223.49</v>
      </c>
    </row>
    <row r="40" spans="1:12" ht="13.5" customHeight="1" x14ac:dyDescent="0.2">
      <c r="A40" s="19"/>
      <c r="B40" s="20"/>
      <c r="C40" s="34" t="s">
        <v>107</v>
      </c>
      <c r="D40" s="11"/>
      <c r="E40" s="12"/>
      <c r="F40" s="22"/>
      <c r="G40" s="23"/>
      <c r="H40" s="24">
        <v>200</v>
      </c>
      <c r="I40" s="25"/>
      <c r="J40" s="26"/>
      <c r="K40" s="72">
        <v>1973.6799999999998</v>
      </c>
      <c r="L40" s="43">
        <v>13023.49</v>
      </c>
    </row>
    <row r="41" spans="1:12" ht="13.5" customHeight="1" x14ac:dyDescent="0.2">
      <c r="A41" s="19"/>
      <c r="B41" s="20"/>
      <c r="C41" s="34" t="s">
        <v>7750</v>
      </c>
      <c r="D41" s="11"/>
      <c r="E41" s="12"/>
      <c r="F41" s="22"/>
      <c r="G41" s="23"/>
      <c r="H41" s="24">
        <v>250</v>
      </c>
      <c r="I41" s="25"/>
      <c r="J41" s="26"/>
      <c r="K41" s="72">
        <v>1973.6799999999998</v>
      </c>
      <c r="L41" s="43">
        <v>12773.49</v>
      </c>
    </row>
    <row r="42" spans="1:12" ht="13.5" customHeight="1" x14ac:dyDescent="0.2">
      <c r="A42" s="19"/>
      <c r="B42" s="20"/>
      <c r="C42" s="34" t="s">
        <v>7751</v>
      </c>
      <c r="D42" s="11"/>
      <c r="E42" s="12"/>
      <c r="F42" s="22"/>
      <c r="G42" s="23"/>
      <c r="H42" s="24"/>
      <c r="I42" s="25">
        <v>1020</v>
      </c>
      <c r="J42" s="26"/>
      <c r="K42" s="72">
        <v>1973.6799999999998</v>
      </c>
      <c r="L42" s="43">
        <v>13793.49</v>
      </c>
    </row>
    <row r="43" spans="1:12" ht="13.5" customHeight="1" x14ac:dyDescent="0.2">
      <c r="A43" s="19"/>
      <c r="B43" s="20"/>
      <c r="C43" s="34" t="s">
        <v>6741</v>
      </c>
      <c r="D43" s="11"/>
      <c r="E43" s="12"/>
      <c r="F43" s="22"/>
      <c r="G43" s="23"/>
      <c r="H43" s="24">
        <v>5000</v>
      </c>
      <c r="I43" s="25"/>
      <c r="J43" s="26"/>
      <c r="K43" s="72">
        <v>1973.6799999999998</v>
      </c>
      <c r="L43" s="43">
        <v>8793.49</v>
      </c>
    </row>
    <row r="44" spans="1:12" ht="13.5" customHeight="1" x14ac:dyDescent="0.2">
      <c r="A44" s="19"/>
      <c r="B44" s="20"/>
      <c r="C44" s="34" t="s">
        <v>77</v>
      </c>
      <c r="D44" s="11"/>
      <c r="E44" s="12"/>
      <c r="F44" s="22"/>
      <c r="G44" s="23"/>
      <c r="H44" s="44">
        <v>7000</v>
      </c>
      <c r="I44" s="25"/>
      <c r="J44" s="26"/>
      <c r="K44" s="72">
        <v>1973.6799999999998</v>
      </c>
      <c r="L44" s="43">
        <v>1793.4899999999998</v>
      </c>
    </row>
    <row r="45" spans="1:12" ht="13.5" customHeight="1" x14ac:dyDescent="0.2">
      <c r="A45" s="19"/>
      <c r="B45" s="20"/>
      <c r="C45" s="34" t="s">
        <v>36</v>
      </c>
      <c r="D45" s="11"/>
      <c r="E45" s="12"/>
      <c r="F45" s="22"/>
      <c r="G45" s="23"/>
      <c r="H45" s="24">
        <v>350</v>
      </c>
      <c r="I45" s="25"/>
      <c r="J45" s="26">
        <v>1443.4899999999998</v>
      </c>
      <c r="K45" s="72">
        <v>1973.6799999999998</v>
      </c>
      <c r="L45" s="43">
        <v>1443.4899999999998</v>
      </c>
    </row>
    <row r="46" spans="1:12" customFormat="1" x14ac:dyDescent="0.2">
      <c r="A46" s="46"/>
      <c r="B46" s="46"/>
      <c r="C46" s="34" t="s">
        <v>7752</v>
      </c>
      <c r="D46" s="42">
        <v>0</v>
      </c>
      <c r="E46" s="43"/>
      <c r="F46" s="43">
        <v>1200</v>
      </c>
      <c r="G46" s="23">
        <v>3173.68</v>
      </c>
      <c r="H46" s="24"/>
      <c r="I46" s="25"/>
      <c r="J46" s="26"/>
      <c r="K46" s="72">
        <v>3173.68</v>
      </c>
      <c r="L46" s="43">
        <v>1443.4899999999998</v>
      </c>
    </row>
    <row r="47" spans="1:12" ht="13.5" customHeight="1" x14ac:dyDescent="0.2">
      <c r="A47" s="19">
        <v>43262</v>
      </c>
      <c r="B47" s="20"/>
      <c r="C47" s="34" t="s">
        <v>7753</v>
      </c>
      <c r="D47" s="11"/>
      <c r="E47" s="12"/>
      <c r="F47" s="22"/>
      <c r="G47" s="23"/>
      <c r="H47" s="24"/>
      <c r="I47" s="25">
        <v>60</v>
      </c>
      <c r="J47" s="26"/>
      <c r="K47" s="72">
        <v>3173.68</v>
      </c>
      <c r="L47" s="43">
        <v>1503.4899999999998</v>
      </c>
    </row>
    <row r="48" spans="1:12" ht="13.5" customHeight="1" x14ac:dyDescent="0.2">
      <c r="A48" s="19"/>
      <c r="B48" s="20"/>
      <c r="C48" s="34" t="s">
        <v>7754</v>
      </c>
      <c r="D48" s="11"/>
      <c r="E48" s="12"/>
      <c r="F48" s="22"/>
      <c r="G48" s="23"/>
      <c r="H48" s="24"/>
      <c r="I48" s="25">
        <v>185</v>
      </c>
      <c r="J48" s="26"/>
      <c r="K48" s="72">
        <v>3173.68</v>
      </c>
      <c r="L48" s="43">
        <v>1688.4899999999998</v>
      </c>
    </row>
    <row r="49" spans="1:12" ht="13.5" customHeight="1" x14ac:dyDescent="0.2">
      <c r="A49" s="19"/>
      <c r="B49" s="20"/>
      <c r="C49" s="34" t="s">
        <v>7755</v>
      </c>
      <c r="D49" s="11"/>
      <c r="E49" s="12"/>
      <c r="F49" s="22"/>
      <c r="G49" s="23"/>
      <c r="H49" s="24"/>
      <c r="I49" s="25">
        <v>1020</v>
      </c>
      <c r="J49" s="26"/>
      <c r="K49" s="72">
        <v>3173.68</v>
      </c>
      <c r="L49" s="43">
        <v>2708.49</v>
      </c>
    </row>
    <row r="50" spans="1:12" ht="13.5" customHeight="1" x14ac:dyDescent="0.2">
      <c r="A50" s="19"/>
      <c r="B50" s="20"/>
      <c r="C50" s="34" t="s">
        <v>7756</v>
      </c>
      <c r="D50" s="11"/>
      <c r="E50" s="12"/>
      <c r="F50" s="22"/>
      <c r="G50" s="23"/>
      <c r="H50" s="24"/>
      <c r="I50" s="25">
        <v>80</v>
      </c>
      <c r="J50" s="26">
        <v>2788.49</v>
      </c>
      <c r="K50" s="72">
        <v>3173.68</v>
      </c>
      <c r="L50" s="43">
        <v>2788.49</v>
      </c>
    </row>
    <row r="51" spans="1:12" ht="13.5" customHeight="1" x14ac:dyDescent="0.2">
      <c r="A51" s="19"/>
      <c r="B51" s="20"/>
      <c r="C51" s="34" t="s">
        <v>558</v>
      </c>
      <c r="D51" s="11">
        <v>0</v>
      </c>
      <c r="E51" s="12">
        <v>-60.65</v>
      </c>
      <c r="F51" s="22"/>
      <c r="G51" s="23"/>
      <c r="H51" s="24"/>
      <c r="I51" s="25"/>
      <c r="J51" s="26"/>
      <c r="K51" s="72">
        <v>3113.0299999999997</v>
      </c>
      <c r="L51" s="43">
        <v>2788.49</v>
      </c>
    </row>
    <row r="52" spans="1:12" ht="13.5" customHeight="1" x14ac:dyDescent="0.2">
      <c r="A52" s="19"/>
      <c r="B52" s="20"/>
      <c r="C52" s="34" t="s">
        <v>62</v>
      </c>
      <c r="D52" s="11">
        <v>0</v>
      </c>
      <c r="E52" s="12">
        <v>-427.83</v>
      </c>
      <c r="F52" s="22"/>
      <c r="G52" s="23"/>
      <c r="H52" s="24"/>
      <c r="I52" s="25"/>
      <c r="J52" s="26"/>
      <c r="K52" s="72">
        <v>2685.2</v>
      </c>
      <c r="L52" s="43">
        <v>2788.49</v>
      </c>
    </row>
    <row r="53" spans="1:12" ht="13.5" customHeight="1" x14ac:dyDescent="0.2">
      <c r="A53" s="19"/>
      <c r="B53" s="20"/>
      <c r="C53" s="34" t="s">
        <v>7598</v>
      </c>
      <c r="D53" s="11">
        <v>691000</v>
      </c>
      <c r="E53" s="12">
        <v>-76.180000000000007</v>
      </c>
      <c r="F53" s="22"/>
      <c r="G53" s="23"/>
      <c r="H53" s="24"/>
      <c r="I53" s="25"/>
      <c r="J53" s="26"/>
      <c r="K53" s="72">
        <v>2609.02</v>
      </c>
      <c r="L53" s="43">
        <v>2788.49</v>
      </c>
    </row>
    <row r="54" spans="1:12" ht="13.5" customHeight="1" x14ac:dyDescent="0.2">
      <c r="A54" s="19"/>
      <c r="B54" s="20"/>
      <c r="C54" s="34" t="s">
        <v>80</v>
      </c>
      <c r="D54" s="11">
        <v>891000</v>
      </c>
      <c r="E54" s="12">
        <v>-59.55</v>
      </c>
      <c r="F54" s="22"/>
      <c r="G54" s="23"/>
      <c r="H54" s="24"/>
      <c r="I54" s="25"/>
      <c r="J54" s="26"/>
      <c r="K54" s="72">
        <v>2549.4699999999998</v>
      </c>
      <c r="L54" s="43">
        <v>2788.49</v>
      </c>
    </row>
    <row r="55" spans="1:12" ht="13.5" customHeight="1" x14ac:dyDescent="0.2">
      <c r="A55" s="19"/>
      <c r="B55" s="20"/>
      <c r="C55" s="34" t="s">
        <v>7757</v>
      </c>
      <c r="D55" s="11">
        <v>571000</v>
      </c>
      <c r="E55" s="12">
        <v>-118.69</v>
      </c>
      <c r="F55" s="22"/>
      <c r="G55" s="23"/>
      <c r="H55" s="24"/>
      <c r="I55" s="25"/>
      <c r="J55" s="26"/>
      <c r="K55" s="72">
        <v>2430.7799999999997</v>
      </c>
      <c r="L55" s="43">
        <v>2788.49</v>
      </c>
    </row>
    <row r="56" spans="1:12" ht="13.5" customHeight="1" x14ac:dyDescent="0.2">
      <c r="A56" s="19"/>
      <c r="B56" s="20"/>
      <c r="C56" s="34" t="s">
        <v>7758</v>
      </c>
      <c r="D56" s="11">
        <v>663878</v>
      </c>
      <c r="E56" s="12"/>
      <c r="F56" s="22">
        <v>122</v>
      </c>
      <c r="G56" s="23"/>
      <c r="H56" s="24"/>
      <c r="I56" s="25"/>
      <c r="J56" s="26"/>
      <c r="K56" s="72">
        <v>2552.7799999999997</v>
      </c>
      <c r="L56" s="43">
        <v>2788.49</v>
      </c>
    </row>
    <row r="57" spans="1:12" ht="13.5" customHeight="1" x14ac:dyDescent="0.2">
      <c r="A57" s="19"/>
      <c r="B57" s="20"/>
      <c r="C57" s="34" t="s">
        <v>20</v>
      </c>
      <c r="D57" s="11">
        <v>0</v>
      </c>
      <c r="E57" s="12"/>
      <c r="F57" s="22">
        <v>0.04</v>
      </c>
      <c r="G57" s="23">
        <v>2552.8200000000002</v>
      </c>
      <c r="H57" s="24"/>
      <c r="I57" s="25"/>
      <c r="J57" s="127"/>
      <c r="K57" s="72">
        <v>2552.8199999999997</v>
      </c>
      <c r="L57" s="43">
        <v>2788.49</v>
      </c>
    </row>
    <row r="58" spans="1:12" ht="13.5" customHeight="1" x14ac:dyDescent="0.2">
      <c r="A58" s="19">
        <v>43263</v>
      </c>
      <c r="B58" s="20"/>
      <c r="C58" s="34" t="s">
        <v>7759</v>
      </c>
      <c r="D58" s="11"/>
      <c r="E58" s="12"/>
      <c r="F58" s="22"/>
      <c r="G58" s="23"/>
      <c r="H58" s="24"/>
      <c r="I58" s="25">
        <v>185</v>
      </c>
      <c r="J58" s="26"/>
      <c r="K58" s="72">
        <v>2552.8199999999997</v>
      </c>
      <c r="L58" s="43">
        <v>2973.49</v>
      </c>
    </row>
    <row r="59" spans="1:12" ht="13.5" customHeight="1" x14ac:dyDescent="0.2">
      <c r="A59" s="19"/>
      <c r="B59" s="20"/>
      <c r="C59" s="34" t="s">
        <v>7572</v>
      </c>
      <c r="D59" s="11"/>
      <c r="E59" s="12"/>
      <c r="F59" s="22"/>
      <c r="G59" s="23"/>
      <c r="H59" s="24">
        <v>300</v>
      </c>
      <c r="I59" s="25"/>
      <c r="J59" s="26"/>
      <c r="K59" s="72">
        <v>2552.8199999999997</v>
      </c>
      <c r="L59" s="43">
        <v>2673.49</v>
      </c>
    </row>
    <row r="60" spans="1:12" ht="13.5" customHeight="1" x14ac:dyDescent="0.2">
      <c r="A60" s="19"/>
      <c r="B60" s="20"/>
      <c r="C60" s="34" t="s">
        <v>7760</v>
      </c>
      <c r="D60" s="11"/>
      <c r="E60" s="12"/>
      <c r="F60" s="22"/>
      <c r="G60" s="23"/>
      <c r="H60" s="24">
        <v>0.7</v>
      </c>
      <c r="I60" s="25"/>
      <c r="J60" s="26"/>
      <c r="K60" s="72">
        <v>2552.8199999999997</v>
      </c>
      <c r="L60" s="43">
        <v>2672.79</v>
      </c>
    </row>
    <row r="61" spans="1:12" ht="13.5" customHeight="1" x14ac:dyDescent="0.2">
      <c r="A61" s="19"/>
      <c r="B61" s="20"/>
      <c r="C61" s="34" t="s">
        <v>567</v>
      </c>
      <c r="D61" s="11"/>
      <c r="E61" s="12"/>
      <c r="F61" s="22"/>
      <c r="G61" s="23"/>
      <c r="H61" s="174">
        <v>185</v>
      </c>
      <c r="I61" s="25"/>
      <c r="J61" s="26"/>
      <c r="K61" s="72">
        <v>2552.8199999999997</v>
      </c>
      <c r="L61" s="43">
        <v>2487.79</v>
      </c>
    </row>
    <row r="62" spans="1:12" ht="13.5" customHeight="1" x14ac:dyDescent="0.2">
      <c r="A62" s="19"/>
      <c r="B62" s="20"/>
      <c r="C62" s="34" t="s">
        <v>7761</v>
      </c>
      <c r="D62" s="11"/>
      <c r="E62" s="12"/>
      <c r="F62" s="22"/>
      <c r="G62" s="23"/>
      <c r="H62" s="24"/>
      <c r="I62" s="25">
        <v>3457.45</v>
      </c>
      <c r="J62" s="26"/>
      <c r="K62" s="72">
        <v>2552.8199999999997</v>
      </c>
      <c r="L62" s="43">
        <v>5945.24</v>
      </c>
    </row>
    <row r="63" spans="1:12" ht="13.5" customHeight="1" x14ac:dyDescent="0.2">
      <c r="A63" s="19"/>
      <c r="B63" s="20"/>
      <c r="C63" s="34" t="s">
        <v>7762</v>
      </c>
      <c r="D63" s="11"/>
      <c r="E63" s="12"/>
      <c r="F63" s="22"/>
      <c r="G63" s="23"/>
      <c r="H63" s="24">
        <v>18.309999999999999</v>
      </c>
      <c r="I63" s="25"/>
      <c r="J63" s="26"/>
      <c r="K63" s="72">
        <v>2552.8199999999997</v>
      </c>
      <c r="L63" s="43">
        <v>5926.9299999999994</v>
      </c>
    </row>
    <row r="64" spans="1:12" ht="13.5" customHeight="1" x14ac:dyDescent="0.2">
      <c r="A64" s="19"/>
      <c r="B64" s="20"/>
      <c r="C64" s="34" t="s">
        <v>7763</v>
      </c>
      <c r="D64" s="11"/>
      <c r="E64" s="12"/>
      <c r="F64" s="22"/>
      <c r="G64" s="23"/>
      <c r="H64" s="24">
        <v>9.9499999999999993</v>
      </c>
      <c r="I64" s="25"/>
      <c r="J64" s="26"/>
      <c r="K64" s="72">
        <v>2552.8199999999997</v>
      </c>
      <c r="L64" s="43">
        <v>5916.98</v>
      </c>
    </row>
    <row r="65" spans="1:12" ht="13.5" customHeight="1" x14ac:dyDescent="0.2">
      <c r="A65" s="19"/>
      <c r="B65" s="20"/>
      <c r="C65" s="34" t="s">
        <v>7764</v>
      </c>
      <c r="D65" s="11"/>
      <c r="E65" s="12"/>
      <c r="F65" s="22"/>
      <c r="G65" s="23"/>
      <c r="H65" s="24">
        <v>4.95</v>
      </c>
      <c r="I65" s="25"/>
      <c r="J65" s="26"/>
      <c r="K65" s="72">
        <v>2552.8199999999997</v>
      </c>
      <c r="L65" s="43">
        <v>5912.03</v>
      </c>
    </row>
    <row r="66" spans="1:12" ht="13.5" customHeight="1" x14ac:dyDescent="0.2">
      <c r="A66" s="19"/>
      <c r="B66" s="20"/>
      <c r="C66" s="34" t="s">
        <v>7765</v>
      </c>
      <c r="D66" s="11"/>
      <c r="E66" s="12"/>
      <c r="F66" s="22"/>
      <c r="G66" s="23"/>
      <c r="H66" s="24">
        <v>16</v>
      </c>
      <c r="I66" s="25"/>
      <c r="J66" s="26"/>
      <c r="K66" s="72">
        <v>2552.8199999999997</v>
      </c>
      <c r="L66" s="43">
        <v>5896.03</v>
      </c>
    </row>
    <row r="67" spans="1:12" ht="13.5" customHeight="1" x14ac:dyDescent="0.2">
      <c r="A67" s="19"/>
      <c r="B67" s="20"/>
      <c r="C67" s="34" t="s">
        <v>7766</v>
      </c>
      <c r="D67" s="11"/>
      <c r="E67" s="12"/>
      <c r="F67" s="22"/>
      <c r="G67" s="23"/>
      <c r="H67" s="24">
        <v>5.99</v>
      </c>
      <c r="I67" s="25"/>
      <c r="J67" s="26"/>
      <c r="K67" s="72">
        <v>2552.8199999999997</v>
      </c>
      <c r="L67" s="43">
        <v>5890.04</v>
      </c>
    </row>
    <row r="68" spans="1:12" ht="13.5" customHeight="1" x14ac:dyDescent="0.2">
      <c r="A68" s="19"/>
      <c r="B68" s="20"/>
      <c r="C68" s="34" t="s">
        <v>7767</v>
      </c>
      <c r="D68" s="11"/>
      <c r="E68" s="12"/>
      <c r="F68" s="22"/>
      <c r="G68" s="23"/>
      <c r="H68" s="24">
        <v>7.99</v>
      </c>
      <c r="I68" s="25"/>
      <c r="J68" s="26"/>
      <c r="K68" s="72">
        <v>2552.8199999999997</v>
      </c>
      <c r="L68" s="43">
        <v>5882.05</v>
      </c>
    </row>
    <row r="69" spans="1:12" ht="13.5" customHeight="1" x14ac:dyDescent="0.2">
      <c r="A69" s="19"/>
      <c r="B69" s="20"/>
      <c r="C69" s="34" t="s">
        <v>299</v>
      </c>
      <c r="D69" s="11"/>
      <c r="E69" s="12"/>
      <c r="F69" s="22"/>
      <c r="G69" s="23"/>
      <c r="H69" s="24">
        <v>7.95</v>
      </c>
      <c r="I69" s="25"/>
      <c r="J69" s="26"/>
      <c r="K69" s="72">
        <v>2552.8199999999997</v>
      </c>
      <c r="L69" s="43">
        <v>5874.1</v>
      </c>
    </row>
    <row r="70" spans="1:12" ht="13.5" customHeight="1" x14ac:dyDescent="0.2">
      <c r="A70" s="19"/>
      <c r="B70" s="20"/>
      <c r="C70" s="34" t="s">
        <v>7760</v>
      </c>
      <c r="D70" s="11"/>
      <c r="E70" s="12"/>
      <c r="F70" s="22"/>
      <c r="G70" s="23"/>
      <c r="H70" s="24">
        <v>2.6</v>
      </c>
      <c r="I70" s="25"/>
      <c r="J70" s="26"/>
      <c r="K70" s="72">
        <v>2552.8199999999997</v>
      </c>
      <c r="L70" s="43">
        <v>5871.5</v>
      </c>
    </row>
    <row r="71" spans="1:12" ht="13.5" customHeight="1" x14ac:dyDescent="0.2">
      <c r="A71" s="19"/>
      <c r="B71" s="20"/>
      <c r="C71" s="34" t="s">
        <v>7760</v>
      </c>
      <c r="D71" s="11"/>
      <c r="E71" s="12"/>
      <c r="F71" s="22"/>
      <c r="G71" s="23"/>
      <c r="H71" s="24">
        <v>1</v>
      </c>
      <c r="I71" s="25"/>
      <c r="J71" s="26"/>
      <c r="K71" s="72">
        <v>2552.8199999999997</v>
      </c>
      <c r="L71" s="43">
        <v>5870.5</v>
      </c>
    </row>
    <row r="72" spans="1:12" ht="13.5" customHeight="1" x14ac:dyDescent="0.2">
      <c r="A72" s="19"/>
      <c r="B72" s="20"/>
      <c r="C72" s="34" t="s">
        <v>7768</v>
      </c>
      <c r="D72" s="11"/>
      <c r="E72" s="12"/>
      <c r="F72" s="22"/>
      <c r="G72" s="23"/>
      <c r="H72" s="24">
        <v>7</v>
      </c>
      <c r="I72" s="25"/>
      <c r="J72" s="26"/>
      <c r="K72" s="72">
        <v>2552.8199999999997</v>
      </c>
      <c r="L72" s="43">
        <v>5863.5</v>
      </c>
    </row>
    <row r="73" spans="1:12" ht="13.5" customHeight="1" x14ac:dyDescent="0.2">
      <c r="A73" s="19"/>
      <c r="B73" s="20"/>
      <c r="C73" s="34" t="s">
        <v>7760</v>
      </c>
      <c r="D73" s="11"/>
      <c r="E73" s="12"/>
      <c r="F73" s="22"/>
      <c r="G73" s="23"/>
      <c r="H73" s="24">
        <v>7.3</v>
      </c>
      <c r="I73" s="25"/>
      <c r="J73" s="26">
        <v>5856.2</v>
      </c>
      <c r="K73" s="72">
        <v>2552.8199999999997</v>
      </c>
      <c r="L73" s="43">
        <v>5856.2</v>
      </c>
    </row>
    <row r="74" spans="1:12" ht="13.5" customHeight="1" x14ac:dyDescent="0.2">
      <c r="A74" s="19" t="s">
        <v>7769</v>
      </c>
      <c r="B74" s="20"/>
      <c r="C74" s="34" t="s">
        <v>129</v>
      </c>
      <c r="D74" s="11">
        <v>0</v>
      </c>
      <c r="E74" s="12">
        <v>-39.18</v>
      </c>
      <c r="F74" s="22"/>
      <c r="G74" s="23"/>
      <c r="H74" s="24"/>
      <c r="I74" s="25"/>
      <c r="J74" s="26"/>
      <c r="K74" s="72">
        <v>2513.64</v>
      </c>
      <c r="L74" s="43">
        <v>5856.2</v>
      </c>
    </row>
    <row r="75" spans="1:12" ht="13.5" customHeight="1" x14ac:dyDescent="0.2">
      <c r="A75" s="19"/>
      <c r="B75" s="20"/>
      <c r="C75" s="36" t="s">
        <v>7770</v>
      </c>
      <c r="D75" s="11">
        <v>0</v>
      </c>
      <c r="E75" s="12">
        <v>-46.07</v>
      </c>
      <c r="F75" s="22"/>
      <c r="G75" s="23"/>
      <c r="H75" s="24"/>
      <c r="I75" s="25"/>
      <c r="J75" s="26"/>
      <c r="K75" s="72">
        <v>2467.5699999999997</v>
      </c>
      <c r="L75" s="43">
        <v>5856.2</v>
      </c>
    </row>
    <row r="76" spans="1:12" ht="13.5" customHeight="1" x14ac:dyDescent="0.2">
      <c r="A76" s="19"/>
      <c r="B76" s="20"/>
      <c r="C76" s="36" t="s">
        <v>7771</v>
      </c>
      <c r="D76" s="11">
        <v>0</v>
      </c>
      <c r="E76" s="12">
        <v>-51.42</v>
      </c>
      <c r="F76" s="22"/>
      <c r="G76" s="23"/>
      <c r="H76" s="24"/>
      <c r="I76" s="25"/>
      <c r="J76" s="39"/>
      <c r="K76" s="72">
        <v>2416.1499999999996</v>
      </c>
      <c r="L76" s="43">
        <v>5856.2</v>
      </c>
    </row>
    <row r="77" spans="1:12" ht="13.5" customHeight="1" x14ac:dyDescent="0.2">
      <c r="A77" s="19"/>
      <c r="B77" s="20" t="s">
        <v>591</v>
      </c>
      <c r="C77" s="34" t="s">
        <v>567</v>
      </c>
      <c r="D77" s="11">
        <v>62818</v>
      </c>
      <c r="E77" s="12"/>
      <c r="F77" s="162">
        <v>185</v>
      </c>
      <c r="G77" s="23">
        <v>2601.15</v>
      </c>
      <c r="H77" s="24"/>
      <c r="I77" s="25"/>
      <c r="J77" s="26"/>
      <c r="K77" s="72">
        <v>2601.1499999999996</v>
      </c>
      <c r="L77" s="43">
        <v>5856.2</v>
      </c>
    </row>
    <row r="78" spans="1:12" ht="13.5" customHeight="1" x14ac:dyDescent="0.2">
      <c r="A78" s="19">
        <v>43264</v>
      </c>
      <c r="B78" s="20"/>
      <c r="C78" s="34" t="s">
        <v>96</v>
      </c>
      <c r="D78" s="11"/>
      <c r="E78" s="12"/>
      <c r="F78" s="22"/>
      <c r="G78" s="23"/>
      <c r="H78" s="24">
        <v>7.2</v>
      </c>
      <c r="I78" s="25"/>
      <c r="J78" s="26"/>
      <c r="K78" s="72">
        <v>2601.1499999999996</v>
      </c>
      <c r="L78" s="43">
        <v>5849</v>
      </c>
    </row>
    <row r="79" spans="1:12" ht="13.5" customHeight="1" x14ac:dyDescent="0.2">
      <c r="A79" s="19"/>
      <c r="B79" s="20"/>
      <c r="C79" s="34" t="s">
        <v>7772</v>
      </c>
      <c r="D79" s="11"/>
      <c r="E79" s="12"/>
      <c r="F79" s="22"/>
      <c r="G79" s="23"/>
      <c r="H79" s="24">
        <v>35.799999999999997</v>
      </c>
      <c r="I79" s="25"/>
      <c r="J79" s="26"/>
      <c r="K79" s="72">
        <v>2601.1499999999996</v>
      </c>
      <c r="L79" s="43">
        <v>5813.2</v>
      </c>
    </row>
    <row r="80" spans="1:12" ht="13.5" customHeight="1" x14ac:dyDescent="0.2">
      <c r="A80" s="19"/>
      <c r="B80" s="20"/>
      <c r="C80" s="34" t="s">
        <v>7773</v>
      </c>
      <c r="D80" s="11"/>
      <c r="E80" s="12"/>
      <c r="F80" s="22"/>
      <c r="G80" s="23"/>
      <c r="H80" s="24">
        <v>35.1</v>
      </c>
      <c r="I80" s="25"/>
      <c r="J80" s="26"/>
      <c r="K80" s="72">
        <v>2601.1499999999996</v>
      </c>
      <c r="L80" s="43">
        <v>5778.0999999999995</v>
      </c>
    </row>
    <row r="81" spans="1:12" ht="13.5" customHeight="1" x14ac:dyDescent="0.2">
      <c r="A81" s="19"/>
      <c r="B81" s="20"/>
      <c r="C81" s="34" t="s">
        <v>7774</v>
      </c>
      <c r="D81" s="11"/>
      <c r="E81" s="12"/>
      <c r="F81" s="22"/>
      <c r="G81" s="23"/>
      <c r="H81" s="24">
        <v>14.3</v>
      </c>
      <c r="I81" s="25"/>
      <c r="J81" s="26">
        <v>5763.7999999999993</v>
      </c>
      <c r="K81" s="72">
        <v>2601.1499999999996</v>
      </c>
      <c r="L81" s="43">
        <v>5763.7999999999993</v>
      </c>
    </row>
    <row r="82" spans="1:12" ht="13.5" customHeight="1" x14ac:dyDescent="0.2">
      <c r="A82" s="19">
        <v>43265</v>
      </c>
      <c r="B82" s="20"/>
      <c r="C82" s="34" t="s">
        <v>7775</v>
      </c>
      <c r="D82" s="11"/>
      <c r="E82" s="12"/>
      <c r="F82" s="22"/>
      <c r="G82" s="23"/>
      <c r="H82" s="24">
        <v>20</v>
      </c>
      <c r="I82" s="25"/>
      <c r="J82" s="26"/>
      <c r="K82" s="72">
        <v>2601.1499999999996</v>
      </c>
      <c r="L82" s="43">
        <v>5743.7999999999993</v>
      </c>
    </row>
    <row r="83" spans="1:12" ht="13.5" customHeight="1" x14ac:dyDescent="0.2">
      <c r="A83" s="19"/>
      <c r="B83" s="20"/>
      <c r="C83" s="34" t="s">
        <v>7760</v>
      </c>
      <c r="D83" s="11"/>
      <c r="E83" s="12"/>
      <c r="F83" s="22"/>
      <c r="G83" s="23"/>
      <c r="H83" s="24">
        <v>1</v>
      </c>
      <c r="I83" s="25"/>
      <c r="J83" s="26"/>
      <c r="K83" s="72">
        <v>2601.1499999999996</v>
      </c>
      <c r="L83" s="43">
        <v>5742.7999999999993</v>
      </c>
    </row>
    <row r="84" spans="1:12" ht="13.5" customHeight="1" x14ac:dyDescent="0.2">
      <c r="A84" s="19"/>
      <c r="B84" s="20"/>
      <c r="C84" s="34" t="s">
        <v>7776</v>
      </c>
      <c r="D84" s="11"/>
      <c r="E84" s="12"/>
      <c r="F84" s="22"/>
      <c r="G84" s="23"/>
      <c r="H84" s="24">
        <v>57.23</v>
      </c>
      <c r="I84" s="25"/>
      <c r="J84" s="26"/>
      <c r="K84" s="72">
        <v>2601.1499999999996</v>
      </c>
      <c r="L84" s="43">
        <v>5685.57</v>
      </c>
    </row>
    <row r="85" spans="1:12" ht="13.5" customHeight="1" x14ac:dyDescent="0.2">
      <c r="A85" s="19"/>
      <c r="B85" s="20"/>
      <c r="C85" s="34" t="s">
        <v>7777</v>
      </c>
      <c r="D85" s="11"/>
      <c r="E85" s="12"/>
      <c r="F85" s="22"/>
      <c r="G85" s="23"/>
      <c r="H85" s="24">
        <v>174</v>
      </c>
      <c r="I85" s="25"/>
      <c r="J85" s="26"/>
      <c r="K85" s="72">
        <v>2601.1499999999996</v>
      </c>
      <c r="L85" s="43">
        <v>5511.57</v>
      </c>
    </row>
    <row r="86" spans="1:12" ht="13.5" customHeight="1" x14ac:dyDescent="0.2">
      <c r="A86" s="19"/>
      <c r="B86" s="20"/>
      <c r="C86" s="34" t="s">
        <v>7778</v>
      </c>
      <c r="D86" s="11"/>
      <c r="E86" s="12"/>
      <c r="F86" s="22"/>
      <c r="G86" s="23"/>
      <c r="H86" s="24">
        <v>45</v>
      </c>
      <c r="I86" s="25"/>
      <c r="J86" s="26">
        <v>5466.57</v>
      </c>
      <c r="K86" s="72">
        <v>2601.1499999999996</v>
      </c>
      <c r="L86" s="43">
        <v>5466.57</v>
      </c>
    </row>
    <row r="87" spans="1:12" ht="13.5" customHeight="1" x14ac:dyDescent="0.2">
      <c r="A87" s="19"/>
      <c r="B87" s="20"/>
      <c r="C87" s="34" t="s">
        <v>7779</v>
      </c>
      <c r="D87" s="11">
        <v>0</v>
      </c>
      <c r="E87" s="12"/>
      <c r="F87" s="22">
        <v>6700</v>
      </c>
      <c r="G87" s="23"/>
      <c r="H87" s="24"/>
      <c r="I87" s="25"/>
      <c r="J87" s="26"/>
      <c r="K87" s="72">
        <v>9301.15</v>
      </c>
      <c r="L87" s="43">
        <v>5466.57</v>
      </c>
    </row>
    <row r="88" spans="1:12" ht="13.5" customHeight="1" x14ac:dyDescent="0.2">
      <c r="A88" s="19"/>
      <c r="B88" s="20"/>
      <c r="C88" s="34" t="s">
        <v>82</v>
      </c>
      <c r="D88" s="11">
        <v>0</v>
      </c>
      <c r="E88" s="12">
        <v>-457.34</v>
      </c>
      <c r="F88" s="22"/>
      <c r="G88" s="23"/>
      <c r="H88" s="24"/>
      <c r="I88" s="25"/>
      <c r="J88" s="26"/>
      <c r="K88" s="72">
        <v>8843.81</v>
      </c>
      <c r="L88" s="43">
        <v>5466.57</v>
      </c>
    </row>
    <row r="89" spans="1:12" ht="13.5" customHeight="1" x14ac:dyDescent="0.2">
      <c r="A89" s="19"/>
      <c r="B89" s="20"/>
      <c r="C89" s="34" t="s">
        <v>7780</v>
      </c>
      <c r="D89" s="11">
        <v>0</v>
      </c>
      <c r="E89" s="12">
        <v>-212.6</v>
      </c>
      <c r="F89" s="22"/>
      <c r="G89" s="23"/>
      <c r="H89" s="24"/>
      <c r="I89" s="25"/>
      <c r="J89" s="26"/>
      <c r="K89" s="72">
        <v>8631.2099999999991</v>
      </c>
      <c r="L89" s="43">
        <v>5466.57</v>
      </c>
    </row>
    <row r="90" spans="1:12" ht="13.5" customHeight="1" x14ac:dyDescent="0.2">
      <c r="A90" s="19"/>
      <c r="B90" s="20"/>
      <c r="C90" s="34" t="s">
        <v>7781</v>
      </c>
      <c r="D90" s="11">
        <v>0</v>
      </c>
      <c r="E90" s="12">
        <v>-153.29</v>
      </c>
      <c r="F90" s="22"/>
      <c r="G90" s="23">
        <v>8477.92</v>
      </c>
      <c r="H90" s="24"/>
      <c r="I90" s="25"/>
      <c r="J90" s="26"/>
      <c r="K90" s="72">
        <v>8477.9199999999983</v>
      </c>
      <c r="L90" s="43">
        <v>5466.57</v>
      </c>
    </row>
    <row r="91" spans="1:12" ht="13.5" customHeight="1" x14ac:dyDescent="0.2">
      <c r="A91" s="19">
        <v>43266</v>
      </c>
      <c r="B91" s="20"/>
      <c r="C91" s="34" t="s">
        <v>464</v>
      </c>
      <c r="D91" s="11"/>
      <c r="E91" s="12"/>
      <c r="F91" s="22"/>
      <c r="G91" s="23"/>
      <c r="H91" s="174">
        <v>1020</v>
      </c>
      <c r="I91" s="25"/>
      <c r="J91" s="26"/>
      <c r="K91" s="72">
        <v>8477.9199999999983</v>
      </c>
      <c r="L91" s="43">
        <v>4446.57</v>
      </c>
    </row>
    <row r="92" spans="1:12" ht="13.5" customHeight="1" x14ac:dyDescent="0.2">
      <c r="A92" s="19"/>
      <c r="B92" s="20"/>
      <c r="C92" s="34" t="s">
        <v>7782</v>
      </c>
      <c r="D92" s="11"/>
      <c r="E92" s="12"/>
      <c r="F92" s="22"/>
      <c r="G92" s="23"/>
      <c r="H92" s="24">
        <v>60</v>
      </c>
      <c r="I92" s="25"/>
      <c r="J92" s="26"/>
      <c r="K92" s="72">
        <v>8477.9199999999983</v>
      </c>
      <c r="L92" s="43">
        <v>4386.57</v>
      </c>
    </row>
    <row r="93" spans="1:12" ht="13.5" customHeight="1" x14ac:dyDescent="0.2">
      <c r="A93" s="19"/>
      <c r="B93" s="20"/>
      <c r="C93" s="34" t="s">
        <v>36</v>
      </c>
      <c r="D93" s="11"/>
      <c r="E93" s="12"/>
      <c r="F93" s="22"/>
      <c r="G93" s="23"/>
      <c r="H93" s="24">
        <v>350</v>
      </c>
      <c r="I93" s="25"/>
      <c r="J93" s="26">
        <v>4036.5699999999997</v>
      </c>
      <c r="K93" s="72">
        <v>8477.9199999999983</v>
      </c>
      <c r="L93" s="43">
        <v>4036.5699999999997</v>
      </c>
    </row>
    <row r="94" spans="1:12" ht="13.5" customHeight="1" x14ac:dyDescent="0.2">
      <c r="A94" s="19"/>
      <c r="B94" s="20"/>
      <c r="C94" s="34" t="s">
        <v>86</v>
      </c>
      <c r="D94" s="11">
        <v>0</v>
      </c>
      <c r="E94" s="12">
        <v>-72.900000000000006</v>
      </c>
      <c r="F94" s="22"/>
      <c r="G94" s="23"/>
      <c r="H94" s="24"/>
      <c r="I94" s="25"/>
      <c r="J94" s="26"/>
      <c r="K94" s="72">
        <v>8405.0199999999986</v>
      </c>
      <c r="L94" s="43">
        <v>4036.5699999999997</v>
      </c>
    </row>
    <row r="95" spans="1:12" ht="13.5" customHeight="1" x14ac:dyDescent="0.2">
      <c r="A95" s="19"/>
      <c r="B95" s="20"/>
      <c r="C95" s="34" t="s">
        <v>114</v>
      </c>
      <c r="D95" s="11">
        <v>431000</v>
      </c>
      <c r="E95" s="12">
        <v>-213.84</v>
      </c>
      <c r="F95" s="22"/>
      <c r="G95" s="23"/>
      <c r="H95" s="24"/>
      <c r="I95" s="25"/>
      <c r="J95" s="26"/>
      <c r="K95" s="72">
        <v>8191.1799999999985</v>
      </c>
      <c r="L95" s="43">
        <v>4036.5699999999997</v>
      </c>
    </row>
    <row r="96" spans="1:12" ht="13.5" customHeight="1" x14ac:dyDescent="0.2">
      <c r="A96" s="19"/>
      <c r="B96" s="20"/>
      <c r="C96" s="36" t="s">
        <v>7783</v>
      </c>
      <c r="D96" s="11">
        <v>0</v>
      </c>
      <c r="E96" s="12">
        <v>-2000</v>
      </c>
      <c r="F96" s="22"/>
      <c r="G96" s="23"/>
      <c r="H96" s="24"/>
      <c r="I96" s="25"/>
      <c r="J96" s="39"/>
      <c r="K96" s="72">
        <v>6191.1799999999985</v>
      </c>
      <c r="L96" s="43">
        <v>4036.5699999999997</v>
      </c>
    </row>
    <row r="97" spans="1:12" ht="13.5" customHeight="1" x14ac:dyDescent="0.2">
      <c r="A97" s="19"/>
      <c r="B97" s="20"/>
      <c r="C97" s="36" t="s">
        <v>7067</v>
      </c>
      <c r="D97" s="11">
        <v>0</v>
      </c>
      <c r="E97" s="12">
        <v>-1000</v>
      </c>
      <c r="F97" s="22"/>
      <c r="G97" s="23"/>
      <c r="H97" s="24"/>
      <c r="I97" s="25"/>
      <c r="J97" s="26"/>
      <c r="K97" s="72">
        <v>5191.1799999999985</v>
      </c>
      <c r="L97" s="43">
        <v>4036.5699999999997</v>
      </c>
    </row>
    <row r="98" spans="1:12" ht="13.5" customHeight="1" x14ac:dyDescent="0.2">
      <c r="A98" s="19"/>
      <c r="B98" s="20" t="s">
        <v>591</v>
      </c>
      <c r="C98" s="34" t="s">
        <v>464</v>
      </c>
      <c r="D98" s="11">
        <v>62851</v>
      </c>
      <c r="E98" s="12"/>
      <c r="F98" s="162">
        <v>1020</v>
      </c>
      <c r="G98" s="23"/>
      <c r="H98" s="24"/>
      <c r="I98" s="25"/>
      <c r="J98" s="26"/>
      <c r="K98" s="72">
        <v>6211.1799999999985</v>
      </c>
      <c r="L98" s="43">
        <v>4036.5699999999997</v>
      </c>
    </row>
    <row r="99" spans="1:12" ht="13.5" customHeight="1" x14ac:dyDescent="0.2">
      <c r="A99" s="19"/>
      <c r="B99" s="20" t="s">
        <v>591</v>
      </c>
      <c r="C99" s="34" t="s">
        <v>7784</v>
      </c>
      <c r="D99" s="11">
        <v>728726</v>
      </c>
      <c r="E99" s="12"/>
      <c r="F99" s="22">
        <v>940</v>
      </c>
      <c r="G99" s="23"/>
      <c r="H99" s="24"/>
      <c r="I99" s="25"/>
      <c r="J99" s="26"/>
      <c r="K99" s="72">
        <v>7151.1799999999985</v>
      </c>
      <c r="L99" s="43">
        <v>4036.5699999999997</v>
      </c>
    </row>
    <row r="100" spans="1:12" ht="13.5" customHeight="1" x14ac:dyDescent="0.2">
      <c r="A100" s="19"/>
      <c r="B100" s="20"/>
      <c r="C100" s="34" t="s">
        <v>20</v>
      </c>
      <c r="D100" s="11">
        <v>0</v>
      </c>
      <c r="E100" s="12"/>
      <c r="F100" s="22">
        <v>0.12</v>
      </c>
      <c r="G100" s="23">
        <v>7151.3</v>
      </c>
      <c r="H100" s="24"/>
      <c r="I100" s="25"/>
      <c r="J100" s="26"/>
      <c r="K100" s="72">
        <v>7151.2999999999984</v>
      </c>
      <c r="L100" s="43">
        <v>4036.5699999999997</v>
      </c>
    </row>
    <row r="101" spans="1:12" ht="13.5" customHeight="1" x14ac:dyDescent="0.2">
      <c r="A101" s="19">
        <v>43269</v>
      </c>
      <c r="B101" s="20"/>
      <c r="C101" s="34" t="s">
        <v>7785</v>
      </c>
      <c r="D101" s="11"/>
      <c r="E101" s="12"/>
      <c r="F101" s="22"/>
      <c r="G101" s="23"/>
      <c r="H101" s="24">
        <v>11.8</v>
      </c>
      <c r="I101" s="25"/>
      <c r="J101" s="26"/>
      <c r="K101" s="72">
        <v>7151.2999999999984</v>
      </c>
      <c r="L101" s="43">
        <v>4024.7699999999995</v>
      </c>
    </row>
    <row r="102" spans="1:12" ht="13.5" customHeight="1" x14ac:dyDescent="0.2">
      <c r="A102" s="19"/>
      <c r="B102" s="20"/>
      <c r="C102" s="34" t="s">
        <v>861</v>
      </c>
      <c r="D102" s="11"/>
      <c r="E102" s="12"/>
      <c r="F102" s="22"/>
      <c r="G102" s="23"/>
      <c r="H102" s="24">
        <v>9.25</v>
      </c>
      <c r="I102" s="25"/>
      <c r="J102" s="26"/>
      <c r="K102" s="72">
        <v>7151.2999999999984</v>
      </c>
      <c r="L102" s="43">
        <v>4015.5199999999995</v>
      </c>
    </row>
    <row r="103" spans="1:12" ht="13.5" customHeight="1" x14ac:dyDescent="0.2">
      <c r="A103" s="19"/>
      <c r="B103" s="20"/>
      <c r="C103" s="34" t="s">
        <v>7786</v>
      </c>
      <c r="D103" s="11"/>
      <c r="E103" s="12"/>
      <c r="F103" s="22"/>
      <c r="G103" s="23"/>
      <c r="H103" s="24"/>
      <c r="I103" s="25">
        <v>2103.3000000000002</v>
      </c>
      <c r="J103" s="26"/>
      <c r="K103" s="72">
        <v>7151.2999999999984</v>
      </c>
      <c r="L103" s="43">
        <v>6118.82</v>
      </c>
    </row>
    <row r="104" spans="1:12" ht="13.5" customHeight="1" x14ac:dyDescent="0.2">
      <c r="A104" s="19"/>
      <c r="B104" s="20"/>
      <c r="C104" s="34" t="s">
        <v>7787</v>
      </c>
      <c r="D104" s="11"/>
      <c r="E104" s="12"/>
      <c r="F104" s="22"/>
      <c r="G104" s="23"/>
      <c r="H104" s="24"/>
      <c r="I104" s="25">
        <v>7977.69</v>
      </c>
      <c r="J104" s="39">
        <v>14096.509999999998</v>
      </c>
      <c r="K104" s="72">
        <v>7151.2999999999984</v>
      </c>
      <c r="L104" s="43">
        <v>14096.509999999998</v>
      </c>
    </row>
    <row r="105" spans="1:12" ht="13.5" customHeight="1" x14ac:dyDescent="0.2">
      <c r="A105" s="19"/>
      <c r="B105" s="20"/>
      <c r="C105" s="34" t="s">
        <v>6199</v>
      </c>
      <c r="D105" s="11">
        <v>0</v>
      </c>
      <c r="E105" s="12">
        <v>-134.86000000000001</v>
      </c>
      <c r="F105" s="22"/>
      <c r="G105" s="23"/>
      <c r="H105" s="24"/>
      <c r="I105" s="25"/>
      <c r="J105" s="39"/>
      <c r="K105" s="72">
        <v>7016.4399999999987</v>
      </c>
      <c r="L105" s="43">
        <v>14096.509999999998</v>
      </c>
    </row>
    <row r="106" spans="1:12" ht="13.5" customHeight="1" x14ac:dyDescent="0.2">
      <c r="A106" s="46"/>
      <c r="B106" s="46"/>
      <c r="C106" s="34" t="s">
        <v>18</v>
      </c>
      <c r="D106" s="42">
        <v>0</v>
      </c>
      <c r="E106" s="43">
        <v>-349.97</v>
      </c>
      <c r="F106" s="43"/>
      <c r="G106" s="23"/>
      <c r="H106" s="24"/>
      <c r="I106" s="25"/>
      <c r="J106" s="26"/>
      <c r="K106" s="72">
        <v>6666.4699999999984</v>
      </c>
      <c r="L106" s="43">
        <v>14096.509999999998</v>
      </c>
    </row>
    <row r="107" spans="1:12" ht="13.5" customHeight="1" x14ac:dyDescent="0.2">
      <c r="A107" s="46"/>
      <c r="B107" s="46"/>
      <c r="C107" s="34" t="s">
        <v>20</v>
      </c>
      <c r="D107" s="42">
        <v>0</v>
      </c>
      <c r="E107" s="43"/>
      <c r="F107" s="43">
        <v>0.02</v>
      </c>
      <c r="G107" s="23">
        <v>6666.49</v>
      </c>
      <c r="H107" s="24"/>
      <c r="I107" s="25"/>
      <c r="J107" s="26"/>
      <c r="K107" s="72">
        <v>6666.4899999999989</v>
      </c>
      <c r="L107" s="43">
        <v>14096.509999999998</v>
      </c>
    </row>
    <row r="108" spans="1:12" ht="13.5" customHeight="1" x14ac:dyDescent="0.2">
      <c r="A108" s="19">
        <v>43270</v>
      </c>
      <c r="B108" s="20"/>
      <c r="C108" s="34" t="s">
        <v>7788</v>
      </c>
      <c r="D108" s="11"/>
      <c r="E108" s="12"/>
      <c r="F108" s="22"/>
      <c r="G108" s="23"/>
      <c r="H108" s="24">
        <v>12.9</v>
      </c>
      <c r="I108" s="25"/>
      <c r="J108" s="26">
        <v>14083.609999999999</v>
      </c>
      <c r="K108" s="72">
        <v>6666.4899999999989</v>
      </c>
      <c r="L108" s="43">
        <v>14083.609999999999</v>
      </c>
    </row>
    <row r="109" spans="1:12" ht="13.5" customHeight="1" x14ac:dyDescent="0.2">
      <c r="A109" s="19">
        <v>43271</v>
      </c>
      <c r="B109" s="20"/>
      <c r="C109" s="21" t="s">
        <v>7789</v>
      </c>
      <c r="D109" s="11"/>
      <c r="E109" s="12"/>
      <c r="F109" s="22"/>
      <c r="G109" s="23"/>
      <c r="H109" s="24">
        <v>43.21</v>
      </c>
      <c r="I109" s="25"/>
      <c r="J109" s="26"/>
      <c r="K109" s="72">
        <v>6666.4899999999989</v>
      </c>
      <c r="L109" s="43">
        <v>14040.4</v>
      </c>
    </row>
    <row r="110" spans="1:12" ht="13.5" customHeight="1" x14ac:dyDescent="0.2">
      <c r="A110" s="19"/>
      <c r="B110" s="20"/>
      <c r="C110" s="21" t="s">
        <v>7790</v>
      </c>
      <c r="D110" s="11"/>
      <c r="E110" s="12"/>
      <c r="F110" s="22"/>
      <c r="G110" s="23"/>
      <c r="H110" s="24">
        <v>23.2</v>
      </c>
      <c r="I110" s="25"/>
      <c r="J110" s="26"/>
      <c r="K110" s="72">
        <v>6666.4899999999989</v>
      </c>
      <c r="L110" s="43">
        <v>14017.199999999999</v>
      </c>
    </row>
    <row r="111" spans="1:12" ht="13.5" customHeight="1" x14ac:dyDescent="0.2">
      <c r="A111" s="19"/>
      <c r="B111" s="20"/>
      <c r="C111" s="34" t="s">
        <v>7791</v>
      </c>
      <c r="D111" s="11"/>
      <c r="E111" s="12"/>
      <c r="F111" s="22"/>
      <c r="G111" s="23"/>
      <c r="H111" s="24">
        <v>12.86</v>
      </c>
      <c r="I111" s="25"/>
      <c r="J111" s="26"/>
      <c r="K111" s="72">
        <v>6666.4899999999989</v>
      </c>
      <c r="L111" s="43">
        <v>14004.339999999998</v>
      </c>
    </row>
    <row r="112" spans="1:12" ht="13.5" customHeight="1" x14ac:dyDescent="0.2">
      <c r="A112" s="19"/>
      <c r="B112" s="20"/>
      <c r="C112" s="34" t="s">
        <v>7792</v>
      </c>
      <c r="D112" s="11"/>
      <c r="E112" s="12"/>
      <c r="F112" s="22"/>
      <c r="G112" s="23"/>
      <c r="H112" s="24">
        <v>38.58</v>
      </c>
      <c r="I112" s="25"/>
      <c r="J112" s="26"/>
      <c r="K112" s="72">
        <v>6666.4899999999989</v>
      </c>
      <c r="L112" s="43">
        <v>13965.759999999998</v>
      </c>
    </row>
    <row r="113" spans="1:12" ht="13.5" customHeight="1" x14ac:dyDescent="0.2">
      <c r="A113" s="19"/>
      <c r="B113" s="20"/>
      <c r="C113" s="21" t="s">
        <v>546</v>
      </c>
      <c r="D113" s="11"/>
      <c r="E113" s="12"/>
      <c r="F113" s="22"/>
      <c r="G113" s="23"/>
      <c r="H113" s="24">
        <v>500</v>
      </c>
      <c r="I113" s="25"/>
      <c r="J113" s="26"/>
      <c r="K113" s="72">
        <v>6666.4899999999989</v>
      </c>
      <c r="L113" s="43">
        <v>13465.759999999998</v>
      </c>
    </row>
    <row r="114" spans="1:12" ht="13.5" customHeight="1" x14ac:dyDescent="0.2">
      <c r="A114" s="19"/>
      <c r="B114" s="20"/>
      <c r="C114" s="21" t="s">
        <v>546</v>
      </c>
      <c r="D114" s="11"/>
      <c r="E114" s="12"/>
      <c r="F114" s="22"/>
      <c r="G114" s="23"/>
      <c r="H114" s="24">
        <v>200</v>
      </c>
      <c r="I114" s="25"/>
      <c r="J114" s="26"/>
      <c r="K114" s="72">
        <v>6666.4899999999989</v>
      </c>
      <c r="L114" s="43">
        <v>13265.759999999998</v>
      </c>
    </row>
    <row r="115" spans="1:12" ht="13.5" customHeight="1" x14ac:dyDescent="0.2">
      <c r="A115" s="19"/>
      <c r="B115" s="27"/>
      <c r="C115" s="36" t="s">
        <v>7793</v>
      </c>
      <c r="D115" s="27"/>
      <c r="E115" s="27"/>
      <c r="F115" s="27"/>
      <c r="G115" s="23"/>
      <c r="H115" s="38"/>
      <c r="I115" s="38">
        <v>1338.46</v>
      </c>
      <c r="J115" s="39">
        <v>14604.219999999998</v>
      </c>
      <c r="K115" s="72">
        <v>6666.4899999999989</v>
      </c>
      <c r="L115" s="43">
        <v>14604.219999999998</v>
      </c>
    </row>
    <row r="116" spans="1:12" ht="13.5" customHeight="1" x14ac:dyDescent="0.2">
      <c r="A116" s="19"/>
      <c r="B116" s="20"/>
      <c r="C116" s="34" t="s">
        <v>132</v>
      </c>
      <c r="D116" s="11">
        <v>221000</v>
      </c>
      <c r="E116" s="12">
        <v>-543.96</v>
      </c>
      <c r="F116" s="22"/>
      <c r="G116" s="23"/>
      <c r="H116" s="24"/>
      <c r="I116" s="25"/>
      <c r="J116" s="26"/>
      <c r="K116" s="72">
        <v>6122.5299999999988</v>
      </c>
      <c r="L116" s="43">
        <v>14604.219999999998</v>
      </c>
    </row>
    <row r="117" spans="1:12" ht="13.5" customHeight="1" x14ac:dyDescent="0.2">
      <c r="A117" s="19"/>
      <c r="B117" s="20"/>
      <c r="C117" s="34" t="s">
        <v>20</v>
      </c>
      <c r="D117" s="11">
        <v>0</v>
      </c>
      <c r="E117" s="12">
        <v>0.02</v>
      </c>
      <c r="F117" s="22">
        <v>0.02</v>
      </c>
      <c r="G117" s="23">
        <v>6122.55</v>
      </c>
      <c r="H117" s="24"/>
      <c r="I117" s="25"/>
      <c r="J117" s="26"/>
      <c r="K117" s="72">
        <v>6122.57</v>
      </c>
      <c r="L117" s="43">
        <v>14604.219999999998</v>
      </c>
    </row>
    <row r="118" spans="1:12" ht="13.5" customHeight="1" x14ac:dyDescent="0.2">
      <c r="A118" s="19">
        <v>43272</v>
      </c>
      <c r="B118" s="20"/>
      <c r="C118" s="34" t="s">
        <v>7794</v>
      </c>
      <c r="D118" s="11"/>
      <c r="E118" s="12"/>
      <c r="F118" s="22"/>
      <c r="G118" s="23"/>
      <c r="H118" s="24">
        <v>215</v>
      </c>
      <c r="I118" s="25"/>
      <c r="J118" s="26"/>
      <c r="K118" s="72">
        <v>6122.57</v>
      </c>
      <c r="L118" s="43">
        <v>14389.219999999998</v>
      </c>
    </row>
    <row r="119" spans="1:12" ht="13.5" customHeight="1" x14ac:dyDescent="0.2">
      <c r="A119" s="19"/>
      <c r="B119" s="27"/>
      <c r="C119" s="33" t="s">
        <v>7795</v>
      </c>
      <c r="D119" s="27"/>
      <c r="E119" s="27"/>
      <c r="F119" s="27"/>
      <c r="G119" s="23"/>
      <c r="H119" s="174">
        <v>2600</v>
      </c>
      <c r="I119" s="38"/>
      <c r="J119" s="39"/>
      <c r="K119" s="72">
        <v>6122.57</v>
      </c>
      <c r="L119" s="43">
        <v>11789.219999999998</v>
      </c>
    </row>
    <row r="120" spans="1:12" ht="13.5" customHeight="1" x14ac:dyDescent="0.2">
      <c r="A120" s="46"/>
      <c r="B120" s="46"/>
      <c r="C120" s="34" t="s">
        <v>7796</v>
      </c>
      <c r="D120" s="42"/>
      <c r="E120" s="43"/>
      <c r="F120" s="43"/>
      <c r="G120" s="23"/>
      <c r="H120" s="24">
        <v>6</v>
      </c>
      <c r="I120" s="25"/>
      <c r="J120" s="26"/>
      <c r="K120" s="72">
        <v>6122.57</v>
      </c>
      <c r="L120" s="43">
        <v>11783.219999999998</v>
      </c>
    </row>
    <row r="121" spans="1:12" ht="12" customHeight="1" x14ac:dyDescent="0.2">
      <c r="A121" s="46"/>
      <c r="B121" s="46"/>
      <c r="C121" s="34" t="s">
        <v>7775</v>
      </c>
      <c r="D121" s="42"/>
      <c r="E121" s="43"/>
      <c r="F121" s="43"/>
      <c r="G121" s="23"/>
      <c r="H121" s="24">
        <v>10</v>
      </c>
      <c r="I121" s="25"/>
      <c r="J121" s="26">
        <v>11773.219999999998</v>
      </c>
      <c r="K121" s="72">
        <v>6122.57</v>
      </c>
      <c r="L121" s="43">
        <v>11773.219999999998</v>
      </c>
    </row>
    <row r="122" spans="1:12" ht="13.5" customHeight="1" x14ac:dyDescent="0.2">
      <c r="A122" s="19"/>
      <c r="B122" s="20"/>
      <c r="C122" s="34" t="s">
        <v>133</v>
      </c>
      <c r="D122" s="11">
        <v>551000</v>
      </c>
      <c r="E122" s="12">
        <v>-685.17</v>
      </c>
      <c r="F122" s="22"/>
      <c r="G122" s="23"/>
      <c r="H122" s="24"/>
      <c r="I122" s="25"/>
      <c r="J122" s="26"/>
      <c r="K122" s="72">
        <v>5437.4</v>
      </c>
      <c r="L122" s="43">
        <v>11773.219999999998</v>
      </c>
    </row>
    <row r="123" spans="1:12" ht="13.5" customHeight="1" x14ac:dyDescent="0.2">
      <c r="A123" s="19"/>
      <c r="B123" s="20" t="s">
        <v>591</v>
      </c>
      <c r="C123" s="33" t="s">
        <v>7795</v>
      </c>
      <c r="D123" s="11">
        <v>62829</v>
      </c>
      <c r="E123" s="12"/>
      <c r="F123" s="162">
        <v>1600</v>
      </c>
      <c r="G123" s="23"/>
      <c r="H123" s="24"/>
      <c r="I123" s="25"/>
      <c r="J123" s="26"/>
      <c r="K123" s="72">
        <v>7037.4</v>
      </c>
      <c r="L123" s="43">
        <v>11773.219999999998</v>
      </c>
    </row>
    <row r="124" spans="1:12" ht="13.5" customHeight="1" x14ac:dyDescent="0.2">
      <c r="A124" s="19"/>
      <c r="B124" s="20" t="s">
        <v>591</v>
      </c>
      <c r="C124" s="33" t="s">
        <v>7795</v>
      </c>
      <c r="D124" s="11">
        <v>62862</v>
      </c>
      <c r="E124" s="12"/>
      <c r="F124" s="162">
        <v>1000</v>
      </c>
      <c r="G124" s="23">
        <v>8037.38</v>
      </c>
      <c r="H124" s="24"/>
      <c r="I124" s="25"/>
      <c r="J124" s="26"/>
      <c r="K124" s="72">
        <v>8037.4</v>
      </c>
      <c r="L124" s="43">
        <v>11773.219999999998</v>
      </c>
    </row>
    <row r="125" spans="1:12" ht="13.5" customHeight="1" x14ac:dyDescent="0.2">
      <c r="A125" s="171">
        <v>43273</v>
      </c>
      <c r="B125" s="172"/>
      <c r="C125" s="34" t="s">
        <v>471</v>
      </c>
      <c r="D125" s="42"/>
      <c r="E125" s="43"/>
      <c r="F125" s="173"/>
      <c r="G125" s="23"/>
      <c r="H125" s="174">
        <v>8478</v>
      </c>
      <c r="I125" s="25"/>
      <c r="J125" s="26"/>
      <c r="K125" s="72">
        <v>8037.4</v>
      </c>
      <c r="L125" s="43">
        <v>3295.2199999999975</v>
      </c>
    </row>
    <row r="126" spans="1:12" ht="13.5" customHeight="1" x14ac:dyDescent="0.2">
      <c r="A126" s="171"/>
      <c r="B126" s="172"/>
      <c r="C126" s="34" t="s">
        <v>36</v>
      </c>
      <c r="D126" s="42"/>
      <c r="E126" s="43"/>
      <c r="F126" s="173"/>
      <c r="G126" s="23"/>
      <c r="H126" s="24">
        <v>350</v>
      </c>
      <c r="I126" s="25"/>
      <c r="J126" s="26"/>
      <c r="K126" s="72">
        <v>8037.4</v>
      </c>
      <c r="L126" s="43">
        <v>2945.2199999999975</v>
      </c>
    </row>
    <row r="127" spans="1:12" ht="13.5" customHeight="1" x14ac:dyDescent="0.2">
      <c r="A127" s="171"/>
      <c r="B127" s="172"/>
      <c r="C127" s="34" t="s">
        <v>7797</v>
      </c>
      <c r="D127" s="42"/>
      <c r="E127" s="43"/>
      <c r="F127" s="173"/>
      <c r="G127" s="23"/>
      <c r="H127" s="24">
        <v>14.96</v>
      </c>
      <c r="I127" s="25"/>
      <c r="J127" s="26"/>
      <c r="K127" s="72">
        <v>8037.4</v>
      </c>
      <c r="L127" s="43">
        <v>2930.2599999999975</v>
      </c>
    </row>
    <row r="128" spans="1:12" ht="13.5" customHeight="1" x14ac:dyDescent="0.2">
      <c r="A128" s="171"/>
      <c r="B128" s="172"/>
      <c r="C128" s="34" t="s">
        <v>7798</v>
      </c>
      <c r="D128" s="42"/>
      <c r="E128" s="43"/>
      <c r="F128" s="173"/>
      <c r="G128" s="23"/>
      <c r="H128" s="24">
        <v>18.78</v>
      </c>
      <c r="I128" s="25"/>
      <c r="J128" s="26">
        <v>2911.4799999999973</v>
      </c>
      <c r="K128" s="72">
        <v>8037.4</v>
      </c>
      <c r="L128" s="43">
        <v>2911.4799999999973</v>
      </c>
    </row>
    <row r="129" spans="1:12" ht="13.5" customHeight="1" x14ac:dyDescent="0.2">
      <c r="A129" s="19" t="s">
        <v>7799</v>
      </c>
      <c r="B129" s="20"/>
      <c r="C129" s="34" t="s">
        <v>127</v>
      </c>
      <c r="D129" s="11">
        <v>0</v>
      </c>
      <c r="E129" s="12">
        <v>-23.28</v>
      </c>
      <c r="F129" s="22"/>
      <c r="G129" s="23"/>
      <c r="H129" s="24"/>
      <c r="I129" s="25"/>
      <c r="J129" s="26"/>
      <c r="K129" s="72">
        <v>8014.12</v>
      </c>
      <c r="L129" s="43">
        <v>2911.4799999999973</v>
      </c>
    </row>
    <row r="130" spans="1:12" ht="13.5" customHeight="1" x14ac:dyDescent="0.2">
      <c r="A130" s="19"/>
      <c r="B130" s="20"/>
      <c r="C130" s="34" t="s">
        <v>128</v>
      </c>
      <c r="D130" s="11">
        <v>0</v>
      </c>
      <c r="E130" s="12">
        <v>-33.97</v>
      </c>
      <c r="F130" s="22"/>
      <c r="G130" s="23"/>
      <c r="H130" s="24"/>
      <c r="I130" s="25"/>
      <c r="J130" s="26"/>
      <c r="K130" s="72">
        <v>7980.15</v>
      </c>
      <c r="L130" s="43">
        <v>2911.4799999999973</v>
      </c>
    </row>
    <row r="131" spans="1:12" ht="13.5" customHeight="1" x14ac:dyDescent="0.2">
      <c r="A131" s="19"/>
      <c r="B131" s="20"/>
      <c r="C131" s="34" t="s">
        <v>131</v>
      </c>
      <c r="D131" s="11">
        <v>0</v>
      </c>
      <c r="E131" s="12">
        <v>-36.14</v>
      </c>
      <c r="F131" s="22"/>
      <c r="G131" s="23"/>
      <c r="H131" s="24"/>
      <c r="I131" s="25"/>
      <c r="J131" s="39"/>
      <c r="K131" s="72">
        <v>7944.0099999999993</v>
      </c>
      <c r="L131" s="43">
        <v>2911.4799999999973</v>
      </c>
    </row>
    <row r="132" spans="1:12" ht="13.5" customHeight="1" x14ac:dyDescent="0.2">
      <c r="A132" s="19"/>
      <c r="B132" s="20"/>
      <c r="C132" s="34" t="s">
        <v>129</v>
      </c>
      <c r="D132" s="11">
        <v>0</v>
      </c>
      <c r="E132" s="12">
        <v>-38.81</v>
      </c>
      <c r="F132" s="22"/>
      <c r="G132" s="23"/>
      <c r="H132" s="24"/>
      <c r="I132" s="25"/>
      <c r="J132" s="26"/>
      <c r="K132" s="72">
        <v>7905.1999999999989</v>
      </c>
      <c r="L132" s="43">
        <v>2911.4799999999973</v>
      </c>
    </row>
    <row r="133" spans="1:12" ht="13.5" customHeight="1" x14ac:dyDescent="0.2">
      <c r="A133" s="19"/>
      <c r="B133" s="20"/>
      <c r="C133" s="34" t="s">
        <v>130</v>
      </c>
      <c r="D133" s="11">
        <v>0</v>
      </c>
      <c r="E133" s="12">
        <v>-121</v>
      </c>
      <c r="F133" s="22"/>
      <c r="G133" s="23"/>
      <c r="H133" s="24"/>
      <c r="I133" s="25"/>
      <c r="J133" s="26"/>
      <c r="K133" s="72">
        <v>7784.1999999999989</v>
      </c>
      <c r="L133" s="43">
        <v>2911.4799999999973</v>
      </c>
    </row>
    <row r="134" spans="1:12" ht="13.5" customHeight="1" x14ac:dyDescent="0.2">
      <c r="A134" s="19"/>
      <c r="B134" s="20"/>
      <c r="C134" s="34" t="s">
        <v>20</v>
      </c>
      <c r="D134" s="11">
        <v>0</v>
      </c>
      <c r="E134" s="12"/>
      <c r="F134" s="22">
        <v>0.02</v>
      </c>
      <c r="G134" s="23">
        <v>7784.2</v>
      </c>
      <c r="H134" s="24"/>
      <c r="I134" s="25"/>
      <c r="J134" s="26"/>
      <c r="K134" s="72">
        <v>7784.2199999999993</v>
      </c>
      <c r="L134" s="43">
        <v>2911.4799999999973</v>
      </c>
    </row>
    <row r="135" spans="1:12" ht="13.5" customHeight="1" x14ac:dyDescent="0.2">
      <c r="A135" s="19">
        <v>43276</v>
      </c>
      <c r="B135" s="20"/>
      <c r="C135" s="34" t="s">
        <v>7800</v>
      </c>
      <c r="D135" s="11"/>
      <c r="E135" s="12"/>
      <c r="F135" s="22"/>
      <c r="G135" s="23"/>
      <c r="H135" s="24">
        <v>13.65</v>
      </c>
      <c r="I135" s="25"/>
      <c r="J135" s="26"/>
      <c r="K135" s="72">
        <v>7784.2199999999993</v>
      </c>
      <c r="L135" s="43">
        <v>2897.8299999999972</v>
      </c>
    </row>
    <row r="136" spans="1:12" ht="13.5" customHeight="1" x14ac:dyDescent="0.2">
      <c r="A136" s="19"/>
      <c r="B136" s="20"/>
      <c r="C136" s="34" t="s">
        <v>7801</v>
      </c>
      <c r="D136" s="11"/>
      <c r="E136" s="12"/>
      <c r="F136" s="22"/>
      <c r="G136" s="23"/>
      <c r="H136" s="24">
        <v>29.1</v>
      </c>
      <c r="I136" s="25"/>
      <c r="J136" s="26"/>
      <c r="K136" s="72">
        <v>7784.2199999999993</v>
      </c>
      <c r="L136" s="43">
        <v>2868.7299999999973</v>
      </c>
    </row>
    <row r="137" spans="1:12" ht="13.5" customHeight="1" x14ac:dyDescent="0.2">
      <c r="A137" s="19"/>
      <c r="B137" s="20"/>
      <c r="C137" s="34" t="s">
        <v>7802</v>
      </c>
      <c r="D137" s="11"/>
      <c r="E137" s="12"/>
      <c r="F137" s="22"/>
      <c r="G137" s="23"/>
      <c r="H137" s="24">
        <v>400</v>
      </c>
      <c r="I137" s="25"/>
      <c r="J137" s="26"/>
      <c r="K137" s="72">
        <v>7784.2199999999993</v>
      </c>
      <c r="L137" s="43">
        <v>2468.7299999999973</v>
      </c>
    </row>
    <row r="138" spans="1:12" ht="13.5" customHeight="1" x14ac:dyDescent="0.2">
      <c r="A138" s="19"/>
      <c r="B138" s="20"/>
      <c r="C138" s="34" t="s">
        <v>7803</v>
      </c>
      <c r="D138" s="11"/>
      <c r="E138" s="12"/>
      <c r="F138" s="22"/>
      <c r="G138" s="23"/>
      <c r="H138" s="24">
        <v>70</v>
      </c>
      <c r="I138" s="25"/>
      <c r="J138" s="26"/>
      <c r="K138" s="72">
        <v>7784.2199999999993</v>
      </c>
      <c r="L138" s="43">
        <v>2398.7299999999973</v>
      </c>
    </row>
    <row r="139" spans="1:12" ht="13.5" customHeight="1" x14ac:dyDescent="0.2">
      <c r="A139" s="19"/>
      <c r="B139" s="20"/>
      <c r="C139" s="34" t="s">
        <v>7804</v>
      </c>
      <c r="D139" s="11"/>
      <c r="E139" s="12"/>
      <c r="F139" s="22"/>
      <c r="G139" s="23"/>
      <c r="H139" s="24">
        <v>9.75</v>
      </c>
      <c r="I139" s="25"/>
      <c r="J139" s="26">
        <v>2388.9799999999973</v>
      </c>
      <c r="K139" s="72">
        <v>7784.2199999999993</v>
      </c>
      <c r="L139" s="43">
        <v>2388.9799999999973</v>
      </c>
    </row>
    <row r="140" spans="1:12" ht="13.5" customHeight="1" x14ac:dyDescent="0.2">
      <c r="A140" s="19"/>
      <c r="B140" s="20"/>
      <c r="C140" s="34" t="s">
        <v>136</v>
      </c>
      <c r="D140" s="11">
        <v>0</v>
      </c>
      <c r="E140" s="12">
        <v>-37.9</v>
      </c>
      <c r="F140" s="22"/>
      <c r="G140" s="23"/>
      <c r="H140" s="24"/>
      <c r="I140" s="25"/>
      <c r="J140" s="26"/>
      <c r="K140" s="72">
        <v>7746.32</v>
      </c>
      <c r="L140" s="43">
        <v>2388.9799999999973</v>
      </c>
    </row>
    <row r="141" spans="1:12" ht="13.5" customHeight="1" x14ac:dyDescent="0.2">
      <c r="A141" s="19"/>
      <c r="B141" s="20"/>
      <c r="C141" s="34" t="s">
        <v>7805</v>
      </c>
      <c r="D141" s="11">
        <v>0</v>
      </c>
      <c r="E141" s="12">
        <v>-278.57</v>
      </c>
      <c r="F141" s="22"/>
      <c r="G141" s="23"/>
      <c r="H141" s="24"/>
      <c r="I141" s="25"/>
      <c r="J141" s="26"/>
      <c r="K141" s="72">
        <v>7467.75</v>
      </c>
      <c r="L141" s="43">
        <v>2388.9799999999973</v>
      </c>
    </row>
    <row r="142" spans="1:12" ht="13.5" customHeight="1" x14ac:dyDescent="0.2">
      <c r="A142" s="19"/>
      <c r="B142" s="20"/>
      <c r="C142" s="34" t="s">
        <v>20</v>
      </c>
      <c r="D142" s="11">
        <v>0</v>
      </c>
      <c r="E142" s="12"/>
      <c r="F142" s="22">
        <v>0.01</v>
      </c>
      <c r="G142" s="1134">
        <v>7467.74</v>
      </c>
      <c r="H142" s="24"/>
      <c r="I142" s="25"/>
      <c r="J142" s="26"/>
      <c r="K142" s="72">
        <v>7467.76</v>
      </c>
      <c r="L142" s="43">
        <v>2388.9799999999973</v>
      </c>
    </row>
    <row r="143" spans="1:12" ht="13.5" customHeight="1" x14ac:dyDescent="0.2">
      <c r="A143" s="19">
        <v>43277</v>
      </c>
      <c r="B143" s="20"/>
      <c r="C143" s="34" t="s">
        <v>7806</v>
      </c>
      <c r="D143" s="11"/>
      <c r="E143" s="12"/>
      <c r="F143" s="22"/>
      <c r="G143" s="23"/>
      <c r="H143" s="24">
        <v>12.86</v>
      </c>
      <c r="I143" s="25"/>
      <c r="J143" s="26"/>
      <c r="K143" s="72">
        <v>7467.76</v>
      </c>
      <c r="L143" s="43">
        <v>2376.1199999999972</v>
      </c>
    </row>
    <row r="144" spans="1:12" ht="13.5" customHeight="1" x14ac:dyDescent="0.2">
      <c r="A144" s="19"/>
      <c r="B144" s="20"/>
      <c r="C144" s="34" t="s">
        <v>7807</v>
      </c>
      <c r="D144" s="11"/>
      <c r="E144" s="12"/>
      <c r="F144" s="22"/>
      <c r="G144" s="23"/>
      <c r="H144" s="24">
        <v>12</v>
      </c>
      <c r="I144" s="25"/>
      <c r="J144" s="26">
        <v>2364.1199999999972</v>
      </c>
      <c r="K144" s="72">
        <v>7467.76</v>
      </c>
      <c r="L144" s="43">
        <v>2364.1199999999972</v>
      </c>
    </row>
    <row r="145" spans="1:12" ht="13.5" customHeight="1" x14ac:dyDescent="0.2">
      <c r="A145" s="19">
        <v>43279</v>
      </c>
      <c r="B145" s="20"/>
      <c r="C145" s="34" t="s">
        <v>7808</v>
      </c>
      <c r="D145" s="11"/>
      <c r="E145" s="12"/>
      <c r="F145" s="22"/>
      <c r="G145" s="23"/>
      <c r="H145" s="24"/>
      <c r="I145" s="25">
        <v>1200</v>
      </c>
      <c r="J145" s="26"/>
      <c r="K145" s="72">
        <v>7467.76</v>
      </c>
      <c r="L145" s="43">
        <v>3564.1199999999972</v>
      </c>
    </row>
    <row r="146" spans="1:12" ht="13.5" customHeight="1" x14ac:dyDescent="0.2">
      <c r="A146" s="19"/>
      <c r="B146" s="20"/>
      <c r="C146" s="34" t="s">
        <v>36</v>
      </c>
      <c r="D146" s="11"/>
      <c r="E146" s="12"/>
      <c r="F146" s="22"/>
      <c r="G146" s="23"/>
      <c r="H146" s="24">
        <v>280</v>
      </c>
      <c r="I146" s="25"/>
      <c r="J146" s="26"/>
      <c r="K146" s="72">
        <v>7467.76</v>
      </c>
      <c r="L146" s="43">
        <v>3284.1199999999972</v>
      </c>
    </row>
    <row r="147" spans="1:12" ht="13.5" customHeight="1" x14ac:dyDescent="0.2">
      <c r="A147" s="19"/>
      <c r="B147" s="20"/>
      <c r="C147" s="34" t="s">
        <v>7809</v>
      </c>
      <c r="D147" s="11"/>
      <c r="E147" s="12"/>
      <c r="F147" s="22"/>
      <c r="G147" s="23"/>
      <c r="H147" s="24">
        <v>4.75</v>
      </c>
      <c r="I147" s="25"/>
      <c r="J147" s="26"/>
      <c r="K147" s="72">
        <v>7467.76</v>
      </c>
      <c r="L147" s="43">
        <v>3279.3699999999972</v>
      </c>
    </row>
    <row r="148" spans="1:12" ht="13.5" customHeight="1" x14ac:dyDescent="0.2">
      <c r="A148" s="19"/>
      <c r="B148" s="20"/>
      <c r="C148" s="34" t="s">
        <v>7810</v>
      </c>
      <c r="D148" s="11"/>
      <c r="E148" s="12"/>
      <c r="F148" s="22"/>
      <c r="G148" s="23"/>
      <c r="H148" s="24">
        <v>10</v>
      </c>
      <c r="I148" s="25"/>
      <c r="J148" s="26"/>
      <c r="K148" s="72">
        <v>7467.76</v>
      </c>
      <c r="L148" s="43">
        <v>3269.3699999999972</v>
      </c>
    </row>
    <row r="149" spans="1:12" ht="13.5" customHeight="1" x14ac:dyDescent="0.2">
      <c r="A149" s="19"/>
      <c r="B149" s="20"/>
      <c r="C149" s="34" t="s">
        <v>7811</v>
      </c>
      <c r="D149" s="11"/>
      <c r="E149" s="12"/>
      <c r="F149" s="22"/>
      <c r="G149" s="23"/>
      <c r="H149" s="24">
        <v>28.4</v>
      </c>
      <c r="I149" s="25"/>
      <c r="J149" s="26"/>
      <c r="K149" s="72">
        <v>7467.76</v>
      </c>
      <c r="L149" s="43">
        <v>3240.9699999999971</v>
      </c>
    </row>
    <row r="150" spans="1:12" ht="13.5" customHeight="1" x14ac:dyDescent="0.2">
      <c r="A150" s="19"/>
      <c r="B150" s="20"/>
      <c r="C150" s="34" t="s">
        <v>1115</v>
      </c>
      <c r="D150" s="11"/>
      <c r="E150" s="12"/>
      <c r="F150" s="22"/>
      <c r="G150" s="23"/>
      <c r="H150" s="24">
        <v>16.36</v>
      </c>
      <c r="I150" s="25"/>
      <c r="J150" s="26"/>
      <c r="K150" s="72">
        <v>7467.76</v>
      </c>
      <c r="L150" s="43">
        <v>3224.6099999999969</v>
      </c>
    </row>
    <row r="151" spans="1:12" ht="13.5" customHeight="1" x14ac:dyDescent="0.2">
      <c r="A151" s="19"/>
      <c r="B151" s="20"/>
      <c r="C151" s="34" t="s">
        <v>7812</v>
      </c>
      <c r="D151" s="11"/>
      <c r="E151" s="12"/>
      <c r="F151" s="22"/>
      <c r="G151" s="23"/>
      <c r="H151" s="24">
        <v>18.940000000000001</v>
      </c>
      <c r="I151" s="25"/>
      <c r="J151" s="26"/>
      <c r="K151" s="72">
        <v>7467.76</v>
      </c>
      <c r="L151" s="43">
        <v>3205.6699999999969</v>
      </c>
    </row>
    <row r="152" spans="1:12" ht="13.5" customHeight="1" x14ac:dyDescent="0.2">
      <c r="A152" s="19"/>
      <c r="B152" s="20"/>
      <c r="C152" s="34" t="s">
        <v>7813</v>
      </c>
      <c r="D152" s="11"/>
      <c r="E152" s="12"/>
      <c r="F152" s="22"/>
      <c r="G152" s="23"/>
      <c r="H152" s="24">
        <v>75</v>
      </c>
      <c r="I152" s="25"/>
      <c r="J152" s="26"/>
      <c r="K152" s="72">
        <v>7467.76</v>
      </c>
      <c r="L152" s="43">
        <v>3130.6699999999969</v>
      </c>
    </row>
    <row r="153" spans="1:12" ht="13.5" customHeight="1" x14ac:dyDescent="0.2">
      <c r="A153" s="19"/>
      <c r="B153" s="20"/>
      <c r="C153" s="34" t="s">
        <v>7814</v>
      </c>
      <c r="D153" s="11"/>
      <c r="E153" s="12"/>
      <c r="F153" s="22"/>
      <c r="G153" s="23"/>
      <c r="H153" s="24">
        <v>75</v>
      </c>
      <c r="I153" s="25"/>
      <c r="J153" s="26"/>
      <c r="K153" s="72">
        <v>7467.76</v>
      </c>
      <c r="L153" s="43">
        <v>3055.6699999999969</v>
      </c>
    </row>
    <row r="154" spans="1:12" ht="13.5" customHeight="1" x14ac:dyDescent="0.2">
      <c r="A154" s="19"/>
      <c r="B154" s="20"/>
      <c r="C154" s="34" t="s">
        <v>7815</v>
      </c>
      <c r="D154" s="11"/>
      <c r="E154" s="12"/>
      <c r="F154" s="22"/>
      <c r="G154" s="23"/>
      <c r="H154" s="24">
        <v>75</v>
      </c>
      <c r="I154" s="25"/>
      <c r="J154" s="26"/>
      <c r="K154" s="72">
        <v>7467.76</v>
      </c>
      <c r="L154" s="43">
        <v>2980.6699999999969</v>
      </c>
    </row>
    <row r="155" spans="1:12" ht="13.5" customHeight="1" x14ac:dyDescent="0.2">
      <c r="A155" s="19"/>
      <c r="B155" s="20"/>
      <c r="C155" s="34" t="s">
        <v>7816</v>
      </c>
      <c r="D155" s="11"/>
      <c r="E155" s="12"/>
      <c r="F155" s="22"/>
      <c r="G155" s="23"/>
      <c r="H155" s="24">
        <v>75</v>
      </c>
      <c r="I155" s="25"/>
      <c r="J155" s="26"/>
      <c r="K155" s="72"/>
      <c r="L155" s="43">
        <v>2905.6699999999969</v>
      </c>
    </row>
    <row r="156" spans="1:12" ht="13.5" customHeight="1" x14ac:dyDescent="0.2">
      <c r="A156" s="19"/>
      <c r="B156" s="20"/>
      <c r="C156" s="34" t="s">
        <v>895</v>
      </c>
      <c r="D156" s="11"/>
      <c r="E156" s="12"/>
      <c r="F156" s="22"/>
      <c r="G156" s="23"/>
      <c r="H156" s="24"/>
      <c r="I156" s="25">
        <v>40</v>
      </c>
      <c r="J156" s="26"/>
      <c r="K156" s="72"/>
      <c r="L156" s="43">
        <v>2945.6699999999969</v>
      </c>
    </row>
    <row r="157" spans="1:12" ht="13.5" customHeight="1" x14ac:dyDescent="0.2">
      <c r="A157" s="19"/>
      <c r="B157" s="20"/>
      <c r="C157" s="34" t="s">
        <v>862</v>
      </c>
      <c r="D157" s="11"/>
      <c r="E157" s="12"/>
      <c r="F157" s="22"/>
      <c r="G157" s="23"/>
      <c r="H157" s="24">
        <v>50</v>
      </c>
      <c r="I157" s="25"/>
      <c r="J157" s="26">
        <v>2895.6699999999969</v>
      </c>
      <c r="K157" s="72"/>
      <c r="L157" s="43">
        <v>2895.6699999999969</v>
      </c>
    </row>
    <row r="158" spans="1:12" ht="13.5" customHeight="1" x14ac:dyDescent="0.2">
      <c r="A158" s="19">
        <v>43280</v>
      </c>
      <c r="B158" s="20"/>
      <c r="C158" s="34" t="s">
        <v>7817</v>
      </c>
      <c r="D158" s="11"/>
      <c r="E158" s="12"/>
      <c r="F158" s="22"/>
      <c r="G158" s="23"/>
      <c r="H158" s="24">
        <v>70</v>
      </c>
      <c r="I158" s="25"/>
      <c r="J158" s="26"/>
      <c r="K158" s="72"/>
      <c r="L158" s="43">
        <v>2825.6699999999969</v>
      </c>
    </row>
    <row r="159" spans="1:12" ht="13.5" customHeight="1" x14ac:dyDescent="0.2">
      <c r="A159" s="19"/>
      <c r="B159" s="20"/>
      <c r="C159" s="34" t="s">
        <v>7818</v>
      </c>
      <c r="D159" s="11"/>
      <c r="E159" s="12"/>
      <c r="F159" s="22"/>
      <c r="G159" s="23"/>
      <c r="H159" s="24">
        <v>70</v>
      </c>
      <c r="I159" s="25"/>
      <c r="J159" s="177">
        <v>2755.6699999999969</v>
      </c>
      <c r="K159" s="72"/>
      <c r="L159" s="43">
        <v>2755.6699999999969</v>
      </c>
    </row>
    <row r="160" spans="1:12" ht="13.5" customHeight="1" thickBot="1" x14ac:dyDescent="0.25">
      <c r="A160" s="47"/>
      <c r="B160" s="48"/>
      <c r="C160" s="49"/>
      <c r="D160" s="50"/>
      <c r="E160" s="51"/>
      <c r="F160" s="52"/>
      <c r="G160" s="53"/>
      <c r="H160" s="54"/>
      <c r="I160" s="55"/>
      <c r="J160" s="52"/>
      <c r="K160" s="72"/>
      <c r="L160" s="12"/>
    </row>
    <row r="161" spans="1:12" ht="13.5" customHeight="1" thickBot="1" x14ac:dyDescent="0.25">
      <c r="A161" s="2" t="s">
        <v>2</v>
      </c>
      <c r="B161" s="3"/>
      <c r="C161" s="3" t="s">
        <v>481</v>
      </c>
      <c r="D161" s="3" t="s">
        <v>4</v>
      </c>
      <c r="E161" s="3" t="s">
        <v>5</v>
      </c>
      <c r="F161" s="3" t="s">
        <v>6</v>
      </c>
      <c r="G161" s="5" t="s">
        <v>7</v>
      </c>
      <c r="H161" s="775" t="s">
        <v>482</v>
      </c>
      <c r="I161" s="776"/>
      <c r="J161" s="777"/>
    </row>
    <row r="162" spans="1:12" ht="13.5" customHeight="1" x14ac:dyDescent="0.2">
      <c r="A162" s="8" t="s">
        <v>7819</v>
      </c>
      <c r="B162" s="56"/>
      <c r="C162" s="10" t="s">
        <v>8</v>
      </c>
      <c r="D162" s="11">
        <v>0</v>
      </c>
      <c r="E162" s="51"/>
      <c r="F162" s="12"/>
      <c r="G162" s="178">
        <v>0</v>
      </c>
      <c r="H162" s="179"/>
      <c r="I162" s="57"/>
      <c r="J162" s="58">
        <v>11132.4</v>
      </c>
      <c r="K162" s="18">
        <v>0</v>
      </c>
      <c r="L162" s="51"/>
    </row>
    <row r="163" spans="1:12" ht="13.5" customHeight="1" x14ac:dyDescent="0.2">
      <c r="A163" s="180" t="s">
        <v>7820</v>
      </c>
      <c r="B163" s="36" t="s">
        <v>483</v>
      </c>
      <c r="C163" s="41" t="s">
        <v>7821</v>
      </c>
      <c r="D163" s="42" t="s">
        <v>7822</v>
      </c>
      <c r="E163" s="196">
        <v>-260</v>
      </c>
      <c r="F163" s="12"/>
      <c r="G163" s="178"/>
      <c r="H163" s="179"/>
      <c r="I163" s="57"/>
      <c r="J163" s="61">
        <v>11132.4</v>
      </c>
      <c r="K163" s="18">
        <v>-260</v>
      </c>
      <c r="L163" s="51"/>
    </row>
    <row r="164" spans="1:12" ht="13.5" customHeight="1" x14ac:dyDescent="0.2">
      <c r="A164" s="180"/>
      <c r="B164" s="36" t="s">
        <v>483</v>
      </c>
      <c r="C164" s="36" t="s">
        <v>174</v>
      </c>
      <c r="D164" s="42" t="s">
        <v>488</v>
      </c>
      <c r="E164" s="196"/>
      <c r="F164" s="183">
        <v>260</v>
      </c>
      <c r="G164" s="190">
        <v>0</v>
      </c>
      <c r="H164" s="179">
        <v>260</v>
      </c>
      <c r="I164" s="57"/>
      <c r="J164" s="61">
        <v>10872.4</v>
      </c>
      <c r="K164" s="18">
        <v>0</v>
      </c>
      <c r="L164" s="51"/>
    </row>
    <row r="165" spans="1:12" ht="13.5" customHeight="1" x14ac:dyDescent="0.2">
      <c r="A165" s="180">
        <v>43256</v>
      </c>
      <c r="B165" s="56"/>
      <c r="C165" s="36" t="s">
        <v>86</v>
      </c>
      <c r="D165" s="11">
        <v>0</v>
      </c>
      <c r="E165" s="181">
        <v>-10.9</v>
      </c>
      <c r="F165" s="12"/>
      <c r="G165" s="182"/>
      <c r="H165" s="59"/>
      <c r="I165" s="60"/>
      <c r="J165" s="61">
        <v>10872.4</v>
      </c>
      <c r="K165" s="18">
        <v>-10.9</v>
      </c>
      <c r="L165" s="30"/>
    </row>
    <row r="166" spans="1:12" ht="13.5" customHeight="1" x14ac:dyDescent="0.2">
      <c r="A166" s="180"/>
      <c r="B166" s="56"/>
      <c r="C166" s="34" t="s">
        <v>173</v>
      </c>
      <c r="D166" s="11">
        <v>382</v>
      </c>
      <c r="E166" s="181">
        <v>-968.34</v>
      </c>
      <c r="F166" s="12"/>
      <c r="G166" s="182"/>
      <c r="H166" s="59"/>
      <c r="I166" s="60"/>
      <c r="J166" s="61">
        <v>10872.4</v>
      </c>
      <c r="K166" s="18">
        <v>-979.24</v>
      </c>
      <c r="L166" s="30"/>
    </row>
    <row r="167" spans="1:12" ht="13.5" customHeight="1" x14ac:dyDescent="0.2">
      <c r="A167" s="180"/>
      <c r="B167" s="56"/>
      <c r="C167" s="34" t="s">
        <v>172</v>
      </c>
      <c r="D167" s="11">
        <v>383</v>
      </c>
      <c r="E167" s="181">
        <v>-585.91</v>
      </c>
      <c r="F167" s="12"/>
      <c r="G167" s="182"/>
      <c r="H167" s="59"/>
      <c r="I167" s="60"/>
      <c r="J167" s="61">
        <v>10872.4</v>
      </c>
      <c r="K167" s="18">
        <v>-1565.15</v>
      </c>
      <c r="L167" s="30"/>
    </row>
    <row r="168" spans="1:12" ht="13.5" customHeight="1" x14ac:dyDescent="0.2">
      <c r="A168" s="180"/>
      <c r="B168" s="56"/>
      <c r="C168" s="36" t="s">
        <v>171</v>
      </c>
      <c r="D168" s="11">
        <v>385</v>
      </c>
      <c r="E168" s="181">
        <v>-554.20000000000005</v>
      </c>
      <c r="F168" s="12"/>
      <c r="G168" s="182"/>
      <c r="H168" s="59"/>
      <c r="I168" s="60"/>
      <c r="J168" s="61">
        <v>10872.4</v>
      </c>
      <c r="K168" s="18">
        <v>-2119.3500000000004</v>
      </c>
      <c r="L168" s="30"/>
    </row>
    <row r="169" spans="1:12" ht="13.5" customHeight="1" x14ac:dyDescent="0.2">
      <c r="A169" s="180"/>
      <c r="B169" s="56"/>
      <c r="C169" s="36" t="s">
        <v>174</v>
      </c>
      <c r="D169" s="11">
        <v>0</v>
      </c>
      <c r="E169" s="30"/>
      <c r="F169" s="183">
        <v>2119.35</v>
      </c>
      <c r="G169" s="182">
        <v>0</v>
      </c>
      <c r="H169" s="59">
        <v>2119.35</v>
      </c>
      <c r="I169" s="60"/>
      <c r="J169" s="61">
        <v>8753.0499999999993</v>
      </c>
      <c r="K169" s="18">
        <v>0</v>
      </c>
      <c r="L169" s="30"/>
    </row>
    <row r="170" spans="1:12" ht="13.5" customHeight="1" x14ac:dyDescent="0.2">
      <c r="A170" s="180">
        <v>43257</v>
      </c>
      <c r="B170" s="56"/>
      <c r="C170" s="36" t="s">
        <v>180</v>
      </c>
      <c r="D170" s="11">
        <v>0</v>
      </c>
      <c r="E170" s="181">
        <v>-101.01</v>
      </c>
      <c r="F170" s="12"/>
      <c r="G170" s="182"/>
      <c r="H170" s="59"/>
      <c r="I170" s="60"/>
      <c r="J170" s="61">
        <v>8753.0499999999993</v>
      </c>
      <c r="K170" s="18">
        <v>-101.01</v>
      </c>
      <c r="L170" s="30"/>
    </row>
    <row r="171" spans="1:12" ht="13.5" customHeight="1" x14ac:dyDescent="0.2">
      <c r="A171" s="180"/>
      <c r="B171" s="56"/>
      <c r="C171" s="36" t="s">
        <v>174</v>
      </c>
      <c r="D171" s="11">
        <v>0</v>
      </c>
      <c r="E171" s="30"/>
      <c r="F171" s="183">
        <v>101.01</v>
      </c>
      <c r="G171" s="182">
        <v>0</v>
      </c>
      <c r="H171" s="59">
        <v>101.01</v>
      </c>
      <c r="I171" s="60"/>
      <c r="J171" s="61">
        <v>8652.0399999999991</v>
      </c>
      <c r="K171" s="18">
        <v>0</v>
      </c>
      <c r="L171" s="30"/>
    </row>
    <row r="172" spans="1:12" ht="13.5" customHeight="1" x14ac:dyDescent="0.2">
      <c r="A172" s="180">
        <v>43258</v>
      </c>
      <c r="B172" s="56"/>
      <c r="C172" s="36" t="s">
        <v>177</v>
      </c>
      <c r="D172" s="11">
        <v>391000</v>
      </c>
      <c r="E172" s="181">
        <v>-314.93</v>
      </c>
      <c r="F172" s="12"/>
      <c r="G172" s="182"/>
      <c r="H172" s="59"/>
      <c r="I172" s="60"/>
      <c r="J172" s="61">
        <v>8652.0399999999991</v>
      </c>
      <c r="K172" s="18">
        <v>-314.93</v>
      </c>
      <c r="L172" s="30"/>
    </row>
    <row r="173" spans="1:12" ht="13.5" customHeight="1" x14ac:dyDescent="0.2">
      <c r="A173" s="180"/>
      <c r="B173" s="56"/>
      <c r="C173" s="36" t="s">
        <v>174</v>
      </c>
      <c r="D173" s="11">
        <v>0</v>
      </c>
      <c r="E173" s="30"/>
      <c r="F173" s="183">
        <v>314.93</v>
      </c>
      <c r="G173" s="182">
        <v>0</v>
      </c>
      <c r="H173" s="59">
        <v>314.93</v>
      </c>
      <c r="I173" s="60"/>
      <c r="J173" s="61">
        <v>8337.1099999999988</v>
      </c>
      <c r="K173" s="18">
        <v>0</v>
      </c>
      <c r="L173" s="30"/>
    </row>
    <row r="174" spans="1:12" ht="13.5" customHeight="1" x14ac:dyDescent="0.2">
      <c r="A174" s="180" t="s">
        <v>7823</v>
      </c>
      <c r="B174" s="56" t="s">
        <v>483</v>
      </c>
      <c r="C174" s="36" t="s">
        <v>7824</v>
      </c>
      <c r="D174" s="11" t="s">
        <v>7825</v>
      </c>
      <c r="E174" s="181">
        <v>-192</v>
      </c>
      <c r="F174" s="12"/>
      <c r="G174" s="182" t="s">
        <v>483</v>
      </c>
      <c r="H174" s="59"/>
      <c r="I174" s="60"/>
      <c r="J174" s="61">
        <v>8337.1099999999988</v>
      </c>
      <c r="K174" s="18">
        <v>-192</v>
      </c>
      <c r="L174" s="30"/>
    </row>
    <row r="175" spans="1:12" ht="13.5" customHeight="1" x14ac:dyDescent="0.2">
      <c r="A175" s="180"/>
      <c r="B175" s="56" t="s">
        <v>483</v>
      </c>
      <c r="C175" s="36" t="s">
        <v>174</v>
      </c>
      <c r="D175" s="11" t="s">
        <v>488</v>
      </c>
      <c r="E175" s="30"/>
      <c r="F175" s="183">
        <v>192</v>
      </c>
      <c r="G175" s="182">
        <v>0</v>
      </c>
      <c r="H175" s="59">
        <v>192</v>
      </c>
      <c r="I175" s="60"/>
      <c r="J175" s="61">
        <v>8145.1099999999988</v>
      </c>
      <c r="K175" s="18">
        <v>0</v>
      </c>
      <c r="L175" s="30"/>
    </row>
    <row r="176" spans="1:12" ht="13.5" customHeight="1" x14ac:dyDescent="0.2">
      <c r="A176" s="180" t="s">
        <v>7826</v>
      </c>
      <c r="B176" s="56" t="s">
        <v>483</v>
      </c>
      <c r="C176" s="34" t="s">
        <v>7827</v>
      </c>
      <c r="D176" s="11" t="s">
        <v>3598</v>
      </c>
      <c r="E176" s="181">
        <v>-321.13</v>
      </c>
      <c r="F176" s="12"/>
      <c r="G176" s="182" t="s">
        <v>483</v>
      </c>
      <c r="H176" s="59"/>
      <c r="I176" s="60"/>
      <c r="J176" s="61">
        <v>8145.1099999999988</v>
      </c>
      <c r="K176" s="18">
        <v>-321.13</v>
      </c>
      <c r="L176" s="30"/>
    </row>
    <row r="177" spans="1:12" ht="13.5" customHeight="1" x14ac:dyDescent="0.2">
      <c r="A177" s="180"/>
      <c r="B177" s="56" t="s">
        <v>483</v>
      </c>
      <c r="C177" s="36" t="s">
        <v>7828</v>
      </c>
      <c r="D177" s="11" t="s">
        <v>7829</v>
      </c>
      <c r="E177" s="181">
        <v>-110</v>
      </c>
      <c r="F177" s="12"/>
      <c r="G177" s="182" t="s">
        <v>483</v>
      </c>
      <c r="H177" s="59"/>
      <c r="I177" s="60"/>
      <c r="J177" s="61">
        <v>8145.1099999999988</v>
      </c>
      <c r="K177" s="18">
        <v>-431.13</v>
      </c>
      <c r="L177" s="30"/>
    </row>
    <row r="178" spans="1:12" ht="13.5" customHeight="1" x14ac:dyDescent="0.2">
      <c r="A178" s="180"/>
      <c r="B178" s="56" t="s">
        <v>483</v>
      </c>
      <c r="C178" s="36" t="s">
        <v>7830</v>
      </c>
      <c r="D178" s="11" t="s">
        <v>7831</v>
      </c>
      <c r="E178" s="181">
        <v>-405.68</v>
      </c>
      <c r="F178" s="12"/>
      <c r="G178" s="182" t="s">
        <v>483</v>
      </c>
      <c r="H178" s="59"/>
      <c r="I178" s="60"/>
      <c r="J178" s="61">
        <v>8145.1099999999988</v>
      </c>
      <c r="K178" s="18">
        <v>-836.81</v>
      </c>
      <c r="L178" s="30"/>
    </row>
    <row r="179" spans="1:12" ht="13.5" customHeight="1" x14ac:dyDescent="0.2">
      <c r="A179" s="180"/>
      <c r="B179" s="56" t="s">
        <v>483</v>
      </c>
      <c r="C179" s="36" t="s">
        <v>7832</v>
      </c>
      <c r="D179" s="11" t="s">
        <v>7833</v>
      </c>
      <c r="E179" s="181">
        <v>-405.68</v>
      </c>
      <c r="F179" s="12"/>
      <c r="G179" s="182" t="s">
        <v>483</v>
      </c>
      <c r="H179" s="59"/>
      <c r="I179" s="60"/>
      <c r="J179" s="61">
        <v>8145.1099999999988</v>
      </c>
      <c r="K179" s="18">
        <v>-1242.49</v>
      </c>
      <c r="L179" s="30"/>
    </row>
    <row r="180" spans="1:12" ht="13.5" customHeight="1" x14ac:dyDescent="0.2">
      <c r="A180" s="180"/>
      <c r="B180" s="56" t="s">
        <v>483</v>
      </c>
      <c r="C180" s="36" t="s">
        <v>174</v>
      </c>
      <c r="D180" s="11" t="s">
        <v>488</v>
      </c>
      <c r="E180" s="30"/>
      <c r="F180" s="183">
        <v>1242.49</v>
      </c>
      <c r="G180" s="182">
        <v>0</v>
      </c>
      <c r="H180" s="59">
        <v>1242.49</v>
      </c>
      <c r="I180" s="60"/>
      <c r="J180" s="61">
        <v>6902.619999999999</v>
      </c>
      <c r="K180" s="18">
        <v>0</v>
      </c>
      <c r="L180" s="30"/>
    </row>
    <row r="181" spans="1:12" ht="13.5" customHeight="1" x14ac:dyDescent="0.2">
      <c r="A181" s="180" t="s">
        <v>7834</v>
      </c>
      <c r="B181" s="56" t="s">
        <v>483</v>
      </c>
      <c r="C181" s="36" t="s">
        <v>394</v>
      </c>
      <c r="D181" s="11" t="s">
        <v>6654</v>
      </c>
      <c r="E181" s="181">
        <v>-1629</v>
      </c>
      <c r="F181" s="12"/>
      <c r="G181" s="182"/>
      <c r="H181" s="59"/>
      <c r="I181" s="60"/>
      <c r="J181" s="61">
        <v>6902.619999999999</v>
      </c>
      <c r="K181" s="18">
        <v>-1629</v>
      </c>
      <c r="L181" s="30"/>
    </row>
    <row r="182" spans="1:12" ht="13.5" customHeight="1" x14ac:dyDescent="0.2">
      <c r="A182" s="180"/>
      <c r="B182" s="56" t="s">
        <v>483</v>
      </c>
      <c r="C182" s="36" t="s">
        <v>174</v>
      </c>
      <c r="D182" s="11" t="s">
        <v>488</v>
      </c>
      <c r="E182" s="30"/>
      <c r="F182" s="183">
        <v>1629</v>
      </c>
      <c r="G182" s="182">
        <v>0</v>
      </c>
      <c r="H182" s="59">
        <v>1629</v>
      </c>
      <c r="I182" s="60"/>
      <c r="J182" s="61">
        <v>5273.619999999999</v>
      </c>
      <c r="K182" s="18">
        <v>0</v>
      </c>
      <c r="L182" s="30"/>
    </row>
    <row r="183" spans="1:12" ht="13.5" customHeight="1" x14ac:dyDescent="0.2">
      <c r="A183" s="180" t="s">
        <v>7835</v>
      </c>
      <c r="B183" s="56" t="s">
        <v>483</v>
      </c>
      <c r="C183" s="36" t="s">
        <v>86</v>
      </c>
      <c r="D183" s="11" t="s">
        <v>488</v>
      </c>
      <c r="E183" s="181">
        <v>-78</v>
      </c>
      <c r="F183" s="12"/>
      <c r="G183" s="182" t="s">
        <v>483</v>
      </c>
      <c r="H183" s="59"/>
      <c r="I183" s="60"/>
      <c r="J183" s="61">
        <v>5273.619999999999</v>
      </c>
      <c r="K183" s="18">
        <v>-78</v>
      </c>
      <c r="L183" s="30"/>
    </row>
    <row r="184" spans="1:12" ht="13.5" customHeight="1" x14ac:dyDescent="0.2">
      <c r="A184" s="180"/>
      <c r="B184" s="56" t="s">
        <v>483</v>
      </c>
      <c r="C184" s="34" t="s">
        <v>194</v>
      </c>
      <c r="D184" s="11" t="s">
        <v>488</v>
      </c>
      <c r="E184" s="181">
        <v>-84.37</v>
      </c>
      <c r="F184" s="12"/>
      <c r="G184" s="182" t="s">
        <v>483</v>
      </c>
      <c r="H184" s="59"/>
      <c r="I184" s="60"/>
      <c r="J184" s="61">
        <v>5273.619999999999</v>
      </c>
      <c r="K184" s="18">
        <v>-162.37</v>
      </c>
      <c r="L184" s="30"/>
    </row>
    <row r="185" spans="1:12" ht="13.5" customHeight="1" x14ac:dyDescent="0.2">
      <c r="A185" s="180"/>
      <c r="B185" s="56" t="s">
        <v>483</v>
      </c>
      <c r="C185" s="36" t="s">
        <v>195</v>
      </c>
      <c r="D185" s="11" t="s">
        <v>488</v>
      </c>
      <c r="E185" s="181">
        <v>-389.42</v>
      </c>
      <c r="F185" s="12"/>
      <c r="G185" s="182"/>
      <c r="H185" s="59"/>
      <c r="I185" s="60"/>
      <c r="J185" s="61">
        <v>5273.619999999999</v>
      </c>
      <c r="K185" s="18">
        <v>-551.79</v>
      </c>
      <c r="L185" s="30"/>
    </row>
    <row r="186" spans="1:12" ht="13.5" customHeight="1" x14ac:dyDescent="0.2">
      <c r="A186" s="180"/>
      <c r="B186" s="56" t="s">
        <v>483</v>
      </c>
      <c r="C186" s="36" t="s">
        <v>174</v>
      </c>
      <c r="D186" s="11" t="s">
        <v>488</v>
      </c>
      <c r="E186" s="30"/>
      <c r="F186" s="183">
        <v>551.79</v>
      </c>
      <c r="G186" s="182">
        <v>0</v>
      </c>
      <c r="H186" s="59">
        <v>551.79</v>
      </c>
      <c r="I186" s="60"/>
      <c r="J186" s="61">
        <v>4721.829999999999</v>
      </c>
      <c r="K186" s="18">
        <v>0</v>
      </c>
      <c r="L186" s="30"/>
    </row>
    <row r="187" spans="1:12" ht="13.5" customHeight="1" x14ac:dyDescent="0.2">
      <c r="A187" s="180" t="s">
        <v>7836</v>
      </c>
      <c r="B187" s="56" t="s">
        <v>483</v>
      </c>
      <c r="C187" s="32" t="s">
        <v>199</v>
      </c>
      <c r="D187" s="11" t="s">
        <v>488</v>
      </c>
      <c r="E187" s="181">
        <v>-135.16999999999999</v>
      </c>
      <c r="F187" s="12"/>
      <c r="G187" s="182" t="s">
        <v>483</v>
      </c>
      <c r="H187" s="59"/>
      <c r="I187" s="60"/>
      <c r="J187" s="61">
        <v>4721.829999999999</v>
      </c>
      <c r="K187" s="18">
        <v>-135.16999999999999</v>
      </c>
      <c r="L187" s="30"/>
    </row>
    <row r="188" spans="1:12" ht="13.5" customHeight="1" x14ac:dyDescent="0.2">
      <c r="A188" s="180"/>
      <c r="B188" s="56" t="s">
        <v>483</v>
      </c>
      <c r="C188" s="34" t="s">
        <v>471</v>
      </c>
      <c r="D188" s="11" t="s">
        <v>7837</v>
      </c>
      <c r="E188" s="181"/>
      <c r="F188" s="168">
        <v>658</v>
      </c>
      <c r="G188" s="182" t="s">
        <v>483</v>
      </c>
      <c r="H188" s="59"/>
      <c r="I188" s="60"/>
      <c r="J188" s="61">
        <v>4721.829999999999</v>
      </c>
      <c r="K188" s="18">
        <v>522.83000000000004</v>
      </c>
      <c r="L188" s="30"/>
    </row>
    <row r="189" spans="1:12" ht="13.5" customHeight="1" x14ac:dyDescent="0.2">
      <c r="A189" s="180"/>
      <c r="B189" s="56" t="s">
        <v>483</v>
      </c>
      <c r="C189" s="34" t="s">
        <v>471</v>
      </c>
      <c r="D189" s="11" t="s">
        <v>7838</v>
      </c>
      <c r="E189" s="181"/>
      <c r="F189" s="168">
        <v>1500</v>
      </c>
      <c r="G189" s="182" t="s">
        <v>483</v>
      </c>
      <c r="H189" s="59"/>
      <c r="I189" s="60"/>
      <c r="J189" s="61">
        <v>4721.829999999999</v>
      </c>
      <c r="K189" s="18">
        <v>2022.83</v>
      </c>
      <c r="L189" s="30"/>
    </row>
    <row r="190" spans="1:12" ht="13.5" customHeight="1" x14ac:dyDescent="0.2">
      <c r="A190" s="180"/>
      <c r="B190" s="56" t="s">
        <v>483</v>
      </c>
      <c r="C190" s="34" t="s">
        <v>471</v>
      </c>
      <c r="D190" s="11" t="s">
        <v>7839</v>
      </c>
      <c r="E190" s="181"/>
      <c r="F190" s="168">
        <v>3000</v>
      </c>
      <c r="G190" s="182" t="s">
        <v>483</v>
      </c>
      <c r="H190" s="59"/>
      <c r="I190" s="60"/>
      <c r="J190" s="61">
        <v>4721.829999999999</v>
      </c>
      <c r="K190" s="18">
        <v>5022.83</v>
      </c>
      <c r="L190" s="30"/>
    </row>
    <row r="191" spans="1:12" ht="13.5" customHeight="1" x14ac:dyDescent="0.2">
      <c r="A191" s="180"/>
      <c r="B191" s="56" t="s">
        <v>591</v>
      </c>
      <c r="C191" s="34" t="s">
        <v>471</v>
      </c>
      <c r="D191" s="11" t="s">
        <v>7840</v>
      </c>
      <c r="E191" s="181"/>
      <c r="F191" s="168">
        <v>3320</v>
      </c>
      <c r="G191" s="182"/>
      <c r="H191" s="59"/>
      <c r="I191" s="60"/>
      <c r="J191" s="61">
        <v>4721.829999999999</v>
      </c>
      <c r="K191" s="18">
        <v>8342.83</v>
      </c>
      <c r="L191" s="30"/>
    </row>
    <row r="192" spans="1:12" ht="13.5" customHeight="1" x14ac:dyDescent="0.2">
      <c r="A192" s="180"/>
      <c r="B192" s="56"/>
      <c r="C192" s="36" t="s">
        <v>189</v>
      </c>
      <c r="D192" s="11">
        <v>0</v>
      </c>
      <c r="E192" s="181">
        <v>-5022.83</v>
      </c>
      <c r="F192" s="12"/>
      <c r="G192" s="182">
        <v>3320</v>
      </c>
      <c r="H192" s="59"/>
      <c r="I192" s="60">
        <v>5022.83</v>
      </c>
      <c r="J192" s="61">
        <v>9744.66</v>
      </c>
      <c r="K192" s="18">
        <v>3320</v>
      </c>
      <c r="L192" s="30"/>
    </row>
    <row r="193" spans="1:15" ht="13.5" customHeight="1" x14ac:dyDescent="0.2">
      <c r="A193" s="180" t="s">
        <v>7841</v>
      </c>
      <c r="B193" s="56" t="s">
        <v>483</v>
      </c>
      <c r="C193" s="36" t="s">
        <v>7842</v>
      </c>
      <c r="D193" s="11" t="s">
        <v>488</v>
      </c>
      <c r="E193" s="30"/>
      <c r="F193" s="183">
        <v>4731.47</v>
      </c>
      <c r="G193" s="182">
        <v>8051.47</v>
      </c>
      <c r="H193" s="59"/>
      <c r="I193" s="60"/>
      <c r="J193" s="61">
        <v>9744.66</v>
      </c>
      <c r="K193" s="18">
        <v>8051.47</v>
      </c>
      <c r="L193" s="30"/>
    </row>
    <row r="194" spans="1:15" ht="13.5" customHeight="1" x14ac:dyDescent="0.2">
      <c r="A194" s="180"/>
      <c r="B194" s="56" t="s">
        <v>483</v>
      </c>
      <c r="C194" s="36" t="s">
        <v>1737</v>
      </c>
      <c r="D194" s="11" t="s">
        <v>7843</v>
      </c>
      <c r="E194" s="181">
        <v>-3320</v>
      </c>
      <c r="F194" s="12" t="s">
        <v>483</v>
      </c>
      <c r="G194" s="182"/>
      <c r="H194" s="59"/>
      <c r="I194" s="60"/>
      <c r="J194" s="61">
        <v>9744.66</v>
      </c>
      <c r="K194" s="18">
        <v>4731.47</v>
      </c>
      <c r="L194" s="30"/>
    </row>
    <row r="195" spans="1:15" ht="13.5" customHeight="1" x14ac:dyDescent="0.2">
      <c r="A195" s="180"/>
      <c r="B195" s="56" t="s">
        <v>483</v>
      </c>
      <c r="C195" s="36" t="s">
        <v>189</v>
      </c>
      <c r="D195" s="11" t="s">
        <v>488</v>
      </c>
      <c r="E195" s="181">
        <v>-4731.47</v>
      </c>
      <c r="F195" s="12"/>
      <c r="G195" s="182">
        <v>0</v>
      </c>
      <c r="H195" s="59"/>
      <c r="I195" s="60">
        <v>4731.47</v>
      </c>
      <c r="J195" s="61">
        <v>14476.130000000001</v>
      </c>
      <c r="K195" s="18">
        <v>0</v>
      </c>
      <c r="L195" s="30"/>
    </row>
    <row r="196" spans="1:15" ht="13.5" customHeight="1" x14ac:dyDescent="0.2">
      <c r="A196" s="180" t="s">
        <v>7844</v>
      </c>
      <c r="B196" s="56" t="s">
        <v>483</v>
      </c>
      <c r="C196" s="36" t="s">
        <v>86</v>
      </c>
      <c r="D196" s="11" t="s">
        <v>488</v>
      </c>
      <c r="E196" s="181">
        <v>-11.9</v>
      </c>
      <c r="F196" s="12" t="s">
        <v>483</v>
      </c>
      <c r="G196" s="182"/>
      <c r="H196" s="59"/>
      <c r="I196" s="60"/>
      <c r="J196" s="61">
        <v>14476.130000000001</v>
      </c>
      <c r="K196" s="18">
        <v>-11.9</v>
      </c>
      <c r="L196" s="30"/>
    </row>
    <row r="197" spans="1:15" ht="13.5" customHeight="1" x14ac:dyDescent="0.2">
      <c r="A197" s="180"/>
      <c r="B197" s="56" t="s">
        <v>483</v>
      </c>
      <c r="C197" s="36" t="s">
        <v>174</v>
      </c>
      <c r="D197" s="11" t="s">
        <v>488</v>
      </c>
      <c r="E197" s="30"/>
      <c r="F197" s="183">
        <v>11.9</v>
      </c>
      <c r="G197" s="182">
        <v>0</v>
      </c>
      <c r="H197" s="59">
        <v>11.9</v>
      </c>
      <c r="I197" s="60"/>
      <c r="J197" s="61">
        <v>14464.230000000001</v>
      </c>
      <c r="K197" s="18">
        <v>0</v>
      </c>
      <c r="L197" s="30"/>
    </row>
    <row r="198" spans="1:15" ht="13.5" customHeight="1" x14ac:dyDescent="0.2">
      <c r="A198" s="180" t="s">
        <v>7845</v>
      </c>
      <c r="B198" s="56" t="s">
        <v>483</v>
      </c>
      <c r="C198" s="36" t="s">
        <v>7846</v>
      </c>
      <c r="D198" s="11" t="s">
        <v>488</v>
      </c>
      <c r="E198" s="181">
        <v>-75.89</v>
      </c>
      <c r="F198" s="12"/>
      <c r="G198" s="182" t="s">
        <v>483</v>
      </c>
      <c r="H198" s="59"/>
      <c r="I198" s="60"/>
      <c r="J198" s="61">
        <v>14464.230000000001</v>
      </c>
      <c r="K198" s="18">
        <v>-75.89</v>
      </c>
      <c r="L198" s="30"/>
    </row>
    <row r="199" spans="1:15" ht="13.5" customHeight="1" x14ac:dyDescent="0.2">
      <c r="A199" s="180"/>
      <c r="B199" s="56" t="s">
        <v>483</v>
      </c>
      <c r="C199" s="41" t="s">
        <v>7847</v>
      </c>
      <c r="D199" s="11" t="s">
        <v>488</v>
      </c>
      <c r="E199" s="30">
        <v>-494.26</v>
      </c>
      <c r="F199" s="12"/>
      <c r="G199" s="182" t="s">
        <v>483</v>
      </c>
      <c r="H199" s="59"/>
      <c r="I199" s="60"/>
      <c r="J199" s="61">
        <v>14464.230000000001</v>
      </c>
      <c r="K199" s="18">
        <v>-570.15</v>
      </c>
      <c r="L199" s="30"/>
    </row>
    <row r="200" spans="1:15" ht="13.5" customHeight="1" x14ac:dyDescent="0.2">
      <c r="A200" s="180"/>
      <c r="B200" s="56" t="s">
        <v>483</v>
      </c>
      <c r="C200" s="36" t="s">
        <v>7848</v>
      </c>
      <c r="D200" s="11" t="s">
        <v>488</v>
      </c>
      <c r="E200" s="181">
        <v>-972.21</v>
      </c>
      <c r="F200" s="12"/>
      <c r="G200" s="182" t="s">
        <v>483</v>
      </c>
      <c r="H200" s="59"/>
      <c r="I200" s="60"/>
      <c r="J200" s="61">
        <v>14464.230000000001</v>
      </c>
      <c r="K200" s="18">
        <v>-1542.3600000000001</v>
      </c>
      <c r="L200" s="30"/>
    </row>
    <row r="201" spans="1:15" ht="13.5" customHeight="1" x14ac:dyDescent="0.2">
      <c r="A201" s="180"/>
      <c r="B201" s="56" t="s">
        <v>483</v>
      </c>
      <c r="C201" s="36" t="s">
        <v>7849</v>
      </c>
      <c r="D201" s="11" t="s">
        <v>488</v>
      </c>
      <c r="E201" s="181">
        <v>-219</v>
      </c>
      <c r="F201" s="12"/>
      <c r="G201" s="182" t="s">
        <v>483</v>
      </c>
      <c r="H201" s="59"/>
      <c r="I201" s="60"/>
      <c r="J201" s="61">
        <v>14464.230000000001</v>
      </c>
      <c r="K201" s="18">
        <v>-1761.3600000000001</v>
      </c>
      <c r="L201" s="30"/>
    </row>
    <row r="202" spans="1:15" ht="13.5" customHeight="1" x14ac:dyDescent="0.2">
      <c r="A202" s="180"/>
      <c r="B202" s="56" t="s">
        <v>483</v>
      </c>
      <c r="C202" s="36" t="s">
        <v>174</v>
      </c>
      <c r="D202" s="11" t="s">
        <v>488</v>
      </c>
      <c r="E202" s="30"/>
      <c r="F202" s="183">
        <v>1761.36</v>
      </c>
      <c r="G202" s="613">
        <v>0</v>
      </c>
      <c r="H202" s="59">
        <v>1761.36</v>
      </c>
      <c r="I202" s="60"/>
      <c r="J202" s="61">
        <v>12702.87</v>
      </c>
      <c r="K202" s="18">
        <v>0</v>
      </c>
      <c r="L202" s="30"/>
    </row>
    <row r="203" spans="1:15" s="64" customFormat="1" ht="13.5" customHeight="1" x14ac:dyDescent="0.2">
      <c r="A203" s="184"/>
      <c r="B203" s="63"/>
      <c r="C203" s="36" t="s">
        <v>20</v>
      </c>
      <c r="D203" s="50"/>
      <c r="E203" s="51"/>
      <c r="F203" s="13"/>
      <c r="G203" s="53"/>
      <c r="H203" s="179"/>
      <c r="I203" s="57">
        <v>1.819999999999709</v>
      </c>
      <c r="J203" s="58">
        <v>12704.69</v>
      </c>
      <c r="K203" s="18"/>
      <c r="L203" s="51"/>
      <c r="O203" s="65"/>
    </row>
    <row r="204" spans="1:15" s="64" customFormat="1" ht="13.5" customHeight="1" thickBot="1" x14ac:dyDescent="0.25">
      <c r="A204" s="184"/>
      <c r="B204" s="63"/>
      <c r="C204" s="63"/>
      <c r="D204" s="50"/>
      <c r="E204" s="51"/>
      <c r="F204" s="13"/>
      <c r="G204" s="53"/>
      <c r="H204" s="179"/>
      <c r="I204" s="57"/>
      <c r="J204" s="67"/>
      <c r="K204" s="18"/>
      <c r="L204" s="51"/>
      <c r="O204" s="65"/>
    </row>
    <row r="205" spans="1:15" ht="13.5" customHeight="1" thickBot="1" x14ac:dyDescent="0.25">
      <c r="A205" s="2" t="s">
        <v>2</v>
      </c>
      <c r="B205" s="3"/>
      <c r="C205" s="3" t="s">
        <v>525</v>
      </c>
      <c r="D205" s="3" t="s">
        <v>4</v>
      </c>
      <c r="E205" s="3" t="s">
        <v>5</v>
      </c>
      <c r="F205" s="3" t="s">
        <v>6</v>
      </c>
      <c r="G205" s="5" t="s">
        <v>7</v>
      </c>
      <c r="H205" s="187"/>
      <c r="I205" s="188"/>
      <c r="J205" s="189"/>
      <c r="K205" s="18"/>
    </row>
    <row r="206" spans="1:15" ht="13.5" customHeight="1" x14ac:dyDescent="0.2">
      <c r="A206" s="8" t="s">
        <v>7819</v>
      </c>
      <c r="B206" s="56"/>
      <c r="C206" s="10" t="s">
        <v>8</v>
      </c>
      <c r="D206" s="11"/>
      <c r="E206" s="51"/>
      <c r="F206" s="12"/>
      <c r="G206" s="178">
        <v>4758.01</v>
      </c>
      <c r="H206" s="179"/>
      <c r="I206" s="57"/>
      <c r="J206" s="67"/>
      <c r="L206" s="51"/>
    </row>
    <row r="207" spans="1:15" ht="13.5" customHeight="1" x14ac:dyDescent="0.2">
      <c r="A207" s="180">
        <v>43255</v>
      </c>
      <c r="B207" s="56"/>
      <c r="C207" s="56" t="s">
        <v>815</v>
      </c>
      <c r="D207" s="50"/>
      <c r="E207" s="181">
        <v>849.06</v>
      </c>
      <c r="F207" s="12"/>
      <c r="G207" s="182">
        <v>3908.9500000000003</v>
      </c>
      <c r="H207" s="59"/>
      <c r="I207" s="60"/>
      <c r="J207" s="61"/>
      <c r="L207" s="30"/>
    </row>
    <row r="208" spans="1:15" ht="13.5" customHeight="1" x14ac:dyDescent="0.2">
      <c r="A208" s="180">
        <v>43258</v>
      </c>
      <c r="B208" s="56"/>
      <c r="C208" s="36" t="s">
        <v>7850</v>
      </c>
      <c r="D208" s="11"/>
      <c r="E208" s="181">
        <v>41</v>
      </c>
      <c r="F208" s="12"/>
      <c r="G208" s="182">
        <v>3867.9500000000003</v>
      </c>
      <c r="H208" s="59"/>
      <c r="I208" s="60"/>
      <c r="J208" s="61"/>
      <c r="L208" s="30"/>
    </row>
    <row r="209" spans="1:15" ht="13.5" customHeight="1" x14ac:dyDescent="0.2">
      <c r="A209" s="180"/>
      <c r="B209" s="56"/>
      <c r="C209" s="36" t="s">
        <v>7851</v>
      </c>
      <c r="D209" s="11"/>
      <c r="E209" s="181">
        <v>23.65</v>
      </c>
      <c r="F209" s="12"/>
      <c r="G209" s="182">
        <v>3844.3</v>
      </c>
      <c r="H209" s="59"/>
      <c r="I209" s="60"/>
      <c r="J209" s="61"/>
      <c r="L209" s="30"/>
    </row>
    <row r="210" spans="1:15" ht="13.5" customHeight="1" x14ac:dyDescent="0.2">
      <c r="A210" s="180">
        <v>43265</v>
      </c>
      <c r="B210" s="56"/>
      <c r="C210" s="36" t="s">
        <v>7852</v>
      </c>
      <c r="D210" s="11"/>
      <c r="E210" s="181">
        <v>20</v>
      </c>
      <c r="F210" s="12"/>
      <c r="G210" s="182">
        <v>3824.3</v>
      </c>
      <c r="H210" s="59"/>
      <c r="I210" s="60"/>
      <c r="J210" s="61"/>
      <c r="L210" s="30"/>
    </row>
    <row r="211" spans="1:15" ht="13.5" customHeight="1" x14ac:dyDescent="0.2">
      <c r="A211" s="180"/>
      <c r="B211" s="56"/>
      <c r="C211" s="36" t="s">
        <v>7852</v>
      </c>
      <c r="D211" s="11"/>
      <c r="E211" s="181">
        <v>10</v>
      </c>
      <c r="F211" s="12"/>
      <c r="G211" s="182">
        <v>3814.3</v>
      </c>
      <c r="H211" s="59"/>
      <c r="I211" s="60"/>
      <c r="J211" s="61"/>
      <c r="L211" s="30"/>
    </row>
    <row r="212" spans="1:15" ht="13.5" customHeight="1" x14ac:dyDescent="0.2">
      <c r="A212" s="180">
        <v>43272</v>
      </c>
      <c r="B212" s="56"/>
      <c r="C212" s="36" t="s">
        <v>7853</v>
      </c>
      <c r="D212" s="11"/>
      <c r="E212" s="181">
        <v>6</v>
      </c>
      <c r="F212" s="12"/>
      <c r="G212" s="182">
        <v>3808.3</v>
      </c>
      <c r="H212" s="59"/>
      <c r="I212" s="60"/>
      <c r="J212" s="61"/>
      <c r="L212" s="30"/>
    </row>
    <row r="213" spans="1:15" ht="13.5" customHeight="1" x14ac:dyDescent="0.2">
      <c r="A213" s="180">
        <v>43279</v>
      </c>
      <c r="B213" s="56"/>
      <c r="C213" s="36" t="s">
        <v>7854</v>
      </c>
      <c r="D213" s="11"/>
      <c r="E213" s="181">
        <v>28.4</v>
      </c>
      <c r="F213" s="12"/>
      <c r="G213" s="182">
        <v>3779.9</v>
      </c>
      <c r="H213" s="59"/>
      <c r="I213" s="60"/>
      <c r="J213" s="61"/>
      <c r="L213" s="30"/>
    </row>
    <row r="214" spans="1:15" ht="13.5" customHeight="1" x14ac:dyDescent="0.2">
      <c r="A214" s="180"/>
      <c r="B214" s="56"/>
      <c r="C214" s="36" t="s">
        <v>7855</v>
      </c>
      <c r="D214" s="11"/>
      <c r="E214" s="181">
        <v>4.75</v>
      </c>
      <c r="F214" s="12"/>
      <c r="G214" s="182">
        <v>3775.15</v>
      </c>
      <c r="H214" s="59"/>
      <c r="I214" s="60"/>
      <c r="J214" s="61"/>
      <c r="L214" s="30"/>
    </row>
    <row r="215" spans="1:15" ht="13.5" customHeight="1" x14ac:dyDescent="0.2">
      <c r="A215" s="180"/>
      <c r="B215" s="56"/>
      <c r="C215" s="36" t="s">
        <v>7856</v>
      </c>
      <c r="D215" s="11"/>
      <c r="E215" s="181">
        <v>10</v>
      </c>
      <c r="F215" s="12"/>
      <c r="G215" s="205">
        <v>3765.15</v>
      </c>
      <c r="H215" s="59"/>
      <c r="I215" s="60"/>
      <c r="J215" s="61"/>
      <c r="L215" s="30"/>
    </row>
    <row r="216" spans="1:15" ht="13.5" customHeight="1" thickBot="1" x14ac:dyDescent="0.25">
      <c r="A216" s="180"/>
      <c r="B216" s="56"/>
      <c r="C216" s="56"/>
      <c r="D216" s="11"/>
      <c r="E216" s="30"/>
      <c r="F216" s="12"/>
      <c r="G216" s="182"/>
      <c r="H216" s="59"/>
      <c r="I216" s="60"/>
      <c r="J216" s="61"/>
      <c r="L216" s="30"/>
    </row>
    <row r="217" spans="1:15" ht="13.5" customHeight="1" thickBot="1" x14ac:dyDescent="0.25">
      <c r="A217" s="2" t="s">
        <v>2</v>
      </c>
      <c r="B217" s="3"/>
      <c r="C217" s="3" t="s">
        <v>536</v>
      </c>
      <c r="D217" s="3"/>
      <c r="E217" s="3"/>
      <c r="F217" s="3"/>
      <c r="G217" s="5" t="s">
        <v>7</v>
      </c>
      <c r="H217" s="6" t="s">
        <v>5</v>
      </c>
      <c r="I217" s="4" t="s">
        <v>6</v>
      </c>
      <c r="J217" s="7" t="s">
        <v>7</v>
      </c>
    </row>
    <row r="218" spans="1:15" ht="13.5" customHeight="1" x14ac:dyDescent="0.2">
      <c r="A218" s="8">
        <v>43252</v>
      </c>
      <c r="B218" s="70"/>
      <c r="C218" s="10" t="s">
        <v>537</v>
      </c>
      <c r="D218" s="125"/>
      <c r="E218" s="67"/>
      <c r="F218" s="67"/>
      <c r="G218" s="178"/>
      <c r="H218" s="179"/>
      <c r="I218" s="57"/>
      <c r="J218" s="58">
        <v>2800</v>
      </c>
      <c r="K218" s="18">
        <v>2800</v>
      </c>
    </row>
    <row r="219" spans="1:15" customFormat="1" ht="13.5" customHeight="1" x14ac:dyDescent="0.2">
      <c r="A219" s="180"/>
      <c r="B219" s="46"/>
      <c r="C219" s="34" t="s">
        <v>7857</v>
      </c>
      <c r="D219" s="229"/>
      <c r="E219" s="69"/>
      <c r="F219" s="69"/>
      <c r="G219" s="203"/>
      <c r="H219" s="68">
        <v>8</v>
      </c>
      <c r="I219" s="71"/>
      <c r="J219" s="69">
        <v>2792</v>
      </c>
      <c r="K219" s="72">
        <v>2792</v>
      </c>
      <c r="O219" s="40"/>
    </row>
    <row r="220" spans="1:15" customFormat="1" ht="13.5" customHeight="1" x14ac:dyDescent="0.2">
      <c r="A220" s="180"/>
      <c r="B220" s="46"/>
      <c r="C220" s="34" t="s">
        <v>1002</v>
      </c>
      <c r="D220" s="229"/>
      <c r="E220" s="69"/>
      <c r="F220" s="69"/>
      <c r="G220" s="203"/>
      <c r="H220" s="68">
        <v>3247.26</v>
      </c>
      <c r="I220" s="71"/>
      <c r="J220" s="69">
        <v>-455.26000000000022</v>
      </c>
      <c r="K220" s="72">
        <v>-455.26000000000022</v>
      </c>
      <c r="O220" s="40"/>
    </row>
    <row r="221" spans="1:15" customFormat="1" ht="13.5" customHeight="1" x14ac:dyDescent="0.2">
      <c r="A221" s="180">
        <v>43259</v>
      </c>
      <c r="B221" s="46"/>
      <c r="C221" s="34" t="s">
        <v>77</v>
      </c>
      <c r="D221" s="229"/>
      <c r="E221" s="69"/>
      <c r="F221" s="69"/>
      <c r="G221" s="203"/>
      <c r="H221" s="68"/>
      <c r="I221" s="73">
        <v>7000</v>
      </c>
      <c r="J221" s="69">
        <v>6544.74</v>
      </c>
      <c r="K221" s="72">
        <v>6544.74</v>
      </c>
      <c r="O221" s="40"/>
    </row>
    <row r="222" spans="1:15" customFormat="1" ht="13.5" customHeight="1" x14ac:dyDescent="0.2">
      <c r="A222" s="180">
        <v>43265</v>
      </c>
      <c r="B222" s="46"/>
      <c r="C222" s="34" t="s">
        <v>7858</v>
      </c>
      <c r="D222" s="229"/>
      <c r="E222" s="69"/>
      <c r="F222" s="69"/>
      <c r="G222" s="203"/>
      <c r="H222" s="68">
        <v>53</v>
      </c>
      <c r="I222" s="71"/>
      <c r="J222" s="69">
        <v>6491.74</v>
      </c>
      <c r="K222" s="72">
        <v>6491.74</v>
      </c>
      <c r="O222" s="40"/>
    </row>
    <row r="223" spans="1:15" ht="13.5" customHeight="1" x14ac:dyDescent="0.2">
      <c r="A223" s="180">
        <v>43266</v>
      </c>
      <c r="B223" s="9"/>
      <c r="C223" s="34" t="s">
        <v>7858</v>
      </c>
      <c r="D223" s="230"/>
      <c r="E223" s="61"/>
      <c r="F223" s="61"/>
      <c r="G223" s="205"/>
      <c r="H223" s="59">
        <v>40.6</v>
      </c>
      <c r="I223" s="71"/>
      <c r="J223" s="69">
        <v>6451.1399999999994</v>
      </c>
      <c r="K223" s="72">
        <v>6451.1399999999994</v>
      </c>
    </row>
    <row r="224" spans="1:15" ht="13.5" customHeight="1" x14ac:dyDescent="0.2">
      <c r="A224" s="180"/>
      <c r="B224" s="9"/>
      <c r="C224" s="34" t="s">
        <v>7859</v>
      </c>
      <c r="D224" s="230"/>
      <c r="E224" s="61"/>
      <c r="F224" s="61"/>
      <c r="G224" s="205"/>
      <c r="H224" s="59">
        <v>1640</v>
      </c>
      <c r="I224" s="71"/>
      <c r="J224" s="69">
        <v>4811.1399999999994</v>
      </c>
      <c r="K224" s="72">
        <v>4811.1399999999994</v>
      </c>
    </row>
    <row r="225" spans="1:12" ht="13.5" customHeight="1" x14ac:dyDescent="0.2">
      <c r="A225" s="180"/>
      <c r="B225" s="9"/>
      <c r="C225" s="34" t="s">
        <v>7860</v>
      </c>
      <c r="D225" s="230"/>
      <c r="E225" s="61"/>
      <c r="F225" s="61"/>
      <c r="G225" s="205"/>
      <c r="H225" s="59">
        <v>510</v>
      </c>
      <c r="I225" s="71"/>
      <c r="J225" s="69">
        <v>4301.1399999999994</v>
      </c>
      <c r="K225" s="72">
        <v>4301.1399999999994</v>
      </c>
    </row>
    <row r="226" spans="1:12" ht="13.5" customHeight="1" x14ac:dyDescent="0.2">
      <c r="A226" s="180">
        <v>43271</v>
      </c>
      <c r="B226" s="9"/>
      <c r="C226" s="34" t="s">
        <v>7861</v>
      </c>
      <c r="D226" s="230"/>
      <c r="E226" s="61"/>
      <c r="F226" s="61"/>
      <c r="G226" s="205"/>
      <c r="H226" s="59">
        <v>300</v>
      </c>
      <c r="I226" s="71"/>
      <c r="J226" s="69">
        <v>4001.1399999999994</v>
      </c>
      <c r="K226" s="72">
        <v>4001.1399999999994</v>
      </c>
    </row>
    <row r="227" spans="1:12" ht="13.5" customHeight="1" x14ac:dyDescent="0.2">
      <c r="A227" s="180">
        <v>43272</v>
      </c>
      <c r="B227" s="9"/>
      <c r="C227" s="34" t="s">
        <v>7862</v>
      </c>
      <c r="D227" s="230"/>
      <c r="E227" s="61"/>
      <c r="F227" s="61"/>
      <c r="G227" s="205"/>
      <c r="H227" s="59">
        <v>426.14</v>
      </c>
      <c r="I227" s="71"/>
      <c r="J227" s="69">
        <v>3574.9999999999995</v>
      </c>
      <c r="K227" s="72">
        <v>3574.9999999999995</v>
      </c>
    </row>
    <row r="228" spans="1:12" ht="13.5" customHeight="1" x14ac:dyDescent="0.2">
      <c r="A228" s="180">
        <v>43276</v>
      </c>
      <c r="B228" s="9"/>
      <c r="C228" s="34" t="s">
        <v>7863</v>
      </c>
      <c r="D228" s="230"/>
      <c r="E228" s="61"/>
      <c r="F228" s="61"/>
      <c r="G228" s="205"/>
      <c r="H228" s="59">
        <v>345</v>
      </c>
      <c r="I228" s="71"/>
      <c r="J228" s="69">
        <v>3229.9999999999995</v>
      </c>
      <c r="K228" s="72">
        <v>3229.9999999999995</v>
      </c>
    </row>
    <row r="229" spans="1:12" ht="13.5" customHeight="1" x14ac:dyDescent="0.2">
      <c r="A229" s="180"/>
      <c r="B229" s="9"/>
      <c r="C229" s="34" t="s">
        <v>7864</v>
      </c>
      <c r="D229" s="230"/>
      <c r="E229" s="61"/>
      <c r="F229" s="61"/>
      <c r="G229" s="205"/>
      <c r="H229" s="59">
        <v>30</v>
      </c>
      <c r="I229" s="71"/>
      <c r="J229" s="69">
        <v>3199.9999999999995</v>
      </c>
      <c r="K229" s="72">
        <v>3199.9999999999995</v>
      </c>
    </row>
    <row r="230" spans="1:12" ht="13.5" customHeight="1" x14ac:dyDescent="0.2">
      <c r="A230" s="180">
        <v>43280</v>
      </c>
      <c r="B230" s="9"/>
      <c r="C230" s="34" t="s">
        <v>1211</v>
      </c>
      <c r="D230" s="230"/>
      <c r="E230" s="61"/>
      <c r="F230" s="61"/>
      <c r="G230" s="205"/>
      <c r="H230" s="59"/>
      <c r="I230" s="71">
        <v>900</v>
      </c>
      <c r="J230" s="767">
        <v>4100</v>
      </c>
      <c r="K230" s="72">
        <v>4100</v>
      </c>
    </row>
    <row r="231" spans="1:12" ht="13.5" customHeight="1" thickBot="1" x14ac:dyDescent="0.25">
      <c r="A231" s="207"/>
      <c r="B231" s="207"/>
      <c r="C231" s="208"/>
      <c r="D231" s="208"/>
      <c r="E231" s="208"/>
      <c r="F231" s="208"/>
      <c r="G231" s="210"/>
      <c r="H231" s="211"/>
      <c r="I231" s="211"/>
      <c r="J231" s="212"/>
    </row>
    <row r="232" spans="1:12" ht="13.5" customHeight="1" thickBot="1" x14ac:dyDescent="0.25">
      <c r="A232" s="213"/>
      <c r="B232" s="214"/>
      <c r="C232" s="215" t="s">
        <v>539</v>
      </c>
      <c r="D232" s="216"/>
      <c r="E232" s="187"/>
      <c r="F232" s="187"/>
      <c r="G232" s="217" t="s">
        <v>7</v>
      </c>
      <c r="H232" s="187"/>
      <c r="I232" s="187"/>
      <c r="J232" s="189"/>
    </row>
    <row r="233" spans="1:12" ht="13.5" customHeight="1" x14ac:dyDescent="0.2">
      <c r="A233" s="74" t="s">
        <v>540</v>
      </c>
      <c r="B233" s="74"/>
      <c r="C233" s="218" t="s">
        <v>541</v>
      </c>
      <c r="D233" s="219"/>
      <c r="E233" s="220"/>
      <c r="F233" s="220"/>
      <c r="G233" s="75">
        <v>12704.69</v>
      </c>
      <c r="H233" s="220"/>
      <c r="I233" s="220"/>
      <c r="J233" s="220"/>
      <c r="L233" s="18">
        <v>2849.69</v>
      </c>
    </row>
    <row r="234" spans="1:12" ht="13.5" customHeight="1" x14ac:dyDescent="0.2">
      <c r="A234" s="221" t="s">
        <v>540</v>
      </c>
      <c r="B234" s="70"/>
      <c r="C234" s="63" t="s">
        <v>542</v>
      </c>
      <c r="D234" s="50"/>
      <c r="E234" s="13"/>
      <c r="F234" s="13"/>
      <c r="G234" s="75">
        <v>7417.82</v>
      </c>
      <c r="H234" s="13"/>
      <c r="I234" s="13"/>
      <c r="J234" s="13"/>
      <c r="L234" s="1">
        <v>100.59</v>
      </c>
    </row>
    <row r="235" spans="1:12" ht="13.5" customHeight="1" x14ac:dyDescent="0.2">
      <c r="A235" s="70"/>
      <c r="B235" s="70"/>
      <c r="C235" s="222" t="s">
        <v>543</v>
      </c>
      <c r="D235" s="50"/>
      <c r="E235" s="13"/>
      <c r="F235" s="13"/>
      <c r="G235" s="14">
        <v>20122.510000000002</v>
      </c>
      <c r="H235" s="13"/>
      <c r="I235" s="13"/>
      <c r="J235" s="13"/>
      <c r="L235" s="18">
        <v>5022.8999999999996</v>
      </c>
    </row>
    <row r="236" spans="1:12" ht="13.5" customHeight="1" x14ac:dyDescent="0.2">
      <c r="A236" s="70"/>
      <c r="B236" s="70"/>
      <c r="C236" s="63"/>
      <c r="D236" s="50"/>
      <c r="E236" s="13"/>
      <c r="F236" s="13"/>
      <c r="G236" s="14"/>
      <c r="H236" s="13"/>
      <c r="I236" s="13"/>
      <c r="J236" s="13"/>
      <c r="L236" s="18">
        <v>4731.51</v>
      </c>
    </row>
    <row r="237" spans="1:12" ht="13.5" customHeight="1" x14ac:dyDescent="0.2">
      <c r="A237" s="70"/>
      <c r="B237" s="70"/>
      <c r="C237" s="222" t="s">
        <v>544</v>
      </c>
      <c r="D237" s="50"/>
      <c r="E237" s="13"/>
      <c r="F237" s="13"/>
      <c r="G237" s="14">
        <v>14323.409999999996</v>
      </c>
      <c r="H237" s="13"/>
      <c r="I237" s="13"/>
      <c r="J237" s="13"/>
      <c r="L237" s="18">
        <v>12704.69</v>
      </c>
    </row>
    <row r="238" spans="1:12" ht="13.5" customHeight="1" x14ac:dyDescent="0.2">
      <c r="A238" s="70"/>
      <c r="B238" s="70"/>
      <c r="C238" s="63"/>
      <c r="D238" s="50"/>
      <c r="E238" s="13"/>
      <c r="F238" s="13"/>
      <c r="G238" s="75"/>
      <c r="H238" s="13"/>
      <c r="I238" s="13"/>
      <c r="J238" s="13"/>
    </row>
    <row r="239" spans="1:12" ht="13.5" customHeight="1" x14ac:dyDescent="0.2">
      <c r="A239" s="76"/>
      <c r="B239" s="76"/>
      <c r="C239" s="222" t="s">
        <v>545</v>
      </c>
      <c r="D239" s="78"/>
      <c r="E239" s="78"/>
      <c r="F239" s="78"/>
      <c r="G239" s="14">
        <v>34445.919999999998</v>
      </c>
      <c r="H239" s="77"/>
      <c r="I239" s="77"/>
      <c r="J239" s="13"/>
    </row>
    <row r="240" spans="1:12" ht="13.5" customHeight="1" thickBot="1" x14ac:dyDescent="0.25">
      <c r="A240" s="76"/>
      <c r="B240" s="76"/>
      <c r="C240" s="78"/>
      <c r="D240" s="78"/>
      <c r="E240" s="78"/>
      <c r="F240" s="78"/>
      <c r="G240" s="75"/>
      <c r="H240" s="77"/>
      <c r="I240" s="77"/>
      <c r="J240" s="13"/>
    </row>
    <row r="241" spans="1:10" ht="13.5" customHeight="1" thickBot="1" x14ac:dyDescent="0.25">
      <c r="A241" s="1060" t="s">
        <v>5829</v>
      </c>
      <c r="B241" s="214"/>
      <c r="C241" s="215" t="s">
        <v>5843</v>
      </c>
      <c r="D241" s="216"/>
      <c r="E241" s="187"/>
      <c r="F241" s="187"/>
      <c r="G241" s="217" t="s">
        <v>7</v>
      </c>
      <c r="H241" s="187"/>
      <c r="I241" s="187"/>
      <c r="J241" s="189"/>
    </row>
    <row r="242" spans="1:10" ht="13.5" customHeight="1" x14ac:dyDescent="0.2">
      <c r="A242" s="70"/>
      <c r="B242" s="70"/>
      <c r="C242" s="63" t="s">
        <v>5831</v>
      </c>
      <c r="D242" s="50"/>
      <c r="E242" s="13"/>
      <c r="F242" s="13"/>
      <c r="G242" s="75">
        <v>6000</v>
      </c>
      <c r="H242" s="13"/>
      <c r="I242" s="13"/>
      <c r="J242" s="13"/>
    </row>
    <row r="243" spans="1:10" ht="13.5" customHeight="1" x14ac:dyDescent="0.2">
      <c r="A243" s="79">
        <v>42594</v>
      </c>
      <c r="B243" s="70"/>
      <c r="C243" s="63" t="s">
        <v>5844</v>
      </c>
      <c r="D243" s="50"/>
      <c r="E243" s="13">
        <v>2000</v>
      </c>
      <c r="F243" s="13"/>
      <c r="G243" s="75">
        <v>4000</v>
      </c>
      <c r="H243" s="13"/>
      <c r="I243" s="13"/>
      <c r="J243" s="13"/>
    </row>
    <row r="244" spans="1:10" ht="13.5" customHeight="1" x14ac:dyDescent="0.2">
      <c r="A244" s="79">
        <v>42682</v>
      </c>
      <c r="B244" s="79"/>
      <c r="C244" s="63" t="s">
        <v>5845</v>
      </c>
      <c r="D244" s="78"/>
      <c r="E244" s="13">
        <v>3500</v>
      </c>
      <c r="F244" s="13"/>
      <c r="G244" s="75">
        <v>500</v>
      </c>
      <c r="H244" s="77"/>
      <c r="I244" s="77"/>
      <c r="J244" s="13"/>
    </row>
    <row r="245" spans="1:10" ht="13.5" customHeight="1" x14ac:dyDescent="0.2">
      <c r="A245" s="79"/>
      <c r="B245" s="79"/>
      <c r="C245" s="78"/>
      <c r="D245" s="78"/>
      <c r="E245" s="78"/>
      <c r="F245" s="78"/>
      <c r="G245" s="75"/>
      <c r="H245" s="77"/>
      <c r="I245" s="77"/>
      <c r="J245" s="13"/>
    </row>
    <row r="246" spans="1:10" ht="13.5" customHeight="1" x14ac:dyDescent="0.2">
      <c r="A246" s="79"/>
      <c r="B246" s="79"/>
      <c r="C246" s="78"/>
      <c r="D246" s="78"/>
      <c r="E246" s="78"/>
      <c r="F246" s="78"/>
      <c r="G246" s="75"/>
      <c r="H246" s="77"/>
      <c r="I246" s="77"/>
      <c r="J246" s="13"/>
    </row>
    <row r="247" spans="1:10" ht="13.5" customHeight="1" x14ac:dyDescent="0.2">
      <c r="A247" s="79"/>
      <c r="B247" s="79"/>
      <c r="C247" s="78"/>
      <c r="D247" s="78"/>
      <c r="E247" s="13"/>
      <c r="F247" s="13"/>
      <c r="G247" s="75"/>
      <c r="H247" s="77"/>
      <c r="I247" s="77"/>
      <c r="J247" s="13"/>
    </row>
    <row r="248" spans="1:10" ht="13.5" customHeight="1" x14ac:dyDescent="0.2">
      <c r="A248" s="74"/>
      <c r="B248" s="80"/>
      <c r="C248" s="81"/>
      <c r="D248" s="50"/>
      <c r="E248" s="13"/>
      <c r="F248" s="13"/>
      <c r="G248" s="75"/>
      <c r="H248" s="13"/>
      <c r="I248" s="13"/>
      <c r="J248" s="13"/>
    </row>
    <row r="249" spans="1:10" ht="13.5" customHeight="1" x14ac:dyDescent="0.2">
      <c r="A249" s="79"/>
      <c r="B249" s="79"/>
      <c r="C249" s="78"/>
      <c r="D249" s="78"/>
      <c r="E249" s="13"/>
      <c r="F249" s="13"/>
      <c r="G249" s="75"/>
      <c r="H249" s="77"/>
      <c r="I249" s="77"/>
      <c r="J249" s="13"/>
    </row>
    <row r="250" spans="1:10" ht="13.5" customHeight="1" x14ac:dyDescent="0.2">
      <c r="A250" s="79"/>
      <c r="B250" s="79"/>
      <c r="C250" s="78"/>
      <c r="D250" s="78"/>
      <c r="E250" s="13"/>
      <c r="F250" s="13"/>
      <c r="G250" s="75"/>
      <c r="H250" s="77"/>
      <c r="I250" s="77"/>
      <c r="J250" s="13"/>
    </row>
    <row r="251" spans="1:10" ht="13.5" customHeight="1" x14ac:dyDescent="0.2">
      <c r="A251" s="79"/>
      <c r="B251" s="79"/>
      <c r="C251" s="78"/>
      <c r="D251" s="78"/>
      <c r="E251" s="78"/>
      <c r="F251" s="78"/>
      <c r="G251" s="75"/>
      <c r="H251" s="77"/>
      <c r="I251" s="77"/>
      <c r="J251" s="13"/>
    </row>
    <row r="252" spans="1:10" ht="13.5" customHeight="1" x14ac:dyDescent="0.2">
      <c r="A252" s="79"/>
      <c r="B252" s="79"/>
      <c r="C252" s="78"/>
      <c r="D252" s="78"/>
      <c r="E252" s="78"/>
      <c r="F252" s="78"/>
      <c r="G252" s="75"/>
      <c r="H252" s="77"/>
      <c r="I252" s="77"/>
      <c r="J252" s="13"/>
    </row>
    <row r="253" spans="1:10" ht="13.5" customHeight="1" x14ac:dyDescent="0.2">
      <c r="A253" s="79"/>
      <c r="B253" s="79"/>
      <c r="C253" s="78"/>
      <c r="D253" s="78"/>
      <c r="E253" s="78"/>
      <c r="F253" s="78"/>
      <c r="G253" s="75"/>
      <c r="H253" s="77"/>
      <c r="I253" s="77"/>
      <c r="J253" s="13"/>
    </row>
    <row r="254" spans="1:10" ht="13.5" customHeight="1" x14ac:dyDescent="0.2">
      <c r="A254" s="79"/>
      <c r="B254" s="79"/>
      <c r="C254" s="78"/>
      <c r="D254" s="78"/>
      <c r="E254" s="78"/>
      <c r="F254" s="78"/>
      <c r="G254" s="75"/>
      <c r="H254" s="77"/>
      <c r="I254" s="77"/>
      <c r="J254" s="13"/>
    </row>
    <row r="255" spans="1:10" ht="13.5" customHeight="1" x14ac:dyDescent="0.2">
      <c r="A255" s="79"/>
      <c r="B255" s="79"/>
      <c r="C255" s="78"/>
      <c r="D255" s="78"/>
      <c r="E255" s="78"/>
      <c r="F255" s="78"/>
      <c r="G255" s="75"/>
      <c r="H255" s="77"/>
      <c r="I255" s="77"/>
      <c r="J255" s="13"/>
    </row>
    <row r="256" spans="1:10" ht="13.5" customHeight="1" x14ac:dyDescent="0.2">
      <c r="A256" s="79"/>
      <c r="B256" s="79"/>
      <c r="C256" s="78"/>
      <c r="D256" s="78"/>
      <c r="E256" s="78"/>
      <c r="F256" s="78"/>
      <c r="G256" s="14"/>
      <c r="H256" s="77"/>
      <c r="I256" s="77"/>
      <c r="J256" s="130"/>
    </row>
    <row r="257" spans="1:10" ht="13.5" customHeight="1" x14ac:dyDescent="0.2">
      <c r="A257" s="70"/>
      <c r="B257" s="70"/>
      <c r="C257" s="63"/>
      <c r="D257" s="50"/>
      <c r="E257" s="13"/>
      <c r="F257" s="13"/>
      <c r="G257" s="75"/>
      <c r="H257" s="82"/>
      <c r="I257" s="13"/>
      <c r="J257" s="13"/>
    </row>
    <row r="258" spans="1:10" ht="13.5" customHeight="1" x14ac:dyDescent="0.2">
      <c r="A258" s="70"/>
      <c r="B258" s="70"/>
      <c r="C258" s="63"/>
      <c r="D258" s="50"/>
      <c r="E258" s="13"/>
      <c r="F258" s="13"/>
      <c r="G258" s="75"/>
      <c r="H258" s="82"/>
      <c r="I258" s="13"/>
      <c r="J258" s="13"/>
    </row>
    <row r="259" spans="1:10" ht="13.5" customHeight="1" x14ac:dyDescent="0.2">
      <c r="A259" s="70"/>
      <c r="B259" s="70"/>
      <c r="C259" s="63"/>
      <c r="D259" s="50"/>
      <c r="E259" s="13"/>
      <c r="F259" s="13"/>
      <c r="G259" s="75"/>
      <c r="H259" s="82"/>
      <c r="I259" s="13"/>
      <c r="J259" s="13"/>
    </row>
    <row r="260" spans="1:10" ht="13.5" customHeight="1" x14ac:dyDescent="0.2">
      <c r="A260" s="70"/>
      <c r="B260" s="70"/>
      <c r="C260" s="63"/>
      <c r="D260" s="50"/>
      <c r="E260" s="13"/>
      <c r="F260" s="13"/>
      <c r="G260" s="75"/>
      <c r="H260" s="82"/>
      <c r="I260" s="13"/>
      <c r="J260" s="13"/>
    </row>
    <row r="261" spans="1:10" ht="13.5" customHeight="1" x14ac:dyDescent="0.2">
      <c r="A261" s="70"/>
      <c r="B261" s="70"/>
      <c r="C261" s="63"/>
      <c r="D261" s="50"/>
      <c r="E261" s="13"/>
      <c r="F261" s="13"/>
      <c r="G261" s="75"/>
      <c r="H261" s="82"/>
      <c r="I261" s="13"/>
      <c r="J261" s="13"/>
    </row>
    <row r="262" spans="1:10" ht="13.5" customHeight="1" x14ac:dyDescent="0.2">
      <c r="A262" s="70"/>
      <c r="B262" s="70"/>
      <c r="C262" s="63"/>
      <c r="D262" s="50"/>
      <c r="E262" s="13"/>
      <c r="F262" s="13"/>
      <c r="G262" s="75"/>
      <c r="H262" s="82"/>
      <c r="I262" s="13"/>
      <c r="J262" s="13"/>
    </row>
    <row r="263" spans="1:10" ht="13.5" customHeight="1" x14ac:dyDescent="0.2">
      <c r="A263" s="70"/>
      <c r="B263" s="70"/>
      <c r="C263" s="63"/>
      <c r="D263" s="50"/>
      <c r="E263" s="13"/>
      <c r="F263" s="13"/>
      <c r="G263" s="75"/>
      <c r="H263" s="82"/>
      <c r="I263" s="13"/>
      <c r="J263" s="13"/>
    </row>
    <row r="264" spans="1:10" ht="13.5" customHeight="1" x14ac:dyDescent="0.2">
      <c r="A264" s="70"/>
      <c r="B264" s="70"/>
      <c r="C264" s="63"/>
      <c r="D264" s="50"/>
      <c r="E264" s="13"/>
      <c r="F264" s="13"/>
      <c r="G264" s="75"/>
      <c r="H264" s="82"/>
      <c r="I264" s="13"/>
      <c r="J264" s="13"/>
    </row>
    <row r="265" spans="1:10" ht="13.5" customHeight="1" x14ac:dyDescent="0.2">
      <c r="A265" s="70"/>
      <c r="B265" s="70"/>
      <c r="C265" s="63"/>
      <c r="D265" s="50"/>
      <c r="E265" s="13"/>
      <c r="F265" s="13"/>
      <c r="G265" s="75"/>
      <c r="H265" s="82"/>
      <c r="I265" s="13"/>
      <c r="J265" s="13"/>
    </row>
    <row r="266" spans="1:10" ht="13.5" customHeight="1" x14ac:dyDescent="0.2">
      <c r="A266" s="70"/>
      <c r="B266" s="70"/>
      <c r="C266" s="63"/>
      <c r="D266" s="50"/>
      <c r="E266" s="13"/>
      <c r="F266" s="13"/>
      <c r="G266" s="75"/>
      <c r="H266" s="82"/>
      <c r="I266" s="13"/>
      <c r="J266" s="13"/>
    </row>
    <row r="267" spans="1:10" ht="13.5" customHeight="1" x14ac:dyDescent="0.2">
      <c r="A267" s="70"/>
      <c r="B267" s="70"/>
      <c r="C267" s="63"/>
      <c r="D267" s="50"/>
      <c r="E267" s="13"/>
      <c r="F267" s="13"/>
      <c r="G267" s="75"/>
      <c r="H267" s="82"/>
      <c r="I267" s="13"/>
      <c r="J267" s="13"/>
    </row>
    <row r="268" spans="1:10" ht="13.5" customHeight="1" x14ac:dyDescent="0.2">
      <c r="A268" s="70"/>
      <c r="B268" s="70"/>
      <c r="C268" s="63"/>
      <c r="D268" s="50"/>
      <c r="E268" s="13"/>
      <c r="F268" s="13"/>
      <c r="G268" s="75"/>
      <c r="H268" s="82"/>
      <c r="I268" s="13"/>
      <c r="J268" s="13"/>
    </row>
    <row r="269" spans="1:10" ht="13.5" customHeight="1" x14ac:dyDescent="0.2">
      <c r="A269" s="70"/>
      <c r="B269" s="70"/>
      <c r="C269" s="63"/>
      <c r="D269" s="50"/>
      <c r="E269" s="13"/>
      <c r="F269" s="13"/>
      <c r="G269" s="75"/>
      <c r="H269" s="82"/>
      <c r="I269" s="13"/>
      <c r="J269" s="13"/>
    </row>
    <row r="270" spans="1:10" ht="13.5" customHeight="1" x14ac:dyDescent="0.2">
      <c r="A270" s="70"/>
      <c r="B270" s="70"/>
      <c r="C270" s="63"/>
      <c r="D270" s="50"/>
      <c r="E270" s="13"/>
      <c r="F270" s="13"/>
      <c r="G270" s="75"/>
      <c r="H270" s="82"/>
      <c r="I270" s="13"/>
      <c r="J270" s="13"/>
    </row>
    <row r="271" spans="1:10" ht="13.5" customHeight="1" x14ac:dyDescent="0.2">
      <c r="A271" s="70"/>
      <c r="B271" s="70"/>
      <c r="C271" s="63"/>
      <c r="D271" s="50"/>
      <c r="E271" s="13"/>
      <c r="F271" s="13"/>
      <c r="G271" s="75"/>
      <c r="H271" s="82"/>
      <c r="I271" s="13"/>
      <c r="J271" s="13"/>
    </row>
    <row r="272" spans="1:10" ht="13.5" customHeight="1" x14ac:dyDescent="0.2">
      <c r="A272" s="70"/>
      <c r="B272" s="70"/>
      <c r="C272" s="63"/>
      <c r="D272" s="50"/>
      <c r="E272" s="13"/>
      <c r="F272" s="13"/>
      <c r="G272" s="75"/>
      <c r="H272" s="82"/>
      <c r="I272" s="13"/>
      <c r="J272" s="13"/>
    </row>
    <row r="273" spans="1:10" ht="13.5" customHeight="1" x14ac:dyDescent="0.2">
      <c r="A273" s="70"/>
      <c r="B273" s="70"/>
      <c r="C273" s="63"/>
      <c r="D273" s="50"/>
      <c r="E273" s="13"/>
      <c r="F273" s="13"/>
      <c r="G273" s="75"/>
      <c r="H273" s="82"/>
      <c r="I273" s="13"/>
      <c r="J273" s="13"/>
    </row>
    <row r="274" spans="1:10" ht="13.5" customHeight="1" x14ac:dyDescent="0.2">
      <c r="A274" s="70"/>
      <c r="B274" s="70"/>
      <c r="C274" s="63"/>
      <c r="D274" s="50"/>
      <c r="E274" s="13"/>
      <c r="F274" s="13"/>
      <c r="G274" s="75"/>
      <c r="H274" s="82"/>
      <c r="I274" s="13"/>
      <c r="J274" s="13"/>
    </row>
    <row r="275" spans="1:10" ht="13.5" customHeight="1" x14ac:dyDescent="0.2">
      <c r="A275" s="70"/>
      <c r="B275" s="70"/>
      <c r="C275" s="63"/>
      <c r="D275" s="50"/>
      <c r="E275" s="13"/>
      <c r="F275" s="13"/>
      <c r="G275" s="75"/>
      <c r="H275" s="82"/>
      <c r="I275" s="13"/>
      <c r="J275" s="13"/>
    </row>
    <row r="276" spans="1:10" ht="13.5" customHeight="1" x14ac:dyDescent="0.2">
      <c r="A276" s="70"/>
      <c r="B276" s="70"/>
      <c r="C276" s="63"/>
      <c r="D276" s="50"/>
      <c r="E276" s="13"/>
      <c r="F276" s="13"/>
      <c r="G276" s="75"/>
      <c r="H276" s="82"/>
      <c r="I276" s="13"/>
      <c r="J276" s="13"/>
    </row>
    <row r="277" spans="1:10" ht="13.5" customHeight="1" x14ac:dyDescent="0.2">
      <c r="A277" s="70"/>
      <c r="B277" s="70"/>
      <c r="C277" s="63"/>
      <c r="D277" s="50"/>
      <c r="E277" s="13"/>
      <c r="F277" s="13"/>
      <c r="G277" s="75"/>
      <c r="H277" s="82"/>
      <c r="I277" s="13"/>
      <c r="J277" s="13"/>
    </row>
    <row r="278" spans="1:10" ht="13.5" customHeight="1" x14ac:dyDescent="0.2">
      <c r="A278" s="70"/>
      <c r="B278" s="70"/>
      <c r="C278" s="63"/>
      <c r="D278" s="50"/>
      <c r="E278" s="13"/>
      <c r="F278" s="13"/>
      <c r="G278" s="75"/>
      <c r="H278" s="82"/>
      <c r="I278" s="13"/>
      <c r="J278" s="13"/>
    </row>
    <row r="279" spans="1:10" ht="13.5" customHeight="1" x14ac:dyDescent="0.2">
      <c r="A279" s="70"/>
      <c r="B279" s="70"/>
      <c r="C279" s="63"/>
      <c r="D279" s="50"/>
      <c r="E279" s="13"/>
      <c r="F279" s="13"/>
      <c r="G279" s="75"/>
      <c r="H279" s="82"/>
      <c r="I279" s="13"/>
      <c r="J279" s="13"/>
    </row>
    <row r="280" spans="1:10" ht="13.5" customHeight="1" x14ac:dyDescent="0.2">
      <c r="A280" s="70"/>
      <c r="B280" s="70"/>
      <c r="C280" s="63"/>
      <c r="D280" s="50"/>
      <c r="E280" s="13"/>
      <c r="F280" s="13"/>
      <c r="G280" s="75"/>
      <c r="H280" s="82"/>
      <c r="I280" s="13"/>
      <c r="J280" s="13"/>
    </row>
    <row r="281" spans="1:10" ht="13.5" customHeight="1" x14ac:dyDescent="0.2">
      <c r="A281" s="70"/>
      <c r="B281" s="70"/>
      <c r="C281" s="63"/>
      <c r="D281" s="50"/>
      <c r="E281" s="13"/>
      <c r="F281" s="13"/>
      <c r="G281" s="75"/>
      <c r="H281" s="82"/>
      <c r="I281" s="13"/>
      <c r="J281" s="13"/>
    </row>
    <row r="282" spans="1:10" ht="13.5" customHeight="1" x14ac:dyDescent="0.2">
      <c r="A282" s="70"/>
      <c r="B282" s="70"/>
      <c r="C282" s="63"/>
      <c r="D282" s="50"/>
      <c r="E282" s="13"/>
      <c r="F282" s="13"/>
      <c r="G282" s="75"/>
      <c r="H282" s="82"/>
      <c r="I282" s="13"/>
      <c r="J282" s="13"/>
    </row>
    <row r="283" spans="1:10" ht="13.5" customHeight="1" x14ac:dyDescent="0.2">
      <c r="A283" s="70"/>
      <c r="B283" s="70"/>
      <c r="C283" s="63"/>
      <c r="D283" s="50"/>
      <c r="E283" s="13"/>
      <c r="F283" s="13"/>
      <c r="G283" s="75"/>
      <c r="H283" s="82"/>
      <c r="I283" s="13"/>
      <c r="J283" s="13"/>
    </row>
    <row r="284" spans="1:10" ht="13.5" customHeight="1" x14ac:dyDescent="0.2">
      <c r="A284" s="70"/>
      <c r="B284" s="70"/>
      <c r="C284" s="63"/>
      <c r="D284" s="50"/>
      <c r="E284" s="13"/>
      <c r="F284" s="13"/>
      <c r="G284" s="75"/>
      <c r="H284" s="82"/>
      <c r="I284" s="13"/>
      <c r="J284" s="13"/>
    </row>
    <row r="285" spans="1:10" ht="13.5" customHeight="1" x14ac:dyDescent="0.2">
      <c r="A285" s="70"/>
      <c r="B285" s="70"/>
      <c r="C285" s="63"/>
      <c r="D285" s="50"/>
      <c r="E285" s="13"/>
      <c r="F285" s="13"/>
      <c r="G285" s="75"/>
      <c r="H285" s="82"/>
      <c r="I285" s="13"/>
      <c r="J285" s="13"/>
    </row>
    <row r="286" spans="1:10" ht="13.5" customHeight="1" x14ac:dyDescent="0.2">
      <c r="A286" s="70"/>
      <c r="B286" s="70"/>
      <c r="C286" s="63"/>
      <c r="D286" s="50"/>
      <c r="E286" s="13"/>
      <c r="F286" s="13"/>
      <c r="G286" s="75"/>
      <c r="H286" s="82"/>
      <c r="I286" s="13"/>
      <c r="J286" s="13"/>
    </row>
    <row r="287" spans="1:10" ht="13.5" customHeight="1" x14ac:dyDescent="0.2">
      <c r="A287" s="70"/>
      <c r="B287" s="70"/>
      <c r="C287" s="63"/>
      <c r="D287" s="50"/>
      <c r="E287" s="13"/>
      <c r="F287" s="13"/>
      <c r="G287" s="75"/>
      <c r="H287" s="82"/>
      <c r="I287" s="13"/>
      <c r="J287" s="13"/>
    </row>
    <row r="288" spans="1:10" ht="13.5" customHeight="1" x14ac:dyDescent="0.2">
      <c r="A288" s="70"/>
      <c r="B288" s="70"/>
      <c r="C288" s="63"/>
      <c r="D288" s="50"/>
      <c r="E288" s="13"/>
      <c r="F288" s="13"/>
      <c r="G288" s="75"/>
      <c r="H288" s="82"/>
      <c r="I288" s="13"/>
      <c r="J288" s="13"/>
    </row>
    <row r="289" spans="1:10" ht="13.5" customHeight="1" x14ac:dyDescent="0.2">
      <c r="A289" s="70"/>
      <c r="B289" s="70"/>
      <c r="C289" s="63"/>
      <c r="D289" s="50"/>
      <c r="E289" s="13"/>
      <c r="F289" s="13"/>
      <c r="G289" s="75"/>
      <c r="H289" s="82"/>
      <c r="I289" s="13"/>
      <c r="J289" s="13"/>
    </row>
    <row r="290" spans="1:10" ht="13.5" customHeight="1" x14ac:dyDescent="0.2">
      <c r="A290" s="70"/>
      <c r="B290" s="70"/>
      <c r="C290" s="63"/>
      <c r="D290" s="50"/>
      <c r="E290" s="13"/>
      <c r="F290" s="13"/>
      <c r="G290" s="75"/>
      <c r="H290" s="82"/>
      <c r="I290" s="13"/>
      <c r="J290" s="13"/>
    </row>
    <row r="291" spans="1:10" ht="13.5" customHeight="1" x14ac:dyDescent="0.2">
      <c r="A291" s="70"/>
      <c r="B291" s="70"/>
      <c r="C291" s="63"/>
      <c r="D291" s="50"/>
      <c r="E291" s="13"/>
      <c r="F291" s="13"/>
      <c r="G291" s="75"/>
      <c r="H291" s="82"/>
      <c r="I291" s="13"/>
      <c r="J291" s="13"/>
    </row>
    <row r="292" spans="1:10" ht="13.5" customHeight="1" x14ac:dyDescent="0.2">
      <c r="A292" s="70"/>
      <c r="B292" s="70"/>
      <c r="C292" s="63"/>
      <c r="D292" s="50"/>
      <c r="E292" s="13"/>
      <c r="F292" s="13"/>
      <c r="G292" s="75"/>
      <c r="H292" s="82"/>
      <c r="I292" s="13"/>
      <c r="J292" s="13"/>
    </row>
    <row r="293" spans="1:10" ht="13.5" customHeight="1" x14ac:dyDescent="0.2">
      <c r="A293" s="70"/>
      <c r="B293" s="70"/>
      <c r="C293" s="63"/>
      <c r="D293" s="50"/>
      <c r="E293" s="13"/>
      <c r="F293" s="13"/>
      <c r="G293" s="75"/>
      <c r="H293" s="82"/>
      <c r="I293" s="13"/>
      <c r="J293" s="13"/>
    </row>
    <row r="294" spans="1:10" ht="13.5" customHeight="1" x14ac:dyDescent="0.2">
      <c r="A294" s="70"/>
      <c r="B294" s="70"/>
      <c r="C294" s="63"/>
      <c r="D294" s="50"/>
      <c r="E294" s="13"/>
      <c r="F294" s="13"/>
      <c r="G294" s="75"/>
      <c r="H294" s="82"/>
      <c r="I294" s="13"/>
      <c r="J294" s="13"/>
    </row>
    <row r="295" spans="1:10" ht="13.5" customHeight="1" x14ac:dyDescent="0.2">
      <c r="A295" s="70"/>
      <c r="B295" s="70"/>
      <c r="C295" s="63"/>
      <c r="D295" s="50"/>
      <c r="E295" s="13"/>
      <c r="F295" s="13"/>
      <c r="G295" s="75"/>
      <c r="H295" s="82"/>
      <c r="I295" s="13"/>
      <c r="J295" s="13"/>
    </row>
    <row r="296" spans="1:10" ht="13.5" customHeight="1" x14ac:dyDescent="0.2">
      <c r="A296" s="70"/>
      <c r="B296" s="70"/>
      <c r="C296" s="63"/>
      <c r="D296" s="50"/>
      <c r="E296" s="13"/>
      <c r="F296" s="13"/>
      <c r="G296" s="75"/>
      <c r="H296" s="82"/>
      <c r="I296" s="13"/>
      <c r="J296" s="13"/>
    </row>
    <row r="297" spans="1:10" ht="13.5" customHeight="1" x14ac:dyDescent="0.2">
      <c r="A297" s="70"/>
      <c r="B297" s="70"/>
      <c r="C297" s="63"/>
      <c r="D297" s="50"/>
      <c r="E297" s="13"/>
      <c r="F297" s="13"/>
      <c r="G297" s="75"/>
      <c r="H297" s="83"/>
      <c r="I297" s="13"/>
      <c r="J297" s="13"/>
    </row>
    <row r="298" spans="1:10" ht="13.5" customHeight="1" x14ac:dyDescent="0.2">
      <c r="A298" s="70"/>
      <c r="B298" s="70"/>
      <c r="C298" s="63"/>
      <c r="D298" s="50"/>
      <c r="E298" s="13"/>
      <c r="F298" s="13"/>
      <c r="G298" s="75"/>
      <c r="H298" s="83"/>
      <c r="I298" s="13"/>
      <c r="J298" s="13"/>
    </row>
    <row r="299" spans="1:10" ht="13.5" customHeight="1" x14ac:dyDescent="0.2">
      <c r="A299" s="131"/>
      <c r="B299" s="70"/>
      <c r="C299" s="64"/>
      <c r="D299" s="50"/>
      <c r="E299" s="13"/>
      <c r="F299" s="13"/>
      <c r="G299" s="75"/>
      <c r="H299" s="84"/>
      <c r="I299" s="13"/>
      <c r="J299" s="13"/>
    </row>
    <row r="300" spans="1:10" ht="13.5" customHeight="1" x14ac:dyDescent="0.2">
      <c r="A300" s="70"/>
      <c r="B300" s="70"/>
      <c r="C300" s="63"/>
      <c r="D300" s="50"/>
      <c r="E300" s="13"/>
      <c r="F300" s="13"/>
      <c r="G300" s="75"/>
      <c r="H300" s="83"/>
      <c r="I300" s="13"/>
      <c r="J300" s="13"/>
    </row>
    <row r="301" spans="1:10" ht="13.5" customHeight="1" x14ac:dyDescent="0.2">
      <c r="A301" s="70"/>
      <c r="B301" s="70"/>
      <c r="C301" s="63"/>
      <c r="D301" s="50"/>
      <c r="E301" s="13"/>
      <c r="F301" s="13"/>
      <c r="G301" s="75"/>
      <c r="H301" s="83"/>
      <c r="I301" s="13"/>
      <c r="J301" s="13"/>
    </row>
    <row r="302" spans="1:10" ht="13.5" customHeight="1" x14ac:dyDescent="0.2">
      <c r="A302" s="131"/>
      <c r="B302" s="70"/>
      <c r="C302" s="85"/>
      <c r="D302" s="50"/>
      <c r="E302" s="13"/>
      <c r="F302" s="13"/>
      <c r="G302" s="75"/>
      <c r="H302" s="83"/>
      <c r="I302" s="13"/>
      <c r="J302" s="13"/>
    </row>
    <row r="303" spans="1:10" ht="13.5" customHeight="1" x14ac:dyDescent="0.2">
      <c r="A303" s="131"/>
      <c r="B303" s="70"/>
      <c r="C303" s="63"/>
      <c r="D303" s="50"/>
      <c r="E303" s="13"/>
      <c r="F303" s="13"/>
      <c r="G303" s="75"/>
      <c r="H303" s="83"/>
      <c r="I303" s="13"/>
      <c r="J303" s="13"/>
    </row>
    <row r="304" spans="1:10" ht="13.5" customHeight="1" x14ac:dyDescent="0.2">
      <c r="A304" s="131"/>
      <c r="B304" s="70"/>
      <c r="C304" s="63"/>
      <c r="D304" s="50"/>
      <c r="E304" s="13"/>
      <c r="F304" s="13"/>
      <c r="G304" s="75"/>
      <c r="H304" s="84"/>
      <c r="I304" s="13"/>
      <c r="J304" s="13"/>
    </row>
    <row r="305" spans="1:10" ht="13.5" customHeight="1" x14ac:dyDescent="0.2">
      <c r="A305" s="131"/>
      <c r="B305" s="70"/>
      <c r="C305" s="64"/>
      <c r="D305" s="50"/>
      <c r="E305" s="13"/>
      <c r="F305" s="13"/>
      <c r="G305" s="75"/>
      <c r="H305" s="83"/>
      <c r="I305" s="13"/>
      <c r="J305" s="13"/>
    </row>
    <row r="306" spans="1:10" ht="13.5" customHeight="1" x14ac:dyDescent="0.2">
      <c r="A306" s="70"/>
      <c r="B306" s="70"/>
      <c r="C306" s="63"/>
      <c r="D306" s="50"/>
      <c r="E306" s="13"/>
      <c r="F306" s="13"/>
      <c r="G306" s="75"/>
      <c r="H306" s="83"/>
      <c r="I306" s="13"/>
      <c r="J306" s="13"/>
    </row>
    <row r="307" spans="1:10" ht="13.5" customHeight="1" x14ac:dyDescent="0.2">
      <c r="A307" s="131"/>
      <c r="B307" s="70"/>
      <c r="C307" s="63"/>
      <c r="D307" s="50"/>
      <c r="E307" s="13"/>
      <c r="F307" s="13"/>
      <c r="G307" s="75"/>
      <c r="H307" s="84"/>
      <c r="I307" s="13"/>
      <c r="J307" s="13"/>
    </row>
    <row r="308" spans="1:10" ht="13.5" customHeight="1" x14ac:dyDescent="0.2">
      <c r="A308" s="131"/>
      <c r="B308" s="70"/>
      <c r="C308" s="64"/>
      <c r="D308" s="50"/>
      <c r="E308" s="13"/>
      <c r="F308" s="13"/>
      <c r="G308" s="75"/>
      <c r="H308" s="84"/>
      <c r="I308" s="13"/>
      <c r="J308" s="13"/>
    </row>
    <row r="309" spans="1:10" ht="13.5" customHeight="1" x14ac:dyDescent="0.2">
      <c r="A309" s="70"/>
      <c r="B309" s="70"/>
      <c r="C309" s="63"/>
      <c r="D309" s="50"/>
      <c r="E309" s="13"/>
      <c r="F309" s="13"/>
      <c r="G309" s="75"/>
      <c r="H309" s="83"/>
      <c r="I309" s="13"/>
      <c r="J309" s="13"/>
    </row>
    <row r="310" spans="1:10" ht="13.5" customHeight="1" x14ac:dyDescent="0.2">
      <c r="A310" s="131"/>
      <c r="B310" s="70"/>
      <c r="C310" s="63"/>
      <c r="D310" s="50"/>
      <c r="E310" s="13"/>
      <c r="F310" s="13"/>
      <c r="G310" s="75"/>
      <c r="H310" s="84"/>
      <c r="I310" s="13"/>
      <c r="J310" s="13"/>
    </row>
    <row r="311" spans="1:10" ht="13.5" customHeight="1" x14ac:dyDescent="0.2">
      <c r="A311" s="131"/>
      <c r="B311" s="70"/>
      <c r="C311" s="64"/>
      <c r="D311" s="50"/>
      <c r="E311" s="13"/>
      <c r="F311" s="13"/>
      <c r="G311" s="75"/>
      <c r="H311" s="84"/>
      <c r="I311" s="13"/>
      <c r="J311" s="13"/>
    </row>
    <row r="312" spans="1:10" ht="13.5" customHeight="1" x14ac:dyDescent="0.2">
      <c r="A312" s="70"/>
      <c r="B312" s="70"/>
      <c r="C312" s="63"/>
      <c r="D312" s="50"/>
      <c r="E312" s="13"/>
      <c r="F312" s="13"/>
      <c r="G312" s="75"/>
      <c r="H312" s="83"/>
      <c r="I312" s="13"/>
      <c r="J312" s="13"/>
    </row>
    <row r="313" spans="1:10" ht="13.5" customHeight="1" x14ac:dyDescent="0.2">
      <c r="A313" s="70"/>
      <c r="B313" s="70"/>
      <c r="C313" s="63"/>
      <c r="D313" s="50"/>
      <c r="E313" s="13"/>
      <c r="F313" s="13"/>
      <c r="G313" s="75"/>
      <c r="H313" s="83"/>
      <c r="I313" s="13"/>
      <c r="J313" s="13"/>
    </row>
    <row r="314" spans="1:10" ht="13.5" customHeight="1" x14ac:dyDescent="0.2">
      <c r="A314" s="70"/>
      <c r="B314" s="70"/>
      <c r="C314" s="63"/>
      <c r="D314" s="50"/>
      <c r="E314" s="13"/>
      <c r="F314" s="13"/>
      <c r="G314" s="75"/>
      <c r="H314" s="82"/>
      <c r="I314" s="13"/>
      <c r="J314" s="13"/>
    </row>
    <row r="315" spans="1:10" ht="13.5" customHeight="1" x14ac:dyDescent="0.2">
      <c r="A315" s="131"/>
      <c r="B315" s="70"/>
      <c r="C315" s="86"/>
      <c r="D315" s="50"/>
      <c r="E315" s="13"/>
      <c r="F315" s="13"/>
      <c r="G315" s="75"/>
      <c r="H315" s="82"/>
      <c r="I315" s="13"/>
      <c r="J315" s="13"/>
    </row>
    <row r="316" spans="1:10" ht="13.5" customHeight="1" x14ac:dyDescent="0.2">
      <c r="A316" s="131"/>
      <c r="B316" s="70"/>
      <c r="C316" s="85"/>
      <c r="D316" s="50"/>
      <c r="E316" s="13"/>
      <c r="F316" s="13"/>
      <c r="G316" s="75"/>
      <c r="H316" s="82"/>
      <c r="I316" s="13"/>
      <c r="J316" s="13"/>
    </row>
    <row r="317" spans="1:10" ht="13.5" customHeight="1" x14ac:dyDescent="0.2">
      <c r="A317" s="131"/>
      <c r="B317" s="70"/>
      <c r="C317" s="87"/>
      <c r="D317" s="50"/>
      <c r="E317" s="13"/>
      <c r="F317" s="13"/>
      <c r="G317" s="75"/>
      <c r="H317" s="82"/>
      <c r="I317" s="13"/>
      <c r="J317" s="13"/>
    </row>
    <row r="318" spans="1:10" ht="13.5" customHeight="1" x14ac:dyDescent="0.2">
      <c r="A318" s="131"/>
      <c r="B318" s="70"/>
      <c r="C318" s="88"/>
      <c r="D318" s="50"/>
      <c r="E318" s="13"/>
      <c r="F318" s="13"/>
      <c r="G318" s="75"/>
      <c r="H318" s="82"/>
      <c r="I318" s="13"/>
      <c r="J318" s="13"/>
    </row>
    <row r="319" spans="1:10" ht="13.5" customHeight="1" x14ac:dyDescent="0.2">
      <c r="A319" s="91"/>
      <c r="B319" s="9"/>
      <c r="C319" s="56"/>
      <c r="D319" s="11"/>
      <c r="E319" s="12"/>
      <c r="F319" s="12"/>
      <c r="G319" s="23"/>
      <c r="H319" s="89"/>
      <c r="I319" s="12"/>
      <c r="J319" s="13"/>
    </row>
    <row r="320" spans="1:10" ht="13.5" customHeight="1" x14ac:dyDescent="0.2">
      <c r="A320" s="9"/>
      <c r="B320" s="9"/>
      <c r="C320" s="56"/>
      <c r="D320" s="11"/>
      <c r="E320" s="12"/>
      <c r="F320" s="12"/>
      <c r="G320" s="23"/>
      <c r="H320" s="90"/>
      <c r="I320" s="12"/>
      <c r="J320" s="13"/>
    </row>
    <row r="321" spans="1:10" ht="13.5" customHeight="1" x14ac:dyDescent="0.2">
      <c r="A321" s="9"/>
      <c r="B321" s="9"/>
      <c r="C321" s="56"/>
      <c r="D321" s="11"/>
      <c r="E321" s="12"/>
      <c r="F321" s="12"/>
      <c r="G321" s="23"/>
      <c r="H321" s="89"/>
      <c r="I321" s="12"/>
      <c r="J321" s="13"/>
    </row>
    <row r="322" spans="1:10" ht="13.5" customHeight="1" x14ac:dyDescent="0.2">
      <c r="A322" s="91"/>
      <c r="B322" s="9"/>
      <c r="D322" s="11"/>
      <c r="E322" s="12"/>
      <c r="F322" s="12"/>
      <c r="G322" s="23"/>
      <c r="H322" s="89"/>
      <c r="I322" s="12"/>
      <c r="J322" s="13"/>
    </row>
    <row r="323" spans="1:10" ht="13.5" customHeight="1" x14ac:dyDescent="0.2">
      <c r="A323" s="9"/>
      <c r="B323" s="9"/>
      <c r="C323" s="56"/>
      <c r="D323" s="11"/>
      <c r="E323" s="12"/>
      <c r="F323" s="12"/>
      <c r="G323" s="23"/>
      <c r="H323" s="90"/>
      <c r="I323" s="12"/>
      <c r="J323" s="13"/>
    </row>
    <row r="324" spans="1:10" ht="13.5" customHeight="1" x14ac:dyDescent="0.2">
      <c r="A324" s="9"/>
      <c r="B324" s="9"/>
      <c r="C324" s="56"/>
      <c r="D324" s="11"/>
      <c r="E324" s="12"/>
      <c r="F324" s="12"/>
      <c r="G324" s="23"/>
      <c r="H324" s="90"/>
      <c r="I324" s="12"/>
      <c r="J324" s="13"/>
    </row>
    <row r="325" spans="1:10" ht="13.5" customHeight="1" x14ac:dyDescent="0.2">
      <c r="A325" s="9"/>
      <c r="B325" s="9"/>
      <c r="C325" s="56"/>
      <c r="D325" s="11"/>
      <c r="E325" s="12"/>
      <c r="F325" s="12"/>
      <c r="G325" s="23"/>
      <c r="H325" s="90"/>
      <c r="I325" s="12"/>
      <c r="J325" s="13"/>
    </row>
    <row r="326" spans="1:10" ht="13.5" customHeight="1" x14ac:dyDescent="0.2">
      <c r="A326" s="91"/>
      <c r="B326" s="9"/>
      <c r="C326" s="27"/>
      <c r="D326" s="11"/>
      <c r="E326" s="12"/>
      <c r="F326" s="12"/>
      <c r="G326" s="23"/>
      <c r="H326" s="92"/>
      <c r="I326" s="12"/>
      <c r="J326" s="13"/>
    </row>
    <row r="327" spans="1:10" ht="13.5" customHeight="1" x14ac:dyDescent="0.2">
      <c r="A327" s="91"/>
      <c r="B327" s="9"/>
      <c r="C327" s="27"/>
      <c r="D327" s="11"/>
      <c r="E327" s="12"/>
      <c r="F327" s="12"/>
      <c r="G327" s="23"/>
      <c r="H327" s="90"/>
      <c r="I327" s="12"/>
      <c r="J327" s="13"/>
    </row>
    <row r="328" spans="1:10" ht="13.5" customHeight="1" x14ac:dyDescent="0.2">
      <c r="A328" s="91"/>
      <c r="B328" s="9"/>
      <c r="D328" s="11"/>
      <c r="E328" s="12"/>
      <c r="F328" s="12"/>
      <c r="G328" s="23"/>
      <c r="H328" s="92"/>
      <c r="I328" s="12"/>
      <c r="J328" s="13"/>
    </row>
    <row r="329" spans="1:10" ht="13.5" customHeight="1" x14ac:dyDescent="0.2">
      <c r="A329" s="9"/>
      <c r="B329" s="9"/>
      <c r="C329" s="56"/>
      <c r="D329" s="11"/>
      <c r="E329" s="12"/>
      <c r="F329" s="12"/>
      <c r="G329" s="23"/>
      <c r="H329" s="89"/>
      <c r="I329" s="12"/>
      <c r="J329" s="13"/>
    </row>
    <row r="330" spans="1:10" ht="13.5" customHeight="1" x14ac:dyDescent="0.2">
      <c r="A330" s="9"/>
      <c r="B330" s="9"/>
      <c r="C330" s="56"/>
      <c r="D330" s="11"/>
      <c r="E330" s="12"/>
      <c r="F330" s="12"/>
      <c r="G330" s="23"/>
      <c r="H330" s="89"/>
      <c r="I330" s="12"/>
      <c r="J330" s="13"/>
    </row>
    <row r="331" spans="1:10" ht="13.5" customHeight="1" x14ac:dyDescent="0.2">
      <c r="A331" s="9"/>
      <c r="B331" s="9"/>
      <c r="C331" s="56"/>
      <c r="D331" s="11"/>
      <c r="E331" s="12"/>
      <c r="F331" s="12"/>
      <c r="G331" s="23"/>
      <c r="H331" s="89"/>
      <c r="I331" s="12"/>
      <c r="J331" s="13"/>
    </row>
    <row r="332" spans="1:10" ht="13.5" customHeight="1" x14ac:dyDescent="0.2">
      <c r="A332" s="9"/>
      <c r="B332" s="9"/>
      <c r="C332" s="56"/>
      <c r="D332" s="11"/>
      <c r="E332" s="12"/>
      <c r="F332" s="12"/>
      <c r="G332" s="23"/>
      <c r="H332" s="89"/>
      <c r="I332" s="12"/>
      <c r="J332" s="13"/>
    </row>
    <row r="333" spans="1:10" x14ac:dyDescent="0.2">
      <c r="A333" s="132"/>
      <c r="B333" s="93"/>
      <c r="C333" s="94"/>
      <c r="D333" s="27"/>
      <c r="E333" s="27"/>
      <c r="F333" s="27"/>
      <c r="G333" s="27"/>
      <c r="H333" s="95"/>
      <c r="I333" s="30"/>
      <c r="J333" s="51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K246"/>
  <sheetViews>
    <sheetView topLeftCell="A32" zoomScale="85" zoomScaleNormal="85" workbookViewId="0">
      <selection activeCell="B200" sqref="B200"/>
    </sheetView>
  </sheetViews>
  <sheetFormatPr defaultColWidth="9" defaultRowHeight="12.75" x14ac:dyDescent="0.2"/>
  <cols>
    <col min="1" max="1" width="11.125" style="96" bestFit="1" customWidth="1"/>
    <col min="2" max="2" width="84.625" style="1" bestFit="1" customWidth="1"/>
    <col min="3" max="3" width="10.75" style="1" customWidth="1"/>
    <col min="4" max="4" width="11.125" style="18" bestFit="1" customWidth="1"/>
    <col min="5" max="6" width="9" style="1"/>
    <col min="7" max="7" width="10.875" style="40" bestFit="1" customWidth="1"/>
    <col min="8" max="9" width="9" style="1"/>
    <col min="10" max="10" width="10.5" style="1" bestFit="1" customWidth="1"/>
    <col min="11" max="16384" width="9" style="1"/>
  </cols>
  <sheetData>
    <row r="1" spans="1:11" x14ac:dyDescent="0.2">
      <c r="F1" s="97" t="s">
        <v>218</v>
      </c>
      <c r="G1" s="97" t="s">
        <v>219</v>
      </c>
      <c r="H1" s="97" t="s">
        <v>220</v>
      </c>
      <c r="I1" s="97" t="s">
        <v>221</v>
      </c>
      <c r="J1" s="97" t="s">
        <v>222</v>
      </c>
    </row>
    <row r="2" spans="1:11" customFormat="1" ht="13.5" customHeight="1" x14ac:dyDescent="0.2">
      <c r="A2" s="137" t="s">
        <v>3762</v>
      </c>
      <c r="B2" s="34" t="s">
        <v>7779</v>
      </c>
      <c r="C2" s="528"/>
      <c r="D2" s="1339">
        <v>6300</v>
      </c>
      <c r="E2" s="1"/>
      <c r="F2" s="100">
        <v>6700</v>
      </c>
      <c r="G2" s="402">
        <v>400</v>
      </c>
      <c r="H2" s="402"/>
      <c r="I2" s="402"/>
      <c r="J2" s="618">
        <v>6300</v>
      </c>
    </row>
    <row r="3" spans="1:11" customFormat="1" ht="13.5" customHeight="1" x14ac:dyDescent="0.2">
      <c r="A3" s="137" t="s">
        <v>3762</v>
      </c>
      <c r="B3" s="34" t="s">
        <v>7751</v>
      </c>
      <c r="C3" s="528"/>
      <c r="D3" s="25">
        <v>940</v>
      </c>
      <c r="E3" s="1"/>
      <c r="F3" s="100">
        <v>1020</v>
      </c>
      <c r="G3" s="402">
        <v>80</v>
      </c>
      <c r="H3" s="402"/>
      <c r="I3" s="402"/>
      <c r="J3" s="618">
        <v>940</v>
      </c>
    </row>
    <row r="4" spans="1:11" ht="13.5" customHeight="1" x14ac:dyDescent="0.2">
      <c r="A4" s="137" t="s">
        <v>3762</v>
      </c>
      <c r="B4" s="34" t="s">
        <v>7784</v>
      </c>
      <c r="C4" s="528"/>
      <c r="D4" s="1339">
        <v>860</v>
      </c>
      <c r="F4" s="100">
        <v>940</v>
      </c>
      <c r="G4" s="402">
        <v>80</v>
      </c>
      <c r="H4" s="402"/>
      <c r="I4" s="402"/>
      <c r="J4" s="618">
        <v>860</v>
      </c>
    </row>
    <row r="5" spans="1:11" ht="13.5" customHeight="1" x14ac:dyDescent="0.2">
      <c r="A5" s="137" t="s">
        <v>3762</v>
      </c>
      <c r="B5" s="34" t="s">
        <v>7755</v>
      </c>
      <c r="C5" s="528"/>
      <c r="D5" s="25">
        <v>940</v>
      </c>
      <c r="E5"/>
      <c r="F5" s="100">
        <v>1020</v>
      </c>
      <c r="G5" s="402">
        <v>80</v>
      </c>
      <c r="H5" s="402"/>
      <c r="I5" s="402"/>
      <c r="J5" s="618">
        <v>940</v>
      </c>
    </row>
    <row r="6" spans="1:11" ht="13.5" customHeight="1" x14ac:dyDescent="0.2">
      <c r="A6" s="137" t="s">
        <v>3762</v>
      </c>
      <c r="B6" s="34" t="s">
        <v>7725</v>
      </c>
      <c r="C6" s="528"/>
      <c r="D6" s="25">
        <v>990</v>
      </c>
      <c r="E6"/>
      <c r="F6" s="100">
        <v>1070</v>
      </c>
      <c r="G6" s="402">
        <v>80</v>
      </c>
      <c r="H6" s="402"/>
      <c r="I6" s="402"/>
      <c r="J6" s="618">
        <v>990</v>
      </c>
    </row>
    <row r="7" spans="1:11" ht="13.5" customHeight="1" x14ac:dyDescent="0.2">
      <c r="A7" s="137" t="s">
        <v>3762</v>
      </c>
      <c r="B7" s="34" t="s">
        <v>7738</v>
      </c>
      <c r="C7" s="528"/>
      <c r="D7" s="25">
        <v>862</v>
      </c>
      <c r="F7" s="100">
        <v>942</v>
      </c>
      <c r="G7" s="402">
        <v>80</v>
      </c>
      <c r="H7" s="402"/>
      <c r="I7" s="402"/>
      <c r="J7" s="618">
        <v>862</v>
      </c>
    </row>
    <row r="8" spans="1:11" ht="13.5" customHeight="1" x14ac:dyDescent="0.2">
      <c r="A8" s="137" t="s">
        <v>3762</v>
      </c>
      <c r="B8" s="34" t="s">
        <v>7728</v>
      </c>
      <c r="C8" s="528"/>
      <c r="D8" s="25">
        <v>862</v>
      </c>
      <c r="F8" s="344">
        <v>942</v>
      </c>
      <c r="G8" s="403">
        <v>80</v>
      </c>
      <c r="H8" s="403"/>
      <c r="I8" s="403"/>
      <c r="J8" s="1066">
        <v>862</v>
      </c>
    </row>
    <row r="9" spans="1:11" ht="13.5" customHeight="1" x14ac:dyDescent="0.2">
      <c r="A9" s="137" t="s">
        <v>3762</v>
      </c>
      <c r="B9" s="34" t="s">
        <v>7739</v>
      </c>
      <c r="C9" s="528"/>
      <c r="D9" s="25">
        <v>533.33333333333337</v>
      </c>
      <c r="F9" s="344">
        <v>560</v>
      </c>
      <c r="G9" s="403">
        <v>26.666666666666664</v>
      </c>
      <c r="H9" s="403"/>
      <c r="I9" s="403"/>
      <c r="J9" s="1066">
        <v>533.33333333333337</v>
      </c>
    </row>
    <row r="10" spans="1:11" ht="13.5" customHeight="1" x14ac:dyDescent="0.2">
      <c r="A10" s="137" t="s">
        <v>3762</v>
      </c>
      <c r="B10" s="34" t="s">
        <v>7793</v>
      </c>
      <c r="C10" s="1340"/>
      <c r="D10" s="116">
        <v>1200</v>
      </c>
      <c r="F10" s="344">
        <v>1338.46</v>
      </c>
      <c r="G10" s="403">
        <v>80</v>
      </c>
      <c r="H10" s="403">
        <v>23.28</v>
      </c>
      <c r="I10" s="403">
        <v>35.18</v>
      </c>
      <c r="J10" s="1066">
        <v>1200</v>
      </c>
    </row>
    <row r="11" spans="1:11" ht="13.5" customHeight="1" x14ac:dyDescent="0.2">
      <c r="A11" s="137" t="s">
        <v>3762</v>
      </c>
      <c r="B11" s="34" t="s">
        <v>7808</v>
      </c>
      <c r="C11" s="528"/>
      <c r="D11" s="25">
        <v>1078.6600000000001</v>
      </c>
      <c r="E11"/>
      <c r="F11" s="344">
        <v>1200</v>
      </c>
      <c r="G11" s="403">
        <v>80</v>
      </c>
      <c r="H11" s="403"/>
      <c r="I11" s="403">
        <v>41.34</v>
      </c>
      <c r="J11" s="1066">
        <v>1078.6600000000001</v>
      </c>
    </row>
    <row r="12" spans="1:11" ht="13.5" customHeight="1" x14ac:dyDescent="0.2">
      <c r="A12" s="137" t="s">
        <v>3762</v>
      </c>
      <c r="B12" s="34" t="s">
        <v>7729</v>
      </c>
      <c r="C12" s="528"/>
      <c r="D12" s="25">
        <v>1100</v>
      </c>
      <c r="F12" s="344">
        <v>1205</v>
      </c>
      <c r="G12" s="403">
        <v>80</v>
      </c>
      <c r="H12" s="403"/>
      <c r="I12" s="403">
        <v>25</v>
      </c>
      <c r="J12" s="1066">
        <v>1100</v>
      </c>
    </row>
    <row r="13" spans="1:11" ht="13.5" customHeight="1" x14ac:dyDescent="0.2">
      <c r="A13" s="137" t="s">
        <v>3762</v>
      </c>
      <c r="B13" s="34" t="s">
        <v>9</v>
      </c>
      <c r="C13" s="173"/>
      <c r="D13" s="1341">
        <v>900</v>
      </c>
      <c r="F13" s="344">
        <v>900</v>
      </c>
      <c r="G13" s="403"/>
      <c r="H13" s="403"/>
      <c r="I13" s="403"/>
      <c r="J13" s="1066">
        <v>900</v>
      </c>
    </row>
    <row r="14" spans="1:11" ht="13.5" customHeight="1" x14ac:dyDescent="0.2">
      <c r="A14" s="137" t="s">
        <v>3762</v>
      </c>
      <c r="B14" s="34" t="s">
        <v>10</v>
      </c>
      <c r="C14" s="528"/>
      <c r="D14" s="25">
        <v>1146.67</v>
      </c>
      <c r="G14" s="1"/>
    </row>
    <row r="15" spans="1:11" ht="13.5" customHeight="1" x14ac:dyDescent="0.2">
      <c r="A15" s="137" t="s">
        <v>3762</v>
      </c>
      <c r="B15" s="34" t="s">
        <v>7865</v>
      </c>
      <c r="C15" s="528"/>
      <c r="D15" s="25">
        <v>1971.4099999999999</v>
      </c>
      <c r="F15" s="100">
        <v>2148.66</v>
      </c>
      <c r="G15" s="101"/>
      <c r="H15" s="102"/>
      <c r="I15" s="24">
        <v>177.25</v>
      </c>
      <c r="J15" s="618">
        <v>1971.4099999999999</v>
      </c>
      <c r="K15" s="365"/>
    </row>
    <row r="16" spans="1:11" ht="13.5" customHeight="1" x14ac:dyDescent="0.2">
      <c r="A16" s="137" t="s">
        <v>3762</v>
      </c>
      <c r="B16" s="34" t="s">
        <v>7740</v>
      </c>
      <c r="C16" s="528"/>
      <c r="D16" s="25">
        <v>1360</v>
      </c>
      <c r="F16" s="100">
        <v>1360</v>
      </c>
      <c r="G16" s="101"/>
      <c r="H16" s="102"/>
      <c r="I16" s="24"/>
      <c r="J16" s="618">
        <v>1360</v>
      </c>
    </row>
    <row r="17" spans="1:10" ht="13.5" customHeight="1" x14ac:dyDescent="0.2">
      <c r="A17" s="137" t="s">
        <v>3762</v>
      </c>
      <c r="B17" s="34" t="s">
        <v>7752</v>
      </c>
      <c r="C17" s="173"/>
      <c r="D17" s="1341">
        <v>1200</v>
      </c>
      <c r="F17" s="100">
        <v>1200</v>
      </c>
      <c r="G17" s="101"/>
      <c r="H17" s="102"/>
      <c r="I17" s="24"/>
      <c r="J17" s="618">
        <v>1200</v>
      </c>
    </row>
    <row r="18" spans="1:10" ht="13.5" customHeight="1" x14ac:dyDescent="0.2">
      <c r="A18" s="137" t="s">
        <v>3762</v>
      </c>
      <c r="B18" s="34" t="s">
        <v>7761</v>
      </c>
      <c r="C18" s="528"/>
      <c r="D18" s="25">
        <v>3370</v>
      </c>
      <c r="F18" s="100">
        <v>3457.45</v>
      </c>
      <c r="G18" s="101"/>
      <c r="H18" s="102"/>
      <c r="I18" s="24">
        <v>87.45</v>
      </c>
      <c r="J18" s="618">
        <v>3370</v>
      </c>
    </row>
    <row r="19" spans="1:10" ht="13.5" customHeight="1" x14ac:dyDescent="0.2">
      <c r="A19" s="137" t="s">
        <v>3762</v>
      </c>
      <c r="B19" s="34" t="s">
        <v>7786</v>
      </c>
      <c r="C19" s="528"/>
      <c r="D19" s="25">
        <v>2050</v>
      </c>
      <c r="F19" s="100">
        <v>2103.3000000000002</v>
      </c>
      <c r="G19" s="101"/>
      <c r="H19" s="102"/>
      <c r="I19" s="24">
        <v>53.3</v>
      </c>
      <c r="J19" s="618">
        <v>2050</v>
      </c>
    </row>
    <row r="20" spans="1:10" ht="13.5" customHeight="1" x14ac:dyDescent="0.2">
      <c r="A20" s="137" t="s">
        <v>3762</v>
      </c>
      <c r="B20" s="34" t="s">
        <v>7187</v>
      </c>
      <c r="C20" s="528"/>
      <c r="D20" s="25">
        <v>5000</v>
      </c>
      <c r="F20" s="100">
        <v>5072.82</v>
      </c>
      <c r="G20" s="101"/>
      <c r="H20" s="102"/>
      <c r="I20" s="24">
        <v>72.819999999999993</v>
      </c>
      <c r="J20" s="618">
        <v>5000</v>
      </c>
    </row>
    <row r="21" spans="1:10" ht="13.5" customHeight="1" x14ac:dyDescent="0.2">
      <c r="A21" s="137" t="s">
        <v>3762</v>
      </c>
      <c r="B21" s="34" t="s">
        <v>7754</v>
      </c>
      <c r="C21" s="528"/>
      <c r="D21" s="1330">
        <v>185</v>
      </c>
      <c r="G21" s="529">
        <v>1146.6666666666665</v>
      </c>
      <c r="I21" s="529">
        <v>492.34</v>
      </c>
    </row>
    <row r="22" spans="1:10" ht="13.5" customHeight="1" x14ac:dyDescent="0.2">
      <c r="A22" s="137" t="s">
        <v>3762</v>
      </c>
      <c r="B22" s="34" t="s">
        <v>7747</v>
      </c>
      <c r="C22" s="528"/>
      <c r="D22" s="1330">
        <v>190</v>
      </c>
      <c r="G22" s="529"/>
    </row>
    <row r="23" spans="1:10" ht="13.5" customHeight="1" x14ac:dyDescent="0.2">
      <c r="A23" s="137" t="s">
        <v>3762</v>
      </c>
      <c r="B23" s="34" t="s">
        <v>7759</v>
      </c>
      <c r="C23" s="528"/>
      <c r="D23" s="1330">
        <v>185</v>
      </c>
    </row>
    <row r="24" spans="1:10" ht="13.5" customHeight="1" x14ac:dyDescent="0.2">
      <c r="A24" s="137" t="s">
        <v>3762</v>
      </c>
      <c r="B24" s="34" t="s">
        <v>7726</v>
      </c>
      <c r="C24" s="528"/>
      <c r="D24" s="1330">
        <v>220</v>
      </c>
    </row>
    <row r="25" spans="1:10" ht="13.5" customHeight="1" x14ac:dyDescent="0.2">
      <c r="A25" s="137" t="s">
        <v>3762</v>
      </c>
      <c r="B25" s="34" t="s">
        <v>7753</v>
      </c>
      <c r="C25" s="528"/>
      <c r="D25" s="1330">
        <v>60</v>
      </c>
    </row>
    <row r="26" spans="1:10" ht="13.5" customHeight="1" x14ac:dyDescent="0.2">
      <c r="A26" s="137" t="s">
        <v>3762</v>
      </c>
      <c r="B26" s="34" t="s">
        <v>7727</v>
      </c>
      <c r="C26" s="528"/>
      <c r="D26" s="1330">
        <v>60</v>
      </c>
    </row>
    <row r="27" spans="1:10" ht="13.5" customHeight="1" x14ac:dyDescent="0.2">
      <c r="A27" s="137" t="s">
        <v>3762</v>
      </c>
      <c r="B27" s="34" t="s">
        <v>7756</v>
      </c>
      <c r="C27" s="528"/>
      <c r="D27" s="1330">
        <v>80</v>
      </c>
      <c r="E27" s="745">
        <v>980</v>
      </c>
    </row>
    <row r="28" spans="1:10" ht="13.5" customHeight="1" x14ac:dyDescent="0.2">
      <c r="A28" s="137" t="s">
        <v>3762</v>
      </c>
      <c r="B28" s="34" t="s">
        <v>1792</v>
      </c>
      <c r="C28" s="528"/>
      <c r="D28" s="25">
        <v>492.34</v>
      </c>
      <c r="E28" s="745"/>
    </row>
    <row r="29" spans="1:10" ht="13.5" customHeight="1" x14ac:dyDescent="0.2">
      <c r="A29" s="137"/>
      <c r="B29" s="34"/>
      <c r="C29" s="528"/>
      <c r="D29" s="1332">
        <v>34136.41333333333</v>
      </c>
    </row>
    <row r="30" spans="1:10" ht="13.5" customHeight="1" x14ac:dyDescent="0.2">
      <c r="A30" s="137"/>
      <c r="B30" s="34"/>
      <c r="C30" s="528"/>
      <c r="D30" s="25"/>
    </row>
    <row r="31" spans="1:10" ht="13.5" customHeight="1" x14ac:dyDescent="0.2">
      <c r="A31" s="137" t="s">
        <v>3762</v>
      </c>
      <c r="B31" s="34" t="s">
        <v>1211</v>
      </c>
      <c r="C31" s="110"/>
      <c r="D31" s="25">
        <v>900</v>
      </c>
      <c r="F31" s="100">
        <v>900</v>
      </c>
      <c r="G31" s="109"/>
      <c r="H31" s="109"/>
      <c r="I31" s="109"/>
      <c r="J31" s="618">
        <v>900</v>
      </c>
    </row>
    <row r="32" spans="1:10" ht="13.5" customHeight="1" x14ac:dyDescent="0.2">
      <c r="A32" s="137" t="s">
        <v>3762</v>
      </c>
      <c r="B32" s="34" t="s">
        <v>7787</v>
      </c>
      <c r="C32" s="528"/>
      <c r="D32" s="25">
        <v>7500</v>
      </c>
      <c r="F32" s="100">
        <v>7977.69</v>
      </c>
      <c r="G32" s="109"/>
      <c r="H32" s="109"/>
      <c r="I32" s="109">
        <v>477.69</v>
      </c>
      <c r="J32" s="618">
        <v>7500</v>
      </c>
    </row>
    <row r="33" spans="1:10" ht="13.5" customHeight="1" x14ac:dyDescent="0.2">
      <c r="A33" s="137" t="s">
        <v>3762</v>
      </c>
      <c r="B33" s="34" t="s">
        <v>7842</v>
      </c>
      <c r="C33" s="284"/>
      <c r="D33" s="1070">
        <v>4731.47</v>
      </c>
      <c r="F33" s="100">
        <v>4731.47</v>
      </c>
      <c r="G33" s="109"/>
      <c r="H33" s="109"/>
      <c r="I33" s="109"/>
      <c r="J33" s="618">
        <v>4731.47</v>
      </c>
    </row>
    <row r="34" spans="1:10" ht="13.5" customHeight="1" x14ac:dyDescent="0.2">
      <c r="A34" s="137" t="s">
        <v>3762</v>
      </c>
      <c r="B34" s="34" t="s">
        <v>3542</v>
      </c>
      <c r="C34" s="284"/>
      <c r="D34" s="1070">
        <v>477.69</v>
      </c>
      <c r="F34" s="885"/>
      <c r="G34" s="1044">
        <v>0</v>
      </c>
      <c r="H34" s="1044">
        <v>0</v>
      </c>
      <c r="I34" s="1045">
        <v>477.69</v>
      </c>
      <c r="J34" s="887"/>
    </row>
    <row r="35" spans="1:10" ht="13.5" customHeight="1" x14ac:dyDescent="0.2">
      <c r="A35" s="137"/>
      <c r="B35" s="34"/>
      <c r="C35" s="284"/>
      <c r="D35" s="1342">
        <v>13609.160000000002</v>
      </c>
    </row>
    <row r="36" spans="1:10" ht="13.5" customHeight="1" x14ac:dyDescent="0.2">
      <c r="A36" s="137"/>
      <c r="B36" s="34"/>
      <c r="C36" s="284"/>
      <c r="D36" s="1070"/>
    </row>
    <row r="37" spans="1:10" ht="13.5" customHeight="1" x14ac:dyDescent="0.2">
      <c r="A37" s="137" t="s">
        <v>223</v>
      </c>
      <c r="B37" s="34" t="s">
        <v>189</v>
      </c>
      <c r="C37" s="284">
        <v>5022.83</v>
      </c>
      <c r="D37" s="25"/>
      <c r="E37"/>
    </row>
    <row r="38" spans="1:10" ht="13.5" customHeight="1" x14ac:dyDescent="0.2">
      <c r="A38" s="137" t="s">
        <v>223</v>
      </c>
      <c r="B38" s="34" t="s">
        <v>189</v>
      </c>
      <c r="C38" s="284">
        <v>4731.47</v>
      </c>
      <c r="D38" s="25"/>
      <c r="E38"/>
      <c r="F38"/>
    </row>
    <row r="39" spans="1:10" ht="13.5" customHeight="1" x14ac:dyDescent="0.2">
      <c r="A39" s="137" t="s">
        <v>223</v>
      </c>
      <c r="B39" s="34" t="s">
        <v>174</v>
      </c>
      <c r="C39" s="284">
        <v>-11.9</v>
      </c>
      <c r="D39" s="1070"/>
      <c r="F39"/>
    </row>
    <row r="40" spans="1:10" ht="13.5" customHeight="1" x14ac:dyDescent="0.2">
      <c r="A40" s="137" t="s">
        <v>223</v>
      </c>
      <c r="B40" s="34" t="s">
        <v>174</v>
      </c>
      <c r="C40" s="284">
        <v>-101.01</v>
      </c>
      <c r="D40" s="1070"/>
    </row>
    <row r="41" spans="1:10" ht="13.5" customHeight="1" x14ac:dyDescent="0.2">
      <c r="A41" s="137" t="s">
        <v>223</v>
      </c>
      <c r="B41" s="34" t="s">
        <v>174</v>
      </c>
      <c r="C41" s="284">
        <v>-192</v>
      </c>
      <c r="D41" s="1070"/>
    </row>
    <row r="42" spans="1:10" ht="13.5" customHeight="1" x14ac:dyDescent="0.2">
      <c r="A42" s="137" t="s">
        <v>223</v>
      </c>
      <c r="B42" s="34" t="s">
        <v>174</v>
      </c>
      <c r="C42" s="284">
        <v>-260</v>
      </c>
      <c r="D42" s="1070"/>
    </row>
    <row r="43" spans="1:10" ht="13.5" customHeight="1" x14ac:dyDescent="0.2">
      <c r="A43" s="137" t="s">
        <v>223</v>
      </c>
      <c r="B43" s="34" t="s">
        <v>174</v>
      </c>
      <c r="C43" s="284">
        <v>-314.93</v>
      </c>
      <c r="D43" s="1070"/>
    </row>
    <row r="44" spans="1:10" ht="13.5" customHeight="1" x14ac:dyDescent="0.2">
      <c r="A44" s="137" t="s">
        <v>223</v>
      </c>
      <c r="B44" s="34" t="s">
        <v>174</v>
      </c>
      <c r="C44" s="284">
        <v>-551.79</v>
      </c>
      <c r="D44" s="1070"/>
    </row>
    <row r="45" spans="1:10" ht="13.5" customHeight="1" x14ac:dyDescent="0.2">
      <c r="A45" s="137" t="s">
        <v>223</v>
      </c>
      <c r="B45" s="34" t="s">
        <v>174</v>
      </c>
      <c r="C45" s="284">
        <v>-1242.49</v>
      </c>
      <c r="D45" s="1070"/>
    </row>
    <row r="46" spans="1:10" ht="13.5" customHeight="1" x14ac:dyDescent="0.2">
      <c r="A46" s="137" t="s">
        <v>223</v>
      </c>
      <c r="B46" s="34" t="s">
        <v>174</v>
      </c>
      <c r="C46" s="284">
        <v>-1629</v>
      </c>
      <c r="D46" s="1070"/>
    </row>
    <row r="47" spans="1:10" ht="13.5" customHeight="1" x14ac:dyDescent="0.2">
      <c r="A47" s="137" t="s">
        <v>223</v>
      </c>
      <c r="B47" s="34" t="s">
        <v>174</v>
      </c>
      <c r="C47" s="284">
        <v>-1761.36</v>
      </c>
      <c r="D47" s="1070"/>
    </row>
    <row r="48" spans="1:10" customFormat="1" x14ac:dyDescent="0.2">
      <c r="A48" s="137" t="s">
        <v>223</v>
      </c>
      <c r="B48" s="34" t="s">
        <v>174</v>
      </c>
      <c r="C48" s="284">
        <v>-2119.35</v>
      </c>
      <c r="D48" s="1070"/>
      <c r="E48" s="1"/>
      <c r="F48" s="1"/>
      <c r="G48" s="40"/>
      <c r="H48" s="1"/>
      <c r="I48" s="1"/>
      <c r="J48" s="1"/>
    </row>
    <row r="49" spans="1:10" customFormat="1" x14ac:dyDescent="0.2">
      <c r="A49" s="137"/>
      <c r="B49" s="34"/>
      <c r="C49" s="1333">
        <v>1570.4699999999989</v>
      </c>
      <c r="D49" s="1070"/>
      <c r="E49" s="1"/>
      <c r="F49" s="1"/>
      <c r="G49" s="40"/>
      <c r="H49" s="1"/>
      <c r="I49" s="1"/>
      <c r="J49" s="1"/>
    </row>
    <row r="50" spans="1:10" customFormat="1" x14ac:dyDescent="0.2">
      <c r="A50" s="137"/>
      <c r="B50" s="34"/>
      <c r="C50" s="284"/>
      <c r="D50" s="1070"/>
      <c r="E50" s="1"/>
      <c r="F50" s="1"/>
      <c r="G50" s="40"/>
      <c r="H50" s="1"/>
      <c r="I50" s="1"/>
      <c r="J50" s="1"/>
    </row>
    <row r="51" spans="1:10" ht="13.5" customHeight="1" x14ac:dyDescent="0.2">
      <c r="A51" s="137" t="s">
        <v>224</v>
      </c>
      <c r="B51" s="34" t="s">
        <v>128</v>
      </c>
      <c r="C51" s="284">
        <v>33.97</v>
      </c>
      <c r="D51" s="25"/>
      <c r="H51"/>
      <c r="I51"/>
      <c r="J51"/>
    </row>
    <row r="52" spans="1:10" ht="13.5" customHeight="1" x14ac:dyDescent="0.2">
      <c r="A52" s="137" t="s">
        <v>224</v>
      </c>
      <c r="B52" s="34" t="s">
        <v>62</v>
      </c>
      <c r="C52" s="284">
        <v>427.83</v>
      </c>
      <c r="D52" s="25"/>
    </row>
    <row r="53" spans="1:10" ht="13.5" customHeight="1" x14ac:dyDescent="0.2">
      <c r="A53" s="137" t="s">
        <v>224</v>
      </c>
      <c r="B53" s="34" t="s">
        <v>6199</v>
      </c>
      <c r="C53" s="284">
        <v>134.86000000000001</v>
      </c>
      <c r="D53" s="25"/>
    </row>
    <row r="54" spans="1:10" ht="13.5" customHeight="1" x14ac:dyDescent="0.2">
      <c r="A54" s="137" t="s">
        <v>224</v>
      </c>
      <c r="B54" s="34" t="s">
        <v>7866</v>
      </c>
      <c r="C54" s="284">
        <v>400</v>
      </c>
      <c r="D54" s="25"/>
    </row>
    <row r="55" spans="1:10" ht="13.5" customHeight="1" x14ac:dyDescent="0.2">
      <c r="A55" s="137"/>
      <c r="B55" s="34"/>
      <c r="C55" s="1333">
        <v>996.66</v>
      </c>
      <c r="D55" s="25"/>
    </row>
    <row r="56" spans="1:10" ht="13.5" customHeight="1" x14ac:dyDescent="0.2">
      <c r="A56" s="137"/>
      <c r="B56" s="34"/>
      <c r="C56" s="284"/>
      <c r="D56" s="25"/>
    </row>
    <row r="57" spans="1:10" ht="13.5" customHeight="1" x14ac:dyDescent="0.2">
      <c r="A57" s="137" t="s">
        <v>224</v>
      </c>
      <c r="B57" s="34" t="s">
        <v>7745</v>
      </c>
      <c r="C57" s="528">
        <v>75</v>
      </c>
      <c r="D57" s="25"/>
    </row>
    <row r="58" spans="1:10" ht="13.5" customHeight="1" x14ac:dyDescent="0.2">
      <c r="A58" s="137" t="s">
        <v>224</v>
      </c>
      <c r="B58" s="34" t="s">
        <v>7816</v>
      </c>
      <c r="C58" s="528">
        <v>75</v>
      </c>
      <c r="D58" s="25"/>
    </row>
    <row r="59" spans="1:10" ht="13.5" customHeight="1" x14ac:dyDescent="0.2">
      <c r="A59" s="137" t="s">
        <v>224</v>
      </c>
      <c r="B59" s="34" t="s">
        <v>7814</v>
      </c>
      <c r="C59" s="528">
        <v>75</v>
      </c>
      <c r="D59" s="25"/>
    </row>
    <row r="60" spans="1:10" ht="13.5" customHeight="1" x14ac:dyDescent="0.2">
      <c r="A60" s="137" t="s">
        <v>224</v>
      </c>
      <c r="B60" s="34" t="s">
        <v>7743</v>
      </c>
      <c r="C60" s="528">
        <v>75</v>
      </c>
      <c r="D60" s="25"/>
    </row>
    <row r="61" spans="1:10" ht="13.5" customHeight="1" x14ac:dyDescent="0.2">
      <c r="A61" s="137" t="s">
        <v>224</v>
      </c>
      <c r="B61" s="34" t="s">
        <v>7744</v>
      </c>
      <c r="C61" s="528">
        <v>75</v>
      </c>
      <c r="D61" s="25"/>
    </row>
    <row r="62" spans="1:10" ht="13.5" customHeight="1" x14ac:dyDescent="0.2">
      <c r="A62" s="137" t="s">
        <v>224</v>
      </c>
      <c r="B62" s="34" t="s">
        <v>7813</v>
      </c>
      <c r="C62" s="528">
        <v>75</v>
      </c>
      <c r="D62" s="25"/>
    </row>
    <row r="63" spans="1:10" ht="13.5" customHeight="1" x14ac:dyDescent="0.2">
      <c r="A63" s="137" t="s">
        <v>224</v>
      </c>
      <c r="B63" s="34" t="s">
        <v>7815</v>
      </c>
      <c r="C63" s="528">
        <v>75</v>
      </c>
      <c r="D63" s="25"/>
    </row>
    <row r="64" spans="1:10" ht="13.5" customHeight="1" x14ac:dyDescent="0.2">
      <c r="A64" s="137" t="s">
        <v>224</v>
      </c>
      <c r="B64" s="34" t="s">
        <v>7742</v>
      </c>
      <c r="C64" s="528">
        <v>75</v>
      </c>
      <c r="D64" s="25">
        <v>400</v>
      </c>
    </row>
    <row r="65" spans="1:7" ht="13.5" customHeight="1" x14ac:dyDescent="0.2">
      <c r="A65" s="137"/>
      <c r="B65" s="34"/>
      <c r="C65" s="284">
        <v>600</v>
      </c>
      <c r="D65" s="25">
        <v>200</v>
      </c>
    </row>
    <row r="66" spans="1:7" ht="13.5" customHeight="1" x14ac:dyDescent="0.2">
      <c r="A66" s="137"/>
      <c r="B66" s="34"/>
      <c r="C66" s="284"/>
      <c r="D66" s="25"/>
    </row>
    <row r="67" spans="1:7" ht="13.5" customHeight="1" x14ac:dyDescent="0.2">
      <c r="A67" s="137" t="s">
        <v>225</v>
      </c>
      <c r="B67" s="34" t="s">
        <v>7827</v>
      </c>
      <c r="C67" s="1333">
        <v>321.13</v>
      </c>
      <c r="D67" s="25"/>
    </row>
    <row r="68" spans="1:7" ht="13.5" customHeight="1" x14ac:dyDescent="0.2">
      <c r="A68" s="137"/>
      <c r="B68" s="34"/>
      <c r="C68" s="284"/>
      <c r="D68" s="25"/>
    </row>
    <row r="69" spans="1:7" ht="13.5" customHeight="1" x14ac:dyDescent="0.2">
      <c r="A69" s="137" t="s">
        <v>226</v>
      </c>
      <c r="B69" s="34" t="s">
        <v>80</v>
      </c>
      <c r="C69" s="284">
        <v>59.55</v>
      </c>
      <c r="D69" s="60"/>
      <c r="F69" s="1" t="s">
        <v>7858</v>
      </c>
      <c r="G69" s="40">
        <v>40.6</v>
      </c>
    </row>
    <row r="70" spans="1:7" ht="13.5" customHeight="1" x14ac:dyDescent="0.2">
      <c r="A70" s="137" t="s">
        <v>226</v>
      </c>
      <c r="B70" s="34" t="s">
        <v>7598</v>
      </c>
      <c r="C70" s="284">
        <v>76.180000000000007</v>
      </c>
      <c r="D70" s="25"/>
      <c r="F70" s="1" t="s">
        <v>7858</v>
      </c>
      <c r="G70" s="40">
        <v>53</v>
      </c>
    </row>
    <row r="71" spans="1:7" ht="13.5" customHeight="1" x14ac:dyDescent="0.2">
      <c r="A71" s="137" t="s">
        <v>226</v>
      </c>
      <c r="B71" s="34" t="s">
        <v>127</v>
      </c>
      <c r="C71" s="284">
        <v>23.28</v>
      </c>
      <c r="D71" s="25"/>
      <c r="F71" s="1" t="s">
        <v>7776</v>
      </c>
      <c r="G71" s="40">
        <v>57.23</v>
      </c>
    </row>
    <row r="72" spans="1:7" ht="13.5" customHeight="1" x14ac:dyDescent="0.2">
      <c r="A72" s="137" t="s">
        <v>226</v>
      </c>
      <c r="B72" s="34" t="s">
        <v>129</v>
      </c>
      <c r="C72" s="284">
        <v>39.18</v>
      </c>
      <c r="D72" s="25"/>
      <c r="F72" s="1" t="s">
        <v>7777</v>
      </c>
      <c r="G72" s="40">
        <v>174</v>
      </c>
    </row>
    <row r="73" spans="1:7" ht="13.5" customHeight="1" x14ac:dyDescent="0.2">
      <c r="A73" s="137" t="s">
        <v>226</v>
      </c>
      <c r="B73" s="34" t="s">
        <v>129</v>
      </c>
      <c r="C73" s="284">
        <v>38.81</v>
      </c>
      <c r="D73" s="25"/>
      <c r="F73" s="1" t="s">
        <v>7778</v>
      </c>
      <c r="G73" s="40">
        <v>45</v>
      </c>
    </row>
    <row r="74" spans="1:7" ht="13.5" customHeight="1" x14ac:dyDescent="0.2">
      <c r="A74" s="137" t="s">
        <v>226</v>
      </c>
      <c r="B74" s="34" t="s">
        <v>131</v>
      </c>
      <c r="C74" s="284">
        <v>36.14</v>
      </c>
      <c r="D74" s="25"/>
      <c r="F74" s="1" t="s">
        <v>7857</v>
      </c>
      <c r="G74" s="40">
        <v>8</v>
      </c>
    </row>
    <row r="75" spans="1:7" ht="13.5" customHeight="1" x14ac:dyDescent="0.2">
      <c r="A75" s="137" t="s">
        <v>226</v>
      </c>
      <c r="B75" s="34" t="s">
        <v>7794</v>
      </c>
      <c r="C75" s="528">
        <v>215</v>
      </c>
      <c r="D75" s="25"/>
      <c r="F75" s="1" t="s">
        <v>7760</v>
      </c>
      <c r="G75" s="40">
        <v>0.7</v>
      </c>
    </row>
    <row r="76" spans="1:7" ht="13.5" customHeight="1" x14ac:dyDescent="0.2">
      <c r="A76" s="137" t="s">
        <v>226</v>
      </c>
      <c r="B76" s="34" t="s">
        <v>7762</v>
      </c>
      <c r="C76" s="528">
        <v>18.309999999999999</v>
      </c>
      <c r="D76" s="25"/>
      <c r="F76" s="1" t="s">
        <v>7760</v>
      </c>
      <c r="G76" s="40">
        <v>1</v>
      </c>
    </row>
    <row r="77" spans="1:7" ht="13.5" customHeight="1" x14ac:dyDescent="0.2">
      <c r="A77" s="137" t="s">
        <v>226</v>
      </c>
      <c r="B77" s="34" t="s">
        <v>558</v>
      </c>
      <c r="C77" s="284">
        <v>60.65</v>
      </c>
      <c r="D77" s="25"/>
      <c r="F77" s="1" t="s">
        <v>7760</v>
      </c>
      <c r="G77" s="40">
        <v>1</v>
      </c>
    </row>
    <row r="78" spans="1:7" ht="13.5" customHeight="1" x14ac:dyDescent="0.2">
      <c r="A78" s="137" t="s">
        <v>226</v>
      </c>
      <c r="B78" s="34" t="s">
        <v>7737</v>
      </c>
      <c r="C78" s="528">
        <v>18.23</v>
      </c>
      <c r="D78" s="25"/>
      <c r="F78" s="1" t="s">
        <v>7760</v>
      </c>
      <c r="G78" s="40">
        <v>2.6</v>
      </c>
    </row>
    <row r="79" spans="1:7" ht="13.5" customHeight="1" x14ac:dyDescent="0.2">
      <c r="A79" s="137" t="s">
        <v>226</v>
      </c>
      <c r="B79" s="34" t="s">
        <v>7824</v>
      </c>
      <c r="C79" s="284">
        <v>192</v>
      </c>
      <c r="D79" s="25"/>
      <c r="F79" s="1" t="s">
        <v>7760</v>
      </c>
      <c r="G79" s="40">
        <v>7.3</v>
      </c>
    </row>
    <row r="80" spans="1:7" ht="13.5" customHeight="1" x14ac:dyDescent="0.2">
      <c r="A80" s="137" t="s">
        <v>226</v>
      </c>
      <c r="B80" s="34" t="s">
        <v>7792</v>
      </c>
      <c r="C80" s="528">
        <v>38.58</v>
      </c>
      <c r="D80" s="25"/>
      <c r="G80" s="40">
        <v>390.43</v>
      </c>
    </row>
    <row r="81" spans="1:4" ht="13.5" customHeight="1" x14ac:dyDescent="0.2">
      <c r="A81" s="137" t="s">
        <v>226</v>
      </c>
      <c r="B81" s="36" t="s">
        <v>7791</v>
      </c>
      <c r="C81" s="528">
        <v>12.86</v>
      </c>
      <c r="D81" s="25"/>
    </row>
    <row r="82" spans="1:4" ht="13.5" customHeight="1" x14ac:dyDescent="0.2">
      <c r="A82" s="137" t="s">
        <v>226</v>
      </c>
      <c r="B82" s="36" t="s">
        <v>7788</v>
      </c>
      <c r="C82" s="528">
        <v>12.9</v>
      </c>
      <c r="D82" s="25"/>
    </row>
    <row r="83" spans="1:4" ht="13.5" customHeight="1" x14ac:dyDescent="0.2">
      <c r="A83" s="137" t="s">
        <v>226</v>
      </c>
      <c r="B83" s="34" t="s">
        <v>7758</v>
      </c>
      <c r="C83" s="528">
        <v>-122</v>
      </c>
      <c r="D83" s="1339"/>
    </row>
    <row r="84" spans="1:4" ht="13.5" customHeight="1" x14ac:dyDescent="0.2">
      <c r="A84" s="137" t="s">
        <v>226</v>
      </c>
      <c r="B84" s="34" t="s">
        <v>7867</v>
      </c>
      <c r="C84" s="528">
        <v>-23.28</v>
      </c>
      <c r="D84" s="1339"/>
    </row>
    <row r="85" spans="1:4" ht="13.5" customHeight="1" x14ac:dyDescent="0.2">
      <c r="A85" s="137" t="s">
        <v>226</v>
      </c>
      <c r="B85" s="34" t="s">
        <v>227</v>
      </c>
      <c r="C85" s="528">
        <v>195.215</v>
      </c>
      <c r="D85" s="1339"/>
    </row>
    <row r="86" spans="1:4" ht="13.5" customHeight="1" x14ac:dyDescent="0.2">
      <c r="A86" s="137"/>
      <c r="B86" s="34"/>
      <c r="C86" s="1343">
        <v>891.60500000000013</v>
      </c>
      <c r="D86" s="25"/>
    </row>
    <row r="87" spans="1:4" ht="13.5" customHeight="1" x14ac:dyDescent="0.2">
      <c r="A87" s="137"/>
      <c r="B87" s="34"/>
      <c r="C87" s="528"/>
      <c r="D87" s="25"/>
    </row>
    <row r="88" spans="1:4" ht="13.5" customHeight="1" x14ac:dyDescent="0.2">
      <c r="A88" s="137" t="s">
        <v>226</v>
      </c>
      <c r="B88" s="138" t="s">
        <v>199</v>
      </c>
      <c r="C88" s="284">
        <v>135.16999999999999</v>
      </c>
      <c r="D88" s="25"/>
    </row>
    <row r="89" spans="1:4" ht="13.5" customHeight="1" x14ac:dyDescent="0.2">
      <c r="A89" s="137" t="s">
        <v>226</v>
      </c>
      <c r="B89" s="34" t="s">
        <v>180</v>
      </c>
      <c r="C89" s="284">
        <v>101.01</v>
      </c>
      <c r="D89" s="25"/>
    </row>
    <row r="90" spans="1:4" ht="13.5" customHeight="1" x14ac:dyDescent="0.2">
      <c r="A90" s="137" t="s">
        <v>226</v>
      </c>
      <c r="B90" s="34" t="s">
        <v>7862</v>
      </c>
      <c r="C90" s="110">
        <v>426.14</v>
      </c>
      <c r="D90" s="25"/>
    </row>
    <row r="91" spans="1:4" ht="13.5" customHeight="1" x14ac:dyDescent="0.2">
      <c r="A91" s="137" t="s">
        <v>226</v>
      </c>
      <c r="B91" s="34" t="s">
        <v>7802</v>
      </c>
      <c r="C91" s="528">
        <v>400</v>
      </c>
      <c r="D91" s="25"/>
    </row>
    <row r="92" spans="1:4" ht="13.5" customHeight="1" x14ac:dyDescent="0.2">
      <c r="A92" s="137" t="s">
        <v>226</v>
      </c>
      <c r="B92" s="34" t="s">
        <v>7766</v>
      </c>
      <c r="C92" s="528">
        <v>5.99</v>
      </c>
      <c r="D92" s="25"/>
    </row>
    <row r="93" spans="1:4" ht="13.5" customHeight="1" x14ac:dyDescent="0.2">
      <c r="A93" s="137" t="s">
        <v>226</v>
      </c>
      <c r="B93" s="45" t="s">
        <v>7821</v>
      </c>
      <c r="C93" s="284">
        <v>260</v>
      </c>
      <c r="D93" s="16"/>
    </row>
    <row r="94" spans="1:4" ht="13.5" customHeight="1" x14ac:dyDescent="0.2">
      <c r="A94" s="137" t="s">
        <v>226</v>
      </c>
      <c r="B94" s="34" t="s">
        <v>7846</v>
      </c>
      <c r="C94" s="284">
        <v>75.89</v>
      </c>
      <c r="D94" s="25"/>
    </row>
    <row r="95" spans="1:4" ht="13.5" customHeight="1" x14ac:dyDescent="0.2">
      <c r="A95" s="137" t="s">
        <v>226</v>
      </c>
      <c r="B95" s="36" t="s">
        <v>7806</v>
      </c>
      <c r="C95" s="528">
        <v>12.86</v>
      </c>
      <c r="D95" s="25"/>
    </row>
    <row r="96" spans="1:4" ht="13.5" customHeight="1" x14ac:dyDescent="0.2">
      <c r="A96" s="137" t="s">
        <v>226</v>
      </c>
      <c r="B96" s="36" t="s">
        <v>7863</v>
      </c>
      <c r="C96" s="110">
        <v>345</v>
      </c>
      <c r="D96" s="25"/>
    </row>
    <row r="97" spans="1:7" ht="13.5" customHeight="1" x14ac:dyDescent="0.2">
      <c r="A97" s="137" t="s">
        <v>226</v>
      </c>
      <c r="B97" s="34" t="s">
        <v>7807</v>
      </c>
      <c r="C97" s="528">
        <v>12</v>
      </c>
      <c r="D97" s="25"/>
    </row>
    <row r="98" spans="1:7" ht="13.5" customHeight="1" x14ac:dyDescent="0.2">
      <c r="A98" s="137" t="s">
        <v>226</v>
      </c>
      <c r="B98" s="34" t="s">
        <v>1737</v>
      </c>
      <c r="C98" s="528">
        <v>3320</v>
      </c>
      <c r="D98" s="25"/>
    </row>
    <row r="99" spans="1:7" ht="13.5" customHeight="1" x14ac:dyDescent="0.2">
      <c r="A99" s="137" t="s">
        <v>226</v>
      </c>
      <c r="B99" s="34" t="s">
        <v>228</v>
      </c>
      <c r="C99" s="528">
        <v>195.215</v>
      </c>
      <c r="D99" s="25"/>
    </row>
    <row r="100" spans="1:7" ht="13.5" customHeight="1" x14ac:dyDescent="0.2">
      <c r="A100" s="137"/>
      <c r="B100" s="34"/>
      <c r="C100" s="1343">
        <f>SUM(C88:C99)</f>
        <v>5289.2749999999996</v>
      </c>
      <c r="D100" s="25"/>
    </row>
    <row r="101" spans="1:7" ht="13.5" customHeight="1" x14ac:dyDescent="0.2">
      <c r="A101" s="137"/>
      <c r="B101" s="34"/>
      <c r="C101" s="528"/>
      <c r="D101" s="25"/>
    </row>
    <row r="102" spans="1:7" ht="13.5" customHeight="1" x14ac:dyDescent="0.2">
      <c r="A102" s="137" t="s">
        <v>229</v>
      </c>
      <c r="B102" s="34" t="s">
        <v>7868</v>
      </c>
      <c r="C102" s="528">
        <v>200</v>
      </c>
      <c r="D102" s="25"/>
    </row>
    <row r="103" spans="1:7" ht="13.5" customHeight="1" x14ac:dyDescent="0.2">
      <c r="A103" s="137" t="s">
        <v>229</v>
      </c>
      <c r="B103" s="34" t="s">
        <v>4091</v>
      </c>
      <c r="C103" s="528">
        <v>900</v>
      </c>
      <c r="D103" s="25"/>
    </row>
    <row r="104" spans="1:7" ht="13.5" customHeight="1" x14ac:dyDescent="0.2">
      <c r="A104" s="137" t="s">
        <v>229</v>
      </c>
      <c r="B104" s="34" t="s">
        <v>7749</v>
      </c>
      <c r="C104" s="528">
        <v>21.3</v>
      </c>
      <c r="D104" s="25"/>
    </row>
    <row r="105" spans="1:7" ht="13.5" customHeight="1" x14ac:dyDescent="0.2">
      <c r="A105" s="137" t="s">
        <v>229</v>
      </c>
      <c r="B105" s="34" t="s">
        <v>7801</v>
      </c>
      <c r="C105" s="528">
        <v>29.1</v>
      </c>
      <c r="D105" s="25"/>
    </row>
    <row r="106" spans="1:7" ht="13.5" customHeight="1" x14ac:dyDescent="0.2">
      <c r="A106" s="137" t="s">
        <v>229</v>
      </c>
      <c r="B106" s="34" t="s">
        <v>7859</v>
      </c>
      <c r="C106" s="110">
        <v>1640</v>
      </c>
      <c r="D106" s="25"/>
    </row>
    <row r="107" spans="1:7" ht="13.5" customHeight="1" x14ac:dyDescent="0.2">
      <c r="A107" s="137" t="s">
        <v>229</v>
      </c>
      <c r="B107" s="34" t="s">
        <v>7736</v>
      </c>
      <c r="C107" s="528">
        <v>41.3</v>
      </c>
      <c r="D107" s="25"/>
    </row>
    <row r="108" spans="1:7" ht="13.5" customHeight="1" x14ac:dyDescent="0.2">
      <c r="A108" s="137" t="s">
        <v>229</v>
      </c>
      <c r="B108" s="21" t="s">
        <v>7789</v>
      </c>
      <c r="C108" s="528">
        <v>43.21</v>
      </c>
      <c r="D108" s="25"/>
    </row>
    <row r="109" spans="1:7" ht="13.5" customHeight="1" x14ac:dyDescent="0.2">
      <c r="A109" s="137" t="s">
        <v>229</v>
      </c>
      <c r="B109" s="34" t="s">
        <v>1115</v>
      </c>
      <c r="C109" s="528">
        <v>16.36</v>
      </c>
      <c r="D109" s="25"/>
      <c r="E109"/>
    </row>
    <row r="110" spans="1:7" ht="13.5" customHeight="1" x14ac:dyDescent="0.2">
      <c r="A110" s="137" t="s">
        <v>229</v>
      </c>
      <c r="B110" s="34" t="s">
        <v>7797</v>
      </c>
      <c r="C110" s="43">
        <v>14.96</v>
      </c>
      <c r="D110" s="25"/>
      <c r="F110"/>
      <c r="G110"/>
    </row>
    <row r="111" spans="1:7" ht="13.5" customHeight="1" x14ac:dyDescent="0.2">
      <c r="A111" s="137" t="s">
        <v>229</v>
      </c>
      <c r="B111" s="34" t="s">
        <v>7733</v>
      </c>
      <c r="C111" s="889">
        <v>10.84</v>
      </c>
      <c r="D111" s="25"/>
    </row>
    <row r="112" spans="1:7" ht="13.5" customHeight="1" x14ac:dyDescent="0.2">
      <c r="A112" s="137" t="s">
        <v>229</v>
      </c>
      <c r="B112" s="34" t="s">
        <v>7732</v>
      </c>
      <c r="C112" s="528">
        <v>900</v>
      </c>
      <c r="D112" s="25"/>
    </row>
    <row r="113" spans="1:7" ht="13.5" customHeight="1" x14ac:dyDescent="0.2">
      <c r="A113" s="137" t="s">
        <v>229</v>
      </c>
      <c r="B113" s="34" t="s">
        <v>7774</v>
      </c>
      <c r="C113" s="528">
        <v>14.3</v>
      </c>
      <c r="D113" s="25"/>
    </row>
    <row r="114" spans="1:7" ht="13.5" customHeight="1" x14ac:dyDescent="0.2">
      <c r="A114" s="137" t="s">
        <v>229</v>
      </c>
      <c r="B114" s="34" t="s">
        <v>7773</v>
      </c>
      <c r="C114" s="528">
        <v>35.1</v>
      </c>
      <c r="D114" s="25"/>
    </row>
    <row r="115" spans="1:7" ht="13.5" customHeight="1" x14ac:dyDescent="0.2">
      <c r="A115" s="137"/>
      <c r="B115" s="34"/>
      <c r="C115" s="1344">
        <v>3866.4700000000003</v>
      </c>
      <c r="D115" s="418">
        <v>1933.2350000000001</v>
      </c>
    </row>
    <row r="116" spans="1:7" ht="13.5" customHeight="1" x14ac:dyDescent="0.2">
      <c r="A116" s="137"/>
      <c r="B116" s="34"/>
      <c r="C116" s="528"/>
      <c r="D116" s="25"/>
    </row>
    <row r="117" spans="1:7" ht="13.5" customHeight="1" x14ac:dyDescent="0.2">
      <c r="A117" s="137" t="s">
        <v>418</v>
      </c>
      <c r="B117" s="34" t="s">
        <v>177</v>
      </c>
      <c r="C117" s="1100">
        <v>314.93</v>
      </c>
      <c r="D117" s="418">
        <v>130.79583552508842</v>
      </c>
    </row>
    <row r="118" spans="1:7" ht="13.5" customHeight="1" x14ac:dyDescent="0.2">
      <c r="A118" s="137"/>
      <c r="B118" s="34" t="s">
        <v>382</v>
      </c>
      <c r="C118" s="284"/>
      <c r="D118" s="418">
        <v>184.13416447491159</v>
      </c>
    </row>
    <row r="119" spans="1:7" ht="13.5" customHeight="1" x14ac:dyDescent="0.2">
      <c r="A119" s="137"/>
      <c r="B119" s="34"/>
      <c r="C119" s="284"/>
      <c r="D119" s="25"/>
    </row>
    <row r="120" spans="1:7" ht="13.5" customHeight="1" x14ac:dyDescent="0.2">
      <c r="A120" s="137" t="s">
        <v>419</v>
      </c>
      <c r="B120" s="34" t="s">
        <v>394</v>
      </c>
      <c r="C120" s="1100">
        <v>1629</v>
      </c>
      <c r="D120" s="418">
        <v>676.55166567290837</v>
      </c>
    </row>
    <row r="121" spans="1:7" ht="13.5" customHeight="1" x14ac:dyDescent="0.2">
      <c r="A121" s="137"/>
      <c r="B121" s="34" t="s">
        <v>177</v>
      </c>
      <c r="C121" s="284"/>
      <c r="D121" s="418">
        <v>952.44833432709163</v>
      </c>
    </row>
    <row r="122" spans="1:7" ht="13.5" customHeight="1" x14ac:dyDescent="0.2">
      <c r="A122" s="137"/>
      <c r="B122" s="34"/>
      <c r="C122" s="284"/>
      <c r="D122" s="25"/>
    </row>
    <row r="123" spans="1:7" ht="13.5" customHeight="1" x14ac:dyDescent="0.2">
      <c r="A123" s="137" t="s">
        <v>5871</v>
      </c>
      <c r="B123" s="34" t="s">
        <v>7775</v>
      </c>
      <c r="C123" s="173">
        <v>10</v>
      </c>
      <c r="D123" s="25"/>
    </row>
    <row r="124" spans="1:7" ht="13.5" customHeight="1" x14ac:dyDescent="0.2">
      <c r="A124" s="137" t="s">
        <v>5871</v>
      </c>
      <c r="B124" s="34" t="s">
        <v>7775</v>
      </c>
      <c r="C124" s="528">
        <v>20</v>
      </c>
      <c r="D124" s="25"/>
    </row>
    <row r="125" spans="1:7" ht="13.5" customHeight="1" x14ac:dyDescent="0.2">
      <c r="A125" s="137"/>
      <c r="B125" s="34"/>
      <c r="C125" s="1344">
        <v>30</v>
      </c>
      <c r="D125" s="418">
        <v>15</v>
      </c>
    </row>
    <row r="126" spans="1:7" ht="13.5" customHeight="1" x14ac:dyDescent="0.2">
      <c r="A126" s="137"/>
      <c r="B126" s="34"/>
      <c r="C126" s="528"/>
      <c r="D126" s="25"/>
    </row>
    <row r="127" spans="1:7" ht="13.5" customHeight="1" x14ac:dyDescent="0.2">
      <c r="A127" s="137" t="s">
        <v>232</v>
      </c>
      <c r="B127" s="36" t="s">
        <v>7832</v>
      </c>
      <c r="C127" s="12">
        <v>405.68</v>
      </c>
      <c r="D127" s="60"/>
    </row>
    <row r="128" spans="1:7" ht="13.5" customHeight="1" x14ac:dyDescent="0.2">
      <c r="A128" s="137" t="s">
        <v>232</v>
      </c>
      <c r="B128" s="34" t="s">
        <v>837</v>
      </c>
      <c r="C128" s="284">
        <v>1865.0500000000002</v>
      </c>
      <c r="D128" s="25"/>
      <c r="F128" s="34" t="s">
        <v>7869</v>
      </c>
      <c r="G128" s="528">
        <v>8.1999999999999993</v>
      </c>
    </row>
    <row r="129" spans="1:7" ht="13.5" customHeight="1" x14ac:dyDescent="0.2">
      <c r="A129" s="137"/>
      <c r="B129" s="34"/>
      <c r="C129" s="1333">
        <v>2270.73</v>
      </c>
      <c r="D129" s="441">
        <v>0.41531716738668406</v>
      </c>
      <c r="F129" s="34" t="s">
        <v>7870</v>
      </c>
      <c r="G129" s="528">
        <v>13.65</v>
      </c>
    </row>
    <row r="130" spans="1:7" ht="13.5" customHeight="1" x14ac:dyDescent="0.2">
      <c r="A130" s="137"/>
      <c r="B130" s="34"/>
      <c r="C130" s="284"/>
      <c r="D130" s="25"/>
      <c r="F130" s="34" t="s">
        <v>7871</v>
      </c>
      <c r="G130" s="528">
        <v>32.08</v>
      </c>
    </row>
    <row r="131" spans="1:7" ht="13.5" customHeight="1" x14ac:dyDescent="0.2">
      <c r="A131" s="137" t="s">
        <v>232</v>
      </c>
      <c r="B131" s="34" t="s">
        <v>7830</v>
      </c>
      <c r="C131" s="284">
        <v>405.68</v>
      </c>
      <c r="D131" s="25"/>
      <c r="F131" s="34" t="s">
        <v>7872</v>
      </c>
      <c r="G131" s="889">
        <v>18.940000000000001</v>
      </c>
    </row>
    <row r="132" spans="1:7" ht="13.5" customHeight="1" x14ac:dyDescent="0.2">
      <c r="A132" s="137" t="s">
        <v>232</v>
      </c>
      <c r="B132" s="21" t="s">
        <v>546</v>
      </c>
      <c r="C132" s="528">
        <v>200</v>
      </c>
      <c r="D132" s="25"/>
      <c r="F132" s="34" t="s">
        <v>7873</v>
      </c>
      <c r="G132" s="43">
        <v>18.78</v>
      </c>
    </row>
    <row r="133" spans="1:7" ht="13.5" customHeight="1" x14ac:dyDescent="0.2">
      <c r="A133" s="137" t="s">
        <v>232</v>
      </c>
      <c r="B133" s="21" t="s">
        <v>546</v>
      </c>
      <c r="C133" s="528">
        <v>500</v>
      </c>
      <c r="D133" s="25"/>
      <c r="F133" s="34" t="s">
        <v>855</v>
      </c>
      <c r="G133" s="528">
        <v>280</v>
      </c>
    </row>
    <row r="134" spans="1:7" ht="13.5" customHeight="1" x14ac:dyDescent="0.2">
      <c r="A134" s="137" t="s">
        <v>232</v>
      </c>
      <c r="B134" s="34" t="s">
        <v>7796</v>
      </c>
      <c r="C134" s="173">
        <v>6</v>
      </c>
      <c r="D134" s="25"/>
      <c r="F134" s="34" t="s">
        <v>855</v>
      </c>
      <c r="G134" s="528">
        <v>350</v>
      </c>
    </row>
    <row r="135" spans="1:7" ht="13.5" customHeight="1" x14ac:dyDescent="0.2">
      <c r="A135" s="137" t="s">
        <v>232</v>
      </c>
      <c r="B135" s="34" t="s">
        <v>895</v>
      </c>
      <c r="C135" s="528">
        <v>-40</v>
      </c>
      <c r="D135" s="25"/>
      <c r="F135" s="34" t="s">
        <v>855</v>
      </c>
      <c r="G135" s="528">
        <v>350</v>
      </c>
    </row>
    <row r="136" spans="1:7" ht="13.5" customHeight="1" x14ac:dyDescent="0.2">
      <c r="A136" s="137" t="s">
        <v>232</v>
      </c>
      <c r="B136" s="34" t="s">
        <v>862</v>
      </c>
      <c r="C136" s="528">
        <v>50</v>
      </c>
      <c r="D136" s="25"/>
      <c r="F136" s="34" t="s">
        <v>855</v>
      </c>
      <c r="G136" s="173">
        <v>350</v>
      </c>
    </row>
    <row r="137" spans="1:7" ht="13.5" customHeight="1" x14ac:dyDescent="0.2">
      <c r="A137" s="137" t="s">
        <v>232</v>
      </c>
      <c r="B137" s="34" t="s">
        <v>7818</v>
      </c>
      <c r="C137" s="528">
        <v>70</v>
      </c>
      <c r="D137" s="25"/>
      <c r="F137" s="34" t="s">
        <v>107</v>
      </c>
      <c r="G137" s="528">
        <v>200</v>
      </c>
    </row>
    <row r="138" spans="1:7" ht="13.5" customHeight="1" x14ac:dyDescent="0.2">
      <c r="A138" s="137" t="s">
        <v>232</v>
      </c>
      <c r="B138" s="34" t="s">
        <v>7817</v>
      </c>
      <c r="C138" s="528">
        <v>70</v>
      </c>
      <c r="D138" s="25"/>
      <c r="F138" s="34" t="s">
        <v>173</v>
      </c>
      <c r="G138" s="284">
        <v>968.34</v>
      </c>
    </row>
    <row r="139" spans="1:7" ht="13.5" customHeight="1" x14ac:dyDescent="0.2">
      <c r="A139" s="137" t="s">
        <v>232</v>
      </c>
      <c r="B139" s="34" t="s">
        <v>7803</v>
      </c>
      <c r="C139" s="528">
        <v>70</v>
      </c>
      <c r="D139" s="25"/>
      <c r="F139" s="34" t="s">
        <v>171</v>
      </c>
      <c r="G139" s="284">
        <v>554.20000000000005</v>
      </c>
    </row>
    <row r="140" spans="1:7" ht="13.5" customHeight="1" x14ac:dyDescent="0.2">
      <c r="A140" s="137" t="s">
        <v>232</v>
      </c>
      <c r="B140" s="34" t="s">
        <v>838</v>
      </c>
      <c r="C140" s="284">
        <v>1865.0500000000002</v>
      </c>
      <c r="D140" s="25"/>
      <c r="F140" s="34" t="s">
        <v>172</v>
      </c>
      <c r="G140" s="284">
        <v>585.91</v>
      </c>
    </row>
    <row r="141" spans="1:7" ht="13.5" customHeight="1" x14ac:dyDescent="0.2">
      <c r="A141" s="137"/>
      <c r="B141" s="34"/>
      <c r="C141" s="1343">
        <v>3196.7300000000005</v>
      </c>
      <c r="D141" s="441">
        <v>0.58468283261331599</v>
      </c>
      <c r="G141" s="40">
        <v>3730.1000000000004</v>
      </c>
    </row>
    <row r="142" spans="1:7" ht="13.5" customHeight="1" x14ac:dyDescent="0.2">
      <c r="A142" s="137"/>
      <c r="B142" s="34"/>
      <c r="C142" s="528"/>
      <c r="D142" s="25"/>
    </row>
    <row r="143" spans="1:7" ht="13.5" customHeight="1" x14ac:dyDescent="0.2">
      <c r="A143" s="137" t="s">
        <v>234</v>
      </c>
      <c r="B143" s="34" t="s">
        <v>7849</v>
      </c>
      <c r="C143" s="284">
        <v>219</v>
      </c>
      <c r="D143" s="25"/>
    </row>
    <row r="144" spans="1:7" ht="13.5" customHeight="1" x14ac:dyDescent="0.2">
      <c r="A144" s="137" t="s">
        <v>234</v>
      </c>
      <c r="B144" s="34" t="s">
        <v>7746</v>
      </c>
      <c r="C144" s="528">
        <v>23.65</v>
      </c>
      <c r="D144" s="25"/>
    </row>
    <row r="145" spans="1:4" ht="13.5" customHeight="1" x14ac:dyDescent="0.2">
      <c r="A145" s="137" t="s">
        <v>234</v>
      </c>
      <c r="B145" s="34" t="s">
        <v>7768</v>
      </c>
      <c r="C145" s="528">
        <v>7</v>
      </c>
      <c r="D145" s="25"/>
    </row>
    <row r="146" spans="1:4" ht="13.5" customHeight="1" x14ac:dyDescent="0.2">
      <c r="A146" s="137" t="s">
        <v>234</v>
      </c>
      <c r="B146" s="34" t="s">
        <v>7804</v>
      </c>
      <c r="C146" s="528">
        <v>9.75</v>
      </c>
      <c r="D146" s="25"/>
    </row>
    <row r="147" spans="1:4" ht="12" customHeight="1" x14ac:dyDescent="0.2">
      <c r="A147" s="137" t="s">
        <v>234</v>
      </c>
      <c r="B147" s="34" t="s">
        <v>7731</v>
      </c>
      <c r="C147" s="528">
        <v>57.15</v>
      </c>
      <c r="D147" s="25"/>
    </row>
    <row r="148" spans="1:4" ht="13.5" customHeight="1" x14ac:dyDescent="0.2">
      <c r="A148" s="137" t="s">
        <v>234</v>
      </c>
      <c r="B148" s="34" t="s">
        <v>7765</v>
      </c>
      <c r="C148" s="528">
        <v>16</v>
      </c>
      <c r="D148" s="25"/>
    </row>
    <row r="149" spans="1:4" ht="13.5" customHeight="1" x14ac:dyDescent="0.2">
      <c r="A149" s="137" t="s">
        <v>234</v>
      </c>
      <c r="B149" s="34" t="s">
        <v>7782</v>
      </c>
      <c r="C149" s="528">
        <v>60</v>
      </c>
      <c r="D149" s="25"/>
    </row>
    <row r="150" spans="1:4" ht="13.5" customHeight="1" x14ac:dyDescent="0.2">
      <c r="A150" s="137" t="s">
        <v>234</v>
      </c>
      <c r="B150" s="34" t="s">
        <v>7810</v>
      </c>
      <c r="C150" s="528">
        <v>10</v>
      </c>
      <c r="D150" s="25"/>
    </row>
    <row r="151" spans="1:4" ht="13.5" customHeight="1" x14ac:dyDescent="0.2">
      <c r="A151" s="137" t="s">
        <v>234</v>
      </c>
      <c r="B151" s="21" t="s">
        <v>7790</v>
      </c>
      <c r="C151" s="528">
        <v>23.2</v>
      </c>
      <c r="D151" s="25"/>
    </row>
    <row r="152" spans="1:4" ht="13.5" customHeight="1" x14ac:dyDescent="0.2">
      <c r="A152" s="137" t="s">
        <v>234</v>
      </c>
      <c r="B152" s="34" t="s">
        <v>7767</v>
      </c>
      <c r="C152" s="528">
        <v>7.99</v>
      </c>
      <c r="D152" s="25"/>
    </row>
    <row r="153" spans="1:4" ht="13.5" customHeight="1" x14ac:dyDescent="0.2">
      <c r="A153" s="137" t="s">
        <v>234</v>
      </c>
      <c r="B153" s="34" t="s">
        <v>7785</v>
      </c>
      <c r="C153" s="528">
        <v>11.8</v>
      </c>
      <c r="D153" s="25"/>
    </row>
    <row r="154" spans="1:4" ht="13.5" customHeight="1" x14ac:dyDescent="0.2">
      <c r="A154" s="137" t="s">
        <v>234</v>
      </c>
      <c r="B154" s="34" t="s">
        <v>7741</v>
      </c>
      <c r="C154" s="528">
        <v>41</v>
      </c>
      <c r="D154" s="25"/>
    </row>
    <row r="155" spans="1:4" ht="13.5" customHeight="1" x14ac:dyDescent="0.2">
      <c r="A155" s="137" t="s">
        <v>234</v>
      </c>
      <c r="B155" s="34" t="s">
        <v>861</v>
      </c>
      <c r="C155" s="528">
        <v>9.25</v>
      </c>
      <c r="D155" s="25"/>
    </row>
    <row r="156" spans="1:4" ht="13.5" customHeight="1" x14ac:dyDescent="0.2">
      <c r="A156" s="137" t="s">
        <v>234</v>
      </c>
      <c r="B156" s="34" t="s">
        <v>299</v>
      </c>
      <c r="C156" s="528">
        <v>7.95</v>
      </c>
      <c r="D156" s="25"/>
    </row>
    <row r="157" spans="1:4" ht="13.5" customHeight="1" x14ac:dyDescent="0.2">
      <c r="A157" s="137" t="s">
        <v>234</v>
      </c>
      <c r="B157" s="34" t="s">
        <v>7764</v>
      </c>
      <c r="C157" s="528">
        <v>4.95</v>
      </c>
      <c r="D157" s="25"/>
    </row>
    <row r="158" spans="1:4" ht="13.5" customHeight="1" x14ac:dyDescent="0.2">
      <c r="A158" s="137" t="s">
        <v>234</v>
      </c>
      <c r="B158" s="34" t="s">
        <v>96</v>
      </c>
      <c r="C158" s="528">
        <v>7.2</v>
      </c>
      <c r="D158" s="25"/>
    </row>
    <row r="159" spans="1:4" ht="13.5" customHeight="1" x14ac:dyDescent="0.2">
      <c r="A159" s="137" t="s">
        <v>234</v>
      </c>
      <c r="B159" s="34" t="s">
        <v>7763</v>
      </c>
      <c r="C159" s="528">
        <v>9.9499999999999993</v>
      </c>
      <c r="D159" s="314"/>
    </row>
    <row r="160" spans="1:4" ht="13.5" customHeight="1" x14ac:dyDescent="0.2">
      <c r="A160" s="137" t="s">
        <v>234</v>
      </c>
      <c r="B160" s="36" t="s">
        <v>7772</v>
      </c>
      <c r="C160" s="889">
        <v>35.799999999999997</v>
      </c>
      <c r="D160" s="60"/>
    </row>
    <row r="161" spans="1:4" ht="13.5" customHeight="1" x14ac:dyDescent="0.2">
      <c r="A161" s="137" t="s">
        <v>234</v>
      </c>
      <c r="B161" s="36" t="s">
        <v>7811</v>
      </c>
      <c r="C161" s="889">
        <v>28.4</v>
      </c>
      <c r="D161" s="60"/>
    </row>
    <row r="162" spans="1:4" ht="13.5" customHeight="1" x14ac:dyDescent="0.2">
      <c r="A162" s="137" t="s">
        <v>234</v>
      </c>
      <c r="B162" s="36" t="s">
        <v>7809</v>
      </c>
      <c r="C162" s="889">
        <v>4.75</v>
      </c>
      <c r="D162" s="60"/>
    </row>
    <row r="163" spans="1:4" ht="13.5" customHeight="1" x14ac:dyDescent="0.2">
      <c r="A163" s="137"/>
      <c r="B163" s="34"/>
      <c r="C163" s="1338">
        <v>594.79</v>
      </c>
      <c r="D163" s="60"/>
    </row>
    <row r="164" spans="1:4" ht="13.5" customHeight="1" x14ac:dyDescent="0.2">
      <c r="A164" s="137"/>
      <c r="B164" s="34"/>
      <c r="C164" s="889"/>
      <c r="D164" s="60"/>
    </row>
    <row r="165" spans="1:4" ht="13.5" customHeight="1" x14ac:dyDescent="0.2">
      <c r="A165" s="137" t="s">
        <v>235</v>
      </c>
      <c r="B165" s="34" t="s">
        <v>195</v>
      </c>
      <c r="C165" s="12">
        <v>389.42</v>
      </c>
      <c r="D165" s="60"/>
    </row>
    <row r="166" spans="1:4" ht="13.5" customHeight="1" x14ac:dyDescent="0.2">
      <c r="A166" s="137" t="s">
        <v>235</v>
      </c>
      <c r="B166" s="34" t="s">
        <v>194</v>
      </c>
      <c r="C166" s="12">
        <v>84.37</v>
      </c>
      <c r="D166" s="60"/>
    </row>
    <row r="167" spans="1:4" ht="13.5" customHeight="1" x14ac:dyDescent="0.2">
      <c r="A167" s="137"/>
      <c r="B167" s="34"/>
      <c r="C167" s="1337">
        <v>473.79</v>
      </c>
      <c r="D167" s="60"/>
    </row>
    <row r="168" spans="1:4" ht="13.5" customHeight="1" x14ac:dyDescent="0.2">
      <c r="A168" s="137"/>
      <c r="B168" s="34"/>
      <c r="C168" s="12"/>
      <c r="D168" s="60"/>
    </row>
    <row r="169" spans="1:4" ht="13.5" customHeight="1" x14ac:dyDescent="0.2">
      <c r="A169" s="137" t="s">
        <v>236</v>
      </c>
      <c r="B169" s="36" t="s">
        <v>1002</v>
      </c>
      <c r="C169" s="69">
        <v>3247.26</v>
      </c>
      <c r="D169" s="60"/>
    </row>
    <row r="170" spans="1:4" ht="13.5" customHeight="1" x14ac:dyDescent="0.2">
      <c r="A170" s="137" t="s">
        <v>236</v>
      </c>
      <c r="B170" s="36" t="s">
        <v>7783</v>
      </c>
      <c r="C170" s="12">
        <v>2000</v>
      </c>
      <c r="D170" s="60"/>
    </row>
    <row r="171" spans="1:4" ht="13.5" customHeight="1" x14ac:dyDescent="0.2">
      <c r="A171" s="137" t="s">
        <v>236</v>
      </c>
      <c r="B171" s="36" t="s">
        <v>132</v>
      </c>
      <c r="C171" s="12">
        <v>543.96</v>
      </c>
      <c r="D171" s="60"/>
    </row>
    <row r="172" spans="1:4" ht="13.5" customHeight="1" x14ac:dyDescent="0.2">
      <c r="A172" s="137" t="s">
        <v>236</v>
      </c>
      <c r="B172" s="36" t="s">
        <v>130</v>
      </c>
      <c r="C172" s="12">
        <v>121</v>
      </c>
      <c r="D172" s="60"/>
    </row>
    <row r="173" spans="1:4" ht="13.5" customHeight="1" x14ac:dyDescent="0.2">
      <c r="A173" s="137" t="s">
        <v>236</v>
      </c>
      <c r="B173" s="36" t="s">
        <v>53</v>
      </c>
      <c r="C173" s="12">
        <v>511.71</v>
      </c>
      <c r="D173" s="60"/>
    </row>
    <row r="174" spans="1:4" ht="13.5" customHeight="1" x14ac:dyDescent="0.2">
      <c r="A174" s="137" t="s">
        <v>236</v>
      </c>
      <c r="B174" s="36" t="s">
        <v>55</v>
      </c>
      <c r="C174" s="12">
        <v>350</v>
      </c>
      <c r="D174" s="60"/>
    </row>
    <row r="175" spans="1:4" ht="13.5" customHeight="1" x14ac:dyDescent="0.2">
      <c r="A175" s="137" t="s">
        <v>236</v>
      </c>
      <c r="B175" s="36" t="s">
        <v>136</v>
      </c>
      <c r="C175" s="12">
        <v>37.9</v>
      </c>
      <c r="D175" s="60"/>
    </row>
    <row r="176" spans="1:4" ht="13.5" customHeight="1" x14ac:dyDescent="0.2">
      <c r="A176" s="137" t="s">
        <v>236</v>
      </c>
      <c r="B176" s="36" t="s">
        <v>7067</v>
      </c>
      <c r="C176" s="12">
        <v>1000</v>
      </c>
      <c r="D176" s="60"/>
    </row>
    <row r="177" spans="1:4" ht="13.5" customHeight="1" x14ac:dyDescent="0.2">
      <c r="A177" s="137" t="s">
        <v>236</v>
      </c>
      <c r="B177" s="34" t="s">
        <v>7770</v>
      </c>
      <c r="C177" s="12">
        <v>46.07</v>
      </c>
      <c r="D177" s="60"/>
    </row>
    <row r="178" spans="1:4" ht="13.5" customHeight="1" x14ac:dyDescent="0.2">
      <c r="A178" s="137" t="s">
        <v>236</v>
      </c>
      <c r="B178" s="36" t="s">
        <v>7805</v>
      </c>
      <c r="C178" s="12">
        <v>278.57</v>
      </c>
      <c r="D178" s="60"/>
    </row>
    <row r="179" spans="1:4" ht="13.5" customHeight="1" x14ac:dyDescent="0.2">
      <c r="A179" s="137" t="s">
        <v>236</v>
      </c>
      <c r="B179" s="36" t="s">
        <v>133</v>
      </c>
      <c r="C179" s="12">
        <v>685.17</v>
      </c>
      <c r="D179" s="60"/>
    </row>
    <row r="180" spans="1:4" ht="13.5" customHeight="1" x14ac:dyDescent="0.2">
      <c r="A180" s="137" t="s">
        <v>236</v>
      </c>
      <c r="B180" s="36" t="s">
        <v>82</v>
      </c>
      <c r="C180" s="12">
        <v>457.34</v>
      </c>
      <c r="D180" s="60"/>
    </row>
    <row r="181" spans="1:4" ht="13.5" customHeight="1" x14ac:dyDescent="0.2">
      <c r="A181" s="137" t="s">
        <v>236</v>
      </c>
      <c r="B181" s="36" t="s">
        <v>18</v>
      </c>
      <c r="C181" s="12">
        <v>349.97</v>
      </c>
      <c r="D181" s="60"/>
    </row>
    <row r="182" spans="1:4" ht="13.5" customHeight="1" x14ac:dyDescent="0.2">
      <c r="A182" s="137" t="s">
        <v>236</v>
      </c>
      <c r="B182" s="36" t="s">
        <v>114</v>
      </c>
      <c r="C182" s="12">
        <v>213.84</v>
      </c>
      <c r="D182" s="60"/>
    </row>
    <row r="183" spans="1:4" ht="13.5" customHeight="1" x14ac:dyDescent="0.2">
      <c r="A183" s="137" t="s">
        <v>236</v>
      </c>
      <c r="B183" s="36" t="s">
        <v>7780</v>
      </c>
      <c r="C183" s="12">
        <v>212.6</v>
      </c>
      <c r="D183" s="60"/>
    </row>
    <row r="184" spans="1:4" ht="13.5" customHeight="1" x14ac:dyDescent="0.2">
      <c r="A184" s="137" t="s">
        <v>236</v>
      </c>
      <c r="B184" s="36" t="s">
        <v>7781</v>
      </c>
      <c r="C184" s="12">
        <v>153.29</v>
      </c>
      <c r="D184" s="60"/>
    </row>
    <row r="185" spans="1:4" ht="13.5" customHeight="1" x14ac:dyDescent="0.2">
      <c r="A185" s="137"/>
      <c r="B185" s="34"/>
      <c r="C185" s="1337">
        <v>10208.68</v>
      </c>
      <c r="D185" s="60"/>
    </row>
    <row r="186" spans="1:4" ht="13.5" customHeight="1" x14ac:dyDescent="0.2">
      <c r="A186" s="137"/>
      <c r="B186" s="34"/>
      <c r="C186" s="12"/>
      <c r="D186" s="60"/>
    </row>
    <row r="187" spans="1:4" ht="13.5" customHeight="1" x14ac:dyDescent="0.2">
      <c r="A187" s="137" t="s">
        <v>236</v>
      </c>
      <c r="B187" s="34" t="s">
        <v>6741</v>
      </c>
      <c r="C187" s="889">
        <v>5000</v>
      </c>
      <c r="D187" s="60"/>
    </row>
    <row r="188" spans="1:4" ht="13.5" customHeight="1" x14ac:dyDescent="0.2">
      <c r="A188" s="137" t="s">
        <v>236</v>
      </c>
      <c r="B188" s="36" t="s">
        <v>7771</v>
      </c>
      <c r="C188" s="12">
        <v>51.42</v>
      </c>
      <c r="D188" s="60"/>
    </row>
    <row r="189" spans="1:4" ht="13.5" customHeight="1" x14ac:dyDescent="0.2">
      <c r="A189" s="137"/>
      <c r="B189" s="36"/>
      <c r="C189" s="1337">
        <v>5051.42</v>
      </c>
      <c r="D189" s="60"/>
    </row>
    <row r="190" spans="1:4" ht="13.5" customHeight="1" x14ac:dyDescent="0.2">
      <c r="A190" s="137"/>
      <c r="B190" s="36"/>
      <c r="C190" s="12"/>
      <c r="D190" s="60"/>
    </row>
    <row r="191" spans="1:4" ht="13.5" customHeight="1" x14ac:dyDescent="0.2">
      <c r="A191" s="137" t="s">
        <v>237</v>
      </c>
      <c r="B191" s="36" t="s">
        <v>7730</v>
      </c>
      <c r="C191" s="889">
        <v>220</v>
      </c>
      <c r="D191" s="60"/>
    </row>
    <row r="192" spans="1:4" ht="13.5" customHeight="1" x14ac:dyDescent="0.2">
      <c r="A192" s="137" t="s">
        <v>237</v>
      </c>
      <c r="B192" s="36" t="s">
        <v>7861</v>
      </c>
      <c r="C192" s="61">
        <v>300</v>
      </c>
      <c r="D192" s="60"/>
    </row>
    <row r="193" spans="1:4" ht="13.5" customHeight="1" x14ac:dyDescent="0.2">
      <c r="A193" s="137"/>
      <c r="B193" s="36"/>
      <c r="C193" s="114">
        <v>520</v>
      </c>
      <c r="D193" s="60"/>
    </row>
    <row r="194" spans="1:4" ht="13.5" customHeight="1" x14ac:dyDescent="0.2">
      <c r="A194" s="137"/>
      <c r="B194" s="36"/>
      <c r="C194" s="61"/>
      <c r="D194" s="60"/>
    </row>
    <row r="195" spans="1:4" ht="13.5" customHeight="1" x14ac:dyDescent="0.2">
      <c r="A195" s="137" t="s">
        <v>237</v>
      </c>
      <c r="B195" s="36" t="s">
        <v>7750</v>
      </c>
      <c r="C195" s="889">
        <v>250</v>
      </c>
      <c r="D195" s="60"/>
    </row>
    <row r="196" spans="1:4" ht="13.5" customHeight="1" x14ac:dyDescent="0.2">
      <c r="A196" s="137" t="s">
        <v>237</v>
      </c>
      <c r="B196" s="36" t="s">
        <v>7572</v>
      </c>
      <c r="C196" s="889">
        <v>300</v>
      </c>
      <c r="D196" s="60"/>
    </row>
    <row r="197" spans="1:4" ht="13.5" customHeight="1" x14ac:dyDescent="0.2">
      <c r="A197" s="137"/>
      <c r="B197" s="36"/>
      <c r="C197" s="1338">
        <v>550</v>
      </c>
      <c r="D197" s="60"/>
    </row>
    <row r="198" spans="1:4" ht="13.5" customHeight="1" x14ac:dyDescent="0.2">
      <c r="A198" s="137"/>
      <c r="B198" s="36"/>
      <c r="C198" s="889"/>
      <c r="D198" s="60"/>
    </row>
    <row r="199" spans="1:4" ht="13.5" customHeight="1" x14ac:dyDescent="0.2">
      <c r="A199" s="137" t="s">
        <v>238</v>
      </c>
      <c r="B199" s="36" t="s">
        <v>5557</v>
      </c>
      <c r="C199" s="12">
        <v>0.36</v>
      </c>
      <c r="D199" s="60"/>
    </row>
    <row r="200" spans="1:4" ht="13.5" customHeight="1" x14ac:dyDescent="0.2">
      <c r="A200" s="137" t="s">
        <v>238</v>
      </c>
      <c r="B200" s="36" t="s">
        <v>5558</v>
      </c>
      <c r="C200" s="12">
        <v>8.2100000000000009</v>
      </c>
      <c r="D200" s="60"/>
    </row>
    <row r="201" spans="1:4" ht="13.5" customHeight="1" x14ac:dyDescent="0.2">
      <c r="A201" s="137" t="s">
        <v>238</v>
      </c>
      <c r="B201" s="36" t="s">
        <v>20</v>
      </c>
      <c r="C201" s="889">
        <v>-0.02</v>
      </c>
      <c r="D201" s="12"/>
    </row>
    <row r="202" spans="1:4" ht="13.5" customHeight="1" x14ac:dyDescent="0.2">
      <c r="A202" s="137" t="s">
        <v>238</v>
      </c>
      <c r="B202" s="36" t="s">
        <v>20</v>
      </c>
      <c r="C202" s="889">
        <v>-0.01</v>
      </c>
      <c r="D202" s="889"/>
    </row>
    <row r="203" spans="1:4" ht="13.5" customHeight="1" x14ac:dyDescent="0.2">
      <c r="A203" s="137" t="s">
        <v>238</v>
      </c>
      <c r="B203" s="36" t="s">
        <v>20</v>
      </c>
      <c r="C203" s="889">
        <v>-0.02</v>
      </c>
      <c r="D203" s="43"/>
    </row>
    <row r="204" spans="1:4" ht="13.5" customHeight="1" x14ac:dyDescent="0.2">
      <c r="A204" s="137" t="s">
        <v>238</v>
      </c>
      <c r="B204" s="36" t="s">
        <v>20</v>
      </c>
      <c r="C204" s="889">
        <v>-0.02</v>
      </c>
      <c r="D204" s="43"/>
    </row>
    <row r="205" spans="1:4" ht="13.5" customHeight="1" x14ac:dyDescent="0.2">
      <c r="A205" s="137" t="s">
        <v>238</v>
      </c>
      <c r="B205" s="36" t="s">
        <v>20</v>
      </c>
      <c r="C205" s="889">
        <v>-0.02</v>
      </c>
      <c r="D205" s="43"/>
    </row>
    <row r="206" spans="1:4" ht="13.5" customHeight="1" x14ac:dyDescent="0.2">
      <c r="A206" s="137" t="s">
        <v>238</v>
      </c>
      <c r="B206" s="36" t="s">
        <v>20</v>
      </c>
      <c r="C206" s="889">
        <v>-0.02</v>
      </c>
      <c r="D206" s="889"/>
    </row>
    <row r="207" spans="1:4" ht="13.5" customHeight="1" x14ac:dyDescent="0.2">
      <c r="A207" s="137" t="s">
        <v>238</v>
      </c>
      <c r="B207" s="36" t="s">
        <v>20</v>
      </c>
      <c r="C207" s="889">
        <v>-0.04</v>
      </c>
      <c r="D207" s="889"/>
    </row>
    <row r="208" spans="1:4" ht="13.5" customHeight="1" x14ac:dyDescent="0.2">
      <c r="A208" s="137" t="s">
        <v>238</v>
      </c>
      <c r="B208" s="34" t="s">
        <v>20</v>
      </c>
      <c r="C208" s="889">
        <v>-0.12</v>
      </c>
      <c r="D208" s="674"/>
    </row>
    <row r="209" spans="1:4" ht="13.5" customHeight="1" x14ac:dyDescent="0.2">
      <c r="A209" s="137" t="s">
        <v>238</v>
      </c>
      <c r="B209" s="34" t="s">
        <v>86</v>
      </c>
      <c r="C209" s="12">
        <v>78</v>
      </c>
      <c r="D209" s="71"/>
    </row>
    <row r="210" spans="1:4" ht="13.5" customHeight="1" x14ac:dyDescent="0.2">
      <c r="A210" s="137" t="s">
        <v>238</v>
      </c>
      <c r="B210" s="34" t="s">
        <v>86</v>
      </c>
      <c r="C210" s="12">
        <v>72.900000000000006</v>
      </c>
      <c r="D210" s="71"/>
    </row>
    <row r="211" spans="1:4" ht="13.5" customHeight="1" x14ac:dyDescent="0.2">
      <c r="A211" s="137" t="s">
        <v>238</v>
      </c>
      <c r="B211" s="34" t="s">
        <v>86</v>
      </c>
      <c r="C211" s="12">
        <v>11.9</v>
      </c>
      <c r="D211" s="71"/>
    </row>
    <row r="212" spans="1:4" ht="13.5" customHeight="1" x14ac:dyDescent="0.2">
      <c r="A212" s="137" t="s">
        <v>238</v>
      </c>
      <c r="B212" s="34" t="s">
        <v>86</v>
      </c>
      <c r="C212" s="12">
        <v>10.9</v>
      </c>
      <c r="D212" s="71"/>
    </row>
    <row r="213" spans="1:4" ht="13.5" customHeight="1" x14ac:dyDescent="0.2">
      <c r="A213" s="137"/>
      <c r="B213" s="34"/>
      <c r="C213" s="530">
        <v>182.00000000000003</v>
      </c>
      <c r="D213" s="73">
        <v>91.000000000000014</v>
      </c>
    </row>
    <row r="214" spans="1:4" ht="13.5" customHeight="1" x14ac:dyDescent="0.2">
      <c r="A214" s="137"/>
      <c r="B214" s="34"/>
      <c r="C214" s="12"/>
      <c r="D214" s="71"/>
    </row>
    <row r="215" spans="1:4" ht="13.5" customHeight="1" x14ac:dyDescent="0.2">
      <c r="A215" s="137" t="s">
        <v>421</v>
      </c>
      <c r="B215" s="34" t="s">
        <v>7828</v>
      </c>
      <c r="C215" s="12">
        <v>110</v>
      </c>
      <c r="D215" s="71"/>
    </row>
    <row r="216" spans="1:4" ht="13.5" customHeight="1" x14ac:dyDescent="0.2">
      <c r="A216" s="137" t="s">
        <v>421</v>
      </c>
      <c r="B216" s="34" t="s">
        <v>7757</v>
      </c>
      <c r="C216" s="12">
        <v>118.69</v>
      </c>
      <c r="D216" s="71"/>
    </row>
    <row r="217" spans="1:4" ht="13.5" customHeight="1" x14ac:dyDescent="0.2">
      <c r="A217" s="137" t="s">
        <v>421</v>
      </c>
      <c r="B217" s="34" t="s">
        <v>7864</v>
      </c>
      <c r="C217" s="61">
        <v>30</v>
      </c>
      <c r="D217" s="71"/>
    </row>
    <row r="218" spans="1:4" ht="13.5" customHeight="1" x14ac:dyDescent="0.2">
      <c r="A218" s="137"/>
      <c r="B218" s="34"/>
      <c r="C218" s="114">
        <v>258.69</v>
      </c>
      <c r="D218" s="71"/>
    </row>
    <row r="219" spans="1:4" ht="13.5" customHeight="1" x14ac:dyDescent="0.2">
      <c r="A219" s="137"/>
      <c r="B219" s="34"/>
      <c r="C219" s="61"/>
      <c r="D219" s="71"/>
    </row>
    <row r="220" spans="1:4" ht="13.5" customHeight="1" x14ac:dyDescent="0.2">
      <c r="A220" s="137" t="s">
        <v>421</v>
      </c>
      <c r="B220" s="45" t="s">
        <v>7847</v>
      </c>
      <c r="C220" s="12">
        <v>494.26</v>
      </c>
      <c r="D220" s="71"/>
    </row>
    <row r="221" spans="1:4" ht="13.5" customHeight="1" x14ac:dyDescent="0.2">
      <c r="A221" s="137" t="s">
        <v>421</v>
      </c>
      <c r="B221" s="34" t="s">
        <v>7848</v>
      </c>
      <c r="C221" s="12">
        <v>972.21</v>
      </c>
      <c r="D221" s="71"/>
    </row>
    <row r="222" spans="1:4" ht="13.5" customHeight="1" x14ac:dyDescent="0.2">
      <c r="A222" s="137" t="s">
        <v>421</v>
      </c>
      <c r="B222" s="36" t="s">
        <v>7860</v>
      </c>
      <c r="C222" s="61">
        <v>510</v>
      </c>
      <c r="D222" s="71"/>
    </row>
    <row r="223" spans="1:4" ht="13.5" customHeight="1" x14ac:dyDescent="0.2">
      <c r="C223" s="1345">
        <v>1976.47</v>
      </c>
    </row>
    <row r="224" spans="1:4" ht="13.5" customHeight="1" x14ac:dyDescent="0.2"/>
    <row r="225" spans="1:10" ht="13.5" customHeight="1" x14ac:dyDescent="0.2"/>
    <row r="226" spans="1:10" ht="13.5" customHeight="1" x14ac:dyDescent="0.2"/>
    <row r="227" spans="1:10" ht="13.5" customHeight="1" x14ac:dyDescent="0.2"/>
    <row r="228" spans="1:10" ht="13.5" customHeight="1" x14ac:dyDescent="0.2"/>
    <row r="229" spans="1:10" ht="13.5" customHeight="1" x14ac:dyDescent="0.2"/>
    <row r="230" spans="1:10" ht="13.5" customHeight="1" x14ac:dyDescent="0.2"/>
    <row r="231" spans="1:10" ht="13.5" customHeight="1" x14ac:dyDescent="0.2"/>
    <row r="232" spans="1:10" customFormat="1" ht="13.5" customHeight="1" x14ac:dyDescent="0.2">
      <c r="A232" s="96"/>
      <c r="B232" s="1"/>
      <c r="C232" s="1"/>
      <c r="D232" s="18"/>
      <c r="E232" s="1"/>
      <c r="F232" s="1"/>
      <c r="G232" s="40"/>
      <c r="H232" s="1"/>
      <c r="I232" s="1"/>
      <c r="J232" s="1"/>
    </row>
    <row r="233" spans="1:10" customFormat="1" ht="13.5" customHeight="1" x14ac:dyDescent="0.2">
      <c r="A233" s="96"/>
      <c r="B233" s="1"/>
      <c r="C233" s="1"/>
      <c r="D233" s="18"/>
      <c r="E233" s="1"/>
      <c r="F233" s="1"/>
      <c r="G233" s="40"/>
    </row>
    <row r="234" spans="1:10" customFormat="1" ht="13.5" customHeight="1" x14ac:dyDescent="0.2">
      <c r="A234" s="96"/>
      <c r="B234" s="1"/>
      <c r="C234" s="1"/>
      <c r="D234" s="18"/>
      <c r="E234" s="1"/>
      <c r="F234" s="1"/>
      <c r="G234" s="40"/>
    </row>
    <row r="235" spans="1:10" ht="13.5" customHeight="1" x14ac:dyDescent="0.2">
      <c r="H235"/>
      <c r="I235"/>
      <c r="J235"/>
    </row>
    <row r="236" spans="1:10" ht="13.5" customHeight="1" x14ac:dyDescent="0.2"/>
    <row r="237" spans="1:10" ht="13.5" customHeight="1" x14ac:dyDescent="0.2"/>
    <row r="238" spans="1:10" ht="13.5" customHeight="1" x14ac:dyDescent="0.2"/>
    <row r="239" spans="1:10" ht="13.5" customHeight="1" x14ac:dyDescent="0.2"/>
    <row r="240" spans="1:10" ht="13.5" customHeight="1" x14ac:dyDescent="0.2"/>
    <row r="241" ht="13.5" customHeight="1" x14ac:dyDescent="0.2"/>
    <row r="242" ht="13.5" customHeight="1" x14ac:dyDescent="0.2"/>
    <row r="243" ht="13.5" customHeight="1" x14ac:dyDescent="0.2"/>
    <row r="244" ht="13.5" customHeight="1" x14ac:dyDescent="0.2"/>
    <row r="245" ht="13.5" customHeight="1" x14ac:dyDescent="0.2"/>
    <row r="246" ht="13.5" customHeight="1" x14ac:dyDescent="0.2"/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O319"/>
  <sheetViews>
    <sheetView topLeftCell="A141" zoomScale="80" zoomScaleNormal="80" workbookViewId="0">
      <selection activeCell="B86" sqref="B86"/>
    </sheetView>
  </sheetViews>
  <sheetFormatPr defaultColWidth="9" defaultRowHeight="12.75" x14ac:dyDescent="0.2"/>
  <cols>
    <col min="1" max="1" width="14" style="1" customWidth="1"/>
    <col min="2" max="2" width="1.875" style="1" customWidth="1"/>
    <col min="3" max="3" width="95.875" style="1" customWidth="1"/>
    <col min="4" max="4" width="12" style="1" customWidth="1"/>
    <col min="5" max="5" width="12.375" style="1" customWidth="1"/>
    <col min="6" max="6" width="10.75" style="1" customWidth="1"/>
    <col min="7" max="7" width="11.875" style="1" customWidth="1"/>
    <col min="8" max="8" width="10.75" style="283" customWidth="1"/>
    <col min="9" max="9" width="10.75" style="18" customWidth="1"/>
    <col min="10" max="10" width="10.875" style="66" customWidth="1"/>
    <col min="11" max="11" width="13.875" style="1" customWidth="1"/>
    <col min="12" max="12" width="10.375" style="1" customWidth="1"/>
    <col min="13" max="14" width="9" style="1"/>
    <col min="15" max="15" width="10.875" style="40" bestFit="1" customWidth="1"/>
    <col min="16" max="16384" width="9" style="1"/>
  </cols>
  <sheetData>
    <row r="1" spans="1:12" ht="13.5" customHeight="1" thickBot="1" x14ac:dyDescent="0.25">
      <c r="A1" s="1418" t="s">
        <v>7874</v>
      </c>
      <c r="B1" s="1418"/>
      <c r="C1" s="1419"/>
      <c r="D1" s="1420" t="s">
        <v>0</v>
      </c>
      <c r="E1" s="1421"/>
      <c r="F1" s="1421"/>
      <c r="G1" s="1422"/>
      <c r="H1" s="1423" t="s">
        <v>1</v>
      </c>
      <c r="I1" s="1423"/>
      <c r="J1" s="1424"/>
    </row>
    <row r="2" spans="1:12" ht="13.5" customHeight="1" thickBot="1" x14ac:dyDescent="0.25">
      <c r="A2" s="2" t="s">
        <v>2</v>
      </c>
      <c r="B2" s="3"/>
      <c r="C2" s="3" t="s">
        <v>3</v>
      </c>
      <c r="D2" s="3" t="s">
        <v>4</v>
      </c>
      <c r="E2" s="3" t="s">
        <v>5</v>
      </c>
      <c r="F2" s="3" t="s">
        <v>6</v>
      </c>
      <c r="G2" s="5" t="s">
        <v>7</v>
      </c>
      <c r="H2" s="269" t="s">
        <v>5</v>
      </c>
      <c r="I2" s="4" t="s">
        <v>6</v>
      </c>
      <c r="J2" s="7" t="s">
        <v>7</v>
      </c>
    </row>
    <row r="3" spans="1:12" ht="13.5" customHeight="1" x14ac:dyDescent="0.2">
      <c r="A3" s="8">
        <v>43282</v>
      </c>
      <c r="B3" s="9"/>
      <c r="C3" s="10" t="s">
        <v>8</v>
      </c>
      <c r="D3" s="11"/>
      <c r="E3" s="12"/>
      <c r="F3" s="13"/>
      <c r="G3" s="14">
        <v>7467.74</v>
      </c>
      <c r="H3" s="270"/>
      <c r="I3" s="16"/>
      <c r="J3" s="17">
        <v>2755.6699999999969</v>
      </c>
      <c r="K3" s="18"/>
      <c r="L3" s="12">
        <f>J3</f>
        <v>2755.6699999999969</v>
      </c>
    </row>
    <row r="4" spans="1:12" ht="13.5" customHeight="1" x14ac:dyDescent="0.2">
      <c r="A4" s="19"/>
      <c r="B4" s="20"/>
      <c r="C4" s="21" t="s">
        <v>9</v>
      </c>
      <c r="D4" s="11"/>
      <c r="E4" s="12"/>
      <c r="F4" s="22">
        <v>0</v>
      </c>
      <c r="G4" s="23"/>
      <c r="H4" s="22"/>
      <c r="I4" s="25"/>
      <c r="J4" s="26"/>
      <c r="K4" s="18"/>
      <c r="L4" s="12">
        <f>L3+I4-H4</f>
        <v>2755.6699999999969</v>
      </c>
    </row>
    <row r="5" spans="1:12" ht="13.5" customHeight="1" x14ac:dyDescent="0.2">
      <c r="A5" s="19"/>
      <c r="B5" s="20"/>
      <c r="C5" s="21" t="s">
        <v>10</v>
      </c>
      <c r="D5" s="11"/>
      <c r="E5" s="12"/>
      <c r="F5" s="22">
        <v>0</v>
      </c>
      <c r="G5" s="23"/>
      <c r="H5" s="22"/>
      <c r="I5" s="25"/>
      <c r="J5" s="26"/>
      <c r="K5" s="18"/>
      <c r="L5" s="12">
        <f t="shared" ref="L5:L68" si="0">L4+I5-H5</f>
        <v>2755.6699999999969</v>
      </c>
    </row>
    <row r="6" spans="1:12" ht="13.5" customHeight="1" x14ac:dyDescent="0.2">
      <c r="A6" s="19">
        <v>43283</v>
      </c>
      <c r="B6" s="20"/>
      <c r="C6" s="34" t="s">
        <v>7875</v>
      </c>
      <c r="D6" s="11"/>
      <c r="E6" s="12"/>
      <c r="F6" s="22"/>
      <c r="G6" s="23"/>
      <c r="H6" s="22"/>
      <c r="I6" s="25">
        <v>220</v>
      </c>
      <c r="J6" s="26"/>
      <c r="K6" s="18"/>
      <c r="L6" s="12">
        <f t="shared" si="0"/>
        <v>2975.6699999999969</v>
      </c>
    </row>
    <row r="7" spans="1:12" ht="13.5" customHeight="1" x14ac:dyDescent="0.2">
      <c r="A7" s="19"/>
      <c r="B7" s="20"/>
      <c r="C7" s="34" t="s">
        <v>7876</v>
      </c>
      <c r="D7" s="11"/>
      <c r="E7" s="12"/>
      <c r="F7" s="22"/>
      <c r="G7" s="23"/>
      <c r="H7" s="22">
        <v>36.68</v>
      </c>
      <c r="I7" s="25"/>
      <c r="J7" s="26"/>
      <c r="K7" s="18"/>
      <c r="L7" s="12">
        <f t="shared" si="0"/>
        <v>2938.9899999999971</v>
      </c>
    </row>
    <row r="8" spans="1:12" ht="13.5" customHeight="1" x14ac:dyDescent="0.2">
      <c r="A8" s="19"/>
      <c r="B8" s="20"/>
      <c r="C8" s="34" t="s">
        <v>7877</v>
      </c>
      <c r="D8" s="11"/>
      <c r="E8" s="12"/>
      <c r="F8" s="22"/>
      <c r="G8" s="23"/>
      <c r="H8" s="22"/>
      <c r="I8" s="25">
        <v>500</v>
      </c>
      <c r="J8" s="26">
        <v>3438.9899999999971</v>
      </c>
      <c r="K8" s="18"/>
      <c r="L8" s="12">
        <f t="shared" si="0"/>
        <v>3438.9899999999971</v>
      </c>
    </row>
    <row r="9" spans="1:12" ht="13.5" customHeight="1" x14ac:dyDescent="0.2">
      <c r="A9" s="19" t="s">
        <v>7878</v>
      </c>
      <c r="B9" s="20"/>
      <c r="C9" s="34" t="s">
        <v>7879</v>
      </c>
      <c r="D9" s="11">
        <v>451000</v>
      </c>
      <c r="E9" s="12">
        <v>-2000</v>
      </c>
      <c r="F9" s="22"/>
      <c r="G9" s="23"/>
      <c r="H9" s="22"/>
      <c r="I9" s="25"/>
      <c r="J9" s="26"/>
      <c r="K9" s="18"/>
      <c r="L9" s="12">
        <f t="shared" si="0"/>
        <v>3438.9899999999971</v>
      </c>
    </row>
    <row r="10" spans="1:12" ht="13.5" customHeight="1" x14ac:dyDescent="0.2">
      <c r="A10" s="19"/>
      <c r="B10" s="20"/>
      <c r="C10" s="34" t="s">
        <v>7880</v>
      </c>
      <c r="D10" s="11">
        <v>0</v>
      </c>
      <c r="E10" s="12">
        <v>-24.54</v>
      </c>
      <c r="F10" s="22"/>
      <c r="G10" s="23"/>
      <c r="H10" s="22"/>
      <c r="I10" s="25"/>
      <c r="J10" s="26"/>
      <c r="K10" s="18"/>
      <c r="L10" s="12">
        <f t="shared" si="0"/>
        <v>3438.9899999999971</v>
      </c>
    </row>
    <row r="11" spans="1:12" ht="13.5" customHeight="1" x14ac:dyDescent="0.2">
      <c r="A11" s="19"/>
      <c r="B11" s="20"/>
      <c r="C11" s="34" t="s">
        <v>55</v>
      </c>
      <c r="D11" s="11">
        <v>0</v>
      </c>
      <c r="E11" s="12">
        <v>-350</v>
      </c>
      <c r="F11" s="22"/>
      <c r="G11" s="23"/>
      <c r="H11" s="22"/>
      <c r="I11" s="25"/>
      <c r="J11" s="127"/>
      <c r="K11" s="18"/>
      <c r="L11" s="12">
        <f t="shared" si="0"/>
        <v>3438.9899999999971</v>
      </c>
    </row>
    <row r="12" spans="1:12" ht="13.5" customHeight="1" x14ac:dyDescent="0.2">
      <c r="A12" s="19"/>
      <c r="B12" s="20"/>
      <c r="C12" s="34" t="s">
        <v>20</v>
      </c>
      <c r="D12" s="11">
        <v>0</v>
      </c>
      <c r="E12" s="12"/>
      <c r="F12" s="22">
        <v>0.16</v>
      </c>
      <c r="G12" s="23">
        <v>5093.3599999999997</v>
      </c>
      <c r="H12" s="22"/>
      <c r="I12" s="25"/>
      <c r="J12" s="26"/>
      <c r="K12" s="18"/>
      <c r="L12" s="12">
        <f t="shared" si="0"/>
        <v>3438.9899999999971</v>
      </c>
    </row>
    <row r="13" spans="1:12" ht="13.5" customHeight="1" x14ac:dyDescent="0.2">
      <c r="A13" s="19">
        <v>43284</v>
      </c>
      <c r="B13" s="20"/>
      <c r="C13" s="34" t="s">
        <v>7881</v>
      </c>
      <c r="D13" s="11"/>
      <c r="E13" s="12"/>
      <c r="F13" s="22"/>
      <c r="G13" s="23"/>
      <c r="H13" s="22">
        <v>10</v>
      </c>
      <c r="I13" s="25"/>
      <c r="J13" s="26"/>
      <c r="K13" s="18"/>
      <c r="L13" s="12">
        <f t="shared" si="0"/>
        <v>3428.9899999999971</v>
      </c>
    </row>
    <row r="14" spans="1:12" ht="13.5" customHeight="1" x14ac:dyDescent="0.2">
      <c r="A14" s="19"/>
      <c r="B14" s="20"/>
      <c r="C14" s="34" t="s">
        <v>7882</v>
      </c>
      <c r="D14" s="11"/>
      <c r="E14" s="12"/>
      <c r="F14" s="22"/>
      <c r="G14" s="23"/>
      <c r="H14" s="22">
        <v>9.99</v>
      </c>
      <c r="I14" s="25"/>
      <c r="J14" s="26"/>
      <c r="K14" s="18"/>
      <c r="L14" s="12">
        <f t="shared" si="0"/>
        <v>3418.9999999999973</v>
      </c>
    </row>
    <row r="15" spans="1:12" ht="13.5" customHeight="1" x14ac:dyDescent="0.2">
      <c r="A15" s="19"/>
      <c r="B15" s="20"/>
      <c r="C15" s="34" t="s">
        <v>7883</v>
      </c>
      <c r="D15" s="11"/>
      <c r="E15" s="12"/>
      <c r="F15" s="22"/>
      <c r="G15" s="23"/>
      <c r="H15" s="22">
        <v>4.5</v>
      </c>
      <c r="I15" s="25"/>
      <c r="J15" s="26"/>
      <c r="K15" s="18"/>
      <c r="L15" s="12">
        <f t="shared" si="0"/>
        <v>3414.4999999999973</v>
      </c>
    </row>
    <row r="16" spans="1:12" ht="13.5" customHeight="1" x14ac:dyDescent="0.2">
      <c r="A16" s="19"/>
      <c r="B16" s="20"/>
      <c r="C16" s="34" t="s">
        <v>7884</v>
      </c>
      <c r="D16" s="11"/>
      <c r="E16" s="12"/>
      <c r="F16" s="22"/>
      <c r="G16" s="23"/>
      <c r="H16" s="22">
        <v>2.4</v>
      </c>
      <c r="I16" s="25"/>
      <c r="J16" s="26"/>
      <c r="K16" s="18"/>
      <c r="L16" s="12">
        <f t="shared" si="0"/>
        <v>3412.0999999999972</v>
      </c>
    </row>
    <row r="17" spans="1:12" ht="13.5" customHeight="1" x14ac:dyDescent="0.2">
      <c r="A17" s="19"/>
      <c r="B17" s="20"/>
      <c r="C17" s="34" t="s">
        <v>7885</v>
      </c>
      <c r="D17" s="11"/>
      <c r="E17" s="12"/>
      <c r="F17" s="22"/>
      <c r="G17" s="23"/>
      <c r="H17" s="22">
        <v>30</v>
      </c>
      <c r="I17" s="25"/>
      <c r="J17" s="26"/>
      <c r="K17" s="18"/>
      <c r="L17" s="12">
        <f t="shared" si="0"/>
        <v>3382.0999999999972</v>
      </c>
    </row>
    <row r="18" spans="1:12" ht="13.5" customHeight="1" x14ac:dyDescent="0.2">
      <c r="A18" s="19"/>
      <c r="B18" s="20"/>
      <c r="C18" s="34" t="s">
        <v>7886</v>
      </c>
      <c r="D18" s="11"/>
      <c r="E18" s="12"/>
      <c r="F18" s="22"/>
      <c r="G18" s="23"/>
      <c r="H18" s="22">
        <v>29</v>
      </c>
      <c r="I18" s="25"/>
      <c r="J18" s="26"/>
      <c r="K18" s="18"/>
      <c r="L18" s="12">
        <f t="shared" si="0"/>
        <v>3353.0999999999972</v>
      </c>
    </row>
    <row r="19" spans="1:12" ht="13.5" customHeight="1" x14ac:dyDescent="0.2">
      <c r="A19" s="19"/>
      <c r="B19" s="20"/>
      <c r="C19" s="34" t="s">
        <v>471</v>
      </c>
      <c r="D19" s="11"/>
      <c r="E19" s="12"/>
      <c r="F19" s="22"/>
      <c r="G19" s="23"/>
      <c r="H19" s="22">
        <v>500</v>
      </c>
      <c r="I19" s="25"/>
      <c r="J19" s="26"/>
      <c r="K19" s="18"/>
      <c r="L19" s="12">
        <f t="shared" si="0"/>
        <v>2853.0999999999972</v>
      </c>
    </row>
    <row r="20" spans="1:12" ht="13.5" customHeight="1" x14ac:dyDescent="0.2">
      <c r="A20" s="19"/>
      <c r="B20" s="20"/>
      <c r="C20" s="34" t="s">
        <v>7887</v>
      </c>
      <c r="D20" s="11"/>
      <c r="E20" s="12"/>
      <c r="F20" s="22"/>
      <c r="G20" s="23"/>
      <c r="H20" s="22">
        <v>8</v>
      </c>
      <c r="I20" s="25"/>
      <c r="J20" s="26"/>
      <c r="K20" s="18"/>
      <c r="L20" s="12">
        <f t="shared" si="0"/>
        <v>2845.0999999999972</v>
      </c>
    </row>
    <row r="21" spans="1:12" ht="13.5" customHeight="1" x14ac:dyDescent="0.2">
      <c r="A21" s="19"/>
      <c r="B21" s="20"/>
      <c r="C21" s="34" t="s">
        <v>7888</v>
      </c>
      <c r="D21" s="11"/>
      <c r="E21" s="12"/>
      <c r="F21" s="22"/>
      <c r="G21" s="23"/>
      <c r="H21" s="22"/>
      <c r="I21" s="25">
        <v>1185.29</v>
      </c>
      <c r="J21" s="26">
        <v>4030.3899999999971</v>
      </c>
      <c r="K21" s="18"/>
      <c r="L21" s="12">
        <f t="shared" si="0"/>
        <v>4030.3899999999971</v>
      </c>
    </row>
    <row r="22" spans="1:12" ht="13.5" customHeight="1" x14ac:dyDescent="0.2">
      <c r="A22" s="19" t="s">
        <v>7889</v>
      </c>
      <c r="B22" s="20" t="s">
        <v>591</v>
      </c>
      <c r="C22" s="34" t="s">
        <v>7890</v>
      </c>
      <c r="D22" s="11">
        <v>284035</v>
      </c>
      <c r="E22" s="12"/>
      <c r="F22" s="22">
        <v>5200</v>
      </c>
      <c r="G22" s="23">
        <v>10293.36</v>
      </c>
      <c r="H22" s="22"/>
      <c r="I22" s="25"/>
      <c r="J22" s="26"/>
      <c r="K22" s="18"/>
      <c r="L22" s="12">
        <f t="shared" si="0"/>
        <v>4030.3899999999971</v>
      </c>
    </row>
    <row r="23" spans="1:12" ht="13.5" customHeight="1" x14ac:dyDescent="0.2">
      <c r="A23" s="19">
        <v>43286</v>
      </c>
      <c r="B23" s="20"/>
      <c r="C23" s="34" t="s">
        <v>7891</v>
      </c>
      <c r="D23" s="11"/>
      <c r="E23" s="12"/>
      <c r="F23" s="22"/>
      <c r="G23" s="23"/>
      <c r="H23" s="22"/>
      <c r="I23" s="25">
        <v>1020</v>
      </c>
      <c r="J23" s="26"/>
      <c r="K23" s="18"/>
      <c r="L23" s="12">
        <f t="shared" si="0"/>
        <v>5050.3899999999976</v>
      </c>
    </row>
    <row r="24" spans="1:12" ht="13.5" customHeight="1" x14ac:dyDescent="0.2">
      <c r="A24" s="19"/>
      <c r="B24" s="20"/>
      <c r="C24" s="34" t="s">
        <v>7892</v>
      </c>
      <c r="D24" s="11"/>
      <c r="E24" s="12"/>
      <c r="F24" s="22"/>
      <c r="G24" s="23"/>
      <c r="H24" s="22"/>
      <c r="I24" s="25">
        <v>1360</v>
      </c>
      <c r="J24" s="26"/>
      <c r="K24" s="18"/>
      <c r="L24" s="12">
        <f t="shared" si="0"/>
        <v>6410.3899999999976</v>
      </c>
    </row>
    <row r="25" spans="1:12" ht="13.5" customHeight="1" x14ac:dyDescent="0.2">
      <c r="A25" s="19"/>
      <c r="B25" s="20"/>
      <c r="C25" s="34" t="s">
        <v>7893</v>
      </c>
      <c r="D25" s="11"/>
      <c r="E25" s="12"/>
      <c r="F25" s="22"/>
      <c r="G25" s="23"/>
      <c r="H25" s="22"/>
      <c r="I25" s="25">
        <v>60</v>
      </c>
      <c r="J25" s="26"/>
      <c r="K25" s="18"/>
      <c r="L25" s="12">
        <f t="shared" si="0"/>
        <v>6470.3899999999976</v>
      </c>
    </row>
    <row r="26" spans="1:12" ht="13.5" customHeight="1" x14ac:dyDescent="0.2">
      <c r="A26" s="19"/>
      <c r="B26" s="20"/>
      <c r="C26" s="34" t="s">
        <v>7894</v>
      </c>
      <c r="D26" s="11"/>
      <c r="E26" s="12"/>
      <c r="F26" s="22"/>
      <c r="G26" s="23"/>
      <c r="H26" s="22">
        <v>150</v>
      </c>
      <c r="I26" s="25"/>
      <c r="J26" s="26"/>
      <c r="K26" s="18"/>
      <c r="L26" s="12">
        <f t="shared" si="0"/>
        <v>6320.3899999999976</v>
      </c>
    </row>
    <row r="27" spans="1:12" ht="13.5" customHeight="1" x14ac:dyDescent="0.2">
      <c r="A27" s="19"/>
      <c r="B27" s="20"/>
      <c r="C27" s="34" t="s">
        <v>7895</v>
      </c>
      <c r="D27" s="11"/>
      <c r="E27" s="12"/>
      <c r="F27" s="22"/>
      <c r="G27" s="23"/>
      <c r="H27" s="22">
        <v>150</v>
      </c>
      <c r="I27" s="25"/>
      <c r="J27" s="26"/>
      <c r="K27" s="18"/>
      <c r="L27" s="12">
        <f t="shared" si="0"/>
        <v>6170.3899999999976</v>
      </c>
    </row>
    <row r="28" spans="1:12" ht="13.5" customHeight="1" x14ac:dyDescent="0.2">
      <c r="A28" s="19"/>
      <c r="B28" s="20"/>
      <c r="C28" s="34" t="s">
        <v>7896</v>
      </c>
      <c r="D28" s="11"/>
      <c r="E28" s="12"/>
      <c r="F28" s="22"/>
      <c r="G28" s="23"/>
      <c r="H28" s="22">
        <v>900</v>
      </c>
      <c r="I28" s="25"/>
      <c r="J28" s="26"/>
      <c r="K28" s="18"/>
      <c r="L28" s="12">
        <f t="shared" si="0"/>
        <v>5270.3899999999976</v>
      </c>
    </row>
    <row r="29" spans="1:12" ht="13.5" customHeight="1" x14ac:dyDescent="0.2">
      <c r="A29" s="19"/>
      <c r="B29" s="20"/>
      <c r="C29" s="34" t="s">
        <v>7897</v>
      </c>
      <c r="D29" s="11"/>
      <c r="E29" s="12"/>
      <c r="F29" s="22"/>
      <c r="G29" s="23"/>
      <c r="H29" s="22">
        <v>38.549999999999997</v>
      </c>
      <c r="I29" s="25"/>
      <c r="J29" s="26"/>
      <c r="K29" s="18"/>
      <c r="L29" s="12">
        <f t="shared" si="0"/>
        <v>5231.8399999999974</v>
      </c>
    </row>
    <row r="30" spans="1:12" ht="13.5" customHeight="1" x14ac:dyDescent="0.2">
      <c r="A30" s="19"/>
      <c r="B30" s="20"/>
      <c r="C30" s="34" t="s">
        <v>36</v>
      </c>
      <c r="D30" s="11"/>
      <c r="E30" s="12"/>
      <c r="F30" s="22"/>
      <c r="G30" s="23"/>
      <c r="H30" s="22">
        <v>350</v>
      </c>
      <c r="I30" s="25"/>
      <c r="J30" s="26">
        <v>4881.8399999999974</v>
      </c>
      <c r="K30" s="18"/>
      <c r="L30" s="12">
        <f t="shared" si="0"/>
        <v>4881.8399999999974</v>
      </c>
    </row>
    <row r="31" spans="1:12" ht="13.5" customHeight="1" x14ac:dyDescent="0.2">
      <c r="A31" s="19"/>
      <c r="B31" s="20"/>
      <c r="C31" s="34" t="s">
        <v>53</v>
      </c>
      <c r="D31" s="11">
        <v>281000</v>
      </c>
      <c r="E31" s="12">
        <v>-511.71</v>
      </c>
      <c r="F31" s="22"/>
      <c r="G31" s="23"/>
      <c r="H31" s="22"/>
      <c r="I31" s="25"/>
      <c r="J31" s="39"/>
      <c r="K31" s="18"/>
      <c r="L31" s="12">
        <f t="shared" si="0"/>
        <v>4881.8399999999974</v>
      </c>
    </row>
    <row r="32" spans="1:12" ht="13.5" customHeight="1" x14ac:dyDescent="0.2">
      <c r="A32" s="19"/>
      <c r="B32" s="20"/>
      <c r="C32" s="34" t="s">
        <v>7898</v>
      </c>
      <c r="D32" s="11">
        <v>0</v>
      </c>
      <c r="E32" s="12">
        <v>-118.69</v>
      </c>
      <c r="F32" s="22"/>
      <c r="G32" s="23"/>
      <c r="H32" s="22"/>
      <c r="I32" s="25"/>
      <c r="J32" s="26"/>
      <c r="K32" s="18"/>
      <c r="L32" s="12">
        <f t="shared" si="0"/>
        <v>4881.8399999999974</v>
      </c>
    </row>
    <row r="33" spans="1:12" ht="13.5" customHeight="1" x14ac:dyDescent="0.2">
      <c r="A33" s="19"/>
      <c r="B33" s="20"/>
      <c r="C33" s="34" t="s">
        <v>20</v>
      </c>
      <c r="D33" s="11" t="s">
        <v>19</v>
      </c>
      <c r="E33" s="12"/>
      <c r="F33" s="22" t="s">
        <v>5722</v>
      </c>
      <c r="G33" s="23" t="s">
        <v>7899</v>
      </c>
      <c r="H33" s="22"/>
      <c r="I33" s="25"/>
      <c r="J33" s="26"/>
      <c r="K33" s="18"/>
      <c r="L33" s="12">
        <f t="shared" si="0"/>
        <v>4881.8399999999974</v>
      </c>
    </row>
    <row r="34" spans="1:12" ht="13.5" customHeight="1" x14ac:dyDescent="0.2">
      <c r="A34" s="19">
        <v>43287</v>
      </c>
      <c r="B34" s="20"/>
      <c r="C34" s="34" t="s">
        <v>7900</v>
      </c>
      <c r="D34" s="11"/>
      <c r="E34" s="12"/>
      <c r="F34" s="22"/>
      <c r="G34" s="23"/>
      <c r="H34" s="22">
        <v>21.4</v>
      </c>
      <c r="I34" s="25"/>
      <c r="J34" s="26"/>
      <c r="K34" s="18"/>
      <c r="L34" s="12">
        <f t="shared" si="0"/>
        <v>4860.4399999999978</v>
      </c>
    </row>
    <row r="35" spans="1:12" ht="13.5" customHeight="1" x14ac:dyDescent="0.2">
      <c r="A35" s="19"/>
      <c r="B35" s="20"/>
      <c r="C35" s="34" t="s">
        <v>7901</v>
      </c>
      <c r="D35" s="11"/>
      <c r="E35" s="12"/>
      <c r="F35" s="22"/>
      <c r="G35" s="23"/>
      <c r="H35" s="22">
        <v>54.6</v>
      </c>
      <c r="I35" s="25"/>
      <c r="J35" s="26"/>
      <c r="K35" s="18"/>
      <c r="L35" s="12">
        <f t="shared" si="0"/>
        <v>4805.8399999999974</v>
      </c>
    </row>
    <row r="36" spans="1:12" ht="13.5" customHeight="1" x14ac:dyDescent="0.2">
      <c r="A36" s="19"/>
      <c r="B36" s="20"/>
      <c r="C36" s="34" t="s">
        <v>1131</v>
      </c>
      <c r="D36" s="11"/>
      <c r="E36" s="12"/>
      <c r="F36" s="22"/>
      <c r="G36" s="23"/>
      <c r="H36" s="22">
        <v>13.3</v>
      </c>
      <c r="I36" s="25"/>
      <c r="J36" s="26"/>
      <c r="K36" s="18"/>
      <c r="L36" s="12">
        <f t="shared" si="0"/>
        <v>4792.5399999999972</v>
      </c>
    </row>
    <row r="37" spans="1:12" ht="13.5" customHeight="1" x14ac:dyDescent="0.2">
      <c r="A37" s="19"/>
      <c r="B37" s="20"/>
      <c r="C37" s="34" t="s">
        <v>7902</v>
      </c>
      <c r="D37" s="11"/>
      <c r="E37" s="12"/>
      <c r="F37" s="22"/>
      <c r="G37" s="23"/>
      <c r="H37" s="22">
        <v>17.96</v>
      </c>
      <c r="I37" s="25"/>
      <c r="J37" s="26"/>
      <c r="K37" s="18"/>
      <c r="L37" s="12">
        <f t="shared" si="0"/>
        <v>4774.5799999999972</v>
      </c>
    </row>
    <row r="38" spans="1:12" ht="13.5" customHeight="1" x14ac:dyDescent="0.2">
      <c r="A38" s="19"/>
      <c r="B38" s="20"/>
      <c r="C38" s="34" t="s">
        <v>7903</v>
      </c>
      <c r="D38" s="11"/>
      <c r="E38" s="12"/>
      <c r="F38" s="22"/>
      <c r="G38" s="23"/>
      <c r="H38" s="22">
        <v>9</v>
      </c>
      <c r="I38" s="25"/>
      <c r="J38" s="26"/>
      <c r="K38" s="18"/>
      <c r="L38" s="12">
        <f t="shared" si="0"/>
        <v>4765.5799999999972</v>
      </c>
    </row>
    <row r="39" spans="1:12" ht="13.5" customHeight="1" x14ac:dyDescent="0.2">
      <c r="A39" s="19"/>
      <c r="B39" s="20"/>
      <c r="C39" s="34" t="s">
        <v>7904</v>
      </c>
      <c r="D39" s="11"/>
      <c r="E39" s="12"/>
      <c r="F39" s="22"/>
      <c r="G39" s="23"/>
      <c r="H39" s="22"/>
      <c r="I39" s="25">
        <v>2152.67</v>
      </c>
      <c r="J39" s="26"/>
      <c r="K39" s="18"/>
      <c r="L39" s="12">
        <f t="shared" si="0"/>
        <v>6918.2499999999973</v>
      </c>
    </row>
    <row r="40" spans="1:12" ht="13.5" customHeight="1" x14ac:dyDescent="0.2">
      <c r="A40" s="19"/>
      <c r="B40" s="20"/>
      <c r="C40" s="34" t="s">
        <v>7905</v>
      </c>
      <c r="D40" s="11"/>
      <c r="E40" s="12"/>
      <c r="F40" s="22"/>
      <c r="G40" s="23"/>
      <c r="H40" s="22"/>
      <c r="I40" s="25">
        <v>5000</v>
      </c>
      <c r="J40" s="26"/>
      <c r="K40" s="18"/>
      <c r="L40" s="12">
        <f t="shared" si="0"/>
        <v>11918.249999999996</v>
      </c>
    </row>
    <row r="41" spans="1:12" ht="13.5" customHeight="1" x14ac:dyDescent="0.2">
      <c r="A41" s="19"/>
      <c r="B41" s="20"/>
      <c r="C41" s="34" t="s">
        <v>38</v>
      </c>
      <c r="D41" s="11"/>
      <c r="E41" s="12"/>
      <c r="F41" s="22"/>
      <c r="G41" s="23"/>
      <c r="H41" s="22">
        <v>5000</v>
      </c>
      <c r="I41" s="25"/>
      <c r="J41" s="26"/>
      <c r="K41" s="18"/>
      <c r="L41" s="12">
        <f t="shared" si="0"/>
        <v>6918.2499999999964</v>
      </c>
    </row>
    <row r="42" spans="1:12" ht="13.5" customHeight="1" x14ac:dyDescent="0.2">
      <c r="A42" s="19"/>
      <c r="B42" s="20"/>
      <c r="C42" s="34" t="s">
        <v>77</v>
      </c>
      <c r="D42" s="11"/>
      <c r="E42" s="12"/>
      <c r="F42" s="22"/>
      <c r="G42" s="23"/>
      <c r="H42" s="409">
        <v>5000</v>
      </c>
      <c r="I42" s="25"/>
      <c r="J42" s="26">
        <v>1918.2499999999964</v>
      </c>
      <c r="K42" s="18"/>
      <c r="L42" s="12">
        <f t="shared" si="0"/>
        <v>1918.2499999999964</v>
      </c>
    </row>
    <row r="43" spans="1:12" ht="13.5" customHeight="1" x14ac:dyDescent="0.2">
      <c r="A43" s="19">
        <v>43290</v>
      </c>
      <c r="B43" s="20"/>
      <c r="C43" s="34" t="s">
        <v>56</v>
      </c>
      <c r="D43" s="11"/>
      <c r="E43" s="12"/>
      <c r="F43" s="22"/>
      <c r="G43" s="23"/>
      <c r="H43" s="22">
        <v>48.24</v>
      </c>
      <c r="I43" s="25"/>
      <c r="J43" s="26"/>
      <c r="K43" s="18"/>
      <c r="L43" s="12">
        <f t="shared" si="0"/>
        <v>1870.0099999999964</v>
      </c>
    </row>
    <row r="44" spans="1:12" ht="13.5" customHeight="1" x14ac:dyDescent="0.2">
      <c r="A44" s="19"/>
      <c r="B44" s="20"/>
      <c r="C44" s="34" t="s">
        <v>7906</v>
      </c>
      <c r="D44" s="11"/>
      <c r="E44" s="12"/>
      <c r="F44" s="22"/>
      <c r="G44" s="23"/>
      <c r="H44" s="22"/>
      <c r="I44" s="25">
        <v>1238.73</v>
      </c>
      <c r="J44" s="26"/>
      <c r="K44" s="18"/>
      <c r="L44" s="12">
        <f t="shared" si="0"/>
        <v>3108.7399999999961</v>
      </c>
    </row>
    <row r="45" spans="1:12" ht="13.5" customHeight="1" x14ac:dyDescent="0.2">
      <c r="A45" s="19"/>
      <c r="B45" s="20"/>
      <c r="C45" s="34" t="s">
        <v>7907</v>
      </c>
      <c r="D45" s="11"/>
      <c r="E45" s="12"/>
      <c r="F45" s="22"/>
      <c r="G45" s="23"/>
      <c r="H45" s="22"/>
      <c r="I45" s="25">
        <v>190</v>
      </c>
      <c r="J45" s="26">
        <v>3298.7399999999961</v>
      </c>
      <c r="K45" s="18"/>
      <c r="L45" s="12">
        <f t="shared" si="0"/>
        <v>3298.7399999999961</v>
      </c>
    </row>
    <row r="46" spans="1:12" ht="13.5" customHeight="1" x14ac:dyDescent="0.2">
      <c r="A46" s="19" t="s">
        <v>7908</v>
      </c>
      <c r="B46" s="20"/>
      <c r="C46" s="34" t="s">
        <v>7909</v>
      </c>
      <c r="D46" s="11" t="s">
        <v>19</v>
      </c>
      <c r="E46" s="12"/>
      <c r="F46" s="22" t="s">
        <v>7910</v>
      </c>
      <c r="G46" s="23" t="s">
        <v>7911</v>
      </c>
      <c r="H46" s="22"/>
      <c r="I46" s="25"/>
      <c r="J46" s="26"/>
      <c r="K46" s="18"/>
      <c r="L46" s="12">
        <f t="shared" si="0"/>
        <v>3298.7399999999961</v>
      </c>
    </row>
    <row r="47" spans="1:12" ht="13.5" customHeight="1" x14ac:dyDescent="0.2">
      <c r="A47" s="19">
        <v>43291</v>
      </c>
      <c r="B47" s="20"/>
      <c r="C47" s="34" t="s">
        <v>546</v>
      </c>
      <c r="D47" s="11"/>
      <c r="E47" s="12"/>
      <c r="F47" s="22"/>
      <c r="G47" s="23"/>
      <c r="H47" s="22">
        <v>700</v>
      </c>
      <c r="I47" s="25"/>
      <c r="J47" s="26"/>
      <c r="K47" s="18"/>
      <c r="L47" s="12">
        <f t="shared" si="0"/>
        <v>2598.7399999999961</v>
      </c>
    </row>
    <row r="48" spans="1:12" ht="13.5" customHeight="1" x14ac:dyDescent="0.2">
      <c r="A48" s="19"/>
      <c r="B48" s="20"/>
      <c r="C48" s="34" t="s">
        <v>7912</v>
      </c>
      <c r="D48" s="11"/>
      <c r="E48" s="12"/>
      <c r="F48" s="22"/>
      <c r="G48" s="23"/>
      <c r="H48" s="22">
        <v>6.25</v>
      </c>
      <c r="I48" s="25"/>
      <c r="J48" s="26"/>
      <c r="K48" s="18"/>
      <c r="L48" s="12">
        <f t="shared" si="0"/>
        <v>2592.4899999999961</v>
      </c>
    </row>
    <row r="49" spans="1:12" ht="13.5" customHeight="1" x14ac:dyDescent="0.2">
      <c r="A49" s="19"/>
      <c r="B49" s="20"/>
      <c r="C49" s="34" t="s">
        <v>458</v>
      </c>
      <c r="D49" s="11"/>
      <c r="E49" s="12"/>
      <c r="F49" s="22"/>
      <c r="G49" s="23"/>
      <c r="H49" s="162">
        <v>190</v>
      </c>
      <c r="I49" s="25"/>
      <c r="J49" s="26"/>
      <c r="K49" s="18"/>
      <c r="L49" s="12">
        <f t="shared" si="0"/>
        <v>2402.4899999999961</v>
      </c>
    </row>
    <row r="50" spans="1:12" ht="13.5" customHeight="1" x14ac:dyDescent="0.2">
      <c r="A50" s="19"/>
      <c r="B50" s="20"/>
      <c r="C50" s="34" t="s">
        <v>7913</v>
      </c>
      <c r="D50" s="11"/>
      <c r="E50" s="12"/>
      <c r="F50" s="22"/>
      <c r="G50" s="23"/>
      <c r="H50" s="22">
        <v>6</v>
      </c>
      <c r="I50" s="25"/>
      <c r="J50" s="26">
        <v>2396.4899999999961</v>
      </c>
      <c r="K50" s="18"/>
      <c r="L50" s="12">
        <f t="shared" si="0"/>
        <v>2396.4899999999961</v>
      </c>
    </row>
    <row r="51" spans="1:12" ht="13.5" customHeight="1" x14ac:dyDescent="0.2">
      <c r="A51" s="19"/>
      <c r="B51" s="20"/>
      <c r="C51" s="34" t="s">
        <v>558</v>
      </c>
      <c r="D51" s="11" t="s">
        <v>19</v>
      </c>
      <c r="E51" s="12" t="s">
        <v>7914</v>
      </c>
      <c r="F51" s="22"/>
      <c r="G51" s="23"/>
      <c r="H51" s="22"/>
      <c r="I51" s="25"/>
      <c r="J51" s="26"/>
      <c r="K51" s="18"/>
      <c r="L51" s="12">
        <f t="shared" si="0"/>
        <v>2396.4899999999961</v>
      </c>
    </row>
    <row r="52" spans="1:12" ht="13.5" customHeight="1" x14ac:dyDescent="0.2">
      <c r="A52" s="19"/>
      <c r="B52" s="20"/>
      <c r="C52" s="34" t="s">
        <v>62</v>
      </c>
      <c r="D52" s="11" t="s">
        <v>19</v>
      </c>
      <c r="E52" s="12" t="s">
        <v>7915</v>
      </c>
      <c r="F52" s="22"/>
      <c r="G52" s="23"/>
      <c r="H52" s="22"/>
      <c r="I52" s="25"/>
      <c r="J52" s="26"/>
      <c r="K52" s="18"/>
      <c r="L52" s="12">
        <f t="shared" si="0"/>
        <v>2396.4899999999961</v>
      </c>
    </row>
    <row r="53" spans="1:12" ht="13.5" customHeight="1" x14ac:dyDescent="0.2">
      <c r="A53" s="19"/>
      <c r="B53" s="20"/>
      <c r="C53" s="34" t="s">
        <v>82</v>
      </c>
      <c r="D53" s="11" t="s">
        <v>466</v>
      </c>
      <c r="E53" s="12" t="s">
        <v>7916</v>
      </c>
      <c r="F53" s="22"/>
      <c r="G53" s="23"/>
      <c r="H53" s="22"/>
      <c r="I53" s="25"/>
      <c r="J53" s="26"/>
      <c r="K53" s="18"/>
      <c r="L53" s="12">
        <f t="shared" si="0"/>
        <v>2396.4899999999961</v>
      </c>
    </row>
    <row r="54" spans="1:12" ht="13.5" customHeight="1" x14ac:dyDescent="0.2">
      <c r="A54" s="19"/>
      <c r="B54" s="20"/>
      <c r="C54" s="34" t="s">
        <v>68</v>
      </c>
      <c r="D54" s="11" t="s">
        <v>1451</v>
      </c>
      <c r="E54" s="12" t="s">
        <v>7917</v>
      </c>
      <c r="F54" s="22"/>
      <c r="G54" s="23"/>
      <c r="H54" s="22"/>
      <c r="I54" s="25"/>
      <c r="J54" s="26"/>
      <c r="K54" s="18"/>
      <c r="L54" s="12">
        <f t="shared" si="0"/>
        <v>2396.4899999999961</v>
      </c>
    </row>
    <row r="55" spans="1:12" ht="13.5" customHeight="1" x14ac:dyDescent="0.2">
      <c r="A55" s="19"/>
      <c r="B55" s="20"/>
      <c r="C55" s="34" t="s">
        <v>458</v>
      </c>
      <c r="D55" s="11" t="s">
        <v>7918</v>
      </c>
      <c r="E55" s="12"/>
      <c r="F55" s="162" t="s">
        <v>7919</v>
      </c>
      <c r="G55" s="23"/>
      <c r="H55" s="22"/>
      <c r="I55" s="25"/>
      <c r="J55" s="39"/>
      <c r="K55" s="18"/>
      <c r="L55" s="12">
        <f t="shared" si="0"/>
        <v>2396.4899999999961</v>
      </c>
    </row>
    <row r="56" spans="1:12" ht="13.5" customHeight="1" x14ac:dyDescent="0.2">
      <c r="A56" s="19"/>
      <c r="B56" s="20"/>
      <c r="C56" s="34" t="s">
        <v>20</v>
      </c>
      <c r="D56" s="11" t="s">
        <v>19</v>
      </c>
      <c r="E56" s="12"/>
      <c r="F56" s="22" t="s">
        <v>7920</v>
      </c>
      <c r="G56" s="23" t="s">
        <v>7921</v>
      </c>
      <c r="H56" s="22"/>
      <c r="I56" s="25"/>
      <c r="J56" s="26"/>
      <c r="K56" s="18"/>
      <c r="L56" s="12">
        <f t="shared" si="0"/>
        <v>2396.4899999999961</v>
      </c>
    </row>
    <row r="57" spans="1:12" ht="13.5" customHeight="1" x14ac:dyDescent="0.2">
      <c r="A57" s="19">
        <v>43292</v>
      </c>
      <c r="B57" s="20"/>
      <c r="C57" s="34" t="s">
        <v>7922</v>
      </c>
      <c r="D57" s="11"/>
      <c r="E57" s="12"/>
      <c r="F57" s="22"/>
      <c r="G57" s="23"/>
      <c r="H57" s="22"/>
      <c r="I57" s="25">
        <v>185</v>
      </c>
      <c r="J57" s="26"/>
      <c r="K57" s="18"/>
      <c r="L57" s="12">
        <f t="shared" si="0"/>
        <v>2581.4899999999961</v>
      </c>
    </row>
    <row r="58" spans="1:12" ht="13.5" customHeight="1" x14ac:dyDescent="0.2">
      <c r="A58" s="19"/>
      <c r="B58" s="20"/>
      <c r="C58" s="34" t="s">
        <v>7923</v>
      </c>
      <c r="D58" s="11"/>
      <c r="E58" s="12"/>
      <c r="F58" s="22"/>
      <c r="G58" s="23"/>
      <c r="H58" s="22"/>
      <c r="I58" s="25">
        <v>1020</v>
      </c>
      <c r="J58" s="26">
        <v>3601.4899999999961</v>
      </c>
      <c r="K58" s="18"/>
      <c r="L58" s="12">
        <f t="shared" si="0"/>
        <v>3601.4899999999961</v>
      </c>
    </row>
    <row r="59" spans="1:12" ht="13.5" customHeight="1" x14ac:dyDescent="0.2">
      <c r="A59" s="19"/>
      <c r="B59" s="20"/>
      <c r="C59" s="34" t="s">
        <v>80</v>
      </c>
      <c r="D59" s="11" t="s">
        <v>19</v>
      </c>
      <c r="E59" s="12" t="s">
        <v>7924</v>
      </c>
      <c r="F59" s="22"/>
      <c r="G59" s="23"/>
      <c r="H59" s="22"/>
      <c r="I59" s="25"/>
      <c r="J59" s="26"/>
      <c r="K59" s="18"/>
      <c r="L59" s="12">
        <f t="shared" si="0"/>
        <v>3601.4899999999961</v>
      </c>
    </row>
    <row r="60" spans="1:12" ht="13.5" customHeight="1" x14ac:dyDescent="0.2">
      <c r="A60" s="19"/>
      <c r="B60" s="20"/>
      <c r="C60" s="34" t="s">
        <v>7925</v>
      </c>
      <c r="D60" s="11" t="s">
        <v>5735</v>
      </c>
      <c r="E60" s="12" t="s">
        <v>7924</v>
      </c>
      <c r="F60" s="22"/>
      <c r="G60" s="23"/>
      <c r="H60" s="22"/>
      <c r="I60" s="25"/>
      <c r="J60" s="26"/>
      <c r="K60" s="18"/>
      <c r="L60" s="12">
        <f t="shared" si="0"/>
        <v>3601.4899999999961</v>
      </c>
    </row>
    <row r="61" spans="1:12" ht="13.5" customHeight="1" x14ac:dyDescent="0.2">
      <c r="A61" s="19"/>
      <c r="B61" s="20"/>
      <c r="C61" s="34" t="s">
        <v>20</v>
      </c>
      <c r="D61" s="11" t="s">
        <v>19</v>
      </c>
      <c r="E61" s="12"/>
      <c r="F61" s="22" t="s">
        <v>5579</v>
      </c>
      <c r="G61" s="23" t="s">
        <v>7926</v>
      </c>
      <c r="H61" s="22"/>
      <c r="I61" s="25"/>
      <c r="J61" s="39"/>
      <c r="K61" s="18"/>
      <c r="L61" s="12">
        <f t="shared" si="0"/>
        <v>3601.4899999999961</v>
      </c>
    </row>
    <row r="62" spans="1:12" ht="13.5" customHeight="1" x14ac:dyDescent="0.2">
      <c r="A62" s="46" t="s">
        <v>7927</v>
      </c>
      <c r="B62" s="46"/>
      <c r="C62" s="34" t="s">
        <v>898</v>
      </c>
      <c r="D62" s="42" t="s">
        <v>19</v>
      </c>
      <c r="E62" s="43" t="s">
        <v>7928</v>
      </c>
      <c r="F62" s="43"/>
      <c r="G62" s="23"/>
      <c r="H62" s="22"/>
      <c r="I62" s="25"/>
      <c r="J62" s="26"/>
      <c r="K62" s="18"/>
      <c r="L62" s="12">
        <f t="shared" si="0"/>
        <v>3601.4899999999961</v>
      </c>
    </row>
    <row r="63" spans="1:12" ht="13.5" customHeight="1" x14ac:dyDescent="0.2">
      <c r="A63" s="46"/>
      <c r="B63" s="46"/>
      <c r="C63" s="36" t="s">
        <v>7929</v>
      </c>
      <c r="D63" s="42" t="s">
        <v>19</v>
      </c>
      <c r="E63" s="43" t="s">
        <v>7930</v>
      </c>
      <c r="F63" s="43"/>
      <c r="G63" s="23"/>
      <c r="H63" s="22"/>
      <c r="I63" s="25"/>
      <c r="J63" s="26"/>
      <c r="K63" s="18"/>
      <c r="L63" s="12">
        <f t="shared" si="0"/>
        <v>3601.4899999999961</v>
      </c>
    </row>
    <row r="64" spans="1:12" ht="13.5" customHeight="1" x14ac:dyDescent="0.2">
      <c r="A64" s="19"/>
      <c r="B64" s="20"/>
      <c r="C64" s="36" t="s">
        <v>7931</v>
      </c>
      <c r="D64" s="11" t="s">
        <v>19</v>
      </c>
      <c r="E64" s="12" t="s">
        <v>7932</v>
      </c>
      <c r="F64" s="22"/>
      <c r="G64" s="23"/>
      <c r="H64" s="22"/>
      <c r="I64" s="25"/>
      <c r="J64" s="26"/>
      <c r="K64" s="18"/>
      <c r="L64" s="12">
        <f t="shared" si="0"/>
        <v>3601.4899999999961</v>
      </c>
    </row>
    <row r="65" spans="1:12" ht="13.5" customHeight="1" x14ac:dyDescent="0.2">
      <c r="A65" s="19"/>
      <c r="B65" s="20"/>
      <c r="C65" s="34" t="s">
        <v>20</v>
      </c>
      <c r="D65" s="11" t="s">
        <v>19</v>
      </c>
      <c r="E65" s="12"/>
      <c r="F65" s="22" t="s">
        <v>5579</v>
      </c>
      <c r="G65" s="23" t="s">
        <v>7933</v>
      </c>
      <c r="H65" s="22"/>
      <c r="I65" s="25"/>
      <c r="J65" s="26"/>
      <c r="K65" s="18"/>
      <c r="L65" s="12">
        <f t="shared" si="0"/>
        <v>3601.4899999999961</v>
      </c>
    </row>
    <row r="66" spans="1:12" ht="13.5" customHeight="1" x14ac:dyDescent="0.2">
      <c r="A66" s="19">
        <v>43294</v>
      </c>
      <c r="B66" s="20"/>
      <c r="C66" s="34" t="s">
        <v>7934</v>
      </c>
      <c r="D66" s="11"/>
      <c r="E66" s="12"/>
      <c r="F66" s="22"/>
      <c r="G66" s="23"/>
      <c r="H66" s="22"/>
      <c r="I66" s="25">
        <v>185</v>
      </c>
      <c r="J66" s="26"/>
      <c r="K66" s="18"/>
      <c r="L66" s="12">
        <f t="shared" si="0"/>
        <v>3786.4899999999961</v>
      </c>
    </row>
    <row r="67" spans="1:12" ht="13.5" customHeight="1" x14ac:dyDescent="0.2">
      <c r="A67" s="19"/>
      <c r="B67" s="20"/>
      <c r="C67" s="34" t="s">
        <v>464</v>
      </c>
      <c r="D67" s="11"/>
      <c r="E67" s="12"/>
      <c r="F67" s="22"/>
      <c r="G67" s="23"/>
      <c r="H67" s="162">
        <v>1020</v>
      </c>
      <c r="I67" s="25"/>
      <c r="J67" s="26"/>
      <c r="K67" s="18"/>
      <c r="L67" s="12">
        <f t="shared" si="0"/>
        <v>2766.4899999999961</v>
      </c>
    </row>
    <row r="68" spans="1:12" ht="13.5" customHeight="1" x14ac:dyDescent="0.2">
      <c r="A68" s="19"/>
      <c r="B68" s="20"/>
      <c r="C68" s="34" t="s">
        <v>567</v>
      </c>
      <c r="D68" s="11"/>
      <c r="E68" s="12"/>
      <c r="F68" s="22"/>
      <c r="G68" s="23"/>
      <c r="H68" s="162">
        <v>185</v>
      </c>
      <c r="I68" s="25"/>
      <c r="J68" s="26"/>
      <c r="K68" s="18"/>
      <c r="L68" s="12">
        <f t="shared" si="0"/>
        <v>2581.4899999999961</v>
      </c>
    </row>
    <row r="69" spans="1:12" ht="13.5" customHeight="1" x14ac:dyDescent="0.2">
      <c r="A69" s="19"/>
      <c r="B69" s="20"/>
      <c r="C69" s="34" t="s">
        <v>7935</v>
      </c>
      <c r="D69" s="11"/>
      <c r="E69" s="12"/>
      <c r="F69" s="22"/>
      <c r="G69" s="23"/>
      <c r="H69" s="22"/>
      <c r="I69" s="25">
        <v>3587.45</v>
      </c>
      <c r="J69" s="26"/>
      <c r="K69" s="18"/>
      <c r="L69" s="12">
        <f t="shared" ref="L69:L132" si="1">L68+I69-H69</f>
        <v>6168.939999999996</v>
      </c>
    </row>
    <row r="70" spans="1:12" ht="13.5" customHeight="1" x14ac:dyDescent="0.2">
      <c r="A70" s="19"/>
      <c r="B70" s="20"/>
      <c r="C70" s="34" t="s">
        <v>7936</v>
      </c>
      <c r="D70" s="11"/>
      <c r="E70" s="12"/>
      <c r="F70" s="22"/>
      <c r="G70" s="23"/>
      <c r="H70" s="22">
        <v>12.34</v>
      </c>
      <c r="I70" s="25"/>
      <c r="J70" s="26"/>
      <c r="K70" s="18"/>
      <c r="L70" s="12">
        <f t="shared" si="1"/>
        <v>6156.5999999999958</v>
      </c>
    </row>
    <row r="71" spans="1:12" ht="13.5" customHeight="1" x14ac:dyDescent="0.2">
      <c r="A71" s="19"/>
      <c r="B71" s="20"/>
      <c r="C71" s="34" t="s">
        <v>7937</v>
      </c>
      <c r="D71" s="11"/>
      <c r="E71" s="12"/>
      <c r="F71" s="22"/>
      <c r="G71" s="23"/>
      <c r="H71" s="22">
        <v>25.87</v>
      </c>
      <c r="I71" s="25"/>
      <c r="J71" s="26"/>
      <c r="K71" s="18"/>
      <c r="L71" s="12">
        <f t="shared" si="1"/>
        <v>6130.7299999999959</v>
      </c>
    </row>
    <row r="72" spans="1:12" ht="13.5" customHeight="1" x14ac:dyDescent="0.2">
      <c r="A72" s="19"/>
      <c r="B72" s="20"/>
      <c r="C72" s="34" t="s">
        <v>7938</v>
      </c>
      <c r="D72" s="11"/>
      <c r="E72" s="12"/>
      <c r="F72" s="22"/>
      <c r="G72" s="23"/>
      <c r="H72" s="22"/>
      <c r="I72" s="25">
        <v>80</v>
      </c>
      <c r="J72" s="26"/>
      <c r="K72" s="18"/>
      <c r="L72" s="12">
        <f t="shared" si="1"/>
        <v>6210.7299999999959</v>
      </c>
    </row>
    <row r="73" spans="1:12" ht="13.5" customHeight="1" x14ac:dyDescent="0.2">
      <c r="A73" s="19"/>
      <c r="B73" s="20"/>
      <c r="C73" s="34" t="s">
        <v>36</v>
      </c>
      <c r="D73" s="11"/>
      <c r="E73" s="12"/>
      <c r="F73" s="22"/>
      <c r="G73" s="23"/>
      <c r="H73" s="22">
        <v>350</v>
      </c>
      <c r="I73" s="25"/>
      <c r="J73" s="26">
        <v>5860.7299999999959</v>
      </c>
      <c r="K73" s="18"/>
      <c r="L73" s="12">
        <f t="shared" si="1"/>
        <v>5860.7299999999959</v>
      </c>
    </row>
    <row r="74" spans="1:12" ht="13.5" customHeight="1" x14ac:dyDescent="0.2">
      <c r="A74" s="19" t="s">
        <v>7939</v>
      </c>
      <c r="B74" s="20"/>
      <c r="C74" s="34" t="s">
        <v>464</v>
      </c>
      <c r="D74" s="11" t="s">
        <v>7940</v>
      </c>
      <c r="E74" s="12"/>
      <c r="F74" s="162" t="s">
        <v>5634</v>
      </c>
      <c r="G74" s="23"/>
      <c r="H74" s="22"/>
      <c r="I74" s="25"/>
      <c r="J74" s="39"/>
      <c r="K74" s="18"/>
      <c r="L74" s="12">
        <f t="shared" si="1"/>
        <v>5860.7299999999959</v>
      </c>
    </row>
    <row r="75" spans="1:12" ht="13.5" customHeight="1" x14ac:dyDescent="0.2">
      <c r="A75" s="19"/>
      <c r="B75" s="20"/>
      <c r="C75" s="34" t="s">
        <v>567</v>
      </c>
      <c r="D75" s="11" t="s">
        <v>7941</v>
      </c>
      <c r="E75" s="12"/>
      <c r="F75" s="162" t="s">
        <v>5672</v>
      </c>
      <c r="G75" s="23" t="s">
        <v>7942</v>
      </c>
      <c r="H75" s="22"/>
      <c r="I75" s="25"/>
      <c r="J75" s="26"/>
      <c r="K75" s="18"/>
      <c r="L75" s="12">
        <f t="shared" si="1"/>
        <v>5860.7299999999959</v>
      </c>
    </row>
    <row r="76" spans="1:12" ht="13.5" customHeight="1" x14ac:dyDescent="0.2">
      <c r="A76" s="19">
        <v>43297</v>
      </c>
      <c r="B76" s="20"/>
      <c r="C76" s="34" t="s">
        <v>7943</v>
      </c>
      <c r="D76" s="11"/>
      <c r="E76" s="12"/>
      <c r="F76" s="22"/>
      <c r="G76" s="23"/>
      <c r="H76" s="22"/>
      <c r="I76" s="25">
        <v>60</v>
      </c>
      <c r="J76" s="26"/>
      <c r="K76" s="18"/>
      <c r="L76" s="12">
        <f t="shared" si="1"/>
        <v>5920.7299999999959</v>
      </c>
    </row>
    <row r="77" spans="1:12" ht="13.5" customHeight="1" x14ac:dyDescent="0.2">
      <c r="A77" s="19"/>
      <c r="B77" s="20"/>
      <c r="C77" s="34" t="s">
        <v>7944</v>
      </c>
      <c r="D77" s="11"/>
      <c r="E77" s="12"/>
      <c r="F77" s="22"/>
      <c r="G77" s="23"/>
      <c r="H77" s="22">
        <v>19</v>
      </c>
      <c r="I77" s="25"/>
      <c r="J77" s="26"/>
      <c r="K77" s="18"/>
      <c r="L77" s="12">
        <f t="shared" si="1"/>
        <v>5901.7299999999959</v>
      </c>
    </row>
    <row r="78" spans="1:12" ht="13.5" customHeight="1" x14ac:dyDescent="0.2">
      <c r="A78" s="19"/>
      <c r="B78" s="20"/>
      <c r="C78" s="34" t="s">
        <v>7945</v>
      </c>
      <c r="D78" s="11"/>
      <c r="E78" s="12"/>
      <c r="F78" s="22"/>
      <c r="G78" s="23"/>
      <c r="H78" s="22">
        <v>39.200000000000003</v>
      </c>
      <c r="I78" s="25"/>
      <c r="J78" s="26"/>
      <c r="K78" s="18"/>
      <c r="L78" s="12">
        <f t="shared" si="1"/>
        <v>5862.5299999999961</v>
      </c>
    </row>
    <row r="79" spans="1:12" ht="13.5" customHeight="1" x14ac:dyDescent="0.2">
      <c r="A79" s="19"/>
      <c r="B79" s="20"/>
      <c r="C79" s="34" t="s">
        <v>7946</v>
      </c>
      <c r="D79" s="11"/>
      <c r="E79" s="12"/>
      <c r="F79" s="22"/>
      <c r="G79" s="23"/>
      <c r="H79" s="22">
        <v>1.98</v>
      </c>
      <c r="I79" s="25"/>
      <c r="J79" s="26">
        <v>5860.5499999999965</v>
      </c>
      <c r="K79" s="18"/>
      <c r="L79" s="12">
        <f t="shared" si="1"/>
        <v>5860.5499999999965</v>
      </c>
    </row>
    <row r="80" spans="1:12" ht="13.5" customHeight="1" x14ac:dyDescent="0.2">
      <c r="A80" s="19"/>
      <c r="B80" s="20"/>
      <c r="C80" s="34" t="s">
        <v>7127</v>
      </c>
      <c r="D80" s="11" t="s">
        <v>7947</v>
      </c>
      <c r="E80" s="12" t="s">
        <v>7948</v>
      </c>
      <c r="F80" s="22"/>
      <c r="G80" s="23"/>
      <c r="H80" s="22"/>
      <c r="I80" s="25"/>
      <c r="J80" s="26"/>
      <c r="K80" s="18"/>
      <c r="L80" s="12">
        <f t="shared" si="1"/>
        <v>5860.5499999999965</v>
      </c>
    </row>
    <row r="81" spans="1:12" ht="13.5" customHeight="1" x14ac:dyDescent="0.2">
      <c r="A81" s="19"/>
      <c r="B81" s="20"/>
      <c r="C81" s="34" t="s">
        <v>86</v>
      </c>
      <c r="D81" s="11" t="s">
        <v>19</v>
      </c>
      <c r="E81" s="12" t="s">
        <v>7949</v>
      </c>
      <c r="F81" s="22"/>
      <c r="G81" s="23"/>
      <c r="H81" s="22"/>
      <c r="I81" s="25"/>
      <c r="J81" s="26"/>
      <c r="K81" s="18"/>
      <c r="L81" s="12">
        <f t="shared" si="1"/>
        <v>5860.5499999999965</v>
      </c>
    </row>
    <row r="82" spans="1:12" ht="13.5" customHeight="1" x14ac:dyDescent="0.2">
      <c r="A82" s="19"/>
      <c r="B82" s="20"/>
      <c r="C82" s="34" t="s">
        <v>114</v>
      </c>
      <c r="D82" s="11" t="s">
        <v>1336</v>
      </c>
      <c r="E82" s="12" t="s">
        <v>7950</v>
      </c>
      <c r="F82" s="22"/>
      <c r="G82" s="23"/>
      <c r="H82" s="22"/>
      <c r="I82" s="25"/>
      <c r="J82" s="26"/>
      <c r="K82" s="18"/>
      <c r="L82" s="12">
        <f t="shared" si="1"/>
        <v>5860.5499999999965</v>
      </c>
    </row>
    <row r="83" spans="1:12" ht="13.5" customHeight="1" x14ac:dyDescent="0.2">
      <c r="A83" s="19"/>
      <c r="B83" s="20"/>
      <c r="C83" s="34" t="s">
        <v>20</v>
      </c>
      <c r="D83" s="11" t="s">
        <v>19</v>
      </c>
      <c r="E83" s="12"/>
      <c r="F83" s="22" t="s">
        <v>7951</v>
      </c>
      <c r="G83" s="23" t="s">
        <v>7952</v>
      </c>
      <c r="H83" s="22"/>
      <c r="I83" s="25"/>
      <c r="J83" s="26"/>
      <c r="K83" s="18"/>
      <c r="L83" s="12">
        <f t="shared" si="1"/>
        <v>5860.5499999999965</v>
      </c>
    </row>
    <row r="84" spans="1:12" ht="13.5" customHeight="1" x14ac:dyDescent="0.2">
      <c r="A84" s="19">
        <v>43298</v>
      </c>
      <c r="B84" s="20"/>
      <c r="C84" s="34" t="s">
        <v>7953</v>
      </c>
      <c r="D84" s="11"/>
      <c r="E84" s="12"/>
      <c r="F84" s="22"/>
      <c r="G84" s="23"/>
      <c r="H84" s="22">
        <v>30</v>
      </c>
      <c r="I84" s="25"/>
      <c r="J84" s="26"/>
      <c r="K84" s="18"/>
      <c r="L84" s="12">
        <f t="shared" si="1"/>
        <v>5830.5499999999965</v>
      </c>
    </row>
    <row r="85" spans="1:12" ht="13.5" customHeight="1" x14ac:dyDescent="0.2">
      <c r="A85" s="19"/>
      <c r="B85" s="20"/>
      <c r="C85" s="34" t="s">
        <v>7954</v>
      </c>
      <c r="D85" s="11"/>
      <c r="E85" s="12"/>
      <c r="F85" s="22"/>
      <c r="G85" s="23"/>
      <c r="H85" s="22">
        <v>10</v>
      </c>
      <c r="I85" s="25"/>
      <c r="J85" s="26"/>
      <c r="K85" s="18"/>
      <c r="L85" s="12">
        <f t="shared" si="1"/>
        <v>5820.5499999999965</v>
      </c>
    </row>
    <row r="86" spans="1:12" ht="13.5" customHeight="1" x14ac:dyDescent="0.2">
      <c r="A86" s="19"/>
      <c r="B86" s="20"/>
      <c r="C86" s="34" t="s">
        <v>6983</v>
      </c>
      <c r="D86" s="11"/>
      <c r="E86" s="12"/>
      <c r="F86" s="22"/>
      <c r="G86" s="23"/>
      <c r="H86" s="22">
        <v>2.5</v>
      </c>
      <c r="I86" s="25"/>
      <c r="J86" s="26"/>
      <c r="K86" s="18"/>
      <c r="L86" s="12">
        <f t="shared" si="1"/>
        <v>5818.0499999999965</v>
      </c>
    </row>
    <row r="87" spans="1:12" ht="13.5" customHeight="1" x14ac:dyDescent="0.2">
      <c r="A87" s="19"/>
      <c r="B87" s="20"/>
      <c r="C87" s="34" t="s">
        <v>7955</v>
      </c>
      <c r="D87" s="11"/>
      <c r="E87" s="12"/>
      <c r="F87" s="22"/>
      <c r="G87" s="23"/>
      <c r="H87" s="22">
        <v>35.74</v>
      </c>
      <c r="I87" s="25"/>
      <c r="J87" s="26">
        <v>5782.3099999999968</v>
      </c>
      <c r="K87" s="18"/>
      <c r="L87" s="12">
        <f t="shared" si="1"/>
        <v>5782.3099999999968</v>
      </c>
    </row>
    <row r="88" spans="1:12" ht="13.5" customHeight="1" x14ac:dyDescent="0.2">
      <c r="A88" s="19" t="s">
        <v>7956</v>
      </c>
      <c r="B88" s="20"/>
      <c r="C88" s="34" t="s">
        <v>7957</v>
      </c>
      <c r="D88" s="11" t="s">
        <v>7958</v>
      </c>
      <c r="E88" s="12"/>
      <c r="F88" s="22" t="s">
        <v>7959</v>
      </c>
      <c r="G88" s="23"/>
      <c r="H88" s="22"/>
      <c r="I88" s="25"/>
      <c r="J88" s="26"/>
      <c r="K88" s="18"/>
      <c r="L88" s="12">
        <f t="shared" si="1"/>
        <v>5782.3099999999968</v>
      </c>
    </row>
    <row r="89" spans="1:12" ht="13.5" customHeight="1" x14ac:dyDescent="0.2">
      <c r="A89" s="19"/>
      <c r="B89" s="20"/>
      <c r="C89" s="34" t="s">
        <v>7957</v>
      </c>
      <c r="D89" s="11" t="s">
        <v>7960</v>
      </c>
      <c r="E89" s="12"/>
      <c r="F89" s="22" t="s">
        <v>7961</v>
      </c>
      <c r="G89" s="23"/>
      <c r="H89" s="22"/>
      <c r="I89" s="25"/>
      <c r="J89" s="26"/>
      <c r="K89" s="18"/>
      <c r="L89" s="12">
        <f t="shared" si="1"/>
        <v>5782.3099999999968</v>
      </c>
    </row>
    <row r="90" spans="1:12" ht="13.5" customHeight="1" x14ac:dyDescent="0.2">
      <c r="A90" s="19"/>
      <c r="B90" s="20"/>
      <c r="C90" s="34" t="s">
        <v>18</v>
      </c>
      <c r="D90" s="11" t="s">
        <v>19</v>
      </c>
      <c r="E90" s="12" t="s">
        <v>7962</v>
      </c>
      <c r="F90" s="22"/>
      <c r="G90" s="23"/>
      <c r="H90" s="22"/>
      <c r="I90" s="25"/>
      <c r="J90" s="26"/>
      <c r="K90" s="18"/>
      <c r="L90" s="12">
        <f t="shared" si="1"/>
        <v>5782.3099999999968</v>
      </c>
    </row>
    <row r="91" spans="1:12" ht="13.5" customHeight="1" x14ac:dyDescent="0.2">
      <c r="A91" s="19"/>
      <c r="B91" s="20"/>
      <c r="C91" s="34" t="s">
        <v>7963</v>
      </c>
      <c r="D91" s="11" t="s">
        <v>19</v>
      </c>
      <c r="E91" s="12" t="s">
        <v>7964</v>
      </c>
      <c r="F91" s="22"/>
      <c r="G91" s="23" t="s">
        <v>7965</v>
      </c>
      <c r="H91" s="22"/>
      <c r="I91" s="25"/>
      <c r="J91" s="26"/>
      <c r="K91" s="18"/>
      <c r="L91" s="12">
        <f t="shared" si="1"/>
        <v>5782.3099999999968</v>
      </c>
    </row>
    <row r="92" spans="1:12" ht="13.5" customHeight="1" x14ac:dyDescent="0.2">
      <c r="A92" s="19">
        <v>43299</v>
      </c>
      <c r="B92" s="20"/>
      <c r="C92" s="34" t="s">
        <v>7966</v>
      </c>
      <c r="D92" s="11"/>
      <c r="E92" s="12"/>
      <c r="F92" s="22"/>
      <c r="G92" s="23"/>
      <c r="H92" s="22"/>
      <c r="I92" s="25">
        <v>1394.34</v>
      </c>
      <c r="J92" s="26">
        <v>7176.6499999999969</v>
      </c>
      <c r="K92" s="18"/>
      <c r="L92" s="12">
        <f t="shared" si="1"/>
        <v>7176.6499999999969</v>
      </c>
    </row>
    <row r="93" spans="1:12" ht="13.5" customHeight="1" x14ac:dyDescent="0.2">
      <c r="A93" s="19"/>
      <c r="B93" s="20"/>
      <c r="C93" s="34" t="s">
        <v>7967</v>
      </c>
      <c r="D93" s="11" t="s">
        <v>19</v>
      </c>
      <c r="E93" s="12" t="s">
        <v>7968</v>
      </c>
      <c r="F93" s="22"/>
      <c r="G93" s="23"/>
      <c r="H93" s="22"/>
      <c r="I93" s="25"/>
      <c r="J93" s="26"/>
      <c r="K93" s="18"/>
      <c r="L93" s="12">
        <f t="shared" si="1"/>
        <v>7176.6499999999969</v>
      </c>
    </row>
    <row r="94" spans="1:12" ht="13.5" customHeight="1" x14ac:dyDescent="0.2">
      <c r="A94" s="19"/>
      <c r="B94" s="20"/>
      <c r="C94" s="34" t="s">
        <v>1324</v>
      </c>
      <c r="D94" s="11" t="s">
        <v>19</v>
      </c>
      <c r="E94" s="12" t="s">
        <v>7969</v>
      </c>
      <c r="F94" s="22"/>
      <c r="G94" s="23"/>
      <c r="H94" s="22"/>
      <c r="I94" s="25"/>
      <c r="J94" s="26"/>
      <c r="K94" s="18"/>
      <c r="L94" s="12">
        <f t="shared" si="1"/>
        <v>7176.6499999999969</v>
      </c>
    </row>
    <row r="95" spans="1:12" ht="13.5" customHeight="1" x14ac:dyDescent="0.2">
      <c r="A95" s="19"/>
      <c r="B95" s="20"/>
      <c r="C95" s="34" t="s">
        <v>20</v>
      </c>
      <c r="D95" s="11" t="s">
        <v>19</v>
      </c>
      <c r="E95" s="12"/>
      <c r="F95" s="22" t="s">
        <v>5579</v>
      </c>
      <c r="G95" s="23" t="s">
        <v>7970</v>
      </c>
      <c r="H95" s="22"/>
      <c r="I95" s="25"/>
      <c r="J95" s="26"/>
      <c r="K95" s="18"/>
      <c r="L95" s="12">
        <f t="shared" si="1"/>
        <v>7176.6499999999969</v>
      </c>
    </row>
    <row r="96" spans="1:12" ht="13.5" customHeight="1" x14ac:dyDescent="0.2">
      <c r="A96" s="19">
        <v>43300</v>
      </c>
      <c r="B96" s="20"/>
      <c r="C96" s="34" t="s">
        <v>339</v>
      </c>
      <c r="D96" s="11"/>
      <c r="E96" s="12"/>
      <c r="F96" s="22"/>
      <c r="G96" s="23"/>
      <c r="H96" s="22">
        <v>8.98</v>
      </c>
      <c r="I96" s="25"/>
      <c r="J96" s="26"/>
      <c r="K96" s="18"/>
      <c r="L96" s="12">
        <f t="shared" si="1"/>
        <v>7167.6699999999973</v>
      </c>
    </row>
    <row r="97" spans="1:12" ht="13.5" customHeight="1" x14ac:dyDescent="0.2">
      <c r="A97" s="19"/>
      <c r="B97" s="20"/>
      <c r="C97" s="34" t="s">
        <v>340</v>
      </c>
      <c r="D97" s="11"/>
      <c r="E97" s="12"/>
      <c r="F97" s="22"/>
      <c r="G97" s="23"/>
      <c r="H97" s="22">
        <v>8.98</v>
      </c>
      <c r="I97" s="25"/>
      <c r="J97" s="26"/>
      <c r="K97" s="18"/>
      <c r="L97" s="12">
        <f t="shared" si="1"/>
        <v>7158.6899999999978</v>
      </c>
    </row>
    <row r="98" spans="1:12" ht="13.5" customHeight="1" x14ac:dyDescent="0.2">
      <c r="A98" s="19"/>
      <c r="B98" s="20"/>
      <c r="C98" s="34" t="s">
        <v>7971</v>
      </c>
      <c r="D98" s="11"/>
      <c r="E98" s="12"/>
      <c r="F98" s="22"/>
      <c r="G98" s="23"/>
      <c r="H98" s="22">
        <v>16</v>
      </c>
      <c r="I98" s="25"/>
      <c r="J98" s="26"/>
      <c r="K98" s="18"/>
      <c r="L98" s="12">
        <f t="shared" si="1"/>
        <v>7142.6899999999978</v>
      </c>
    </row>
    <row r="99" spans="1:12" ht="13.5" customHeight="1" x14ac:dyDescent="0.2">
      <c r="A99" s="19"/>
      <c r="B99" s="20"/>
      <c r="C99" s="34" t="s">
        <v>36</v>
      </c>
      <c r="D99" s="11"/>
      <c r="E99" s="12"/>
      <c r="F99" s="22"/>
      <c r="G99" s="23"/>
      <c r="H99" s="22">
        <v>350</v>
      </c>
      <c r="I99" s="25"/>
      <c r="J99" s="26">
        <v>6792.6899999999978</v>
      </c>
      <c r="K99" s="18"/>
      <c r="L99" s="12">
        <f t="shared" si="1"/>
        <v>6792.6899999999978</v>
      </c>
    </row>
    <row r="100" spans="1:12" ht="13.5" customHeight="1" x14ac:dyDescent="0.2">
      <c r="A100" s="19"/>
      <c r="B100" s="20"/>
      <c r="C100" s="34" t="s">
        <v>7972</v>
      </c>
      <c r="D100" s="11" t="s">
        <v>7973</v>
      </c>
      <c r="E100" s="12" t="s">
        <v>7974</v>
      </c>
      <c r="F100" s="22"/>
      <c r="G100" s="23"/>
      <c r="H100" s="22"/>
      <c r="I100" s="25"/>
      <c r="J100" s="39"/>
      <c r="K100" s="18"/>
      <c r="L100" s="12">
        <f t="shared" si="1"/>
        <v>6792.6899999999978</v>
      </c>
    </row>
    <row r="101" spans="1:12" ht="13.5" customHeight="1" x14ac:dyDescent="0.2">
      <c r="A101" s="19"/>
      <c r="B101" s="20"/>
      <c r="C101" s="34" t="s">
        <v>7975</v>
      </c>
      <c r="D101" s="11" t="s">
        <v>3331</v>
      </c>
      <c r="E101" s="12" t="s">
        <v>7976</v>
      </c>
      <c r="F101" s="22"/>
      <c r="G101" s="23"/>
      <c r="H101" s="22"/>
      <c r="I101" s="25"/>
      <c r="J101" s="26"/>
      <c r="K101" s="18"/>
      <c r="L101" s="12">
        <f t="shared" si="1"/>
        <v>6792.6899999999978</v>
      </c>
    </row>
    <row r="102" spans="1:12" ht="13.5" customHeight="1" x14ac:dyDescent="0.2">
      <c r="A102" s="19"/>
      <c r="B102" s="20"/>
      <c r="C102" s="34" t="s">
        <v>20</v>
      </c>
      <c r="D102" s="11" t="s">
        <v>19</v>
      </c>
      <c r="E102" s="12"/>
      <c r="F102" s="22" t="s">
        <v>7977</v>
      </c>
      <c r="G102" s="23" t="s">
        <v>7978</v>
      </c>
      <c r="H102" s="22"/>
      <c r="I102" s="25"/>
      <c r="J102" s="26"/>
      <c r="K102" s="18"/>
      <c r="L102" s="12">
        <f t="shared" si="1"/>
        <v>6792.6899999999978</v>
      </c>
    </row>
    <row r="103" spans="1:12" ht="13.5" customHeight="1" x14ac:dyDescent="0.2">
      <c r="A103" s="19">
        <v>43301</v>
      </c>
      <c r="B103" s="20"/>
      <c r="C103" s="34" t="s">
        <v>7979</v>
      </c>
      <c r="D103" s="11"/>
      <c r="E103" s="12"/>
      <c r="F103" s="22"/>
      <c r="G103" s="23"/>
      <c r="H103" s="22">
        <v>16</v>
      </c>
      <c r="I103" s="25"/>
      <c r="J103" s="26"/>
      <c r="K103" s="18"/>
      <c r="L103" s="12">
        <f t="shared" si="1"/>
        <v>6776.6899999999978</v>
      </c>
    </row>
    <row r="104" spans="1:12" ht="13.5" customHeight="1" x14ac:dyDescent="0.2">
      <c r="A104" s="19"/>
      <c r="B104" s="20"/>
      <c r="C104" s="34" t="s">
        <v>7980</v>
      </c>
      <c r="D104" s="11"/>
      <c r="E104" s="12"/>
      <c r="F104" s="22"/>
      <c r="G104" s="23"/>
      <c r="H104" s="22">
        <v>150</v>
      </c>
      <c r="I104" s="25"/>
      <c r="J104" s="26"/>
      <c r="K104" s="18"/>
      <c r="L104" s="12">
        <f t="shared" si="1"/>
        <v>6626.6899999999978</v>
      </c>
    </row>
    <row r="105" spans="1:12" ht="13.5" customHeight="1" x14ac:dyDescent="0.2">
      <c r="A105" s="19"/>
      <c r="B105" s="20"/>
      <c r="C105" s="34" t="s">
        <v>7981</v>
      </c>
      <c r="D105" s="11"/>
      <c r="E105" s="12"/>
      <c r="F105" s="22"/>
      <c r="G105" s="23"/>
      <c r="H105" s="22">
        <v>150</v>
      </c>
      <c r="I105" s="25"/>
      <c r="J105" s="26"/>
      <c r="K105" s="18"/>
      <c r="L105" s="12">
        <f t="shared" si="1"/>
        <v>6476.6899999999978</v>
      </c>
    </row>
    <row r="106" spans="1:12" ht="13.5" customHeight="1" x14ac:dyDescent="0.2">
      <c r="A106" s="19"/>
      <c r="B106" s="20"/>
      <c r="C106" s="34" t="s">
        <v>7982</v>
      </c>
      <c r="D106" s="11"/>
      <c r="E106" s="12"/>
      <c r="F106" s="22"/>
      <c r="G106" s="23"/>
      <c r="H106" s="22"/>
      <c r="I106" s="25">
        <v>2103.2800000000002</v>
      </c>
      <c r="J106" s="26"/>
      <c r="K106" s="18"/>
      <c r="L106" s="12">
        <f t="shared" si="1"/>
        <v>8579.9699999999975</v>
      </c>
    </row>
    <row r="107" spans="1:12" ht="13.5" customHeight="1" x14ac:dyDescent="0.2">
      <c r="A107" s="19"/>
      <c r="B107" s="20"/>
      <c r="C107" s="34" t="s">
        <v>7983</v>
      </c>
      <c r="D107" s="11"/>
      <c r="E107" s="12"/>
      <c r="F107" s="22"/>
      <c r="G107" s="23"/>
      <c r="H107" s="22">
        <v>9.4499999999999993</v>
      </c>
      <c r="I107" s="25"/>
      <c r="J107" s="26"/>
      <c r="K107" s="18"/>
      <c r="L107" s="12">
        <f t="shared" si="1"/>
        <v>8570.5199999999968</v>
      </c>
    </row>
    <row r="108" spans="1:12" ht="13.5" customHeight="1" x14ac:dyDescent="0.2">
      <c r="A108" s="19"/>
      <c r="B108" s="20"/>
      <c r="C108" s="34" t="s">
        <v>7984</v>
      </c>
      <c r="D108" s="11"/>
      <c r="E108" s="12"/>
      <c r="F108" s="22"/>
      <c r="G108" s="23"/>
      <c r="H108" s="22">
        <v>12.44</v>
      </c>
      <c r="I108" s="25"/>
      <c r="J108" s="39"/>
      <c r="K108" s="18"/>
      <c r="L108" s="12">
        <f t="shared" si="1"/>
        <v>8558.0799999999963</v>
      </c>
    </row>
    <row r="109" spans="1:12" ht="13.5" customHeight="1" x14ac:dyDescent="0.2">
      <c r="A109" s="19"/>
      <c r="B109" s="20"/>
      <c r="C109" s="34" t="s">
        <v>1034</v>
      </c>
      <c r="D109" s="11"/>
      <c r="E109" s="12"/>
      <c r="F109" s="22"/>
      <c r="G109" s="23"/>
      <c r="H109" s="22">
        <v>120</v>
      </c>
      <c r="I109" s="25"/>
      <c r="J109" s="26"/>
      <c r="K109" s="18"/>
      <c r="L109" s="12">
        <f t="shared" si="1"/>
        <v>8438.0799999999963</v>
      </c>
    </row>
    <row r="110" spans="1:12" ht="13.5" customHeight="1" x14ac:dyDescent="0.2">
      <c r="A110" s="19"/>
      <c r="B110" s="20"/>
      <c r="C110" s="36" t="s">
        <v>7985</v>
      </c>
      <c r="D110" s="11"/>
      <c r="E110" s="12"/>
      <c r="F110" s="22"/>
      <c r="G110" s="23"/>
      <c r="H110" s="22">
        <v>50</v>
      </c>
      <c r="I110" s="25"/>
      <c r="J110" s="26"/>
      <c r="K110" s="18"/>
      <c r="L110" s="12">
        <f t="shared" si="1"/>
        <v>8388.0799999999963</v>
      </c>
    </row>
    <row r="111" spans="1:12" ht="13.5" customHeight="1" x14ac:dyDescent="0.2">
      <c r="A111" s="19"/>
      <c r="B111" s="20"/>
      <c r="C111" s="36" t="s">
        <v>7986</v>
      </c>
      <c r="D111" s="11"/>
      <c r="E111" s="12"/>
      <c r="F111" s="22"/>
      <c r="G111" s="23"/>
      <c r="H111" s="22">
        <v>2.8</v>
      </c>
      <c r="I111" s="25"/>
      <c r="J111" s="26">
        <v>8385.279999999997</v>
      </c>
      <c r="K111" s="18"/>
      <c r="L111" s="12">
        <f t="shared" si="1"/>
        <v>8385.279999999997</v>
      </c>
    </row>
    <row r="112" spans="1:12" ht="13.5" customHeight="1" x14ac:dyDescent="0.2">
      <c r="A112" s="19" t="s">
        <v>7987</v>
      </c>
      <c r="B112" s="20"/>
      <c r="C112" s="34" t="s">
        <v>132</v>
      </c>
      <c r="D112" s="11" t="s">
        <v>733</v>
      </c>
      <c r="E112" s="12" t="s">
        <v>7988</v>
      </c>
      <c r="F112" s="22"/>
      <c r="G112" s="23"/>
      <c r="H112" s="22"/>
      <c r="I112" s="25"/>
      <c r="J112" s="26"/>
      <c r="K112" s="18"/>
      <c r="L112" s="12">
        <f t="shared" si="1"/>
        <v>8385.279999999997</v>
      </c>
    </row>
    <row r="113" spans="1:12" ht="13.5" customHeight="1" x14ac:dyDescent="0.2">
      <c r="A113" s="19"/>
      <c r="B113" s="20"/>
      <c r="C113" s="34" t="s">
        <v>7989</v>
      </c>
      <c r="D113" s="11" t="s">
        <v>7990</v>
      </c>
      <c r="E113" s="12" t="s">
        <v>7991</v>
      </c>
      <c r="F113" s="22"/>
      <c r="G113" s="23"/>
      <c r="H113" s="22"/>
      <c r="I113" s="25"/>
      <c r="J113" s="26"/>
      <c r="K113" s="18"/>
      <c r="L113" s="12">
        <f t="shared" si="1"/>
        <v>8385.279999999997</v>
      </c>
    </row>
    <row r="114" spans="1:12" ht="13.5" customHeight="1" x14ac:dyDescent="0.2">
      <c r="A114" s="19"/>
      <c r="B114" s="20"/>
      <c r="C114" s="34" t="s">
        <v>20</v>
      </c>
      <c r="D114" s="11"/>
      <c r="E114" s="12"/>
      <c r="F114" s="22">
        <v>0.05</v>
      </c>
      <c r="G114" s="23">
        <v>8125.5300000000061</v>
      </c>
      <c r="H114" s="22"/>
      <c r="I114" s="25"/>
      <c r="J114" s="26"/>
      <c r="K114" s="18"/>
      <c r="L114" s="12">
        <f t="shared" si="1"/>
        <v>8385.279999999997</v>
      </c>
    </row>
    <row r="115" spans="1:12" ht="13.5" customHeight="1" x14ac:dyDescent="0.2">
      <c r="A115" s="19">
        <v>43304</v>
      </c>
      <c r="B115" s="20"/>
      <c r="C115" s="34" t="s">
        <v>7992</v>
      </c>
      <c r="D115" s="11"/>
      <c r="E115" s="12"/>
      <c r="F115" s="22"/>
      <c r="G115" s="23"/>
      <c r="H115" s="22">
        <v>70</v>
      </c>
      <c r="I115" s="25"/>
      <c r="J115" s="26"/>
      <c r="K115" s="18"/>
      <c r="L115" s="12">
        <f t="shared" si="1"/>
        <v>8315.279999999997</v>
      </c>
    </row>
    <row r="116" spans="1:12" ht="13.5" customHeight="1" x14ac:dyDescent="0.2">
      <c r="A116" s="19"/>
      <c r="B116" s="20"/>
      <c r="C116" s="34" t="s">
        <v>7993</v>
      </c>
      <c r="D116" s="11"/>
      <c r="E116" s="12"/>
      <c r="F116" s="22"/>
      <c r="G116" s="23"/>
      <c r="H116" s="22">
        <v>9.9</v>
      </c>
      <c r="I116" s="25"/>
      <c r="J116" s="26"/>
      <c r="K116" s="18"/>
      <c r="L116" s="12">
        <f t="shared" si="1"/>
        <v>8305.3799999999974</v>
      </c>
    </row>
    <row r="117" spans="1:12" ht="13.5" customHeight="1" x14ac:dyDescent="0.2">
      <c r="A117" s="19"/>
      <c r="B117" s="27"/>
      <c r="C117" s="36" t="s">
        <v>7994</v>
      </c>
      <c r="D117" s="27"/>
      <c r="E117" s="27"/>
      <c r="F117" s="27"/>
      <c r="G117" s="23"/>
      <c r="H117" s="273">
        <v>10</v>
      </c>
      <c r="I117" s="38"/>
      <c r="J117" s="39"/>
      <c r="K117" s="18"/>
      <c r="L117" s="12">
        <f t="shared" si="1"/>
        <v>8295.3799999999974</v>
      </c>
    </row>
    <row r="118" spans="1:12" ht="13.5" customHeight="1" x14ac:dyDescent="0.2">
      <c r="A118" s="27"/>
      <c r="B118" s="27"/>
      <c r="C118" s="36" t="s">
        <v>7995</v>
      </c>
      <c r="D118" s="27"/>
      <c r="E118" s="27"/>
      <c r="F118" s="27"/>
      <c r="G118" s="23"/>
      <c r="H118" s="273">
        <v>1.3</v>
      </c>
      <c r="I118" s="38"/>
      <c r="J118" s="39"/>
      <c r="K118" s="18"/>
      <c r="L118" s="12">
        <f t="shared" si="1"/>
        <v>8294.0799999999981</v>
      </c>
    </row>
    <row r="119" spans="1:12" ht="13.5" customHeight="1" x14ac:dyDescent="0.2">
      <c r="A119" s="27"/>
      <c r="B119" s="27"/>
      <c r="C119" s="33" t="s">
        <v>7996</v>
      </c>
      <c r="D119" s="27"/>
      <c r="E119" s="27"/>
      <c r="F119" s="27"/>
      <c r="G119" s="23"/>
      <c r="H119" s="273">
        <v>10</v>
      </c>
      <c r="I119" s="38"/>
      <c r="J119" s="39"/>
      <c r="K119" s="18"/>
      <c r="L119" s="12">
        <f t="shared" si="1"/>
        <v>8284.0799999999981</v>
      </c>
    </row>
    <row r="120" spans="1:12" ht="13.5" customHeight="1" x14ac:dyDescent="0.2">
      <c r="A120" s="27"/>
      <c r="B120" s="27"/>
      <c r="C120" s="36" t="s">
        <v>166</v>
      </c>
      <c r="D120" s="27"/>
      <c r="E120" s="27"/>
      <c r="F120" s="27"/>
      <c r="G120" s="23"/>
      <c r="H120" s="273">
        <v>26.75</v>
      </c>
      <c r="I120" s="38"/>
      <c r="J120" s="39"/>
      <c r="K120" s="18"/>
      <c r="L120" s="12">
        <f t="shared" si="1"/>
        <v>8257.3299999999981</v>
      </c>
    </row>
    <row r="121" spans="1:12" ht="13.5" customHeight="1" x14ac:dyDescent="0.2">
      <c r="A121" s="27"/>
      <c r="B121" s="27"/>
      <c r="C121" s="36" t="s">
        <v>7997</v>
      </c>
      <c r="D121" s="27"/>
      <c r="E121" s="27"/>
      <c r="F121" s="27"/>
      <c r="G121" s="23"/>
      <c r="H121" s="273">
        <v>7.5</v>
      </c>
      <c r="I121" s="38"/>
      <c r="J121" s="39"/>
      <c r="K121" s="18"/>
      <c r="L121" s="12">
        <f t="shared" si="1"/>
        <v>8249.8299999999981</v>
      </c>
    </row>
    <row r="122" spans="1:12" ht="13.5" customHeight="1" x14ac:dyDescent="0.2">
      <c r="A122" s="19"/>
      <c r="B122" s="20"/>
      <c r="C122" s="34" t="s">
        <v>1106</v>
      </c>
      <c r="D122" s="11"/>
      <c r="E122" s="12"/>
      <c r="F122" s="22"/>
      <c r="G122" s="23"/>
      <c r="H122" s="22">
        <v>1.3</v>
      </c>
      <c r="I122" s="25"/>
      <c r="J122" s="26"/>
      <c r="K122" s="18"/>
      <c r="L122" s="12">
        <f t="shared" si="1"/>
        <v>8248.5299999999988</v>
      </c>
    </row>
    <row r="123" spans="1:12" ht="13.5" customHeight="1" x14ac:dyDescent="0.2">
      <c r="A123" s="19"/>
      <c r="B123" s="20"/>
      <c r="C123" s="36" t="s">
        <v>7998</v>
      </c>
      <c r="D123" s="11"/>
      <c r="E123" s="12"/>
      <c r="F123" s="22"/>
      <c r="G123" s="23"/>
      <c r="H123" s="22">
        <v>6.2</v>
      </c>
      <c r="I123" s="25"/>
      <c r="J123" s="26"/>
      <c r="K123" s="18"/>
      <c r="L123" s="12">
        <f t="shared" si="1"/>
        <v>8242.3299999999981</v>
      </c>
    </row>
    <row r="124" spans="1:12" ht="13.5" customHeight="1" x14ac:dyDescent="0.2">
      <c r="A124" s="19"/>
      <c r="B124" s="20"/>
      <c r="C124" s="34" t="s">
        <v>7999</v>
      </c>
      <c r="D124" s="11"/>
      <c r="E124" s="12"/>
      <c r="F124" s="22"/>
      <c r="G124" s="23"/>
      <c r="H124" s="22">
        <v>7.8</v>
      </c>
      <c r="I124" s="25"/>
      <c r="J124" s="26"/>
      <c r="K124" s="18"/>
      <c r="L124" s="12">
        <f t="shared" si="1"/>
        <v>8234.5299999999988</v>
      </c>
    </row>
    <row r="125" spans="1:12" ht="13.5" customHeight="1" x14ac:dyDescent="0.2">
      <c r="A125" s="19"/>
      <c r="B125" s="27"/>
      <c r="C125" s="36" t="s">
        <v>8000</v>
      </c>
      <c r="D125" s="27"/>
      <c r="E125" s="27"/>
      <c r="F125" s="27"/>
      <c r="G125" s="23"/>
      <c r="H125" s="273">
        <v>4</v>
      </c>
      <c r="I125" s="38"/>
      <c r="J125" s="39"/>
      <c r="K125" s="18"/>
      <c r="L125" s="12">
        <f t="shared" si="1"/>
        <v>8230.5299999999988</v>
      </c>
    </row>
    <row r="126" spans="1:12" ht="13.5" customHeight="1" x14ac:dyDescent="0.2">
      <c r="A126" s="19"/>
      <c r="B126" s="46"/>
      <c r="C126" s="34" t="s">
        <v>8001</v>
      </c>
      <c r="D126" s="42"/>
      <c r="E126" s="43"/>
      <c r="F126" s="43"/>
      <c r="G126" s="23"/>
      <c r="H126" s="22">
        <v>60</v>
      </c>
      <c r="I126" s="25"/>
      <c r="J126" s="26">
        <v>8170.5299999999988</v>
      </c>
      <c r="K126" s="18"/>
      <c r="L126" s="12">
        <f t="shared" si="1"/>
        <v>8170.5299999999988</v>
      </c>
    </row>
    <row r="127" spans="1:12" ht="13.5" customHeight="1" x14ac:dyDescent="0.2">
      <c r="A127" s="19"/>
      <c r="B127" s="20"/>
      <c r="C127" s="34" t="s">
        <v>127</v>
      </c>
      <c r="D127" s="11" t="s">
        <v>19</v>
      </c>
      <c r="E127" s="12" t="s">
        <v>8002</v>
      </c>
      <c r="F127" s="22"/>
      <c r="G127" s="23"/>
      <c r="H127" s="22"/>
      <c r="I127" s="25"/>
      <c r="J127" s="26"/>
      <c r="K127" s="18"/>
      <c r="L127" s="12">
        <f t="shared" si="1"/>
        <v>8170.5299999999988</v>
      </c>
    </row>
    <row r="128" spans="1:12" ht="13.5" customHeight="1" x14ac:dyDescent="0.2">
      <c r="A128" s="19"/>
      <c r="B128" s="20"/>
      <c r="C128" s="34" t="s">
        <v>128</v>
      </c>
      <c r="D128" s="11" t="s">
        <v>19</v>
      </c>
      <c r="E128" s="12" t="s">
        <v>8003</v>
      </c>
      <c r="F128" s="22"/>
      <c r="G128" s="23"/>
      <c r="H128" s="22"/>
      <c r="I128" s="25"/>
      <c r="J128" s="26"/>
      <c r="K128" s="18"/>
      <c r="L128" s="12">
        <f t="shared" si="1"/>
        <v>8170.5299999999988</v>
      </c>
    </row>
    <row r="129" spans="1:12" ht="13.5" customHeight="1" x14ac:dyDescent="0.2">
      <c r="A129" s="19"/>
      <c r="B129" s="20"/>
      <c r="C129" s="34" t="s">
        <v>131</v>
      </c>
      <c r="D129" s="11" t="s">
        <v>19</v>
      </c>
      <c r="E129" s="12" t="s">
        <v>8004</v>
      </c>
      <c r="F129" s="22"/>
      <c r="G129" s="23"/>
      <c r="H129" s="22"/>
      <c r="I129" s="25"/>
      <c r="J129" s="26"/>
      <c r="K129" s="18"/>
      <c r="L129" s="12">
        <f t="shared" si="1"/>
        <v>8170.5299999999988</v>
      </c>
    </row>
    <row r="130" spans="1:12" ht="13.5" customHeight="1" x14ac:dyDescent="0.2">
      <c r="A130" s="19"/>
      <c r="B130" s="20"/>
      <c r="C130" s="34" t="s">
        <v>129</v>
      </c>
      <c r="D130" s="11" t="s">
        <v>19</v>
      </c>
      <c r="E130" s="12" t="s">
        <v>8005</v>
      </c>
      <c r="F130" s="22"/>
      <c r="G130" s="23"/>
      <c r="H130" s="22"/>
      <c r="I130" s="25"/>
      <c r="J130" s="26"/>
      <c r="K130" s="18"/>
      <c r="L130" s="12">
        <f t="shared" si="1"/>
        <v>8170.5299999999988</v>
      </c>
    </row>
    <row r="131" spans="1:12" ht="13.5" customHeight="1" x14ac:dyDescent="0.2">
      <c r="A131" s="19"/>
      <c r="B131" s="20"/>
      <c r="C131" s="34" t="s">
        <v>130</v>
      </c>
      <c r="D131" s="11" t="s">
        <v>19</v>
      </c>
      <c r="E131" s="12" t="s">
        <v>8006</v>
      </c>
      <c r="F131" s="22"/>
      <c r="G131" s="23"/>
      <c r="H131" s="22"/>
      <c r="I131" s="25"/>
      <c r="J131" s="26"/>
      <c r="K131" s="18"/>
      <c r="L131" s="12">
        <f t="shared" si="1"/>
        <v>8170.5299999999988</v>
      </c>
    </row>
    <row r="132" spans="1:12" ht="13.5" customHeight="1" x14ac:dyDescent="0.2">
      <c r="A132" s="19"/>
      <c r="B132" s="20"/>
      <c r="C132" s="34" t="s">
        <v>133</v>
      </c>
      <c r="D132" s="11" t="s">
        <v>3316</v>
      </c>
      <c r="E132" s="12" t="s">
        <v>8007</v>
      </c>
      <c r="F132" s="22"/>
      <c r="G132" s="23"/>
      <c r="H132" s="22"/>
      <c r="I132" s="25"/>
      <c r="J132" s="26"/>
      <c r="K132" s="18"/>
      <c r="L132" s="12">
        <f t="shared" si="1"/>
        <v>8170.5299999999988</v>
      </c>
    </row>
    <row r="133" spans="1:12" ht="13.5" customHeight="1" x14ac:dyDescent="0.2">
      <c r="A133" s="19"/>
      <c r="B133" s="20"/>
      <c r="C133" s="34" t="s">
        <v>8008</v>
      </c>
      <c r="D133" s="11">
        <v>0</v>
      </c>
      <c r="E133" s="12">
        <v>-1500</v>
      </c>
      <c r="F133" s="22"/>
      <c r="G133" s="23"/>
      <c r="H133" s="22"/>
      <c r="I133" s="25"/>
      <c r="J133" s="26"/>
      <c r="K133" s="18"/>
      <c r="L133" s="12">
        <f t="shared" ref="L133:L157" si="2">L132+I133-H133</f>
        <v>8170.5299999999988</v>
      </c>
    </row>
    <row r="134" spans="1:12" ht="13.5" customHeight="1" x14ac:dyDescent="0.2">
      <c r="A134" s="19" t="s">
        <v>8009</v>
      </c>
      <c r="B134" s="27"/>
      <c r="C134" s="34" t="s">
        <v>20</v>
      </c>
      <c r="D134" s="29" t="s">
        <v>19</v>
      </c>
      <c r="E134" s="226"/>
      <c r="F134" s="226" t="s">
        <v>8010</v>
      </c>
      <c r="G134" s="23" t="s">
        <v>8011</v>
      </c>
      <c r="H134" s="273"/>
      <c r="I134" s="38"/>
      <c r="J134" s="39"/>
      <c r="K134" s="18"/>
      <c r="L134" s="12">
        <f t="shared" si="2"/>
        <v>8170.5299999999988</v>
      </c>
    </row>
    <row r="135" spans="1:12" ht="13.5" customHeight="1" x14ac:dyDescent="0.2">
      <c r="A135" s="19">
        <v>43306</v>
      </c>
      <c r="B135" s="46"/>
      <c r="C135" s="34" t="s">
        <v>8012</v>
      </c>
      <c r="D135" s="42"/>
      <c r="E135" s="43"/>
      <c r="F135" s="43"/>
      <c r="G135" s="23"/>
      <c r="H135" s="22">
        <v>20</v>
      </c>
      <c r="I135" s="25"/>
      <c r="J135" s="26"/>
      <c r="K135" s="18"/>
      <c r="L135" s="12">
        <f t="shared" si="2"/>
        <v>8150.5299999999988</v>
      </c>
    </row>
    <row r="136" spans="1:12" ht="13.5" customHeight="1" x14ac:dyDescent="0.2">
      <c r="A136" s="19"/>
      <c r="B136" s="172"/>
      <c r="C136" s="34" t="s">
        <v>8013</v>
      </c>
      <c r="D136" s="42"/>
      <c r="E136" s="43"/>
      <c r="F136" s="173"/>
      <c r="G136" s="23"/>
      <c r="H136" s="22"/>
      <c r="I136" s="25">
        <v>7977.69</v>
      </c>
      <c r="J136" s="26"/>
      <c r="K136" s="18"/>
      <c r="L136" s="12">
        <f t="shared" si="2"/>
        <v>16128.219999999998</v>
      </c>
    </row>
    <row r="137" spans="1:12" ht="13.5" customHeight="1" x14ac:dyDescent="0.2">
      <c r="A137" s="19"/>
      <c r="B137" s="172"/>
      <c r="C137" s="34" t="s">
        <v>8014</v>
      </c>
      <c r="D137" s="42"/>
      <c r="E137" s="43"/>
      <c r="F137" s="173"/>
      <c r="G137" s="23"/>
      <c r="H137" s="22"/>
      <c r="I137" s="25">
        <v>500</v>
      </c>
      <c r="J137" s="26"/>
      <c r="K137" s="18"/>
      <c r="L137" s="12">
        <f t="shared" si="2"/>
        <v>16628.219999999998</v>
      </c>
    </row>
    <row r="138" spans="1:12" ht="13.5" customHeight="1" x14ac:dyDescent="0.2">
      <c r="A138" s="19"/>
      <c r="B138" s="172"/>
      <c r="C138" s="34" t="s">
        <v>470</v>
      </c>
      <c r="D138" s="42"/>
      <c r="E138" s="43"/>
      <c r="F138" s="173"/>
      <c r="G138" s="23"/>
      <c r="H138" s="162">
        <v>1250</v>
      </c>
      <c r="I138" s="25"/>
      <c r="J138" s="26"/>
      <c r="K138" s="18"/>
      <c r="L138" s="12">
        <f t="shared" si="2"/>
        <v>15378.219999999998</v>
      </c>
    </row>
    <row r="139" spans="1:12" ht="13.5" customHeight="1" x14ac:dyDescent="0.2">
      <c r="A139" s="19"/>
      <c r="B139" s="172"/>
      <c r="C139" s="34" t="s">
        <v>8015</v>
      </c>
      <c r="D139" s="42"/>
      <c r="E139" s="43"/>
      <c r="F139" s="173"/>
      <c r="G139" s="23"/>
      <c r="H139" s="22"/>
      <c r="I139" s="25">
        <v>1360</v>
      </c>
      <c r="J139" s="26">
        <v>16738.219999999998</v>
      </c>
      <c r="K139" s="18"/>
      <c r="L139" s="12">
        <f t="shared" si="2"/>
        <v>16738.219999999998</v>
      </c>
    </row>
    <row r="140" spans="1:12" ht="13.5" customHeight="1" x14ac:dyDescent="0.2">
      <c r="A140" s="19"/>
      <c r="B140" s="20"/>
      <c r="C140" s="34" t="s">
        <v>136</v>
      </c>
      <c r="D140" s="11" t="s">
        <v>19</v>
      </c>
      <c r="E140" s="12" t="s">
        <v>8016</v>
      </c>
      <c r="F140" s="22"/>
      <c r="G140" s="23"/>
      <c r="H140" s="22"/>
      <c r="I140" s="25"/>
      <c r="J140" s="26"/>
      <c r="K140" s="18"/>
      <c r="L140" s="12">
        <f t="shared" si="2"/>
        <v>16738.219999999998</v>
      </c>
    </row>
    <row r="141" spans="1:12" ht="13.5" customHeight="1" x14ac:dyDescent="0.2">
      <c r="A141" s="19"/>
      <c r="B141" s="27"/>
      <c r="C141" s="34" t="s">
        <v>470</v>
      </c>
      <c r="D141" s="29" t="s">
        <v>8017</v>
      </c>
      <c r="E141" s="226"/>
      <c r="F141" s="339" t="s">
        <v>8018</v>
      </c>
      <c r="G141" s="23" t="s">
        <v>8019</v>
      </c>
      <c r="H141" s="273"/>
      <c r="I141" s="38"/>
      <c r="J141" s="39"/>
      <c r="K141" s="18"/>
      <c r="L141" s="12">
        <f t="shared" si="2"/>
        <v>16738.219999999998</v>
      </c>
    </row>
    <row r="142" spans="1:12" ht="13.5" customHeight="1" x14ac:dyDescent="0.2">
      <c r="A142" s="19">
        <v>43307</v>
      </c>
      <c r="B142" s="396"/>
      <c r="C142" s="34" t="s">
        <v>471</v>
      </c>
      <c r="D142" s="29"/>
      <c r="E142" s="1346"/>
      <c r="F142" s="1347"/>
      <c r="G142" s="1224"/>
      <c r="H142" s="1348">
        <v>8000</v>
      </c>
      <c r="I142" s="116"/>
      <c r="J142" s="39"/>
      <c r="K142" s="18"/>
      <c r="L142" s="12">
        <f t="shared" si="2"/>
        <v>8738.2199999999975</v>
      </c>
    </row>
    <row r="143" spans="1:12" ht="13.5" customHeight="1" x14ac:dyDescent="0.2">
      <c r="A143" s="19"/>
      <c r="B143" s="396"/>
      <c r="C143" s="34" t="s">
        <v>8020</v>
      </c>
      <c r="D143" s="29"/>
      <c r="E143" s="1346"/>
      <c r="F143" s="1347"/>
      <c r="G143" s="1224"/>
      <c r="H143" s="1349">
        <v>6.43</v>
      </c>
      <c r="I143" s="116"/>
      <c r="J143" s="39"/>
      <c r="K143" s="18"/>
      <c r="L143" s="12">
        <f t="shared" si="2"/>
        <v>8731.7899999999972</v>
      </c>
    </row>
    <row r="144" spans="1:12" ht="13.5" customHeight="1" x14ac:dyDescent="0.2">
      <c r="A144" s="19"/>
      <c r="B144" s="396"/>
      <c r="C144" s="34" t="s">
        <v>8021</v>
      </c>
      <c r="D144" s="29"/>
      <c r="E144" s="1346"/>
      <c r="F144" s="1347"/>
      <c r="G144" s="1224"/>
      <c r="H144" s="1349">
        <v>24</v>
      </c>
      <c r="I144" s="116"/>
      <c r="J144" s="39"/>
      <c r="K144" s="18"/>
      <c r="L144" s="12">
        <f t="shared" si="2"/>
        <v>8707.7899999999972</v>
      </c>
    </row>
    <row r="145" spans="1:12" ht="13.5" customHeight="1" x14ac:dyDescent="0.2">
      <c r="A145" s="19"/>
      <c r="B145" s="396"/>
      <c r="C145" s="34" t="s">
        <v>1034</v>
      </c>
      <c r="D145" s="29"/>
      <c r="E145" s="1346"/>
      <c r="F145" s="1347"/>
      <c r="G145" s="1224"/>
      <c r="H145" s="1349">
        <v>60</v>
      </c>
      <c r="I145" s="116"/>
      <c r="J145" s="39"/>
      <c r="K145" s="18"/>
      <c r="L145" s="12">
        <f t="shared" si="2"/>
        <v>8647.7899999999972</v>
      </c>
    </row>
    <row r="146" spans="1:12" ht="13.5" customHeight="1" x14ac:dyDescent="0.2">
      <c r="A146" s="19"/>
      <c r="B146" s="396"/>
      <c r="C146" s="34" t="s">
        <v>7810</v>
      </c>
      <c r="D146" s="29"/>
      <c r="E146" s="1346"/>
      <c r="F146" s="1347"/>
      <c r="G146" s="1224"/>
      <c r="H146" s="1349">
        <v>20.9</v>
      </c>
      <c r="I146" s="116"/>
      <c r="J146" s="39">
        <v>8626.8899999999976</v>
      </c>
      <c r="K146" s="18"/>
      <c r="L146" s="12">
        <f t="shared" si="2"/>
        <v>8626.8899999999976</v>
      </c>
    </row>
    <row r="147" spans="1:12" ht="13.5" customHeight="1" x14ac:dyDescent="0.2">
      <c r="A147" s="19">
        <v>43308</v>
      </c>
      <c r="B147" s="396"/>
      <c r="C147" s="34" t="s">
        <v>7995</v>
      </c>
      <c r="D147" s="29"/>
      <c r="E147" s="1346"/>
      <c r="F147" s="1347"/>
      <c r="G147" s="1224"/>
      <c r="H147" s="1349">
        <v>2.6</v>
      </c>
      <c r="I147" s="116"/>
      <c r="J147" s="39"/>
      <c r="K147" s="18"/>
      <c r="L147" s="12">
        <f t="shared" si="2"/>
        <v>8624.2899999999972</v>
      </c>
    </row>
    <row r="148" spans="1:12" ht="13.5" customHeight="1" x14ac:dyDescent="0.2">
      <c r="A148" s="19"/>
      <c r="B148" s="396"/>
      <c r="C148" s="34" t="s">
        <v>1034</v>
      </c>
      <c r="D148" s="29"/>
      <c r="E148" s="1346"/>
      <c r="F148" s="1347"/>
      <c r="G148" s="1224"/>
      <c r="H148" s="1349">
        <v>240</v>
      </c>
      <c r="I148" s="116"/>
      <c r="J148" s="39"/>
      <c r="K148" s="18"/>
      <c r="L148" s="12">
        <f t="shared" si="2"/>
        <v>8384.2899999999972</v>
      </c>
    </row>
    <row r="149" spans="1:12" ht="13.5" customHeight="1" x14ac:dyDescent="0.2">
      <c r="A149" s="19"/>
      <c r="B149" s="396"/>
      <c r="C149" s="34" t="s">
        <v>36</v>
      </c>
      <c r="D149" s="29"/>
      <c r="E149" s="1346"/>
      <c r="F149" s="1347"/>
      <c r="G149" s="1224"/>
      <c r="H149" s="1349">
        <v>350</v>
      </c>
      <c r="I149" s="116"/>
      <c r="J149" s="39"/>
      <c r="K149" s="18"/>
      <c r="L149" s="12">
        <f t="shared" si="2"/>
        <v>8034.2899999999972</v>
      </c>
    </row>
    <row r="150" spans="1:12" ht="13.5" customHeight="1" x14ac:dyDescent="0.2">
      <c r="A150" s="19"/>
      <c r="B150" s="396"/>
      <c r="C150" s="34" t="s">
        <v>77</v>
      </c>
      <c r="D150" s="29"/>
      <c r="E150" s="1346"/>
      <c r="F150" s="1347"/>
      <c r="G150" s="1224"/>
      <c r="H150" s="1350">
        <v>6000</v>
      </c>
      <c r="I150" s="116"/>
      <c r="J150" s="39">
        <v>2034.2899999999972</v>
      </c>
      <c r="K150" s="18"/>
      <c r="L150" s="12">
        <f t="shared" si="2"/>
        <v>2034.2899999999972</v>
      </c>
    </row>
    <row r="151" spans="1:12" ht="13.5" customHeight="1" x14ac:dyDescent="0.2">
      <c r="A151" s="19">
        <v>43311</v>
      </c>
      <c r="B151" s="396"/>
      <c r="C151" s="34" t="s">
        <v>8022</v>
      </c>
      <c r="D151" s="29"/>
      <c r="E151" s="1346"/>
      <c r="F151" s="1347"/>
      <c r="G151" s="1224"/>
      <c r="H151" s="1349">
        <v>81.7</v>
      </c>
      <c r="I151" s="116"/>
      <c r="J151" s="39"/>
      <c r="K151" s="18"/>
      <c r="L151" s="12">
        <f t="shared" si="2"/>
        <v>1952.5899999999972</v>
      </c>
    </row>
    <row r="152" spans="1:12" ht="13.5" customHeight="1" x14ac:dyDescent="0.2">
      <c r="A152" s="19"/>
      <c r="B152" s="396"/>
      <c r="C152" s="34" t="s">
        <v>8023</v>
      </c>
      <c r="D152" s="29"/>
      <c r="E152" s="1346"/>
      <c r="F152" s="1347"/>
      <c r="G152" s="1224"/>
      <c r="H152" s="1349">
        <v>55</v>
      </c>
      <c r="I152" s="116"/>
      <c r="J152" s="39"/>
      <c r="K152" s="18"/>
      <c r="L152" s="12">
        <f t="shared" si="2"/>
        <v>1897.5899999999972</v>
      </c>
    </row>
    <row r="153" spans="1:12" ht="13.5" customHeight="1" x14ac:dyDescent="0.2">
      <c r="A153" s="19"/>
      <c r="B153" s="396"/>
      <c r="C153" s="34" t="s">
        <v>8024</v>
      </c>
      <c r="D153" s="29"/>
      <c r="E153" s="1346"/>
      <c r="F153" s="1347"/>
      <c r="G153" s="1224"/>
      <c r="H153" s="1349">
        <v>53.97</v>
      </c>
      <c r="I153" s="116"/>
      <c r="J153" s="39"/>
      <c r="K153" s="18"/>
      <c r="L153" s="12">
        <f t="shared" si="2"/>
        <v>1843.6199999999972</v>
      </c>
    </row>
    <row r="154" spans="1:12" ht="13.5" customHeight="1" x14ac:dyDescent="0.2">
      <c r="A154" s="19"/>
      <c r="B154" s="396"/>
      <c r="C154" s="34" t="s">
        <v>8025</v>
      </c>
      <c r="D154" s="29"/>
      <c r="E154" s="1346"/>
      <c r="F154" s="1347"/>
      <c r="G154" s="1224"/>
      <c r="H154" s="1349">
        <v>18.149999999999999</v>
      </c>
      <c r="I154" s="116"/>
      <c r="J154" s="39"/>
      <c r="K154" s="18"/>
      <c r="L154" s="12">
        <f t="shared" si="2"/>
        <v>1825.4699999999971</v>
      </c>
    </row>
    <row r="155" spans="1:12" ht="13.5" customHeight="1" x14ac:dyDescent="0.2">
      <c r="A155" s="19"/>
      <c r="B155" s="396"/>
      <c r="C155" s="34" t="s">
        <v>470</v>
      </c>
      <c r="D155" s="29"/>
      <c r="E155" s="1346"/>
      <c r="F155" s="1347"/>
      <c r="G155" s="1224"/>
      <c r="H155" s="1348">
        <v>1000</v>
      </c>
      <c r="I155" s="116"/>
      <c r="J155" s="39">
        <v>825.46999999999707</v>
      </c>
      <c r="K155" s="18"/>
      <c r="L155" s="12">
        <f t="shared" si="2"/>
        <v>825.46999999999707</v>
      </c>
    </row>
    <row r="156" spans="1:12" ht="13.5" customHeight="1" x14ac:dyDescent="0.2">
      <c r="A156" s="19"/>
      <c r="B156" s="396"/>
      <c r="C156" s="34" t="s">
        <v>470</v>
      </c>
      <c r="D156" s="29"/>
      <c r="E156" s="1346"/>
      <c r="F156" s="1351">
        <v>1000</v>
      </c>
      <c r="G156" s="1352">
        <v>7615.86</v>
      </c>
      <c r="H156" s="1349"/>
      <c r="I156" s="116"/>
      <c r="J156" s="39"/>
      <c r="K156" s="18"/>
      <c r="L156" s="12">
        <f t="shared" si="2"/>
        <v>825.46999999999707</v>
      </c>
    </row>
    <row r="157" spans="1:12" ht="13.5" customHeight="1" x14ac:dyDescent="0.2">
      <c r="A157" s="19">
        <v>43312</v>
      </c>
      <c r="B157" s="396"/>
      <c r="C157" s="34" t="s">
        <v>8026</v>
      </c>
      <c r="D157" s="29"/>
      <c r="E157" s="1346"/>
      <c r="F157" s="1347"/>
      <c r="G157" s="1224"/>
      <c r="H157" s="1349"/>
      <c r="I157" s="116">
        <v>5100</v>
      </c>
      <c r="J157" s="394">
        <v>5925.4699999999975</v>
      </c>
      <c r="K157" s="18"/>
      <c r="L157" s="12">
        <f t="shared" si="2"/>
        <v>5925.4699999999975</v>
      </c>
    </row>
    <row r="158" spans="1:12" ht="13.5" customHeight="1" thickBot="1" x14ac:dyDescent="0.25">
      <c r="A158" s="47"/>
      <c r="B158" s="48"/>
      <c r="C158" s="49"/>
      <c r="D158" s="50"/>
      <c r="E158" s="51"/>
      <c r="F158" s="52"/>
      <c r="G158" s="53"/>
      <c r="H158" s="1089"/>
      <c r="I158" s="55"/>
      <c r="J158" s="52"/>
      <c r="L158" s="12"/>
    </row>
    <row r="159" spans="1:12" ht="13.5" customHeight="1" thickBot="1" x14ac:dyDescent="0.25">
      <c r="A159" s="2" t="s">
        <v>2</v>
      </c>
      <c r="B159" s="3"/>
      <c r="C159" s="3" t="s">
        <v>481</v>
      </c>
      <c r="D159" s="3" t="s">
        <v>4</v>
      </c>
      <c r="E159" s="3" t="s">
        <v>5</v>
      </c>
      <c r="F159" s="3" t="s">
        <v>6</v>
      </c>
      <c r="G159" s="5" t="s">
        <v>7</v>
      </c>
      <c r="H159" s="1415" t="s">
        <v>482</v>
      </c>
      <c r="I159" s="1416"/>
      <c r="J159" s="1417"/>
    </row>
    <row r="160" spans="1:12" ht="13.5" customHeight="1" x14ac:dyDescent="0.2">
      <c r="A160" s="8" t="s">
        <v>8027</v>
      </c>
      <c r="B160" s="56"/>
      <c r="C160" s="10" t="s">
        <v>8</v>
      </c>
      <c r="D160" s="11">
        <v>0</v>
      </c>
      <c r="E160" s="51"/>
      <c r="F160" s="12"/>
      <c r="G160" s="178">
        <v>0</v>
      </c>
      <c r="H160" s="82"/>
      <c r="I160" s="57"/>
      <c r="J160" s="58">
        <v>12704.69</v>
      </c>
      <c r="L160" s="51"/>
    </row>
    <row r="161" spans="1:12" ht="13.5" customHeight="1" x14ac:dyDescent="0.2">
      <c r="A161" s="180" t="s">
        <v>8028</v>
      </c>
      <c r="B161" s="56" t="s">
        <v>483</v>
      </c>
      <c r="C161" s="41" t="s">
        <v>1013</v>
      </c>
      <c r="D161" s="11" t="s">
        <v>3361</v>
      </c>
      <c r="E161" s="181">
        <v>-1200</v>
      </c>
      <c r="F161" s="12"/>
      <c r="G161" s="182" t="s">
        <v>483</v>
      </c>
      <c r="H161" s="89"/>
      <c r="I161" s="60"/>
      <c r="J161" s="61">
        <v>12704.69</v>
      </c>
      <c r="L161" s="30"/>
    </row>
    <row r="162" spans="1:12" ht="13.5" customHeight="1" x14ac:dyDescent="0.2">
      <c r="A162" s="180"/>
      <c r="B162" s="56" t="s">
        <v>483</v>
      </c>
      <c r="C162" s="36" t="s">
        <v>8029</v>
      </c>
      <c r="D162" s="11" t="s">
        <v>488</v>
      </c>
      <c r="E162" s="181">
        <v>-44.99</v>
      </c>
      <c r="F162" s="12"/>
      <c r="G162" s="182">
        <v>-1244.99</v>
      </c>
      <c r="H162" s="89"/>
      <c r="I162" s="60"/>
      <c r="J162" s="61">
        <v>12704.69</v>
      </c>
      <c r="L162" s="30"/>
    </row>
    <row r="163" spans="1:12" ht="13.5" customHeight="1" x14ac:dyDescent="0.2">
      <c r="A163" s="180"/>
      <c r="B163" s="56" t="s">
        <v>483</v>
      </c>
      <c r="C163" s="36" t="s">
        <v>8030</v>
      </c>
      <c r="D163" s="11" t="s">
        <v>8031</v>
      </c>
      <c r="E163" s="181">
        <v>-442.35</v>
      </c>
      <c r="F163" s="12" t="s">
        <v>483</v>
      </c>
      <c r="G163" s="182"/>
      <c r="H163" s="89"/>
      <c r="I163" s="60"/>
      <c r="J163" s="61">
        <v>12704.69</v>
      </c>
      <c r="L163" s="30"/>
    </row>
    <row r="164" spans="1:12" ht="13.5" customHeight="1" x14ac:dyDescent="0.2">
      <c r="A164" s="180"/>
      <c r="B164" s="56" t="s">
        <v>483</v>
      </c>
      <c r="C164" s="36" t="s">
        <v>174</v>
      </c>
      <c r="D164" s="11" t="s">
        <v>488</v>
      </c>
      <c r="E164" s="30"/>
      <c r="F164" s="183">
        <v>1687.34</v>
      </c>
      <c r="G164" s="182">
        <v>0</v>
      </c>
      <c r="H164" s="89">
        <v>1687.34</v>
      </c>
      <c r="I164" s="60"/>
      <c r="J164" s="61">
        <v>11017.35</v>
      </c>
      <c r="L164" s="30"/>
    </row>
    <row r="165" spans="1:12" ht="13.5" customHeight="1" x14ac:dyDescent="0.2">
      <c r="A165" s="180" t="s">
        <v>8032</v>
      </c>
      <c r="B165" s="56" t="s">
        <v>483</v>
      </c>
      <c r="C165" s="34" t="s">
        <v>86</v>
      </c>
      <c r="D165" s="11" t="s">
        <v>488</v>
      </c>
      <c r="E165" s="181">
        <v>-9.5</v>
      </c>
      <c r="F165" s="12"/>
      <c r="G165" s="182" t="s">
        <v>483</v>
      </c>
      <c r="H165" s="89"/>
      <c r="I165" s="60"/>
      <c r="J165" s="61">
        <v>11017.35</v>
      </c>
      <c r="L165" s="30"/>
    </row>
    <row r="166" spans="1:12" ht="13.5" customHeight="1" x14ac:dyDescent="0.2">
      <c r="A166" s="180"/>
      <c r="B166" s="56" t="s">
        <v>591</v>
      </c>
      <c r="C166" s="36" t="s">
        <v>8033</v>
      </c>
      <c r="D166" s="11" t="s">
        <v>8034</v>
      </c>
      <c r="E166" s="30"/>
      <c r="F166" s="183">
        <v>3820</v>
      </c>
      <c r="G166" s="182">
        <v>3810.5</v>
      </c>
      <c r="H166" s="89"/>
      <c r="I166" s="60"/>
      <c r="J166" s="61">
        <v>11017.35</v>
      </c>
      <c r="L166" s="30"/>
    </row>
    <row r="167" spans="1:12" ht="13.5" customHeight="1" x14ac:dyDescent="0.2">
      <c r="A167" s="180" t="s">
        <v>8032</v>
      </c>
      <c r="B167" s="56" t="s">
        <v>483</v>
      </c>
      <c r="C167" s="36" t="s">
        <v>388</v>
      </c>
      <c r="D167" s="11" t="s">
        <v>8035</v>
      </c>
      <c r="E167" s="181">
        <v>-1830</v>
      </c>
      <c r="F167" s="12"/>
      <c r="G167" s="182" t="s">
        <v>483</v>
      </c>
      <c r="H167" s="89"/>
      <c r="I167" s="60"/>
      <c r="J167" s="61">
        <v>11017.35</v>
      </c>
      <c r="L167" s="30"/>
    </row>
    <row r="168" spans="1:12" ht="13.5" customHeight="1" x14ac:dyDescent="0.2">
      <c r="A168" s="180"/>
      <c r="B168" s="56" t="s">
        <v>483</v>
      </c>
      <c r="C168" s="36" t="s">
        <v>174</v>
      </c>
      <c r="D168" s="11" t="s">
        <v>488</v>
      </c>
      <c r="E168" s="30"/>
      <c r="F168" s="183">
        <v>1839.5</v>
      </c>
      <c r="G168" s="182">
        <v>3820</v>
      </c>
      <c r="H168" s="89">
        <v>1839.5</v>
      </c>
      <c r="I168" s="60"/>
      <c r="J168" s="61">
        <v>9177.85</v>
      </c>
      <c r="L168" s="30"/>
    </row>
    <row r="169" spans="1:12" ht="13.5" customHeight="1" x14ac:dyDescent="0.2">
      <c r="A169" s="180" t="s">
        <v>8036</v>
      </c>
      <c r="B169" s="56" t="s">
        <v>483</v>
      </c>
      <c r="C169" s="36" t="s">
        <v>8037</v>
      </c>
      <c r="D169" s="11" t="s">
        <v>768</v>
      </c>
      <c r="E169" s="181">
        <v>-475</v>
      </c>
      <c r="F169" s="12"/>
      <c r="G169" s="182" t="s">
        <v>483</v>
      </c>
      <c r="H169" s="89"/>
      <c r="I169" s="60"/>
      <c r="J169" s="61">
        <v>9177.85</v>
      </c>
      <c r="L169" s="30"/>
    </row>
    <row r="170" spans="1:12" ht="13.5" customHeight="1" x14ac:dyDescent="0.2">
      <c r="A170" s="180"/>
      <c r="B170" s="56" t="s">
        <v>483</v>
      </c>
      <c r="C170" s="36" t="s">
        <v>8038</v>
      </c>
      <c r="D170" s="11" t="s">
        <v>488</v>
      </c>
      <c r="E170" s="181">
        <v>-422.48</v>
      </c>
      <c r="F170" s="12"/>
      <c r="G170" s="182" t="s">
        <v>483</v>
      </c>
      <c r="H170" s="89"/>
      <c r="I170" s="60"/>
      <c r="J170" s="61">
        <v>9177.85</v>
      </c>
      <c r="L170" s="30"/>
    </row>
    <row r="171" spans="1:12" ht="13.5" customHeight="1" x14ac:dyDescent="0.2">
      <c r="A171" s="180"/>
      <c r="B171" s="56" t="s">
        <v>483</v>
      </c>
      <c r="C171" s="36" t="s">
        <v>8039</v>
      </c>
      <c r="D171" s="11" t="s">
        <v>8040</v>
      </c>
      <c r="E171" s="165">
        <v>-3820</v>
      </c>
      <c r="F171" s="183"/>
      <c r="G171" s="182" t="s">
        <v>483</v>
      </c>
      <c r="H171" s="89"/>
      <c r="I171" s="60"/>
      <c r="J171" s="61">
        <v>9177.85</v>
      </c>
      <c r="L171" s="30"/>
    </row>
    <row r="172" spans="1:12" ht="13.5" customHeight="1" x14ac:dyDescent="0.2">
      <c r="A172" s="180"/>
      <c r="B172" s="56" t="s">
        <v>483</v>
      </c>
      <c r="C172" s="36" t="s">
        <v>171</v>
      </c>
      <c r="D172" s="11" t="s">
        <v>8041</v>
      </c>
      <c r="E172" s="181">
        <v>-554.20000000000005</v>
      </c>
      <c r="F172" s="12"/>
      <c r="G172" s="182" t="s">
        <v>483</v>
      </c>
      <c r="H172" s="89"/>
      <c r="I172" s="60"/>
      <c r="J172" s="61">
        <v>9177.85</v>
      </c>
      <c r="L172" s="30"/>
    </row>
    <row r="173" spans="1:12" ht="13.5" customHeight="1" x14ac:dyDescent="0.2">
      <c r="A173" s="180"/>
      <c r="B173" s="56" t="s">
        <v>483</v>
      </c>
      <c r="C173" s="34" t="s">
        <v>172</v>
      </c>
      <c r="D173" s="11" t="s">
        <v>8042</v>
      </c>
      <c r="E173" s="181">
        <v>-585.91</v>
      </c>
      <c r="F173" s="12"/>
      <c r="G173" s="182" t="s">
        <v>483</v>
      </c>
      <c r="H173" s="89"/>
      <c r="I173" s="60"/>
      <c r="J173" s="61">
        <v>9177.85</v>
      </c>
      <c r="L173" s="30"/>
    </row>
    <row r="174" spans="1:12" ht="13.5" customHeight="1" x14ac:dyDescent="0.2">
      <c r="A174" s="180"/>
      <c r="B174" s="56" t="s">
        <v>483</v>
      </c>
      <c r="C174" s="36" t="s">
        <v>174</v>
      </c>
      <c r="D174" s="11" t="s">
        <v>488</v>
      </c>
      <c r="E174" s="30"/>
      <c r="F174" s="183">
        <v>2037.59</v>
      </c>
      <c r="G174" s="182">
        <v>0</v>
      </c>
      <c r="H174" s="89">
        <v>2037.59</v>
      </c>
      <c r="I174" s="60"/>
      <c r="J174" s="61">
        <v>7140.26</v>
      </c>
      <c r="L174" s="30"/>
    </row>
    <row r="175" spans="1:12" ht="13.5" customHeight="1" x14ac:dyDescent="0.2">
      <c r="A175" s="180" t="s">
        <v>8043</v>
      </c>
      <c r="B175" s="56" t="s">
        <v>483</v>
      </c>
      <c r="C175" s="36" t="s">
        <v>8044</v>
      </c>
      <c r="D175" s="11" t="s">
        <v>503</v>
      </c>
      <c r="E175" s="181">
        <v>-2000</v>
      </c>
      <c r="F175" s="12"/>
      <c r="G175" s="182" t="s">
        <v>483</v>
      </c>
      <c r="H175" s="89"/>
      <c r="I175" s="60"/>
      <c r="J175" s="61">
        <v>7140.26</v>
      </c>
      <c r="L175" s="30"/>
    </row>
    <row r="176" spans="1:12" ht="13.5" customHeight="1" x14ac:dyDescent="0.2">
      <c r="A176" s="180"/>
      <c r="B176" s="56" t="s">
        <v>483</v>
      </c>
      <c r="C176" s="36" t="s">
        <v>7100</v>
      </c>
      <c r="D176" s="11" t="s">
        <v>4321</v>
      </c>
      <c r="E176" s="181">
        <v>-151.9</v>
      </c>
      <c r="F176" s="12"/>
      <c r="G176" s="182" t="s">
        <v>483</v>
      </c>
      <c r="H176" s="89"/>
      <c r="I176" s="60"/>
      <c r="J176" s="61">
        <v>7140.26</v>
      </c>
      <c r="L176" s="30"/>
    </row>
    <row r="177" spans="1:12" ht="13.5" customHeight="1" x14ac:dyDescent="0.2">
      <c r="A177" s="180"/>
      <c r="B177" s="56" t="s">
        <v>483</v>
      </c>
      <c r="C177" s="36" t="s">
        <v>8045</v>
      </c>
      <c r="D177" s="11" t="s">
        <v>488</v>
      </c>
      <c r="E177" s="181">
        <v>-750</v>
      </c>
      <c r="F177" s="12"/>
      <c r="G177" s="182" t="s">
        <v>483</v>
      </c>
      <c r="H177" s="89"/>
      <c r="I177" s="60"/>
      <c r="J177" s="61">
        <v>7140.26</v>
      </c>
      <c r="L177" s="30"/>
    </row>
    <row r="178" spans="1:12" ht="13.5" customHeight="1" x14ac:dyDescent="0.2">
      <c r="A178" s="180"/>
      <c r="B178" s="56" t="s">
        <v>483</v>
      </c>
      <c r="C178" s="34" t="s">
        <v>177</v>
      </c>
      <c r="D178" s="11" t="s">
        <v>488</v>
      </c>
      <c r="E178" s="181">
        <v>-162.27000000000001</v>
      </c>
      <c r="F178" s="12"/>
      <c r="G178" s="182">
        <v>-3064.17</v>
      </c>
      <c r="H178" s="89"/>
      <c r="I178" s="60"/>
      <c r="J178" s="61">
        <v>7140.26</v>
      </c>
      <c r="L178" s="30"/>
    </row>
    <row r="179" spans="1:12" ht="13.5" customHeight="1" x14ac:dyDescent="0.2">
      <c r="A179" s="180">
        <v>43286</v>
      </c>
      <c r="B179" s="56"/>
      <c r="C179" s="36" t="s">
        <v>174</v>
      </c>
      <c r="D179" s="11">
        <v>0</v>
      </c>
      <c r="E179" s="30"/>
      <c r="F179" s="183">
        <v>3064.17</v>
      </c>
      <c r="G179" s="182">
        <v>0</v>
      </c>
      <c r="H179" s="89">
        <v>3064.17</v>
      </c>
      <c r="I179" s="60"/>
      <c r="J179" s="61">
        <v>4076.09</v>
      </c>
      <c r="L179" s="30"/>
    </row>
    <row r="180" spans="1:12" ht="13.5" customHeight="1" x14ac:dyDescent="0.2">
      <c r="A180" s="180">
        <v>43287</v>
      </c>
      <c r="B180" s="56"/>
      <c r="C180" s="34" t="s">
        <v>86</v>
      </c>
      <c r="D180" s="11">
        <v>0</v>
      </c>
      <c r="E180" s="181">
        <v>-19</v>
      </c>
      <c r="F180" s="12"/>
      <c r="G180" s="182"/>
      <c r="H180" s="89"/>
      <c r="I180" s="60"/>
      <c r="J180" s="61">
        <v>4076.09</v>
      </c>
      <c r="L180" s="30"/>
    </row>
    <row r="181" spans="1:12" ht="13.5" customHeight="1" x14ac:dyDescent="0.2">
      <c r="A181" s="180"/>
      <c r="B181" s="56"/>
      <c r="C181" s="36" t="s">
        <v>174</v>
      </c>
      <c r="D181" s="11">
        <v>0</v>
      </c>
      <c r="E181" s="30"/>
      <c r="F181" s="183">
        <v>19</v>
      </c>
      <c r="G181" s="182">
        <v>0</v>
      </c>
      <c r="H181" s="89">
        <v>19</v>
      </c>
      <c r="I181" s="60"/>
      <c r="J181" s="61">
        <v>4057.09</v>
      </c>
      <c r="L181" s="30"/>
    </row>
    <row r="182" spans="1:12" ht="13.5" customHeight="1" x14ac:dyDescent="0.2">
      <c r="A182" s="180">
        <v>43290</v>
      </c>
      <c r="B182" s="56"/>
      <c r="C182" s="34" t="s">
        <v>180</v>
      </c>
      <c r="D182" s="11">
        <v>0</v>
      </c>
      <c r="E182" s="181">
        <v>-283.94</v>
      </c>
      <c r="F182" s="12"/>
      <c r="G182" s="182"/>
      <c r="H182" s="89"/>
      <c r="I182" s="60"/>
      <c r="J182" s="61">
        <v>4057.09</v>
      </c>
      <c r="L182" s="30"/>
    </row>
    <row r="183" spans="1:12" ht="13.5" customHeight="1" x14ac:dyDescent="0.2">
      <c r="A183" s="180"/>
      <c r="B183" s="56" t="s">
        <v>591</v>
      </c>
      <c r="C183" s="34" t="s">
        <v>1737</v>
      </c>
      <c r="D183" s="11">
        <v>284046</v>
      </c>
      <c r="E183" s="181"/>
      <c r="F183" s="168">
        <v>3820</v>
      </c>
      <c r="G183" s="182"/>
      <c r="H183" s="89"/>
      <c r="I183" s="60"/>
      <c r="J183" s="61">
        <v>4057.09</v>
      </c>
      <c r="L183" s="30"/>
    </row>
    <row r="184" spans="1:12" ht="13.5" customHeight="1" x14ac:dyDescent="0.2">
      <c r="A184" s="180"/>
      <c r="B184" s="56"/>
      <c r="C184" s="36" t="s">
        <v>174</v>
      </c>
      <c r="D184" s="11">
        <v>0</v>
      </c>
      <c r="E184" s="30"/>
      <c r="F184" s="183">
        <v>283.94</v>
      </c>
      <c r="G184" s="182">
        <v>3820</v>
      </c>
      <c r="H184" s="89">
        <v>283.94</v>
      </c>
      <c r="I184" s="60"/>
      <c r="J184" s="61">
        <v>3773.15</v>
      </c>
      <c r="L184" s="30"/>
    </row>
    <row r="185" spans="1:12" ht="13.5" customHeight="1" x14ac:dyDescent="0.2">
      <c r="A185" s="180">
        <v>43291</v>
      </c>
      <c r="B185" s="56"/>
      <c r="C185" s="36" t="s">
        <v>189</v>
      </c>
      <c r="D185" s="11">
        <v>0</v>
      </c>
      <c r="E185" s="181">
        <v>-3820</v>
      </c>
      <c r="F185" s="12"/>
      <c r="G185" s="182">
        <v>0</v>
      </c>
      <c r="H185" s="89"/>
      <c r="I185" s="60">
        <v>3820</v>
      </c>
      <c r="J185" s="61">
        <v>7593.15</v>
      </c>
      <c r="L185" s="30"/>
    </row>
    <row r="186" spans="1:12" ht="13.5" customHeight="1" x14ac:dyDescent="0.2">
      <c r="A186" s="180">
        <v>43297</v>
      </c>
      <c r="B186" s="56"/>
      <c r="C186" s="34" t="s">
        <v>8046</v>
      </c>
      <c r="D186" s="11">
        <v>621000</v>
      </c>
      <c r="E186" s="181">
        <v>-720.85</v>
      </c>
      <c r="F186" s="12"/>
      <c r="G186" s="182"/>
      <c r="H186" s="89"/>
      <c r="I186" s="60"/>
      <c r="J186" s="61">
        <v>7593.15</v>
      </c>
      <c r="L186" s="30"/>
    </row>
    <row r="187" spans="1:12" ht="13.5" customHeight="1" x14ac:dyDescent="0.2">
      <c r="A187" s="180"/>
      <c r="B187" s="56"/>
      <c r="C187" s="34" t="s">
        <v>8047</v>
      </c>
      <c r="D187" s="11">
        <v>0</v>
      </c>
      <c r="E187" s="30"/>
      <c r="F187" s="183">
        <v>4731.47</v>
      </c>
      <c r="G187" s="182"/>
      <c r="H187" s="89"/>
      <c r="I187" s="60"/>
      <c r="J187" s="61">
        <v>7593.15</v>
      </c>
      <c r="L187" s="30"/>
    </row>
    <row r="188" spans="1:12" ht="13.5" customHeight="1" x14ac:dyDescent="0.2">
      <c r="A188" s="180"/>
      <c r="B188" s="56"/>
      <c r="C188" s="36" t="s">
        <v>189</v>
      </c>
      <c r="D188" s="11">
        <v>0</v>
      </c>
      <c r="E188" s="181">
        <v>-4010.62</v>
      </c>
      <c r="F188" s="12"/>
      <c r="G188" s="182">
        <v>0</v>
      </c>
      <c r="H188" s="89"/>
      <c r="I188" s="60">
        <v>4010.62</v>
      </c>
      <c r="J188" s="61">
        <v>11603.77</v>
      </c>
      <c r="L188" s="30"/>
    </row>
    <row r="189" spans="1:12" ht="13.5" customHeight="1" x14ac:dyDescent="0.2">
      <c r="A189" s="180">
        <v>43298</v>
      </c>
      <c r="B189" s="56"/>
      <c r="C189" s="36" t="s">
        <v>1189</v>
      </c>
      <c r="D189" s="11">
        <v>395</v>
      </c>
      <c r="E189" s="181">
        <v>-405.68</v>
      </c>
      <c r="F189" s="12"/>
      <c r="G189" s="182"/>
      <c r="H189" s="89"/>
      <c r="I189" s="60"/>
      <c r="J189" s="61">
        <v>11603.77</v>
      </c>
      <c r="L189" s="30"/>
    </row>
    <row r="190" spans="1:12" ht="13.5" customHeight="1" x14ac:dyDescent="0.2">
      <c r="A190" s="180"/>
      <c r="B190" s="56"/>
      <c r="C190" s="36" t="s">
        <v>1187</v>
      </c>
      <c r="D190" s="11">
        <v>396</v>
      </c>
      <c r="E190" s="181">
        <v>-405.68</v>
      </c>
      <c r="F190" s="12"/>
      <c r="G190" s="182"/>
      <c r="H190" s="89"/>
      <c r="I190" s="60"/>
      <c r="J190" s="61">
        <v>11603.77</v>
      </c>
      <c r="L190" s="30"/>
    </row>
    <row r="191" spans="1:12" ht="13.5" customHeight="1" x14ac:dyDescent="0.2">
      <c r="A191" s="180"/>
      <c r="B191" s="56"/>
      <c r="C191" s="36" t="s">
        <v>174</v>
      </c>
      <c r="D191" s="11">
        <v>0</v>
      </c>
      <c r="E191" s="30"/>
      <c r="F191" s="183">
        <v>811.36</v>
      </c>
      <c r="G191" s="182">
        <v>0</v>
      </c>
      <c r="H191" s="89">
        <v>811.36</v>
      </c>
      <c r="I191" s="60"/>
      <c r="J191" s="61">
        <v>10792.41</v>
      </c>
      <c r="L191" s="30"/>
    </row>
    <row r="192" spans="1:12" ht="13.5" customHeight="1" x14ac:dyDescent="0.2">
      <c r="A192" s="180">
        <v>43301</v>
      </c>
      <c r="B192" s="56"/>
      <c r="C192" s="36" t="s">
        <v>394</v>
      </c>
      <c r="D192" s="11">
        <v>91000</v>
      </c>
      <c r="E192" s="181">
        <v>-926.75</v>
      </c>
      <c r="F192" s="12"/>
      <c r="G192" s="182"/>
      <c r="H192" s="89"/>
      <c r="I192" s="60"/>
      <c r="J192" s="61">
        <v>10792.41</v>
      </c>
      <c r="L192" s="30"/>
    </row>
    <row r="193" spans="1:12" ht="13.5" customHeight="1" x14ac:dyDescent="0.2">
      <c r="A193" s="180"/>
      <c r="B193" s="56"/>
      <c r="C193" s="34" t="s">
        <v>179</v>
      </c>
      <c r="D193" s="11">
        <v>397</v>
      </c>
      <c r="E193" s="181">
        <v>-112.1</v>
      </c>
      <c r="F193" s="12"/>
      <c r="G193" s="182"/>
      <c r="H193" s="89"/>
      <c r="I193" s="60"/>
      <c r="J193" s="61">
        <v>10792.41</v>
      </c>
      <c r="L193" s="30"/>
    </row>
    <row r="194" spans="1:12" ht="13.5" customHeight="1" x14ac:dyDescent="0.2">
      <c r="A194" s="180"/>
      <c r="B194" s="56"/>
      <c r="C194" s="36" t="s">
        <v>174</v>
      </c>
      <c r="D194" s="11">
        <v>0</v>
      </c>
      <c r="E194" s="30"/>
      <c r="F194" s="183">
        <v>1038.8499999999999</v>
      </c>
      <c r="G194" s="182">
        <v>0</v>
      </c>
      <c r="H194" s="89">
        <v>1038.8499999999999</v>
      </c>
      <c r="I194" s="60"/>
      <c r="J194" s="61">
        <v>9753.56</v>
      </c>
      <c r="L194" s="30"/>
    </row>
    <row r="195" spans="1:12" ht="13.5" customHeight="1" x14ac:dyDescent="0.2">
      <c r="A195" s="180">
        <v>43304</v>
      </c>
      <c r="B195" s="56"/>
      <c r="C195" s="34" t="s">
        <v>86</v>
      </c>
      <c r="D195" s="11">
        <v>0</v>
      </c>
      <c r="E195" s="181">
        <v>-78</v>
      </c>
      <c r="F195" s="12"/>
      <c r="G195" s="182"/>
      <c r="H195" s="89"/>
      <c r="I195" s="60"/>
      <c r="J195" s="61">
        <v>9753.56</v>
      </c>
      <c r="L195" s="30"/>
    </row>
    <row r="196" spans="1:12" ht="13.5" customHeight="1" x14ac:dyDescent="0.2">
      <c r="A196" s="180"/>
      <c r="B196" s="56"/>
      <c r="C196" s="32" t="s">
        <v>199</v>
      </c>
      <c r="D196" s="11">
        <v>0</v>
      </c>
      <c r="E196" s="181">
        <v>-181.13</v>
      </c>
      <c r="F196" s="12"/>
      <c r="G196" s="182"/>
      <c r="H196" s="89"/>
      <c r="I196" s="60"/>
      <c r="J196" s="61">
        <v>9753.56</v>
      </c>
      <c r="L196" s="30"/>
    </row>
    <row r="197" spans="1:12" ht="13.5" customHeight="1" x14ac:dyDescent="0.2">
      <c r="A197" s="180"/>
      <c r="B197" s="56"/>
      <c r="C197" s="34" t="s">
        <v>194</v>
      </c>
      <c r="D197" s="11">
        <v>0</v>
      </c>
      <c r="E197" s="181">
        <v>-82.75</v>
      </c>
      <c r="F197" s="12"/>
      <c r="G197" s="182"/>
      <c r="H197" s="89"/>
      <c r="I197" s="60"/>
      <c r="J197" s="61">
        <v>9753.56</v>
      </c>
      <c r="L197" s="30"/>
    </row>
    <row r="198" spans="1:12" ht="13.5" customHeight="1" x14ac:dyDescent="0.2">
      <c r="A198" s="180"/>
      <c r="B198" s="56"/>
      <c r="C198" s="34" t="s">
        <v>195</v>
      </c>
      <c r="D198" s="11">
        <v>0</v>
      </c>
      <c r="E198" s="181">
        <v>-381.94</v>
      </c>
      <c r="F198" s="12"/>
      <c r="G198" s="182"/>
      <c r="H198" s="89"/>
      <c r="I198" s="60"/>
      <c r="J198" s="61">
        <v>9753.56</v>
      </c>
      <c r="L198" s="30"/>
    </row>
    <row r="199" spans="1:12" ht="13.5" customHeight="1" x14ac:dyDescent="0.2">
      <c r="A199" s="180"/>
      <c r="B199" s="56"/>
      <c r="C199" s="32" t="s">
        <v>196</v>
      </c>
      <c r="D199" s="11">
        <v>0</v>
      </c>
      <c r="E199" s="181">
        <v>-740.5</v>
      </c>
      <c r="F199" s="12"/>
      <c r="G199" s="182"/>
      <c r="H199" s="89"/>
      <c r="I199" s="60"/>
      <c r="J199" s="61">
        <v>9753.56</v>
      </c>
      <c r="L199" s="30"/>
    </row>
    <row r="200" spans="1:12" ht="13.5" customHeight="1" x14ac:dyDescent="0.2">
      <c r="A200" s="180"/>
      <c r="B200" s="56"/>
      <c r="C200" s="32" t="s">
        <v>197</v>
      </c>
      <c r="D200" s="11">
        <v>0</v>
      </c>
      <c r="E200" s="181">
        <v>-1234.17</v>
      </c>
      <c r="F200" s="12"/>
      <c r="G200" s="182"/>
      <c r="H200" s="89"/>
      <c r="I200" s="60"/>
      <c r="J200" s="61">
        <v>9753.56</v>
      </c>
      <c r="L200" s="30"/>
    </row>
    <row r="201" spans="1:12" ht="13.5" customHeight="1" x14ac:dyDescent="0.2">
      <c r="A201" s="180"/>
      <c r="B201" s="56" t="s">
        <v>483</v>
      </c>
      <c r="C201" s="36" t="s">
        <v>174</v>
      </c>
      <c r="D201" s="11" t="s">
        <v>488</v>
      </c>
      <c r="E201" s="30"/>
      <c r="F201" s="183">
        <v>2698.49</v>
      </c>
      <c r="G201" s="182">
        <v>0</v>
      </c>
      <c r="H201" s="89">
        <v>2698.49</v>
      </c>
      <c r="I201" s="60"/>
      <c r="J201" s="61">
        <v>7055.07</v>
      </c>
      <c r="L201" s="30"/>
    </row>
    <row r="202" spans="1:12" ht="13.5" customHeight="1" x14ac:dyDescent="0.2">
      <c r="A202" s="180" t="s">
        <v>8048</v>
      </c>
      <c r="B202" s="56" t="s">
        <v>483</v>
      </c>
      <c r="C202" s="34" t="s">
        <v>86</v>
      </c>
      <c r="D202" s="11" t="s">
        <v>488</v>
      </c>
      <c r="E202" s="181">
        <v>-11.9</v>
      </c>
      <c r="F202" s="12"/>
      <c r="G202" s="182"/>
      <c r="H202" s="89"/>
      <c r="I202" s="60"/>
      <c r="J202" s="61">
        <v>7055.07</v>
      </c>
      <c r="L202" s="30"/>
    </row>
    <row r="203" spans="1:12" ht="13.5" customHeight="1" x14ac:dyDescent="0.2">
      <c r="A203" s="180"/>
      <c r="B203" s="56" t="s">
        <v>483</v>
      </c>
      <c r="C203" s="36" t="s">
        <v>174</v>
      </c>
      <c r="D203" s="11" t="s">
        <v>488</v>
      </c>
      <c r="E203" s="30"/>
      <c r="F203" s="183">
        <v>11.9</v>
      </c>
      <c r="G203" s="182">
        <v>0</v>
      </c>
      <c r="H203" s="89">
        <v>11.9</v>
      </c>
      <c r="I203" s="60"/>
      <c r="J203" s="61">
        <v>7043.17</v>
      </c>
      <c r="L203" s="30"/>
    </row>
    <row r="204" spans="1:12" ht="13.5" customHeight="1" x14ac:dyDescent="0.2">
      <c r="A204" s="180" t="s">
        <v>8049</v>
      </c>
      <c r="B204" s="56" t="s">
        <v>483</v>
      </c>
      <c r="C204" s="34" t="s">
        <v>8050</v>
      </c>
      <c r="D204" s="11" t="s">
        <v>4461</v>
      </c>
      <c r="E204" s="181">
        <v>-223.44</v>
      </c>
      <c r="F204" s="12"/>
      <c r="G204" s="182" t="s">
        <v>483</v>
      </c>
      <c r="H204" s="89"/>
      <c r="I204" s="60"/>
      <c r="J204" s="61">
        <v>7043.17</v>
      </c>
      <c r="L204" s="30"/>
    </row>
    <row r="205" spans="1:12" ht="13.5" customHeight="1" x14ac:dyDescent="0.2">
      <c r="A205" s="180"/>
      <c r="B205" s="56" t="s">
        <v>591</v>
      </c>
      <c r="C205" s="34" t="s">
        <v>471</v>
      </c>
      <c r="D205" s="11" t="s">
        <v>8051</v>
      </c>
      <c r="E205" s="181"/>
      <c r="F205" s="168">
        <v>8000</v>
      </c>
      <c r="G205" s="182" t="s">
        <v>483</v>
      </c>
      <c r="H205" s="89"/>
      <c r="I205" s="60"/>
      <c r="J205" s="61">
        <v>7043.17</v>
      </c>
      <c r="L205" s="30"/>
    </row>
    <row r="206" spans="1:12" ht="13.5" customHeight="1" x14ac:dyDescent="0.2">
      <c r="A206" s="180"/>
      <c r="B206" s="56" t="s">
        <v>483</v>
      </c>
      <c r="C206" s="36" t="s">
        <v>174</v>
      </c>
      <c r="D206" s="11" t="s">
        <v>488</v>
      </c>
      <c r="E206" s="30"/>
      <c r="F206" s="183">
        <v>223.44</v>
      </c>
      <c r="G206" s="182">
        <v>8000</v>
      </c>
      <c r="H206" s="89">
        <v>223.44</v>
      </c>
      <c r="I206" s="60"/>
      <c r="J206" s="61">
        <v>6819.7300000000005</v>
      </c>
      <c r="L206" s="30"/>
    </row>
    <row r="207" spans="1:12" ht="13.5" customHeight="1" x14ac:dyDescent="0.2">
      <c r="A207" s="180" t="s">
        <v>8052</v>
      </c>
      <c r="B207" s="56" t="s">
        <v>483</v>
      </c>
      <c r="C207" s="34" t="s">
        <v>8053</v>
      </c>
      <c r="D207" s="11" t="s">
        <v>8054</v>
      </c>
      <c r="E207" s="181">
        <v>-227</v>
      </c>
      <c r="F207" s="12" t="s">
        <v>483</v>
      </c>
      <c r="G207" s="182"/>
      <c r="H207" s="89"/>
      <c r="I207" s="60"/>
      <c r="J207" s="61">
        <v>6819.7300000000005</v>
      </c>
      <c r="L207" s="30"/>
    </row>
    <row r="208" spans="1:12" ht="13.5" customHeight="1" x14ac:dyDescent="0.2">
      <c r="A208" s="180"/>
      <c r="B208" s="56" t="s">
        <v>483</v>
      </c>
      <c r="C208" s="36" t="s">
        <v>189</v>
      </c>
      <c r="D208" s="11" t="s">
        <v>488</v>
      </c>
      <c r="E208" s="181">
        <v>-7773</v>
      </c>
      <c r="F208" s="12"/>
      <c r="G208" s="228">
        <v>0</v>
      </c>
      <c r="H208" s="89"/>
      <c r="I208" s="60">
        <v>7773</v>
      </c>
      <c r="J208" s="61">
        <v>14592.73</v>
      </c>
      <c r="L208" s="30"/>
    </row>
    <row r="209" spans="1:15" ht="13.5" customHeight="1" x14ac:dyDescent="0.2">
      <c r="A209" s="180"/>
      <c r="B209" s="56"/>
      <c r="C209" s="36" t="s">
        <v>20</v>
      </c>
      <c r="D209" s="11"/>
      <c r="E209" s="30"/>
      <c r="F209" s="12"/>
      <c r="G209" s="182"/>
      <c r="H209" s="89"/>
      <c r="I209" s="60">
        <v>1.2900000000008731</v>
      </c>
      <c r="J209" s="186">
        <v>14594.02</v>
      </c>
      <c r="L209" s="30"/>
    </row>
    <row r="210" spans="1:15" ht="13.5" customHeight="1" x14ac:dyDescent="0.2">
      <c r="A210" s="180"/>
      <c r="B210" s="56"/>
      <c r="C210" s="34"/>
      <c r="D210" s="11"/>
      <c r="E210" s="30"/>
      <c r="F210" s="12"/>
      <c r="G210" s="182"/>
      <c r="H210" s="89"/>
      <c r="I210" s="60"/>
      <c r="J210" s="61"/>
      <c r="L210" s="30"/>
    </row>
    <row r="211" spans="1:15" s="64" customFormat="1" ht="13.5" customHeight="1" thickBot="1" x14ac:dyDescent="0.25">
      <c r="A211" s="184"/>
      <c r="B211" s="63"/>
      <c r="C211" s="63"/>
      <c r="D211" s="50"/>
      <c r="E211" s="51"/>
      <c r="F211" s="13"/>
      <c r="G211" s="53"/>
      <c r="H211" s="82"/>
      <c r="I211" s="57"/>
      <c r="J211" s="67"/>
      <c r="L211" s="51"/>
      <c r="O211" s="65"/>
    </row>
    <row r="212" spans="1:15" ht="13.5" customHeight="1" thickBot="1" x14ac:dyDescent="0.25">
      <c r="A212" s="2" t="s">
        <v>2</v>
      </c>
      <c r="B212" s="3"/>
      <c r="C212" s="3" t="s">
        <v>525</v>
      </c>
      <c r="D212" s="3" t="s">
        <v>4</v>
      </c>
      <c r="E212" s="3" t="s">
        <v>5</v>
      </c>
      <c r="F212" s="3" t="s">
        <v>6</v>
      </c>
      <c r="G212" s="5" t="s">
        <v>7</v>
      </c>
      <c r="H212" s="187"/>
      <c r="I212" s="188"/>
      <c r="J212" s="189"/>
    </row>
    <row r="213" spans="1:15" ht="13.5" customHeight="1" x14ac:dyDescent="0.2">
      <c r="A213" s="8" t="s">
        <v>8027</v>
      </c>
      <c r="B213" s="56"/>
      <c r="C213" s="10" t="s">
        <v>8</v>
      </c>
      <c r="D213" s="11"/>
      <c r="E213" s="51"/>
      <c r="F213" s="12"/>
      <c r="G213" s="178">
        <v>3765.15</v>
      </c>
      <c r="H213" s="82"/>
      <c r="I213" s="57"/>
      <c r="J213" s="67"/>
      <c r="L213" s="51"/>
    </row>
    <row r="214" spans="1:15" ht="13.5" customHeight="1" x14ac:dyDescent="0.2">
      <c r="A214" s="180">
        <v>43286</v>
      </c>
      <c r="B214" s="56"/>
      <c r="C214" s="36" t="s">
        <v>530</v>
      </c>
      <c r="D214" s="50"/>
      <c r="E214" s="181">
        <v>849.06</v>
      </c>
      <c r="F214" s="12"/>
      <c r="G214" s="182">
        <f>G213-E214+F214</f>
        <v>2916.09</v>
      </c>
      <c r="H214" s="89"/>
      <c r="I214" s="60"/>
      <c r="J214" s="61"/>
      <c r="L214" s="30"/>
    </row>
    <row r="215" spans="1:15" ht="13.5" customHeight="1" x14ac:dyDescent="0.2">
      <c r="A215" s="180">
        <v>43300</v>
      </c>
      <c r="B215" s="56"/>
      <c r="C215" s="36" t="s">
        <v>8055</v>
      </c>
      <c r="D215" s="11"/>
      <c r="E215" s="181">
        <v>16</v>
      </c>
      <c r="F215" s="12"/>
      <c r="G215" s="182">
        <f>G214-E215+F215</f>
        <v>2900.09</v>
      </c>
      <c r="H215" s="89"/>
      <c r="I215" s="60"/>
      <c r="J215" s="61"/>
      <c r="L215" s="30"/>
    </row>
    <row r="216" spans="1:15" ht="13.5" customHeight="1" x14ac:dyDescent="0.2">
      <c r="A216" s="180">
        <v>43307</v>
      </c>
      <c r="B216" s="56"/>
      <c r="C216" s="36" t="s">
        <v>531</v>
      </c>
      <c r="D216" s="11"/>
      <c r="E216" s="181">
        <v>20.9</v>
      </c>
      <c r="F216" s="12"/>
      <c r="G216" s="182">
        <f>G215-E216+F216</f>
        <v>2879.19</v>
      </c>
      <c r="H216" s="89"/>
      <c r="I216" s="60"/>
      <c r="J216" s="61"/>
      <c r="L216" s="30"/>
    </row>
    <row r="217" spans="1:15" ht="13.5" customHeight="1" x14ac:dyDescent="0.2">
      <c r="A217" s="180"/>
      <c r="B217" s="56"/>
      <c r="C217" s="36" t="s">
        <v>8056</v>
      </c>
      <c r="D217" s="11"/>
      <c r="E217" s="181">
        <v>24</v>
      </c>
      <c r="F217" s="12"/>
      <c r="G217" s="182">
        <f>G216-E217+F217</f>
        <v>2855.19</v>
      </c>
      <c r="H217" s="89"/>
      <c r="I217" s="60"/>
      <c r="J217" s="61"/>
      <c r="L217" s="30"/>
    </row>
    <row r="218" spans="1:15" ht="13.5" customHeight="1" x14ac:dyDescent="0.2">
      <c r="A218" s="180">
        <v>43311</v>
      </c>
      <c r="B218" s="56"/>
      <c r="C218" s="36" t="s">
        <v>8057</v>
      </c>
      <c r="D218" s="11"/>
      <c r="E218" s="181">
        <v>139.30000000000001</v>
      </c>
      <c r="F218" s="12"/>
      <c r="G218" s="205">
        <f>G217-E218+F218</f>
        <v>2715.89</v>
      </c>
      <c r="H218" s="89"/>
      <c r="I218" s="60"/>
      <c r="J218" s="61"/>
      <c r="L218" s="30"/>
    </row>
    <row r="219" spans="1:15" ht="13.5" customHeight="1" thickBot="1" x14ac:dyDescent="0.25">
      <c r="A219" s="180"/>
      <c r="B219" s="56"/>
      <c r="C219" s="56"/>
      <c r="D219" s="11"/>
      <c r="E219" s="30"/>
      <c r="F219" s="12"/>
      <c r="G219" s="182"/>
      <c r="H219" s="89"/>
      <c r="I219" s="60"/>
      <c r="J219" s="61"/>
      <c r="L219" s="30"/>
    </row>
    <row r="220" spans="1:15" customFormat="1" ht="13.5" customHeight="1" thickBot="1" x14ac:dyDescent="0.25">
      <c r="A220" s="2" t="s">
        <v>2</v>
      </c>
      <c r="B220" s="3"/>
      <c r="C220" s="3" t="s">
        <v>534</v>
      </c>
      <c r="D220" s="191" t="s">
        <v>4</v>
      </c>
      <c r="E220" s="3" t="s">
        <v>5</v>
      </c>
      <c r="F220" s="3" t="s">
        <v>6</v>
      </c>
      <c r="G220" s="5" t="s">
        <v>7</v>
      </c>
      <c r="H220" s="192"/>
      <c r="I220" s="193"/>
      <c r="J220" s="194"/>
    </row>
    <row r="221" spans="1:15" customFormat="1" ht="13.5" customHeight="1" x14ac:dyDescent="0.2">
      <c r="A221" s="8">
        <v>42370</v>
      </c>
      <c r="B221" s="36"/>
      <c r="C221" s="10" t="s">
        <v>8</v>
      </c>
      <c r="D221" s="195"/>
      <c r="E221" s="196"/>
      <c r="F221" s="43"/>
      <c r="G221" s="178">
        <v>0</v>
      </c>
      <c r="H221" s="197"/>
      <c r="I221" s="57"/>
      <c r="J221" s="198"/>
      <c r="L221" s="196"/>
    </row>
    <row r="222" spans="1:15" customFormat="1" ht="13.5" customHeight="1" x14ac:dyDescent="0.2">
      <c r="A222" s="180">
        <v>43649</v>
      </c>
      <c r="B222" s="36"/>
      <c r="C222" s="32" t="s">
        <v>1206</v>
      </c>
      <c r="D222" s="195"/>
      <c r="E222" s="196"/>
      <c r="F222" s="199">
        <v>500</v>
      </c>
      <c r="G222" s="178">
        <v>500</v>
      </c>
      <c r="H222" s="197"/>
      <c r="I222" s="57"/>
      <c r="J222" s="198"/>
      <c r="L222" s="196"/>
    </row>
    <row r="223" spans="1:15" customFormat="1" ht="13.5" customHeight="1" thickBot="1" x14ac:dyDescent="0.25">
      <c r="A223" s="754"/>
      <c r="B223" s="676"/>
      <c r="C223" s="676"/>
      <c r="D223" s="1353"/>
      <c r="E223" s="1354"/>
      <c r="F223" s="1355"/>
      <c r="G223" s="1356"/>
      <c r="H223" s="1357"/>
      <c r="I223" s="254"/>
      <c r="J223" s="1358"/>
      <c r="L223" s="72"/>
    </row>
    <row r="224" spans="1:15" ht="13.5" customHeight="1" thickBot="1" x14ac:dyDescent="0.25">
      <c r="A224" s="2" t="s">
        <v>2</v>
      </c>
      <c r="B224" s="3"/>
      <c r="C224" s="3" t="s">
        <v>536</v>
      </c>
      <c r="D224" s="3"/>
      <c r="E224" s="3"/>
      <c r="F224" s="3"/>
      <c r="G224" s="5" t="s">
        <v>7</v>
      </c>
      <c r="H224" s="269" t="s">
        <v>5</v>
      </c>
      <c r="I224" s="4" t="s">
        <v>6</v>
      </c>
      <c r="J224" s="7" t="s">
        <v>7</v>
      </c>
    </row>
    <row r="225" spans="1:15" ht="13.5" customHeight="1" x14ac:dyDescent="0.2">
      <c r="A225" s="8">
        <v>43282</v>
      </c>
      <c r="B225" s="70"/>
      <c r="C225" s="10" t="s">
        <v>537</v>
      </c>
      <c r="D225" s="125"/>
      <c r="E225" s="67"/>
      <c r="F225" s="67"/>
      <c r="G225" s="178"/>
      <c r="H225" s="82"/>
      <c r="I225" s="57"/>
      <c r="J225" s="58">
        <v>4100</v>
      </c>
    </row>
    <row r="226" spans="1:15" customFormat="1" ht="13.5" customHeight="1" x14ac:dyDescent="0.2">
      <c r="A226" s="180">
        <v>43283</v>
      </c>
      <c r="B226" s="46"/>
      <c r="C226" s="45" t="s">
        <v>8058</v>
      </c>
      <c r="D226" s="229"/>
      <c r="E226" s="69"/>
      <c r="F226" s="69"/>
      <c r="G226" s="203"/>
      <c r="H226" s="249">
        <v>520</v>
      </c>
      <c r="I226" s="71"/>
      <c r="J226" s="69">
        <v>3580</v>
      </c>
      <c r="K226" s="72"/>
      <c r="O226" s="40"/>
    </row>
    <row r="227" spans="1:15" customFormat="1" ht="13.5" customHeight="1" x14ac:dyDescent="0.2">
      <c r="A227" s="180"/>
      <c r="B227" s="46"/>
      <c r="C227" s="34" t="s">
        <v>1002</v>
      </c>
      <c r="D227" s="229"/>
      <c r="E227" s="69"/>
      <c r="F227" s="69"/>
      <c r="G227" s="203"/>
      <c r="H227" s="249">
        <v>5948.34</v>
      </c>
      <c r="I227" s="71"/>
      <c r="J227" s="69">
        <v>-2368.34</v>
      </c>
      <c r="K227" s="72"/>
      <c r="O227" s="40"/>
    </row>
    <row r="228" spans="1:15" customFormat="1" ht="13.5" customHeight="1" x14ac:dyDescent="0.2">
      <c r="A228" s="180">
        <v>43285</v>
      </c>
      <c r="B228" s="46"/>
      <c r="C228" s="34" t="s">
        <v>8059</v>
      </c>
      <c r="D228" s="229"/>
      <c r="E228" s="69"/>
      <c r="F228" s="69"/>
      <c r="G228" s="203"/>
      <c r="H228" s="249"/>
      <c r="I228" s="71">
        <v>430</v>
      </c>
      <c r="J228" s="69">
        <v>-1938.3400000000001</v>
      </c>
      <c r="K228" s="72"/>
      <c r="O228" s="40"/>
    </row>
    <row r="229" spans="1:15" ht="13.5" customHeight="1" x14ac:dyDescent="0.2">
      <c r="A229" s="180"/>
      <c r="B229" s="9"/>
      <c r="C229" s="34" t="s">
        <v>8060</v>
      </c>
      <c r="D229" s="230"/>
      <c r="E229" s="61"/>
      <c r="F229" s="61"/>
      <c r="G229" s="205"/>
      <c r="H229" s="89">
        <v>8</v>
      </c>
      <c r="I229" s="71"/>
      <c r="J229" s="69">
        <v>-1946.3400000000001</v>
      </c>
      <c r="K229" s="72"/>
    </row>
    <row r="230" spans="1:15" ht="13.5" customHeight="1" x14ac:dyDescent="0.2">
      <c r="A230" s="180">
        <v>43286</v>
      </c>
      <c r="B230" s="9"/>
      <c r="C230" s="45" t="s">
        <v>8061</v>
      </c>
      <c r="D230" s="230"/>
      <c r="E230" s="61"/>
      <c r="F230" s="61"/>
      <c r="G230" s="205"/>
      <c r="H230" s="89">
        <v>64.5</v>
      </c>
      <c r="I230" s="71"/>
      <c r="J230" s="69">
        <v>-2010.8400000000001</v>
      </c>
      <c r="K230" s="72"/>
    </row>
    <row r="231" spans="1:15" ht="13.5" customHeight="1" x14ac:dyDescent="0.2">
      <c r="A231" s="180"/>
      <c r="B231" s="9"/>
      <c r="C231" s="34" t="s">
        <v>7890</v>
      </c>
      <c r="D231" s="230"/>
      <c r="E231" s="61"/>
      <c r="F231" s="61"/>
      <c r="G231" s="205"/>
      <c r="H231" s="89"/>
      <c r="I231" s="71">
        <v>50</v>
      </c>
      <c r="J231" s="69">
        <v>-1960.8400000000001</v>
      </c>
      <c r="K231" s="72"/>
    </row>
    <row r="232" spans="1:15" ht="13.5" customHeight="1" x14ac:dyDescent="0.2">
      <c r="A232" s="180"/>
      <c r="B232" s="9"/>
      <c r="C232" s="34" t="s">
        <v>77</v>
      </c>
      <c r="D232" s="230"/>
      <c r="E232" s="61"/>
      <c r="F232" s="61"/>
      <c r="G232" s="205"/>
      <c r="H232" s="89"/>
      <c r="I232" s="73">
        <v>5000</v>
      </c>
      <c r="J232" s="69">
        <v>3039.16</v>
      </c>
      <c r="K232" s="72"/>
    </row>
    <row r="233" spans="1:15" ht="13.5" customHeight="1" x14ac:dyDescent="0.2">
      <c r="A233" s="180">
        <v>43290</v>
      </c>
      <c r="B233" s="9"/>
      <c r="C233" s="34" t="s">
        <v>7330</v>
      </c>
      <c r="D233" s="230"/>
      <c r="E233" s="61"/>
      <c r="F233" s="61"/>
      <c r="G233" s="205"/>
      <c r="H233" s="89">
        <v>23.78</v>
      </c>
      <c r="I233" s="71"/>
      <c r="J233" s="69">
        <v>3015.3799999999997</v>
      </c>
      <c r="K233" s="72"/>
    </row>
    <row r="234" spans="1:15" ht="13.5" customHeight="1" x14ac:dyDescent="0.2">
      <c r="A234" s="180"/>
      <c r="B234" s="9"/>
      <c r="C234" s="34" t="s">
        <v>7127</v>
      </c>
      <c r="D234" s="230"/>
      <c r="E234" s="61"/>
      <c r="F234" s="61"/>
      <c r="G234" s="205"/>
      <c r="H234" s="89">
        <v>100</v>
      </c>
      <c r="I234" s="71"/>
      <c r="J234" s="69">
        <v>2915.3799999999997</v>
      </c>
      <c r="K234" s="72"/>
    </row>
    <row r="235" spans="1:15" ht="13.5" customHeight="1" x14ac:dyDescent="0.2">
      <c r="A235" s="180">
        <v>43292</v>
      </c>
      <c r="B235" s="9"/>
      <c r="C235" s="34" t="s">
        <v>7127</v>
      </c>
      <c r="D235" s="230"/>
      <c r="E235" s="61"/>
      <c r="F235" s="61"/>
      <c r="G235" s="205"/>
      <c r="H235" s="89">
        <v>100</v>
      </c>
      <c r="I235" s="71"/>
      <c r="J235" s="69">
        <v>2815.3799999999997</v>
      </c>
      <c r="K235" s="72"/>
    </row>
    <row r="236" spans="1:15" ht="13.5" customHeight="1" x14ac:dyDescent="0.2">
      <c r="A236" s="180">
        <v>43295</v>
      </c>
      <c r="B236" s="9"/>
      <c r="C236" s="34" t="s">
        <v>8062</v>
      </c>
      <c r="D236" s="230"/>
      <c r="E236" s="61"/>
      <c r="F236" s="61"/>
      <c r="G236" s="205"/>
      <c r="H236" s="89">
        <v>150</v>
      </c>
      <c r="I236" s="71"/>
      <c r="J236" s="69">
        <v>2665.3799999999997</v>
      </c>
      <c r="K236" s="72"/>
    </row>
    <row r="237" spans="1:15" ht="13.5" customHeight="1" x14ac:dyDescent="0.2">
      <c r="A237" s="180"/>
      <c r="B237" s="9"/>
      <c r="C237" s="34" t="s">
        <v>8063</v>
      </c>
      <c r="D237" s="230"/>
      <c r="E237" s="61"/>
      <c r="F237" s="61"/>
      <c r="G237" s="205"/>
      <c r="H237" s="89">
        <v>10</v>
      </c>
      <c r="I237" s="71"/>
      <c r="J237" s="69">
        <v>2655.3799999999997</v>
      </c>
      <c r="K237" s="72"/>
    </row>
    <row r="238" spans="1:15" ht="13.5" customHeight="1" x14ac:dyDescent="0.2">
      <c r="A238" s="180"/>
      <c r="B238" s="46"/>
      <c r="C238" s="34" t="s">
        <v>8064</v>
      </c>
      <c r="D238" s="229"/>
      <c r="E238" s="69"/>
      <c r="F238" s="69"/>
      <c r="G238" s="203"/>
      <c r="H238" s="249">
        <v>10</v>
      </c>
      <c r="I238" s="71"/>
      <c r="J238" s="69">
        <v>2645.3799999999997</v>
      </c>
      <c r="K238" s="72"/>
    </row>
    <row r="239" spans="1:15" ht="13.5" customHeight="1" x14ac:dyDescent="0.2">
      <c r="A239" s="180">
        <v>43296</v>
      </c>
      <c r="B239" s="46"/>
      <c r="C239" s="34" t="s">
        <v>8065</v>
      </c>
      <c r="D239" s="229"/>
      <c r="E239" s="69"/>
      <c r="F239" s="69"/>
      <c r="G239" s="203"/>
      <c r="H239" s="249">
        <v>450</v>
      </c>
      <c r="I239" s="71"/>
      <c r="J239" s="69">
        <v>2195.3799999999997</v>
      </c>
      <c r="K239" s="72"/>
    </row>
    <row r="240" spans="1:15" ht="13.5" customHeight="1" x14ac:dyDescent="0.2">
      <c r="A240" s="180"/>
      <c r="B240" s="46"/>
      <c r="C240" s="34" t="s">
        <v>7330</v>
      </c>
      <c r="D240" s="229"/>
      <c r="E240" s="69"/>
      <c r="F240" s="69"/>
      <c r="G240" s="203"/>
      <c r="H240" s="249">
        <v>60.22</v>
      </c>
      <c r="I240" s="71"/>
      <c r="J240" s="69">
        <v>2135.16</v>
      </c>
      <c r="K240" s="72"/>
    </row>
    <row r="241" spans="1:15" ht="13.5" customHeight="1" x14ac:dyDescent="0.2">
      <c r="A241" s="180"/>
      <c r="B241" s="46"/>
      <c r="C241" s="34" t="s">
        <v>7127</v>
      </c>
      <c r="D241" s="229"/>
      <c r="E241" s="69"/>
      <c r="F241" s="69"/>
      <c r="G241" s="203"/>
      <c r="H241" s="249">
        <v>152.16</v>
      </c>
      <c r="I241" s="71"/>
      <c r="J241" s="69">
        <v>1982.9999999999998</v>
      </c>
      <c r="K241" s="72"/>
    </row>
    <row r="242" spans="1:15" ht="13.5" customHeight="1" x14ac:dyDescent="0.2">
      <c r="A242" s="180">
        <v>43301</v>
      </c>
      <c r="B242" s="46"/>
      <c r="C242" s="34" t="s">
        <v>7127</v>
      </c>
      <c r="D242" s="229"/>
      <c r="E242" s="69"/>
      <c r="F242" s="69"/>
      <c r="G242" s="203"/>
      <c r="H242" s="249">
        <v>303</v>
      </c>
      <c r="I242" s="71"/>
      <c r="J242" s="69">
        <v>1679.9999999999998</v>
      </c>
      <c r="K242" s="72"/>
    </row>
    <row r="243" spans="1:15" ht="13.5" customHeight="1" x14ac:dyDescent="0.2">
      <c r="A243" s="171"/>
      <c r="B243" s="46"/>
      <c r="C243" s="34" t="s">
        <v>8066</v>
      </c>
      <c r="D243" s="229"/>
      <c r="E243" s="69"/>
      <c r="F243" s="69"/>
      <c r="G243" s="203"/>
      <c r="H243" s="249">
        <v>80</v>
      </c>
      <c r="I243" s="68"/>
      <c r="J243" s="69">
        <v>1599.9999999999998</v>
      </c>
      <c r="K243" s="72"/>
      <c r="L243" s="18"/>
      <c r="M243" s="18"/>
    </row>
    <row r="244" spans="1:15" ht="13.5" customHeight="1" x14ac:dyDescent="0.2">
      <c r="A244" s="171">
        <v>43307</v>
      </c>
      <c r="B244" s="46"/>
      <c r="C244" s="34" t="s">
        <v>1211</v>
      </c>
      <c r="D244" s="229"/>
      <c r="E244" s="69"/>
      <c r="F244" s="69"/>
      <c r="G244" s="203"/>
      <c r="H244" s="249"/>
      <c r="I244" s="68">
        <v>900</v>
      </c>
      <c r="J244" s="69">
        <v>2500</v>
      </c>
      <c r="K244" s="72"/>
      <c r="L244" s="18"/>
      <c r="M244" s="18"/>
    </row>
    <row r="245" spans="1:15" ht="13.5" customHeight="1" x14ac:dyDescent="0.2">
      <c r="A245" s="171">
        <v>43308</v>
      </c>
      <c r="B245" s="46"/>
      <c r="C245" s="34" t="s">
        <v>77</v>
      </c>
      <c r="D245" s="229"/>
      <c r="E245" s="69"/>
      <c r="F245" s="69"/>
      <c r="G245" s="203"/>
      <c r="H245" s="249"/>
      <c r="I245" s="412">
        <v>6000</v>
      </c>
      <c r="J245" s="231">
        <v>8500</v>
      </c>
      <c r="K245" s="72"/>
      <c r="L245" s="18"/>
      <c r="M245" s="18"/>
    </row>
    <row r="246" spans="1:15" ht="13.5" customHeight="1" thickBot="1" x14ac:dyDescent="0.25">
      <c r="A246" s="207"/>
      <c r="B246" s="207"/>
      <c r="C246" s="208"/>
      <c r="D246" s="208"/>
      <c r="E246" s="208"/>
      <c r="F246" s="208"/>
      <c r="G246" s="210"/>
      <c r="H246" s="211"/>
      <c r="I246" s="211"/>
      <c r="J246" s="212"/>
    </row>
    <row r="247" spans="1:15" ht="13.5" customHeight="1" thickBot="1" x14ac:dyDescent="0.25">
      <c r="A247" s="213"/>
      <c r="B247" s="214"/>
      <c r="C247" s="215" t="s">
        <v>539</v>
      </c>
      <c r="D247" s="216"/>
      <c r="E247" s="187"/>
      <c r="F247" s="187"/>
      <c r="G247" s="217" t="s">
        <v>7</v>
      </c>
      <c r="H247" s="187"/>
      <c r="I247" s="187"/>
      <c r="J247" s="189"/>
    </row>
    <row r="248" spans="1:15" ht="13.5" customHeight="1" x14ac:dyDescent="0.2">
      <c r="A248" s="74" t="s">
        <v>540</v>
      </c>
      <c r="B248" s="74"/>
      <c r="C248" s="218" t="s">
        <v>541</v>
      </c>
      <c r="D248" s="219"/>
      <c r="E248" s="220"/>
      <c r="F248" s="220"/>
      <c r="G248" s="75">
        <v>14594.02</v>
      </c>
      <c r="H248" s="220"/>
      <c r="I248" s="220"/>
      <c r="J248" s="220"/>
    </row>
    <row r="249" spans="1:15" ht="13.5" customHeight="1" x14ac:dyDescent="0.2">
      <c r="A249" s="221" t="s">
        <v>540</v>
      </c>
      <c r="B249" s="70"/>
      <c r="C249" s="63" t="s">
        <v>542</v>
      </c>
      <c r="D249" s="50"/>
      <c r="E249" s="13"/>
      <c r="F249" s="13"/>
      <c r="G249" s="75">
        <v>7443.02</v>
      </c>
      <c r="H249" s="13"/>
      <c r="I249" s="13"/>
      <c r="J249" s="13"/>
    </row>
    <row r="250" spans="1:15" ht="13.5" customHeight="1" x14ac:dyDescent="0.2">
      <c r="A250" s="70"/>
      <c r="B250" s="70"/>
      <c r="C250" s="222" t="s">
        <v>543</v>
      </c>
      <c r="D250" s="50"/>
      <c r="E250" s="13"/>
      <c r="F250" s="13"/>
      <c r="G250" s="14">
        <v>22037.040000000001</v>
      </c>
      <c r="H250" s="13"/>
      <c r="I250" s="13"/>
      <c r="J250" s="13"/>
    </row>
    <row r="251" spans="1:15" ht="13.5" customHeight="1" x14ac:dyDescent="0.2">
      <c r="A251" s="70"/>
      <c r="B251" s="70"/>
      <c r="C251" s="63"/>
      <c r="D251" s="50"/>
      <c r="E251" s="13"/>
      <c r="F251" s="13"/>
      <c r="G251" s="14"/>
      <c r="H251" s="13"/>
      <c r="I251" s="13"/>
      <c r="J251" s="13"/>
      <c r="L251" s="18"/>
    </row>
    <row r="252" spans="1:15" ht="13.5" customHeight="1" x14ac:dyDescent="0.2">
      <c r="A252" s="70"/>
      <c r="B252" s="70"/>
      <c r="C252" s="222" t="s">
        <v>544</v>
      </c>
      <c r="D252" s="50"/>
      <c r="E252" s="13"/>
      <c r="F252" s="13"/>
      <c r="G252" s="14">
        <v>22041.329999999998</v>
      </c>
      <c r="H252" s="13"/>
      <c r="I252" s="13"/>
      <c r="J252" s="13"/>
    </row>
    <row r="253" spans="1:15" ht="13.5" customHeight="1" x14ac:dyDescent="0.2">
      <c r="A253" s="70"/>
      <c r="B253" s="70"/>
      <c r="C253" s="63"/>
      <c r="D253" s="50"/>
      <c r="E253" s="13"/>
      <c r="F253" s="13"/>
      <c r="G253" s="75"/>
      <c r="H253" s="13"/>
      <c r="I253" s="13"/>
      <c r="J253" s="13"/>
      <c r="O253" s="1"/>
    </row>
    <row r="254" spans="1:15" ht="13.5" customHeight="1" x14ac:dyDescent="0.2">
      <c r="A254" s="76"/>
      <c r="B254" s="76"/>
      <c r="C254" s="222" t="s">
        <v>545</v>
      </c>
      <c r="D254" s="78"/>
      <c r="E254" s="78"/>
      <c r="F254" s="78"/>
      <c r="G254" s="14">
        <v>44078.369999999995</v>
      </c>
      <c r="H254" s="279"/>
      <c r="I254" s="77"/>
      <c r="J254" s="13"/>
      <c r="O254" s="1"/>
    </row>
    <row r="255" spans="1:15" ht="13.5" customHeight="1" x14ac:dyDescent="0.2">
      <c r="A255" s="76"/>
      <c r="B255" s="76"/>
      <c r="C255" s="78"/>
      <c r="D255" s="78"/>
      <c r="E255" s="78"/>
      <c r="F255" s="78"/>
      <c r="G255" s="75"/>
      <c r="H255" s="279"/>
      <c r="I255" s="77"/>
      <c r="J255" s="13"/>
      <c r="O255" s="1"/>
    </row>
    <row r="256" spans="1:15" ht="13.5" customHeight="1" x14ac:dyDescent="0.2">
      <c r="A256" s="79"/>
      <c r="B256" s="79"/>
      <c r="C256" s="78"/>
      <c r="D256" s="78"/>
      <c r="E256" s="78"/>
      <c r="F256" s="78"/>
      <c r="G256" s="75"/>
      <c r="H256" s="279"/>
      <c r="I256" s="77"/>
      <c r="J256" s="13"/>
      <c r="O256" s="1"/>
    </row>
    <row r="257" spans="1:15" ht="13.5" customHeight="1" x14ac:dyDescent="0.2">
      <c r="A257" s="79"/>
      <c r="B257" s="79"/>
      <c r="C257" s="78"/>
      <c r="D257" s="78"/>
      <c r="E257" s="13"/>
      <c r="F257" s="13"/>
      <c r="G257" s="75"/>
      <c r="H257" s="279"/>
      <c r="I257" s="77"/>
      <c r="J257" s="13"/>
      <c r="O257" s="1"/>
    </row>
    <row r="258" spans="1:15" ht="13.5" customHeight="1" x14ac:dyDescent="0.2">
      <c r="A258" s="74"/>
      <c r="B258" s="80"/>
      <c r="C258" s="81"/>
      <c r="D258" s="50"/>
      <c r="E258" s="13"/>
      <c r="F258" s="13"/>
      <c r="G258" s="75"/>
      <c r="H258" s="13"/>
      <c r="I258" s="13"/>
      <c r="J258" s="13"/>
      <c r="O258" s="1"/>
    </row>
    <row r="259" spans="1:15" ht="13.5" customHeight="1" x14ac:dyDescent="0.2">
      <c r="A259" s="79"/>
      <c r="B259" s="79"/>
      <c r="C259" s="78"/>
      <c r="D259" s="78"/>
      <c r="E259" s="13"/>
      <c r="F259" s="13"/>
      <c r="G259" s="75"/>
      <c r="H259" s="279"/>
      <c r="I259" s="77"/>
      <c r="J259" s="13"/>
      <c r="O259" s="1"/>
    </row>
    <row r="260" spans="1:15" ht="13.5" customHeight="1" x14ac:dyDescent="0.2">
      <c r="A260" s="79"/>
      <c r="B260" s="79"/>
      <c r="C260" s="78"/>
      <c r="D260" s="78"/>
      <c r="E260" s="13"/>
      <c r="F260" s="13"/>
      <c r="G260" s="75"/>
      <c r="H260" s="279"/>
      <c r="I260" s="77"/>
      <c r="J260" s="13"/>
      <c r="O260" s="1"/>
    </row>
    <row r="261" spans="1:15" ht="13.5" customHeight="1" x14ac:dyDescent="0.2">
      <c r="A261" s="79"/>
      <c r="B261" s="79"/>
      <c r="C261" s="78"/>
      <c r="D261" s="78"/>
      <c r="E261" s="78"/>
      <c r="F261" s="78"/>
      <c r="G261" s="75"/>
      <c r="H261" s="279"/>
      <c r="I261" s="77"/>
      <c r="J261" s="13"/>
      <c r="O261" s="1"/>
    </row>
    <row r="262" spans="1:15" ht="13.5" customHeight="1" x14ac:dyDescent="0.2">
      <c r="A262" s="79"/>
      <c r="B262" s="79"/>
      <c r="C262" s="78"/>
      <c r="D262" s="78"/>
      <c r="E262" s="78"/>
      <c r="F262" s="78"/>
      <c r="G262" s="75"/>
      <c r="H262" s="279"/>
      <c r="I262" s="77"/>
      <c r="J262" s="13"/>
      <c r="O262" s="1"/>
    </row>
    <row r="263" spans="1:15" ht="13.5" customHeight="1" x14ac:dyDescent="0.2">
      <c r="A263" s="79"/>
      <c r="B263" s="79"/>
      <c r="C263" s="78"/>
      <c r="D263" s="78"/>
      <c r="E263" s="223"/>
      <c r="F263" s="78"/>
      <c r="G263" s="75"/>
      <c r="H263" s="279"/>
      <c r="I263" s="77"/>
      <c r="J263" s="13"/>
      <c r="O263" s="1"/>
    </row>
    <row r="264" spans="1:15" ht="13.5" customHeight="1" x14ac:dyDescent="0.2">
      <c r="A264" s="79"/>
      <c r="B264" s="79"/>
      <c r="C264" s="78"/>
      <c r="D264" s="78"/>
      <c r="E264" s="78"/>
      <c r="F264" s="78"/>
      <c r="G264" s="75"/>
      <c r="H264" s="279"/>
      <c r="I264" s="77"/>
      <c r="J264" s="13"/>
      <c r="O264" s="1"/>
    </row>
    <row r="265" spans="1:15" ht="13.5" customHeight="1" x14ac:dyDescent="0.2">
      <c r="A265" s="79"/>
      <c r="B265" s="79"/>
      <c r="C265" s="78"/>
      <c r="D265" s="78"/>
      <c r="E265" s="223"/>
      <c r="F265" s="78"/>
      <c r="G265" s="75"/>
      <c r="H265" s="279"/>
      <c r="I265" s="77"/>
      <c r="J265" s="13"/>
      <c r="O265" s="1"/>
    </row>
    <row r="266" spans="1:15" ht="13.5" customHeight="1" x14ac:dyDescent="0.2">
      <c r="A266" s="79"/>
      <c r="B266" s="79"/>
      <c r="C266" s="78"/>
      <c r="D266" s="78"/>
      <c r="E266" s="223"/>
      <c r="F266" s="78"/>
      <c r="G266" s="14"/>
      <c r="H266" s="279"/>
      <c r="I266" s="77"/>
      <c r="J266" s="130"/>
      <c r="O266" s="1"/>
    </row>
    <row r="267" spans="1:15" ht="13.5" customHeight="1" x14ac:dyDescent="0.2">
      <c r="A267" s="131"/>
      <c r="B267" s="70"/>
      <c r="C267" s="63"/>
      <c r="D267" s="50"/>
      <c r="E267" s="13"/>
      <c r="F267" s="13"/>
      <c r="G267" s="75"/>
      <c r="H267" s="82"/>
      <c r="I267" s="13"/>
      <c r="J267" s="13"/>
      <c r="O267" s="1"/>
    </row>
    <row r="268" spans="1:15" ht="13.5" customHeight="1" x14ac:dyDescent="0.2">
      <c r="A268" s="131"/>
      <c r="B268" s="70"/>
      <c r="C268" s="63"/>
      <c r="D268" s="50"/>
      <c r="E268" s="13"/>
      <c r="F268" s="13"/>
      <c r="G268" s="75"/>
      <c r="H268" s="82"/>
      <c r="I268" s="13"/>
      <c r="J268" s="13"/>
      <c r="O268" s="1"/>
    </row>
    <row r="269" spans="1:15" ht="13.5" customHeight="1" x14ac:dyDescent="0.2">
      <c r="A269" s="131"/>
      <c r="B269" s="70"/>
      <c r="C269" s="63"/>
      <c r="D269" s="50"/>
      <c r="E269" s="13"/>
      <c r="F269" s="13"/>
      <c r="G269" s="75"/>
      <c r="H269" s="82"/>
      <c r="I269" s="13"/>
      <c r="J269" s="13"/>
      <c r="O269" s="1"/>
    </row>
    <row r="270" spans="1:15" ht="13.5" customHeight="1" x14ac:dyDescent="0.2">
      <c r="A270" s="131"/>
      <c r="B270" s="70"/>
      <c r="C270" s="63"/>
      <c r="D270" s="50"/>
      <c r="E270" s="13"/>
      <c r="F270" s="13"/>
      <c r="G270" s="75"/>
      <c r="H270" s="82"/>
      <c r="I270" s="13"/>
      <c r="J270" s="13"/>
      <c r="O270" s="1"/>
    </row>
    <row r="271" spans="1:15" ht="13.5" customHeight="1" x14ac:dyDescent="0.2">
      <c r="A271" s="131"/>
      <c r="B271" s="70"/>
      <c r="C271" s="63"/>
      <c r="D271" s="50"/>
      <c r="E271" s="13"/>
      <c r="F271" s="13"/>
      <c r="G271" s="75"/>
      <c r="H271" s="82"/>
      <c r="I271" s="13"/>
      <c r="J271" s="13"/>
      <c r="O271" s="1"/>
    </row>
    <row r="272" spans="1:15" ht="13.5" customHeight="1" x14ac:dyDescent="0.2">
      <c r="A272" s="131"/>
      <c r="B272" s="70"/>
      <c r="C272" s="63"/>
      <c r="D272" s="50"/>
      <c r="E272" s="13"/>
      <c r="F272" s="13"/>
      <c r="G272" s="75"/>
      <c r="H272" s="82"/>
      <c r="I272" s="13"/>
      <c r="J272" s="13"/>
      <c r="O272" s="1"/>
    </row>
    <row r="273" spans="1:15" ht="13.5" customHeight="1" x14ac:dyDescent="0.2">
      <c r="A273" s="131"/>
      <c r="B273" s="70"/>
      <c r="C273" s="63"/>
      <c r="D273" s="50"/>
      <c r="E273" s="13"/>
      <c r="F273" s="13"/>
      <c r="G273" s="75"/>
      <c r="H273" s="82"/>
      <c r="I273" s="13"/>
      <c r="J273" s="13"/>
      <c r="O273" s="1"/>
    </row>
    <row r="274" spans="1:15" ht="13.5" customHeight="1" x14ac:dyDescent="0.2">
      <c r="A274" s="131"/>
      <c r="B274" s="70"/>
      <c r="C274" s="63"/>
      <c r="D274" s="50"/>
      <c r="E274" s="13"/>
      <c r="F274" s="13"/>
      <c r="G274" s="75"/>
      <c r="H274" s="82"/>
      <c r="I274" s="13"/>
      <c r="J274" s="13"/>
      <c r="O274" s="1"/>
    </row>
    <row r="275" spans="1:15" ht="13.5" customHeight="1" x14ac:dyDescent="0.2">
      <c r="A275" s="131"/>
      <c r="B275" s="70"/>
      <c r="C275" s="63"/>
      <c r="D275" s="50"/>
      <c r="E275" s="13"/>
      <c r="F275" s="13"/>
      <c r="G275" s="75"/>
      <c r="H275" s="82"/>
      <c r="I275" s="13"/>
      <c r="J275" s="13"/>
      <c r="O275" s="1"/>
    </row>
    <row r="276" spans="1:15" ht="13.5" customHeight="1" x14ac:dyDescent="0.2">
      <c r="A276" s="131"/>
      <c r="B276" s="70"/>
      <c r="C276" s="63"/>
      <c r="D276" s="50"/>
      <c r="E276" s="13"/>
      <c r="F276" s="13"/>
      <c r="G276" s="75"/>
      <c r="H276" s="82"/>
      <c r="I276" s="13"/>
      <c r="J276" s="13"/>
      <c r="O276" s="1"/>
    </row>
    <row r="277" spans="1:15" ht="13.5" customHeight="1" x14ac:dyDescent="0.2">
      <c r="A277" s="131"/>
      <c r="B277" s="70"/>
      <c r="C277" s="63"/>
      <c r="D277" s="50"/>
      <c r="E277" s="13"/>
      <c r="F277" s="13"/>
      <c r="G277" s="75"/>
      <c r="H277" s="82"/>
      <c r="I277" s="13"/>
      <c r="J277" s="13"/>
      <c r="O277" s="1"/>
    </row>
    <row r="278" spans="1:15" ht="13.5" customHeight="1" x14ac:dyDescent="0.2">
      <c r="A278" s="70"/>
      <c r="B278" s="70"/>
      <c r="C278" s="63"/>
      <c r="D278" s="50"/>
      <c r="E278" s="13"/>
      <c r="F278" s="13"/>
      <c r="G278" s="75"/>
      <c r="H278" s="82"/>
      <c r="I278" s="13"/>
      <c r="J278" s="13"/>
      <c r="O278" s="1"/>
    </row>
    <row r="279" spans="1:15" ht="13.5" customHeight="1" x14ac:dyDescent="0.2">
      <c r="A279" s="70"/>
      <c r="B279" s="70"/>
      <c r="C279" s="63"/>
      <c r="D279" s="50"/>
      <c r="E279" s="13"/>
      <c r="F279" s="13"/>
      <c r="G279" s="75"/>
      <c r="H279" s="82"/>
      <c r="I279" s="13"/>
      <c r="J279" s="13"/>
      <c r="O279" s="1"/>
    </row>
    <row r="280" spans="1:15" ht="13.5" customHeight="1" x14ac:dyDescent="0.2">
      <c r="A280" s="70"/>
      <c r="B280" s="70"/>
      <c r="C280" s="63"/>
      <c r="D280" s="50"/>
      <c r="E280" s="13"/>
      <c r="F280" s="13"/>
      <c r="G280" s="75"/>
      <c r="H280" s="82"/>
      <c r="I280" s="13"/>
      <c r="J280" s="13"/>
      <c r="O280" s="1"/>
    </row>
    <row r="281" spans="1:15" ht="13.5" customHeight="1" x14ac:dyDescent="0.2">
      <c r="A281" s="70"/>
      <c r="B281" s="70"/>
      <c r="C281" s="63"/>
      <c r="D281" s="50"/>
      <c r="E281" s="13"/>
      <c r="F281" s="13"/>
      <c r="G281" s="75"/>
      <c r="H281" s="82"/>
      <c r="I281" s="13"/>
      <c r="J281" s="13"/>
      <c r="O281" s="1"/>
    </row>
    <row r="282" spans="1:15" ht="13.5" customHeight="1" x14ac:dyDescent="0.2">
      <c r="A282" s="70"/>
      <c r="B282" s="70"/>
      <c r="C282" s="63"/>
      <c r="D282" s="50"/>
      <c r="E282" s="13"/>
      <c r="F282" s="13"/>
      <c r="G282" s="75"/>
      <c r="H282" s="82"/>
      <c r="I282" s="13"/>
      <c r="J282" s="13"/>
      <c r="O282" s="1"/>
    </row>
    <row r="283" spans="1:15" ht="13.5" customHeight="1" x14ac:dyDescent="0.2">
      <c r="A283" s="70"/>
      <c r="B283" s="70"/>
      <c r="C283" s="63"/>
      <c r="D283" s="50"/>
      <c r="E283" s="13"/>
      <c r="F283" s="13"/>
      <c r="G283" s="75"/>
      <c r="H283" s="82"/>
      <c r="I283" s="13"/>
      <c r="J283" s="13"/>
      <c r="O283" s="1"/>
    </row>
    <row r="284" spans="1:15" ht="13.5" customHeight="1" x14ac:dyDescent="0.2">
      <c r="A284" s="70"/>
      <c r="B284" s="70"/>
      <c r="C284" s="63"/>
      <c r="D284" s="50"/>
      <c r="E284" s="13"/>
      <c r="F284" s="13"/>
      <c r="G284" s="75"/>
      <c r="H284" s="82"/>
      <c r="I284" s="13"/>
      <c r="J284" s="13"/>
      <c r="O284" s="1"/>
    </row>
    <row r="285" spans="1:15" ht="13.5" customHeight="1" x14ac:dyDescent="0.2">
      <c r="A285" s="131"/>
      <c r="B285" s="70"/>
      <c r="C285" s="64"/>
      <c r="D285" s="50"/>
      <c r="E285" s="13"/>
      <c r="F285" s="13"/>
      <c r="G285" s="75"/>
      <c r="H285" s="280"/>
      <c r="I285" s="13"/>
      <c r="J285" s="13"/>
      <c r="O285" s="1"/>
    </row>
    <row r="286" spans="1:15" ht="13.5" customHeight="1" x14ac:dyDescent="0.2">
      <c r="A286" s="70"/>
      <c r="B286" s="70"/>
      <c r="C286" s="63"/>
      <c r="D286" s="50"/>
      <c r="E286" s="13"/>
      <c r="F286" s="13"/>
      <c r="G286" s="75"/>
      <c r="H286" s="82"/>
      <c r="I286" s="13"/>
      <c r="J286" s="13"/>
      <c r="O286" s="1"/>
    </row>
    <row r="287" spans="1:15" ht="13.5" customHeight="1" x14ac:dyDescent="0.2">
      <c r="A287" s="70"/>
      <c r="B287" s="70"/>
      <c r="C287" s="63"/>
      <c r="D287" s="50"/>
      <c r="E287" s="13"/>
      <c r="F287" s="13"/>
      <c r="G287" s="75"/>
      <c r="H287" s="82"/>
      <c r="I287" s="13"/>
      <c r="J287" s="13"/>
      <c r="O287" s="1"/>
    </row>
    <row r="288" spans="1:15" ht="13.5" customHeight="1" x14ac:dyDescent="0.2">
      <c r="A288" s="131"/>
      <c r="B288" s="70"/>
      <c r="C288" s="85"/>
      <c r="D288" s="50"/>
      <c r="E288" s="13"/>
      <c r="F288" s="13"/>
      <c r="G288" s="75"/>
      <c r="H288" s="82"/>
      <c r="I288" s="13"/>
      <c r="J288" s="13"/>
      <c r="O288" s="1"/>
    </row>
    <row r="289" spans="1:15" ht="13.5" customHeight="1" x14ac:dyDescent="0.2">
      <c r="A289" s="131"/>
      <c r="B289" s="70"/>
      <c r="C289" s="63"/>
      <c r="D289" s="50"/>
      <c r="E289" s="13"/>
      <c r="F289" s="13"/>
      <c r="G289" s="75"/>
      <c r="H289" s="82"/>
      <c r="I289" s="13"/>
      <c r="J289" s="13"/>
      <c r="O289" s="1"/>
    </row>
    <row r="290" spans="1:15" ht="13.5" customHeight="1" x14ac:dyDescent="0.2">
      <c r="A290" s="131"/>
      <c r="B290" s="70"/>
      <c r="C290" s="63"/>
      <c r="D290" s="50"/>
      <c r="E290" s="13"/>
      <c r="F290" s="13"/>
      <c r="G290" s="75"/>
      <c r="H290" s="280"/>
      <c r="I290" s="13"/>
      <c r="J290" s="13"/>
      <c r="O290" s="1"/>
    </row>
    <row r="291" spans="1:15" ht="13.5" customHeight="1" x14ac:dyDescent="0.2">
      <c r="A291" s="131"/>
      <c r="B291" s="70"/>
      <c r="C291" s="64"/>
      <c r="D291" s="50"/>
      <c r="E291" s="13"/>
      <c r="F291" s="13"/>
      <c r="G291" s="75"/>
      <c r="H291" s="82"/>
      <c r="I291" s="13"/>
      <c r="J291" s="13"/>
      <c r="O291" s="1"/>
    </row>
    <row r="292" spans="1:15" ht="13.5" customHeight="1" x14ac:dyDescent="0.2">
      <c r="A292" s="70"/>
      <c r="B292" s="70"/>
      <c r="C292" s="63"/>
      <c r="D292" s="50"/>
      <c r="E292" s="13"/>
      <c r="F292" s="13"/>
      <c r="G292" s="75"/>
      <c r="H292" s="82"/>
      <c r="I292" s="13"/>
      <c r="J292" s="13"/>
      <c r="O292" s="1"/>
    </row>
    <row r="293" spans="1:15" ht="13.5" customHeight="1" x14ac:dyDescent="0.2">
      <c r="A293" s="131"/>
      <c r="B293" s="70"/>
      <c r="C293" s="63"/>
      <c r="D293" s="50"/>
      <c r="E293" s="13"/>
      <c r="F293" s="13"/>
      <c r="G293" s="75"/>
      <c r="H293" s="280"/>
      <c r="I293" s="13"/>
      <c r="J293" s="13"/>
      <c r="O293" s="1"/>
    </row>
    <row r="294" spans="1:15" ht="13.5" customHeight="1" x14ac:dyDescent="0.2">
      <c r="A294" s="131"/>
      <c r="B294" s="70"/>
      <c r="C294" s="64"/>
      <c r="D294" s="50"/>
      <c r="E294" s="13"/>
      <c r="F294" s="13"/>
      <c r="G294" s="75"/>
      <c r="H294" s="280"/>
      <c r="I294" s="13"/>
      <c r="J294" s="13"/>
      <c r="O294" s="1"/>
    </row>
    <row r="295" spans="1:15" ht="13.5" customHeight="1" x14ac:dyDescent="0.2">
      <c r="A295" s="70"/>
      <c r="B295" s="70"/>
      <c r="C295" s="63"/>
      <c r="D295" s="50"/>
      <c r="E295" s="13"/>
      <c r="F295" s="13"/>
      <c r="G295" s="75"/>
      <c r="H295" s="82"/>
      <c r="I295" s="13"/>
      <c r="J295" s="13"/>
      <c r="O295" s="1"/>
    </row>
    <row r="296" spans="1:15" ht="13.5" customHeight="1" x14ac:dyDescent="0.2">
      <c r="A296" s="131"/>
      <c r="B296" s="70"/>
      <c r="C296" s="63"/>
      <c r="D296" s="50"/>
      <c r="E296" s="13"/>
      <c r="F296" s="13"/>
      <c r="G296" s="75"/>
      <c r="H296" s="280"/>
      <c r="I296" s="13"/>
      <c r="J296" s="13"/>
      <c r="O296" s="1"/>
    </row>
    <row r="297" spans="1:15" ht="13.5" customHeight="1" x14ac:dyDescent="0.2">
      <c r="A297" s="131"/>
      <c r="B297" s="70"/>
      <c r="C297" s="64"/>
      <c r="D297" s="50"/>
      <c r="E297" s="13"/>
      <c r="F297" s="13"/>
      <c r="G297" s="75"/>
      <c r="H297" s="280"/>
      <c r="I297" s="13"/>
      <c r="J297" s="13"/>
      <c r="O297" s="1"/>
    </row>
    <row r="298" spans="1:15" ht="13.5" customHeight="1" x14ac:dyDescent="0.2">
      <c r="A298" s="70"/>
      <c r="B298" s="70"/>
      <c r="C298" s="63"/>
      <c r="D298" s="50"/>
      <c r="E298" s="13"/>
      <c r="F298" s="13"/>
      <c r="G298" s="75"/>
      <c r="H298" s="82"/>
      <c r="I298" s="13"/>
      <c r="J298" s="13"/>
      <c r="O298" s="1"/>
    </row>
    <row r="299" spans="1:15" ht="13.5" customHeight="1" x14ac:dyDescent="0.2">
      <c r="A299" s="70"/>
      <c r="B299" s="70"/>
      <c r="C299" s="63"/>
      <c r="D299" s="50"/>
      <c r="E299" s="13"/>
      <c r="F299" s="13"/>
      <c r="G299" s="75"/>
      <c r="H299" s="82"/>
      <c r="I299" s="13"/>
      <c r="J299" s="13"/>
      <c r="O299" s="1"/>
    </row>
    <row r="300" spans="1:15" ht="13.5" customHeight="1" x14ac:dyDescent="0.2">
      <c r="A300" s="70"/>
      <c r="B300" s="70"/>
      <c r="C300" s="63"/>
      <c r="D300" s="50"/>
      <c r="E300" s="13"/>
      <c r="F300" s="13"/>
      <c r="G300" s="75"/>
      <c r="H300" s="82"/>
      <c r="I300" s="13"/>
      <c r="J300" s="13"/>
      <c r="O300" s="1"/>
    </row>
    <row r="301" spans="1:15" ht="13.5" customHeight="1" x14ac:dyDescent="0.2">
      <c r="A301" s="131"/>
      <c r="B301" s="70"/>
      <c r="C301" s="86"/>
      <c r="D301" s="50"/>
      <c r="E301" s="13"/>
      <c r="F301" s="13"/>
      <c r="G301" s="75"/>
      <c r="H301" s="82"/>
      <c r="I301" s="13"/>
      <c r="J301" s="13"/>
      <c r="O301" s="1"/>
    </row>
    <row r="302" spans="1:15" ht="13.5" customHeight="1" x14ac:dyDescent="0.2">
      <c r="A302" s="131"/>
      <c r="B302" s="70"/>
      <c r="C302" s="85"/>
      <c r="D302" s="50"/>
      <c r="E302" s="13"/>
      <c r="F302" s="13"/>
      <c r="G302" s="75"/>
      <c r="H302" s="82"/>
      <c r="I302" s="13"/>
      <c r="J302" s="13"/>
      <c r="O302" s="1"/>
    </row>
    <row r="303" spans="1:15" ht="13.5" customHeight="1" x14ac:dyDescent="0.2">
      <c r="A303" s="131"/>
      <c r="B303" s="70"/>
      <c r="C303" s="87"/>
      <c r="D303" s="50"/>
      <c r="E303" s="13"/>
      <c r="F303" s="13"/>
      <c r="G303" s="75"/>
      <c r="H303" s="82"/>
      <c r="I303" s="13"/>
      <c r="J303" s="13"/>
      <c r="O303" s="1"/>
    </row>
    <row r="304" spans="1:15" ht="13.5" customHeight="1" x14ac:dyDescent="0.2">
      <c r="A304" s="131"/>
      <c r="B304" s="70"/>
      <c r="C304" s="88"/>
      <c r="D304" s="50"/>
      <c r="E304" s="13"/>
      <c r="F304" s="13"/>
      <c r="G304" s="75"/>
      <c r="H304" s="82"/>
      <c r="I304" s="13"/>
      <c r="J304" s="13"/>
      <c r="O304" s="1"/>
    </row>
    <row r="305" spans="1:15" ht="13.5" customHeight="1" x14ac:dyDescent="0.2">
      <c r="A305" s="91"/>
      <c r="B305" s="9"/>
      <c r="C305" s="56"/>
      <c r="D305" s="11"/>
      <c r="E305" s="12"/>
      <c r="F305" s="12"/>
      <c r="G305" s="23"/>
      <c r="H305" s="89"/>
      <c r="I305" s="12"/>
      <c r="J305" s="13"/>
      <c r="O305" s="1"/>
    </row>
    <row r="306" spans="1:15" ht="13.5" customHeight="1" x14ac:dyDescent="0.2">
      <c r="A306" s="9"/>
      <c r="B306" s="9"/>
      <c r="C306" s="56"/>
      <c r="D306" s="11"/>
      <c r="E306" s="12"/>
      <c r="F306" s="12"/>
      <c r="G306" s="23"/>
      <c r="H306" s="89"/>
      <c r="I306" s="12"/>
      <c r="J306" s="13"/>
      <c r="O306" s="1"/>
    </row>
    <row r="307" spans="1:15" ht="13.5" customHeight="1" x14ac:dyDescent="0.2">
      <c r="A307" s="9"/>
      <c r="B307" s="9"/>
      <c r="C307" s="56"/>
      <c r="D307" s="11"/>
      <c r="E307" s="12"/>
      <c r="F307" s="12"/>
      <c r="G307" s="23"/>
      <c r="H307" s="89"/>
      <c r="I307" s="12"/>
      <c r="J307" s="13"/>
      <c r="O307" s="1"/>
    </row>
    <row r="308" spans="1:15" ht="13.5" customHeight="1" x14ac:dyDescent="0.2">
      <c r="A308" s="91"/>
      <c r="B308" s="9"/>
      <c r="D308" s="11"/>
      <c r="E308" s="12"/>
      <c r="F308" s="12"/>
      <c r="G308" s="23"/>
      <c r="H308" s="89"/>
      <c r="I308" s="12"/>
      <c r="J308" s="13"/>
      <c r="O308" s="1"/>
    </row>
    <row r="309" spans="1:15" ht="13.5" customHeight="1" x14ac:dyDescent="0.2">
      <c r="A309" s="9"/>
      <c r="B309" s="9"/>
      <c r="C309" s="56"/>
      <c r="D309" s="11"/>
      <c r="E309" s="12"/>
      <c r="F309" s="12"/>
      <c r="G309" s="23"/>
      <c r="H309" s="89"/>
      <c r="I309" s="12"/>
      <c r="J309" s="13"/>
      <c r="O309" s="1"/>
    </row>
    <row r="310" spans="1:15" ht="13.5" customHeight="1" x14ac:dyDescent="0.2">
      <c r="A310" s="9"/>
      <c r="B310" s="9"/>
      <c r="C310" s="56"/>
      <c r="D310" s="11"/>
      <c r="E310" s="12"/>
      <c r="F310" s="12"/>
      <c r="G310" s="23"/>
      <c r="H310" s="89"/>
      <c r="I310" s="12"/>
      <c r="J310" s="13"/>
      <c r="O310" s="1"/>
    </row>
    <row r="311" spans="1:15" ht="13.5" customHeight="1" x14ac:dyDescent="0.2">
      <c r="A311" s="9"/>
      <c r="B311" s="9"/>
      <c r="C311" s="56"/>
      <c r="D311" s="11"/>
      <c r="E311" s="12"/>
      <c r="F311" s="12"/>
      <c r="G311" s="23"/>
      <c r="H311" s="89"/>
      <c r="I311" s="12"/>
      <c r="J311" s="13"/>
      <c r="O311" s="1"/>
    </row>
    <row r="312" spans="1:15" ht="13.5" customHeight="1" x14ac:dyDescent="0.2">
      <c r="A312" s="91"/>
      <c r="B312" s="9"/>
      <c r="C312" s="27"/>
      <c r="D312" s="11"/>
      <c r="E312" s="12"/>
      <c r="F312" s="12"/>
      <c r="G312" s="23"/>
      <c r="H312" s="281"/>
      <c r="I312" s="12"/>
      <c r="J312" s="13"/>
      <c r="O312" s="1"/>
    </row>
    <row r="313" spans="1:15" ht="13.5" customHeight="1" x14ac:dyDescent="0.2">
      <c r="A313" s="91"/>
      <c r="B313" s="9"/>
      <c r="C313" s="27"/>
      <c r="D313" s="11"/>
      <c r="E313" s="12"/>
      <c r="F313" s="12"/>
      <c r="G313" s="23"/>
      <c r="H313" s="89"/>
      <c r="I313" s="12"/>
      <c r="J313" s="13"/>
      <c r="O313" s="1"/>
    </row>
    <row r="314" spans="1:15" ht="13.5" customHeight="1" x14ac:dyDescent="0.2">
      <c r="A314" s="91"/>
      <c r="B314" s="9"/>
      <c r="D314" s="11"/>
      <c r="E314" s="12"/>
      <c r="F314" s="12"/>
      <c r="G314" s="23"/>
      <c r="H314" s="281"/>
      <c r="I314" s="12"/>
      <c r="J314" s="13"/>
      <c r="O314" s="1"/>
    </row>
    <row r="315" spans="1:15" ht="13.5" customHeight="1" x14ac:dyDescent="0.2">
      <c r="A315" s="9"/>
      <c r="B315" s="9"/>
      <c r="C315" s="56"/>
      <c r="D315" s="11"/>
      <c r="E315" s="12"/>
      <c r="F315" s="12"/>
      <c r="G315" s="23"/>
      <c r="H315" s="89"/>
      <c r="I315" s="12"/>
      <c r="J315" s="13"/>
      <c r="O315" s="1"/>
    </row>
    <row r="316" spans="1:15" ht="13.5" customHeight="1" x14ac:dyDescent="0.2">
      <c r="A316" s="9"/>
      <c r="B316" s="9"/>
      <c r="C316" s="56"/>
      <c r="D316" s="11"/>
      <c r="E316" s="12"/>
      <c r="F316" s="12"/>
      <c r="G316" s="23"/>
      <c r="H316" s="89"/>
      <c r="I316" s="12"/>
      <c r="J316" s="13"/>
      <c r="O316" s="1"/>
    </row>
    <row r="317" spans="1:15" ht="13.5" customHeight="1" x14ac:dyDescent="0.2">
      <c r="A317" s="9"/>
      <c r="B317" s="9"/>
      <c r="C317" s="56"/>
      <c r="D317" s="11"/>
      <c r="E317" s="12"/>
      <c r="F317" s="12"/>
      <c r="G317" s="23"/>
      <c r="H317" s="89"/>
      <c r="I317" s="12"/>
      <c r="J317" s="13"/>
      <c r="O317" s="1"/>
    </row>
    <row r="318" spans="1:15" ht="13.5" customHeight="1" x14ac:dyDescent="0.2">
      <c r="A318" s="9"/>
      <c r="B318" s="9"/>
      <c r="C318" s="56"/>
      <c r="D318" s="11"/>
      <c r="E318" s="12"/>
      <c r="F318" s="12"/>
      <c r="G318" s="23"/>
      <c r="H318" s="89"/>
      <c r="I318" s="12"/>
      <c r="J318" s="13"/>
      <c r="O318" s="1"/>
    </row>
    <row r="319" spans="1:15" x14ac:dyDescent="0.2">
      <c r="A319" s="132"/>
      <c r="B319" s="93"/>
      <c r="C319" s="94"/>
      <c r="D319" s="27"/>
      <c r="E319" s="27"/>
      <c r="F319" s="27"/>
      <c r="G319" s="27"/>
      <c r="H319" s="282"/>
      <c r="I319" s="30"/>
      <c r="J319" s="51"/>
      <c r="O319" s="1"/>
    </row>
  </sheetData>
  <mergeCells count="4">
    <mergeCell ref="A1:C1"/>
    <mergeCell ref="D1:G1"/>
    <mergeCell ref="H1:J1"/>
    <mergeCell ref="H159:J159"/>
  </mergeCells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N247"/>
  <sheetViews>
    <sheetView topLeftCell="A70" zoomScale="90" zoomScaleNormal="90" workbookViewId="0">
      <selection activeCell="B86" sqref="B86"/>
    </sheetView>
  </sheetViews>
  <sheetFormatPr defaultColWidth="9" defaultRowHeight="12.75" x14ac:dyDescent="0.2"/>
  <cols>
    <col min="1" max="1" width="11.125" style="96" bestFit="1" customWidth="1"/>
    <col min="2" max="2" width="103.125" style="1" customWidth="1"/>
    <col min="3" max="3" width="11.125" style="283" bestFit="1" customWidth="1"/>
    <col min="4" max="4" width="11.125" style="18" bestFit="1" customWidth="1"/>
    <col min="5" max="6" width="9" style="1"/>
    <col min="7" max="7" width="11.75" style="40" bestFit="1" customWidth="1"/>
    <col min="8" max="9" width="9" style="1"/>
    <col min="10" max="10" width="10.125" style="1" bestFit="1" customWidth="1"/>
    <col min="11" max="11" width="9" style="96"/>
    <col min="12" max="12" width="9" style="1"/>
    <col min="13" max="13" width="90.75" style="1" bestFit="1" customWidth="1"/>
    <col min="14" max="16384" width="9" style="1"/>
  </cols>
  <sheetData>
    <row r="1" spans="1:14" x14ac:dyDescent="0.2">
      <c r="F1" s="97" t="s">
        <v>218</v>
      </c>
      <c r="G1" s="97" t="s">
        <v>219</v>
      </c>
      <c r="H1" s="97" t="s">
        <v>220</v>
      </c>
      <c r="I1" s="97" t="s">
        <v>221</v>
      </c>
      <c r="J1" s="97" t="s">
        <v>222</v>
      </c>
      <c r="K1" s="724"/>
      <c r="M1" s="1359"/>
    </row>
    <row r="2" spans="1:14" ht="13.5" customHeight="1" x14ac:dyDescent="0.2">
      <c r="A2" s="137" t="s">
        <v>222</v>
      </c>
      <c r="B2" s="34" t="s">
        <v>7891</v>
      </c>
      <c r="C2" s="1097"/>
      <c r="D2" s="60">
        <v>940</v>
      </c>
      <c r="F2" s="100">
        <v>1020</v>
      </c>
      <c r="G2" s="402">
        <v>80</v>
      </c>
      <c r="H2" s="402"/>
      <c r="I2" s="402"/>
      <c r="J2" s="104">
        <f t="shared" ref="J2:J20" si="0">F2-G2-H2-I2</f>
        <v>940</v>
      </c>
      <c r="K2" s="724"/>
      <c r="M2" s="1359"/>
    </row>
    <row r="3" spans="1:14" ht="13.5" customHeight="1" x14ac:dyDescent="0.2">
      <c r="A3" s="137" t="s">
        <v>222</v>
      </c>
      <c r="B3" s="34" t="s">
        <v>7957</v>
      </c>
      <c r="C3" s="22"/>
      <c r="D3" s="1360">
        <v>340</v>
      </c>
      <c r="F3" s="100">
        <v>340</v>
      </c>
      <c r="G3" s="402"/>
      <c r="H3" s="402"/>
      <c r="I3" s="402"/>
      <c r="J3" s="104">
        <f t="shared" si="0"/>
        <v>340</v>
      </c>
      <c r="K3" s="724"/>
      <c r="M3" s="395"/>
    </row>
    <row r="4" spans="1:14" ht="13.5" customHeight="1" x14ac:dyDescent="0.2">
      <c r="A4" s="137" t="s">
        <v>222</v>
      </c>
      <c r="B4" s="34" t="s">
        <v>7957</v>
      </c>
      <c r="C4" s="22"/>
      <c r="D4" s="1360">
        <v>520</v>
      </c>
      <c r="F4" s="100">
        <v>600</v>
      </c>
      <c r="G4" s="402">
        <v>80</v>
      </c>
      <c r="H4" s="402"/>
      <c r="I4" s="402"/>
      <c r="J4" s="104">
        <f t="shared" si="0"/>
        <v>520</v>
      </c>
      <c r="K4" s="724"/>
      <c r="M4" s="395"/>
    </row>
    <row r="5" spans="1:14" ht="13.5" customHeight="1" x14ac:dyDescent="0.2">
      <c r="A5" s="137" t="s">
        <v>222</v>
      </c>
      <c r="B5" s="34" t="s">
        <v>8026</v>
      </c>
      <c r="C5" s="1361"/>
      <c r="D5" s="364">
        <v>4700</v>
      </c>
      <c r="F5" s="100">
        <v>5100</v>
      </c>
      <c r="G5" s="402">
        <f>5*80</f>
        <v>400</v>
      </c>
      <c r="H5" s="402"/>
      <c r="I5" s="402"/>
      <c r="J5" s="104">
        <f t="shared" si="0"/>
        <v>4700</v>
      </c>
      <c r="K5" s="724"/>
      <c r="M5" s="395"/>
    </row>
    <row r="6" spans="1:14" ht="13.5" customHeight="1" x14ac:dyDescent="0.2">
      <c r="A6" s="137" t="s">
        <v>222</v>
      </c>
      <c r="B6" s="34" t="s">
        <v>7923</v>
      </c>
      <c r="C6" s="22"/>
      <c r="D6" s="25">
        <v>940</v>
      </c>
      <c r="F6" s="100">
        <v>1020</v>
      </c>
      <c r="G6" s="402">
        <v>80</v>
      </c>
      <c r="H6" s="402"/>
      <c r="I6" s="402"/>
      <c r="J6" s="104">
        <f t="shared" si="0"/>
        <v>940</v>
      </c>
      <c r="K6" s="724"/>
      <c r="M6" s="395"/>
    </row>
    <row r="7" spans="1:14" ht="13.5" customHeight="1" x14ac:dyDescent="0.2">
      <c r="A7" s="137" t="s">
        <v>222</v>
      </c>
      <c r="B7" s="34" t="s">
        <v>7888</v>
      </c>
      <c r="C7" s="22"/>
      <c r="D7" s="25">
        <v>990</v>
      </c>
      <c r="F7" s="100">
        <v>1185.29</v>
      </c>
      <c r="G7" s="402">
        <v>80</v>
      </c>
      <c r="H7" s="402"/>
      <c r="I7" s="402">
        <v>115.29</v>
      </c>
      <c r="J7" s="104">
        <f t="shared" si="0"/>
        <v>990</v>
      </c>
      <c r="K7" s="724"/>
      <c r="M7" s="395"/>
      <c r="N7"/>
    </row>
    <row r="8" spans="1:14" ht="13.5" customHeight="1" x14ac:dyDescent="0.2">
      <c r="A8" s="137" t="s">
        <v>222</v>
      </c>
      <c r="B8" s="34" t="s">
        <v>7890</v>
      </c>
      <c r="C8" s="22"/>
      <c r="D8" s="1339">
        <v>4750</v>
      </c>
      <c r="F8" s="344">
        <v>5200</v>
      </c>
      <c r="G8" s="403">
        <v>240</v>
      </c>
      <c r="H8" s="403">
        <v>210</v>
      </c>
      <c r="I8" s="403"/>
      <c r="J8" s="104">
        <f t="shared" si="0"/>
        <v>4750</v>
      </c>
      <c r="K8" s="724"/>
      <c r="M8" s="395"/>
    </row>
    <row r="9" spans="1:14" ht="13.5" customHeight="1" x14ac:dyDescent="0.2">
      <c r="A9" s="137" t="s">
        <v>222</v>
      </c>
      <c r="B9" s="34" t="s">
        <v>7890</v>
      </c>
      <c r="C9" s="284"/>
      <c r="D9" s="25">
        <v>50</v>
      </c>
      <c r="F9" s="344">
        <v>50</v>
      </c>
      <c r="G9" s="403"/>
      <c r="H9" s="403"/>
      <c r="I9" s="403"/>
      <c r="J9" s="104">
        <f t="shared" si="0"/>
        <v>50</v>
      </c>
      <c r="K9" s="724"/>
      <c r="M9" s="395"/>
    </row>
    <row r="10" spans="1:14" ht="13.5" customHeight="1" x14ac:dyDescent="0.2">
      <c r="A10" s="137" t="s">
        <v>222</v>
      </c>
      <c r="B10" s="34" t="s">
        <v>7966</v>
      </c>
      <c r="C10" s="22"/>
      <c r="D10" s="25">
        <v>1273</v>
      </c>
      <c r="F10" s="344">
        <v>1394.34</v>
      </c>
      <c r="G10" s="403">
        <v>80</v>
      </c>
      <c r="H10" s="403"/>
      <c r="I10" s="403">
        <v>41.34</v>
      </c>
      <c r="J10" s="104">
        <f t="shared" si="0"/>
        <v>1273</v>
      </c>
      <c r="K10" s="724"/>
      <c r="M10" s="395"/>
    </row>
    <row r="11" spans="1:14" ht="13.5" customHeight="1" x14ac:dyDescent="0.2">
      <c r="A11" s="137" t="s">
        <v>222</v>
      </c>
      <c r="B11" s="21" t="s">
        <v>9</v>
      </c>
      <c r="C11" s="22"/>
      <c r="D11" s="1339">
        <v>900</v>
      </c>
      <c r="F11" s="344">
        <v>900</v>
      </c>
      <c r="G11" s="403"/>
      <c r="H11" s="403"/>
      <c r="I11" s="403"/>
      <c r="J11" s="104">
        <f t="shared" si="0"/>
        <v>900</v>
      </c>
      <c r="K11" s="724"/>
      <c r="M11" s="395"/>
    </row>
    <row r="12" spans="1:14" ht="13.5" customHeight="1" x14ac:dyDescent="0.2">
      <c r="A12" s="137" t="s">
        <v>222</v>
      </c>
      <c r="B12" s="34" t="s">
        <v>10</v>
      </c>
      <c r="C12" s="22"/>
      <c r="D12" s="1339">
        <v>1040</v>
      </c>
      <c r="G12" s="1"/>
      <c r="K12" s="724"/>
      <c r="M12" s="395"/>
    </row>
    <row r="13" spans="1:14" ht="13.5" customHeight="1" x14ac:dyDescent="0.2">
      <c r="A13" s="137" t="s">
        <v>222</v>
      </c>
      <c r="B13" s="34" t="s">
        <v>7904</v>
      </c>
      <c r="C13" s="22"/>
      <c r="D13" s="25">
        <v>1975.42</v>
      </c>
      <c r="F13" s="100">
        <v>2152.67</v>
      </c>
      <c r="G13" s="101"/>
      <c r="H13" s="102"/>
      <c r="I13" s="24">
        <v>177.25</v>
      </c>
      <c r="J13" s="104">
        <f t="shared" si="0"/>
        <v>1975.42</v>
      </c>
      <c r="K13" s="724"/>
      <c r="M13" s="395"/>
    </row>
    <row r="14" spans="1:14" ht="13.5" customHeight="1" x14ac:dyDescent="0.2">
      <c r="A14" s="137" t="s">
        <v>222</v>
      </c>
      <c r="B14" s="34" t="s">
        <v>7906</v>
      </c>
      <c r="C14" s="22"/>
      <c r="D14" s="25">
        <v>1200</v>
      </c>
      <c r="F14" s="100">
        <v>1238.73</v>
      </c>
      <c r="G14" s="101"/>
      <c r="H14" s="102">
        <v>38.729999999999997</v>
      </c>
      <c r="I14" s="24"/>
      <c r="J14" s="104">
        <f t="shared" si="0"/>
        <v>1200</v>
      </c>
      <c r="K14" s="724"/>
      <c r="M14" s="395"/>
    </row>
    <row r="15" spans="1:14" ht="13.5" customHeight="1" x14ac:dyDescent="0.2">
      <c r="A15" s="137" t="s">
        <v>222</v>
      </c>
      <c r="B15" s="34" t="s">
        <v>7935</v>
      </c>
      <c r="C15" s="22"/>
      <c r="D15" s="25">
        <v>3500</v>
      </c>
      <c r="F15" s="100">
        <v>3587.45</v>
      </c>
      <c r="G15" s="101"/>
      <c r="H15" s="102"/>
      <c r="I15" s="24">
        <v>87.45</v>
      </c>
      <c r="J15" s="104">
        <f t="shared" si="0"/>
        <v>3500</v>
      </c>
      <c r="K15" s="724"/>
      <c r="M15" s="395"/>
    </row>
    <row r="16" spans="1:14" ht="13.5" customHeight="1" x14ac:dyDescent="0.2">
      <c r="A16" s="137" t="s">
        <v>222</v>
      </c>
      <c r="B16" s="34" t="s">
        <v>8067</v>
      </c>
      <c r="C16" s="22"/>
      <c r="D16" s="25">
        <v>2050</v>
      </c>
      <c r="F16" s="100">
        <v>2103.2800000000002</v>
      </c>
      <c r="G16" s="101"/>
      <c r="H16" s="102"/>
      <c r="I16" s="24">
        <v>53.28</v>
      </c>
      <c r="J16" s="104">
        <f t="shared" si="0"/>
        <v>2050</v>
      </c>
      <c r="K16" s="724"/>
      <c r="M16" s="395"/>
    </row>
    <row r="17" spans="1:14" ht="13.5" customHeight="1" x14ac:dyDescent="0.2">
      <c r="A17" s="137" t="s">
        <v>222</v>
      </c>
      <c r="B17" s="34" t="s">
        <v>7905</v>
      </c>
      <c r="C17" s="22"/>
      <c r="D17" s="25">
        <v>5000</v>
      </c>
      <c r="F17" s="100">
        <v>5000</v>
      </c>
      <c r="G17" s="101"/>
      <c r="H17" s="102"/>
      <c r="I17" s="24"/>
      <c r="J17" s="104">
        <f t="shared" si="0"/>
        <v>5000</v>
      </c>
      <c r="K17" s="724"/>
      <c r="M17" s="395"/>
    </row>
    <row r="18" spans="1:14" ht="13.5" customHeight="1" x14ac:dyDescent="0.2">
      <c r="A18" s="137" t="s">
        <v>222</v>
      </c>
      <c r="B18" s="34" t="s">
        <v>8068</v>
      </c>
      <c r="C18" s="173"/>
      <c r="D18" s="25">
        <v>430</v>
      </c>
      <c r="E18"/>
      <c r="F18" s="100">
        <v>430</v>
      </c>
      <c r="G18" s="101"/>
      <c r="H18" s="102"/>
      <c r="I18" s="24"/>
      <c r="J18" s="104">
        <f t="shared" si="0"/>
        <v>430</v>
      </c>
      <c r="K18" s="724"/>
      <c r="L18"/>
      <c r="M18" s="395"/>
    </row>
    <row r="19" spans="1:14" ht="13.5" customHeight="1" x14ac:dyDescent="0.2">
      <c r="A19" s="137" t="s">
        <v>222</v>
      </c>
      <c r="B19" s="34" t="s">
        <v>8015</v>
      </c>
      <c r="C19" s="22"/>
      <c r="D19" s="25">
        <v>1360</v>
      </c>
      <c r="F19" s="100">
        <v>1360</v>
      </c>
      <c r="G19" s="101"/>
      <c r="H19" s="102"/>
      <c r="I19" s="24"/>
      <c r="J19" s="104">
        <f t="shared" si="0"/>
        <v>1360</v>
      </c>
      <c r="K19" s="724"/>
      <c r="M19" s="395"/>
    </row>
    <row r="20" spans="1:14" ht="13.5" customHeight="1" x14ac:dyDescent="0.2">
      <c r="A20" s="137" t="s">
        <v>222</v>
      </c>
      <c r="B20" s="34" t="s">
        <v>7892</v>
      </c>
      <c r="C20" s="22"/>
      <c r="D20" s="25">
        <v>1360</v>
      </c>
      <c r="F20" s="100">
        <v>1360</v>
      </c>
      <c r="G20" s="101"/>
      <c r="H20" s="102"/>
      <c r="I20" s="24"/>
      <c r="J20" s="104">
        <f t="shared" si="0"/>
        <v>1360</v>
      </c>
      <c r="K20" s="724"/>
      <c r="M20" s="395"/>
    </row>
    <row r="21" spans="1:14" ht="13.5" customHeight="1" x14ac:dyDescent="0.2">
      <c r="A21" s="137" t="s">
        <v>222</v>
      </c>
      <c r="B21" s="34" t="s">
        <v>7922</v>
      </c>
      <c r="C21" s="22"/>
      <c r="D21" s="1330">
        <v>185</v>
      </c>
      <c r="G21" s="40">
        <f>SUM(G2:G20)</f>
        <v>1040</v>
      </c>
      <c r="H21" s="40">
        <f>SUM(H2:H20)</f>
        <v>248.73</v>
      </c>
      <c r="I21" s="40">
        <f>SUM(I2:I20)</f>
        <v>474.61</v>
      </c>
      <c r="K21" s="724"/>
      <c r="M21" s="395"/>
    </row>
    <row r="22" spans="1:14" ht="13.5" customHeight="1" x14ac:dyDescent="0.2">
      <c r="A22" s="137" t="s">
        <v>222</v>
      </c>
      <c r="B22" s="34" t="s">
        <v>7907</v>
      </c>
      <c r="C22" s="22"/>
      <c r="D22" s="1330">
        <v>190</v>
      </c>
      <c r="K22" s="724"/>
      <c r="M22" s="395"/>
    </row>
    <row r="23" spans="1:14" ht="13.5" customHeight="1" x14ac:dyDescent="0.2">
      <c r="A23" s="137" t="s">
        <v>222</v>
      </c>
      <c r="B23" s="34" t="s">
        <v>7934</v>
      </c>
      <c r="C23" s="22"/>
      <c r="D23" s="1330">
        <v>185</v>
      </c>
      <c r="K23" s="724"/>
      <c r="M23" s="395"/>
    </row>
    <row r="24" spans="1:14" ht="13.5" customHeight="1" x14ac:dyDescent="0.2">
      <c r="A24" s="137" t="s">
        <v>222</v>
      </c>
      <c r="B24" s="34" t="s">
        <v>7875</v>
      </c>
      <c r="C24" s="22"/>
      <c r="D24" s="1330">
        <v>220</v>
      </c>
      <c r="K24" s="724"/>
      <c r="M24" s="395"/>
    </row>
    <row r="25" spans="1:14" ht="13.5" customHeight="1" x14ac:dyDescent="0.2">
      <c r="A25" s="137" t="s">
        <v>222</v>
      </c>
      <c r="B25" s="34" t="s">
        <v>7943</v>
      </c>
      <c r="C25" s="22"/>
      <c r="D25" s="1330">
        <v>60</v>
      </c>
      <c r="K25" s="724"/>
      <c r="M25" s="395"/>
    </row>
    <row r="26" spans="1:14" ht="13.5" customHeight="1" x14ac:dyDescent="0.2">
      <c r="A26" s="137" t="s">
        <v>222</v>
      </c>
      <c r="B26" s="34" t="s">
        <v>7893</v>
      </c>
      <c r="C26" s="22"/>
      <c r="D26" s="1330">
        <v>60</v>
      </c>
      <c r="K26" s="724"/>
      <c r="M26" s="395"/>
    </row>
    <row r="27" spans="1:14" ht="13.5" customHeight="1" x14ac:dyDescent="0.2">
      <c r="A27" s="137" t="s">
        <v>222</v>
      </c>
      <c r="B27" s="34" t="s">
        <v>7938</v>
      </c>
      <c r="C27" s="22"/>
      <c r="D27" s="1330">
        <v>80</v>
      </c>
      <c r="E27" s="124">
        <f>SUM(D21:D27)</f>
        <v>980</v>
      </c>
      <c r="K27" s="724"/>
      <c r="M27" s="395"/>
      <c r="N27"/>
    </row>
    <row r="28" spans="1:14" ht="13.5" customHeight="1" x14ac:dyDescent="0.2">
      <c r="A28" s="137" t="s">
        <v>222</v>
      </c>
      <c r="B28" s="34" t="s">
        <v>1792</v>
      </c>
      <c r="C28" s="22"/>
      <c r="D28" s="25">
        <v>474.61</v>
      </c>
      <c r="E28" s="124"/>
      <c r="K28" s="724"/>
      <c r="M28" s="395"/>
    </row>
    <row r="29" spans="1:14" ht="13.5" customHeight="1" x14ac:dyDescent="0.2">
      <c r="A29" s="137"/>
      <c r="B29" s="34"/>
      <c r="C29" s="22"/>
      <c r="D29" s="1296">
        <f>SUM(D2:D28)</f>
        <v>34773.03</v>
      </c>
      <c r="K29" s="724"/>
      <c r="M29" s="395"/>
      <c r="N29"/>
    </row>
    <row r="30" spans="1:14" ht="13.5" customHeight="1" x14ac:dyDescent="0.2">
      <c r="A30" s="137"/>
      <c r="B30" s="34"/>
      <c r="C30" s="22"/>
      <c r="D30" s="25"/>
      <c r="K30" s="724"/>
      <c r="M30" s="395"/>
    </row>
    <row r="31" spans="1:14" ht="13.5" customHeight="1" x14ac:dyDescent="0.2">
      <c r="A31" s="137" t="s">
        <v>222</v>
      </c>
      <c r="B31" s="34" t="s">
        <v>1211</v>
      </c>
      <c r="C31" s="173"/>
      <c r="D31" s="428">
        <v>900</v>
      </c>
      <c r="E31" s="18"/>
      <c r="F31" s="100">
        <v>900</v>
      </c>
      <c r="G31" s="109"/>
      <c r="H31" s="109"/>
      <c r="I31" s="109"/>
      <c r="J31" s="104">
        <f>F31-G31-H31-I31</f>
        <v>900</v>
      </c>
      <c r="K31" s="724"/>
      <c r="M31" s="395"/>
      <c r="N31"/>
    </row>
    <row r="32" spans="1:14" ht="13.5" customHeight="1" x14ac:dyDescent="0.2">
      <c r="A32" s="137" t="s">
        <v>222</v>
      </c>
      <c r="B32" s="34" t="s">
        <v>8013</v>
      </c>
      <c r="C32" s="22"/>
      <c r="D32" s="25">
        <v>7500</v>
      </c>
      <c r="F32" s="100">
        <v>7977.69</v>
      </c>
      <c r="G32" s="109"/>
      <c r="H32" s="109"/>
      <c r="I32" s="109">
        <v>477.69</v>
      </c>
      <c r="J32" s="104">
        <f>F32-G32-H32-I32</f>
        <v>7500</v>
      </c>
      <c r="K32" s="724"/>
      <c r="M32" s="395"/>
    </row>
    <row r="33" spans="1:14" ht="13.5" customHeight="1" x14ac:dyDescent="0.2">
      <c r="A33" s="137" t="s">
        <v>222</v>
      </c>
      <c r="B33" s="34" t="s">
        <v>8014</v>
      </c>
      <c r="C33" s="22"/>
      <c r="D33" s="25">
        <v>500</v>
      </c>
      <c r="F33" s="100">
        <v>500</v>
      </c>
      <c r="G33" s="109"/>
      <c r="H33" s="109"/>
      <c r="I33" s="109"/>
      <c r="J33" s="104">
        <f>F33-G33-H33-I33</f>
        <v>500</v>
      </c>
      <c r="K33" s="724"/>
      <c r="M33" s="395"/>
      <c r="N33"/>
    </row>
    <row r="34" spans="1:14" ht="13.5" customHeight="1" x14ac:dyDescent="0.2">
      <c r="A34" s="137" t="s">
        <v>222</v>
      </c>
      <c r="B34" s="34" t="s">
        <v>7877</v>
      </c>
      <c r="C34" s="22"/>
      <c r="D34" s="25">
        <v>500</v>
      </c>
      <c r="F34" s="100">
        <v>500</v>
      </c>
      <c r="G34" s="109"/>
      <c r="H34" s="109"/>
      <c r="I34" s="109"/>
      <c r="J34" s="104">
        <f>F34-G34-H34-I34</f>
        <v>500</v>
      </c>
      <c r="K34" s="724"/>
      <c r="M34" s="395"/>
      <c r="N34"/>
    </row>
    <row r="35" spans="1:14" ht="13.5" customHeight="1" x14ac:dyDescent="0.2">
      <c r="A35" s="137" t="s">
        <v>222</v>
      </c>
      <c r="B35" s="34" t="s">
        <v>8047</v>
      </c>
      <c r="C35" s="284"/>
      <c r="D35" s="1070">
        <v>4731.47</v>
      </c>
      <c r="F35" s="100">
        <v>4731.47</v>
      </c>
      <c r="G35" s="109"/>
      <c r="H35" s="109"/>
      <c r="I35" s="109"/>
      <c r="J35" s="104">
        <f>F35-G35-H35-I35</f>
        <v>4731.47</v>
      </c>
      <c r="K35" s="724"/>
      <c r="M35" s="395"/>
    </row>
    <row r="36" spans="1:14" ht="13.5" customHeight="1" x14ac:dyDescent="0.2">
      <c r="A36" s="137" t="s">
        <v>222</v>
      </c>
      <c r="B36" s="34" t="s">
        <v>3542</v>
      </c>
      <c r="C36" s="284"/>
      <c r="D36" s="1070">
        <v>477.69</v>
      </c>
      <c r="F36" s="668"/>
      <c r="G36" s="642"/>
      <c r="H36" s="642"/>
      <c r="I36" s="642"/>
      <c r="J36" s="405"/>
      <c r="K36" s="724"/>
      <c r="M36" s="395"/>
    </row>
    <row r="37" spans="1:14" ht="13.5" customHeight="1" x14ac:dyDescent="0.2">
      <c r="A37" s="137"/>
      <c r="B37" s="34"/>
      <c r="C37" s="284"/>
      <c r="D37" s="1362">
        <f>SUM(D31:D36)</f>
        <v>14609.160000000002</v>
      </c>
      <c r="F37" s="885"/>
      <c r="G37" s="1044">
        <v>0</v>
      </c>
      <c r="H37" s="1044">
        <v>0</v>
      </c>
      <c r="I37" s="1045">
        <f>SUM(I31:I35)</f>
        <v>477.69</v>
      </c>
      <c r="J37" s="887"/>
      <c r="K37" s="724"/>
      <c r="M37" s="395"/>
    </row>
    <row r="38" spans="1:14" ht="13.5" customHeight="1" x14ac:dyDescent="0.2">
      <c r="A38" s="137"/>
      <c r="B38" s="34"/>
      <c r="C38" s="284"/>
      <c r="D38" s="1070"/>
      <c r="K38" s="724"/>
      <c r="M38" s="395"/>
    </row>
    <row r="39" spans="1:14" ht="13.5" customHeight="1" x14ac:dyDescent="0.2">
      <c r="A39" s="137"/>
      <c r="B39" s="34"/>
      <c r="C39" s="284"/>
      <c r="D39" s="1070"/>
      <c r="K39" s="724"/>
      <c r="M39" s="395"/>
    </row>
    <row r="40" spans="1:14" ht="13.5" customHeight="1" x14ac:dyDescent="0.2">
      <c r="A40" s="137" t="s">
        <v>223</v>
      </c>
      <c r="B40" s="34" t="s">
        <v>189</v>
      </c>
      <c r="C40" s="284">
        <v>7773</v>
      </c>
      <c r="D40" s="25"/>
      <c r="K40" s="724"/>
      <c r="M40" s="395"/>
    </row>
    <row r="41" spans="1:14" ht="13.5" customHeight="1" x14ac:dyDescent="0.2">
      <c r="A41" s="137" t="s">
        <v>223</v>
      </c>
      <c r="B41" s="34" t="s">
        <v>189</v>
      </c>
      <c r="C41" s="284">
        <v>4010.62</v>
      </c>
      <c r="D41" s="25"/>
      <c r="K41" s="724"/>
      <c r="M41" s="395"/>
    </row>
    <row r="42" spans="1:14" ht="13.5" customHeight="1" x14ac:dyDescent="0.2">
      <c r="A42" s="137" t="s">
        <v>223</v>
      </c>
      <c r="B42" s="34" t="s">
        <v>189</v>
      </c>
      <c r="C42" s="284">
        <v>3820</v>
      </c>
      <c r="D42" s="25"/>
      <c r="K42" s="724"/>
      <c r="M42" s="395"/>
    </row>
    <row r="43" spans="1:14" ht="13.5" customHeight="1" x14ac:dyDescent="0.2">
      <c r="A43" s="137" t="s">
        <v>223</v>
      </c>
      <c r="B43" s="34" t="s">
        <v>174</v>
      </c>
      <c r="C43" s="284">
        <v>-11.9</v>
      </c>
      <c r="D43" s="1070"/>
      <c r="K43" s="724"/>
      <c r="M43" s="395"/>
    </row>
    <row r="44" spans="1:14" ht="13.5" customHeight="1" x14ac:dyDescent="0.2">
      <c r="A44" s="137" t="s">
        <v>223</v>
      </c>
      <c r="B44" s="34" t="s">
        <v>174</v>
      </c>
      <c r="C44" s="284">
        <v>-19</v>
      </c>
      <c r="D44" s="1070"/>
      <c r="K44" s="724"/>
      <c r="M44" s="395"/>
    </row>
    <row r="45" spans="1:14" ht="13.5" customHeight="1" x14ac:dyDescent="0.2">
      <c r="A45" s="137" t="s">
        <v>223</v>
      </c>
      <c r="B45" s="34" t="s">
        <v>174</v>
      </c>
      <c r="C45" s="284">
        <v>-223.44</v>
      </c>
      <c r="D45" s="1070"/>
      <c r="K45" s="724"/>
      <c r="M45" s="395"/>
    </row>
    <row r="46" spans="1:14" ht="13.5" customHeight="1" x14ac:dyDescent="0.2">
      <c r="A46" s="137" t="s">
        <v>223</v>
      </c>
      <c r="B46" s="34" t="s">
        <v>174</v>
      </c>
      <c r="C46" s="284">
        <v>-283.94</v>
      </c>
      <c r="D46" s="1070"/>
      <c r="K46" s="724"/>
      <c r="M46" s="395"/>
    </row>
    <row r="47" spans="1:14" ht="13.5" customHeight="1" x14ac:dyDescent="0.2">
      <c r="A47" s="137" t="s">
        <v>223</v>
      </c>
      <c r="B47" s="34" t="s">
        <v>174</v>
      </c>
      <c r="C47" s="284">
        <v>-811.36</v>
      </c>
      <c r="D47" s="1070"/>
      <c r="K47" s="724"/>
      <c r="M47" s="395"/>
    </row>
    <row r="48" spans="1:14" ht="13.5" customHeight="1" x14ac:dyDescent="0.2">
      <c r="A48" s="137" t="s">
        <v>223</v>
      </c>
      <c r="B48" s="34" t="s">
        <v>174</v>
      </c>
      <c r="C48" s="284">
        <v>-1038.8499999999999</v>
      </c>
      <c r="D48" s="1070"/>
      <c r="K48" s="724"/>
      <c r="M48" s="395"/>
    </row>
    <row r="49" spans="1:13" ht="13.5" customHeight="1" x14ac:dyDescent="0.2">
      <c r="A49" s="137" t="s">
        <v>223</v>
      </c>
      <c r="B49" s="34" t="s">
        <v>174</v>
      </c>
      <c r="C49" s="284">
        <v>-1687.34</v>
      </c>
      <c r="D49" s="1070"/>
      <c r="K49" s="724"/>
      <c r="M49" s="395"/>
    </row>
    <row r="50" spans="1:13" ht="13.5" customHeight="1" x14ac:dyDescent="0.2">
      <c r="A50" s="137" t="s">
        <v>223</v>
      </c>
      <c r="B50" s="34" t="s">
        <v>174</v>
      </c>
      <c r="C50" s="284">
        <v>-1839.5</v>
      </c>
      <c r="D50" s="1070"/>
      <c r="K50" s="724"/>
      <c r="M50" s="395"/>
    </row>
    <row r="51" spans="1:13" ht="13.5" customHeight="1" x14ac:dyDescent="0.2">
      <c r="A51" s="137" t="s">
        <v>223</v>
      </c>
      <c r="B51" s="34" t="s">
        <v>174</v>
      </c>
      <c r="C51" s="284">
        <v>-2037.59</v>
      </c>
      <c r="D51" s="1070"/>
      <c r="K51" s="724"/>
      <c r="M51" s="395"/>
    </row>
    <row r="52" spans="1:13" ht="13.5" customHeight="1" x14ac:dyDescent="0.2">
      <c r="A52" s="137" t="s">
        <v>223</v>
      </c>
      <c r="B52" s="34" t="s">
        <v>174</v>
      </c>
      <c r="C52" s="284">
        <v>-2698.49</v>
      </c>
      <c r="D52" s="1070"/>
      <c r="K52" s="724"/>
      <c r="M52" s="395"/>
    </row>
    <row r="53" spans="1:13" ht="13.5" customHeight="1" x14ac:dyDescent="0.2">
      <c r="A53" s="137" t="s">
        <v>223</v>
      </c>
      <c r="B53" s="34" t="s">
        <v>174</v>
      </c>
      <c r="C53" s="284">
        <v>-3064.17</v>
      </c>
      <c r="D53" s="1070"/>
      <c r="K53" s="724"/>
      <c r="M53" s="395"/>
    </row>
    <row r="54" spans="1:13" ht="13.5" customHeight="1" x14ac:dyDescent="0.2">
      <c r="A54" s="137"/>
      <c r="B54" s="34"/>
      <c r="C54" s="1100">
        <f>SUM(C40:C53)</f>
        <v>1888.0399999999972</v>
      </c>
      <c r="D54" s="1070"/>
      <c r="K54" s="724"/>
      <c r="M54" s="395"/>
    </row>
    <row r="55" spans="1:13" ht="13.5" customHeight="1" x14ac:dyDescent="0.2">
      <c r="A55" s="137"/>
      <c r="B55" s="34"/>
      <c r="C55" s="284"/>
      <c r="D55" s="1070"/>
      <c r="K55" s="724"/>
      <c r="M55" s="395"/>
    </row>
    <row r="56" spans="1:13" ht="13.5" customHeight="1" x14ac:dyDescent="0.2">
      <c r="A56" s="137" t="s">
        <v>224</v>
      </c>
      <c r="B56" s="34" t="s">
        <v>128</v>
      </c>
      <c r="C56" s="284">
        <v>42.25</v>
      </c>
      <c r="D56" s="25"/>
      <c r="K56" s="724"/>
      <c r="M56" s="395"/>
    </row>
    <row r="57" spans="1:13" ht="13.5" customHeight="1" x14ac:dyDescent="0.2">
      <c r="A57" s="137" t="s">
        <v>224</v>
      </c>
      <c r="B57" s="36" t="s">
        <v>7944</v>
      </c>
      <c r="C57" s="22">
        <v>19</v>
      </c>
      <c r="D57" s="25"/>
      <c r="K57" s="724"/>
      <c r="M57" s="395"/>
    </row>
    <row r="58" spans="1:13" ht="13.5" customHeight="1" x14ac:dyDescent="0.2">
      <c r="A58" s="137" t="s">
        <v>224</v>
      </c>
      <c r="B58" s="34" t="s">
        <v>56</v>
      </c>
      <c r="C58" s="22">
        <v>48.24</v>
      </c>
      <c r="D58" s="25"/>
      <c r="K58" s="724"/>
      <c r="M58" s="395"/>
    </row>
    <row r="59" spans="1:13" ht="13.5" customHeight="1" x14ac:dyDescent="0.2">
      <c r="A59" s="137" t="s">
        <v>224</v>
      </c>
      <c r="B59" s="34" t="s">
        <v>62</v>
      </c>
      <c r="C59" s="284">
        <v>416.73</v>
      </c>
      <c r="D59" s="25"/>
      <c r="K59" s="724"/>
      <c r="M59" s="395"/>
    </row>
    <row r="60" spans="1:13" ht="13.5" customHeight="1" x14ac:dyDescent="0.2">
      <c r="A60" s="137" t="s">
        <v>224</v>
      </c>
      <c r="B60" s="34" t="s">
        <v>8069</v>
      </c>
      <c r="C60" s="284">
        <v>24.54</v>
      </c>
      <c r="D60" s="25"/>
      <c r="K60" s="724"/>
      <c r="M60" s="395"/>
    </row>
    <row r="61" spans="1:13" ht="13.5" customHeight="1" x14ac:dyDescent="0.2">
      <c r="A61" s="137" t="s">
        <v>224</v>
      </c>
      <c r="B61" s="34" t="s">
        <v>68</v>
      </c>
      <c r="C61" s="284">
        <v>177.53</v>
      </c>
      <c r="D61" s="25"/>
      <c r="K61" s="724"/>
      <c r="M61" s="395"/>
    </row>
    <row r="62" spans="1:13" ht="13.5" customHeight="1" x14ac:dyDescent="0.2">
      <c r="A62" s="137" t="s">
        <v>224</v>
      </c>
      <c r="B62" s="34" t="s">
        <v>1324</v>
      </c>
      <c r="C62" s="284">
        <v>153.30000000000001</v>
      </c>
      <c r="D62" s="25"/>
      <c r="K62" s="724"/>
      <c r="M62" s="395"/>
    </row>
    <row r="63" spans="1:13" ht="13.5" customHeight="1" x14ac:dyDescent="0.2">
      <c r="A63" s="137" t="s">
        <v>224</v>
      </c>
      <c r="B63" s="34" t="s">
        <v>7868</v>
      </c>
      <c r="C63" s="284">
        <v>400</v>
      </c>
      <c r="D63" s="25"/>
      <c r="K63" s="724"/>
      <c r="M63" s="395"/>
    </row>
    <row r="64" spans="1:13" ht="13.5" customHeight="1" x14ac:dyDescent="0.2">
      <c r="A64" s="137"/>
      <c r="B64" s="34"/>
      <c r="C64" s="1100">
        <f>SUM(C56:C63)</f>
        <v>1281.5899999999999</v>
      </c>
      <c r="D64" s="25"/>
      <c r="K64" s="724"/>
      <c r="M64" s="395"/>
    </row>
    <row r="65" spans="1:14" ht="13.5" customHeight="1" x14ac:dyDescent="0.2">
      <c r="A65" s="137"/>
      <c r="B65" s="34"/>
      <c r="C65" s="284"/>
      <c r="D65" s="25"/>
      <c r="K65" s="724"/>
      <c r="M65" s="395"/>
    </row>
    <row r="66" spans="1:14" ht="13.5" customHeight="1" x14ac:dyDescent="0.2">
      <c r="A66" s="137" t="s">
        <v>224</v>
      </c>
      <c r="B66" s="34" t="s">
        <v>7981</v>
      </c>
      <c r="C66" s="22">
        <v>150</v>
      </c>
      <c r="D66" s="25"/>
      <c r="K66" s="724"/>
      <c r="M66" s="395"/>
    </row>
    <row r="67" spans="1:14" ht="13.5" customHeight="1" x14ac:dyDescent="0.2">
      <c r="A67" s="137" t="s">
        <v>224</v>
      </c>
      <c r="B67" s="34" t="s">
        <v>7895</v>
      </c>
      <c r="C67" s="22">
        <v>150</v>
      </c>
      <c r="D67" s="25"/>
      <c r="K67" s="724"/>
      <c r="M67" s="395"/>
      <c r="N67"/>
    </row>
    <row r="68" spans="1:14" ht="13.5" customHeight="1" x14ac:dyDescent="0.2">
      <c r="A68" s="137" t="s">
        <v>224</v>
      </c>
      <c r="B68" s="34" t="s">
        <v>7894</v>
      </c>
      <c r="C68" s="22">
        <v>150</v>
      </c>
      <c r="D68" s="25"/>
      <c r="K68" s="724"/>
      <c r="M68" s="395"/>
    </row>
    <row r="69" spans="1:14" ht="13.5" customHeight="1" x14ac:dyDescent="0.2">
      <c r="A69" s="137" t="s">
        <v>224</v>
      </c>
      <c r="B69" s="34" t="s">
        <v>7980</v>
      </c>
      <c r="C69" s="22">
        <v>150</v>
      </c>
      <c r="D69" s="25">
        <v>400</v>
      </c>
      <c r="K69" s="724"/>
      <c r="M69" s="395"/>
    </row>
    <row r="70" spans="1:14" ht="13.5" customHeight="1" x14ac:dyDescent="0.2">
      <c r="A70" s="137"/>
      <c r="B70" s="34"/>
      <c r="C70" s="284">
        <f>SUM(C66:C69)</f>
        <v>600</v>
      </c>
      <c r="D70" s="25">
        <v>200</v>
      </c>
      <c r="K70" s="724"/>
      <c r="M70" s="395"/>
      <c r="N70"/>
    </row>
    <row r="71" spans="1:14" ht="13.5" customHeight="1" x14ac:dyDescent="0.2">
      <c r="A71" s="137"/>
      <c r="B71" s="34"/>
      <c r="C71" s="284"/>
      <c r="D71" s="25"/>
      <c r="K71" s="724"/>
      <c r="M71" s="395"/>
    </row>
    <row r="72" spans="1:14" ht="13.5" customHeight="1" x14ac:dyDescent="0.2">
      <c r="A72" s="137" t="s">
        <v>225</v>
      </c>
      <c r="B72" s="34" t="s">
        <v>8046</v>
      </c>
      <c r="C72" s="1100">
        <v>720.85</v>
      </c>
      <c r="D72" s="25"/>
      <c r="K72" s="724"/>
      <c r="M72" s="395"/>
    </row>
    <row r="73" spans="1:14" ht="13.5" customHeight="1" x14ac:dyDescent="0.2">
      <c r="A73" s="137"/>
      <c r="B73" s="34"/>
      <c r="C73" s="284"/>
      <c r="D73" s="25"/>
      <c r="F73" s="34" t="s">
        <v>8065</v>
      </c>
      <c r="G73" s="249">
        <v>450</v>
      </c>
      <c r="K73" s="724"/>
      <c r="M73" s="395"/>
    </row>
    <row r="74" spans="1:14" ht="13.5" customHeight="1" x14ac:dyDescent="0.2">
      <c r="A74" s="137" t="s">
        <v>226</v>
      </c>
      <c r="B74" s="34" t="s">
        <v>8070</v>
      </c>
      <c r="C74" s="284">
        <v>-210</v>
      </c>
      <c r="D74" s="25"/>
      <c r="F74" s="34" t="s">
        <v>1131</v>
      </c>
      <c r="G74" s="22">
        <v>13.3</v>
      </c>
      <c r="K74" s="724"/>
      <c r="M74" s="395"/>
    </row>
    <row r="75" spans="1:14" ht="13.5" customHeight="1" x14ac:dyDescent="0.2">
      <c r="A75" s="137" t="s">
        <v>226</v>
      </c>
      <c r="B75" s="34" t="s">
        <v>8071</v>
      </c>
      <c r="C75" s="284">
        <v>-38.729999999999997</v>
      </c>
      <c r="D75" s="25"/>
      <c r="F75" s="34" t="s">
        <v>7330</v>
      </c>
      <c r="G75" s="284">
        <v>23.78</v>
      </c>
      <c r="K75" s="724"/>
      <c r="M75" s="395"/>
    </row>
    <row r="76" spans="1:14" ht="13.5" customHeight="1" x14ac:dyDescent="0.2">
      <c r="A76" s="137" t="s">
        <v>226</v>
      </c>
      <c r="B76" s="34" t="s">
        <v>80</v>
      </c>
      <c r="C76" s="284">
        <v>61.34</v>
      </c>
      <c r="D76" s="25"/>
      <c r="F76" s="34" t="s">
        <v>7330</v>
      </c>
      <c r="G76" s="173">
        <v>60.22</v>
      </c>
      <c r="K76" s="724"/>
      <c r="M76" s="395"/>
    </row>
    <row r="77" spans="1:14" ht="13.5" customHeight="1" x14ac:dyDescent="0.2">
      <c r="A77" s="137" t="s">
        <v>226</v>
      </c>
      <c r="B77" s="34" t="s">
        <v>7925</v>
      </c>
      <c r="C77" s="284">
        <v>61.34</v>
      </c>
      <c r="D77" s="25"/>
      <c r="G77" s="40">
        <f>SUM(G73:G76)</f>
        <v>547.30000000000007</v>
      </c>
      <c r="K77" s="724"/>
      <c r="M77" s="395"/>
    </row>
    <row r="78" spans="1:14" ht="13.5" customHeight="1" x14ac:dyDescent="0.2">
      <c r="A78" s="137" t="s">
        <v>226</v>
      </c>
      <c r="B78" s="34" t="s">
        <v>127</v>
      </c>
      <c r="C78" s="284">
        <v>30.41</v>
      </c>
      <c r="D78" s="25"/>
      <c r="G78" s="40">
        <f>G77/2</f>
        <v>273.65000000000003</v>
      </c>
      <c r="K78" s="724"/>
      <c r="M78" s="395"/>
    </row>
    <row r="79" spans="1:14" ht="13.5" customHeight="1" x14ac:dyDescent="0.2">
      <c r="A79" s="137" t="s">
        <v>226</v>
      </c>
      <c r="B79" s="34" t="s">
        <v>129</v>
      </c>
      <c r="C79" s="284">
        <v>50.7</v>
      </c>
      <c r="D79" s="25"/>
      <c r="K79" s="724"/>
      <c r="M79" s="395"/>
      <c r="N79"/>
    </row>
    <row r="80" spans="1:14" ht="13.5" customHeight="1" x14ac:dyDescent="0.2">
      <c r="A80" s="137" t="s">
        <v>226</v>
      </c>
      <c r="B80" s="34" t="s">
        <v>131</v>
      </c>
      <c r="C80" s="284">
        <v>46.96</v>
      </c>
      <c r="D80" s="25"/>
      <c r="K80" s="724"/>
      <c r="M80" s="395"/>
      <c r="N80"/>
    </row>
    <row r="81" spans="1:14" ht="13.5" customHeight="1" x14ac:dyDescent="0.2">
      <c r="A81" s="137" t="s">
        <v>226</v>
      </c>
      <c r="B81" s="34" t="s">
        <v>8060</v>
      </c>
      <c r="C81" s="284">
        <v>8</v>
      </c>
      <c r="D81" s="25"/>
      <c r="K81" s="724"/>
      <c r="M81" s="395"/>
    </row>
    <row r="82" spans="1:14" ht="13.5" customHeight="1" x14ac:dyDescent="0.2">
      <c r="A82" s="137" t="s">
        <v>226</v>
      </c>
      <c r="B82" s="34" t="s">
        <v>898</v>
      </c>
      <c r="C82" s="284">
        <v>37.33</v>
      </c>
      <c r="D82" s="25"/>
      <c r="F82"/>
      <c r="K82" s="724"/>
      <c r="M82" s="395"/>
    </row>
    <row r="83" spans="1:14" ht="13.5" customHeight="1" x14ac:dyDescent="0.2">
      <c r="A83" s="137" t="s">
        <v>226</v>
      </c>
      <c r="B83" s="34" t="s">
        <v>558</v>
      </c>
      <c r="C83" s="284">
        <v>60.65</v>
      </c>
      <c r="D83" s="25"/>
      <c r="K83" s="724"/>
      <c r="M83" s="395"/>
    </row>
    <row r="84" spans="1:14" ht="13.5" customHeight="1" x14ac:dyDescent="0.2">
      <c r="A84" s="137" t="s">
        <v>226</v>
      </c>
      <c r="B84" s="34" t="s">
        <v>7909</v>
      </c>
      <c r="C84" s="22">
        <v>-6059.86</v>
      </c>
      <c r="D84" s="1360"/>
      <c r="H84"/>
      <c r="I84"/>
      <c r="J84"/>
      <c r="K84" s="724"/>
      <c r="M84" s="395"/>
    </row>
    <row r="85" spans="1:14" ht="13.5" customHeight="1" x14ac:dyDescent="0.2">
      <c r="A85" s="137" t="s">
        <v>226</v>
      </c>
      <c r="B85" s="34" t="s">
        <v>7876</v>
      </c>
      <c r="C85" s="22">
        <v>36.68</v>
      </c>
      <c r="D85" s="25"/>
      <c r="K85" s="724"/>
      <c r="M85" s="395"/>
    </row>
    <row r="86" spans="1:14" ht="13.5" customHeight="1" x14ac:dyDescent="0.2">
      <c r="A86" s="137" t="s">
        <v>226</v>
      </c>
      <c r="B86" s="45" t="s">
        <v>8058</v>
      </c>
      <c r="C86" s="173">
        <v>520</v>
      </c>
      <c r="D86" s="25"/>
      <c r="E86"/>
      <c r="K86" s="724"/>
      <c r="L86"/>
      <c r="M86" s="395"/>
    </row>
    <row r="87" spans="1:14" ht="13.5" customHeight="1" x14ac:dyDescent="0.2">
      <c r="A87" s="137" t="s">
        <v>226</v>
      </c>
      <c r="B87" s="34" t="s">
        <v>8072</v>
      </c>
      <c r="C87" s="173">
        <f>G77/2</f>
        <v>273.65000000000003</v>
      </c>
      <c r="D87" s="25"/>
      <c r="E87"/>
      <c r="K87" s="724"/>
      <c r="L87"/>
      <c r="M87" s="395"/>
    </row>
    <row r="88" spans="1:14" ht="13.5" customHeight="1" x14ac:dyDescent="0.2">
      <c r="A88" s="137"/>
      <c r="B88" s="34"/>
      <c r="C88" s="1100">
        <f>SUM(C74:C87)</f>
        <v>-5121.53</v>
      </c>
      <c r="D88" s="25"/>
      <c r="K88" s="724"/>
      <c r="M88" s="395"/>
    </row>
    <row r="89" spans="1:14" ht="13.5" customHeight="1" x14ac:dyDescent="0.2">
      <c r="A89" s="137"/>
      <c r="B89" s="34"/>
      <c r="C89" s="173"/>
      <c r="D89" s="25"/>
      <c r="K89" s="724"/>
      <c r="M89" s="395"/>
    </row>
    <row r="90" spans="1:14" ht="13.5" customHeight="1" x14ac:dyDescent="0.2">
      <c r="A90" s="137" t="s">
        <v>226</v>
      </c>
      <c r="B90" s="138" t="s">
        <v>196</v>
      </c>
      <c r="C90" s="89">
        <v>740.5</v>
      </c>
      <c r="D90" s="71"/>
      <c r="K90" s="724"/>
      <c r="M90" s="395"/>
    </row>
    <row r="91" spans="1:14" ht="13.5" customHeight="1" x14ac:dyDescent="0.2">
      <c r="A91" s="137" t="s">
        <v>226</v>
      </c>
      <c r="B91" s="138" t="s">
        <v>197</v>
      </c>
      <c r="C91" s="89">
        <v>1234.17</v>
      </c>
      <c r="D91" s="71"/>
      <c r="K91" s="724"/>
      <c r="M91" s="395"/>
    </row>
    <row r="92" spans="1:14" ht="13.5" customHeight="1" x14ac:dyDescent="0.2">
      <c r="A92" s="137" t="s">
        <v>226</v>
      </c>
      <c r="B92" s="138" t="s">
        <v>199</v>
      </c>
      <c r="C92" s="284">
        <v>181.13</v>
      </c>
      <c r="D92" s="25"/>
      <c r="K92" s="724"/>
      <c r="M92" s="395"/>
    </row>
    <row r="93" spans="1:14" ht="13.5" customHeight="1" x14ac:dyDescent="0.2">
      <c r="A93" s="137" t="s">
        <v>226</v>
      </c>
      <c r="B93" s="34" t="s">
        <v>180</v>
      </c>
      <c r="C93" s="284">
        <v>283.94</v>
      </c>
      <c r="D93" s="25"/>
      <c r="K93" s="724"/>
      <c r="M93" s="395"/>
    </row>
    <row r="94" spans="1:14" ht="13.5" customHeight="1" x14ac:dyDescent="0.2">
      <c r="A94" s="137" t="s">
        <v>226</v>
      </c>
      <c r="B94" s="34" t="s">
        <v>8033</v>
      </c>
      <c r="C94" s="284">
        <v>-3820</v>
      </c>
      <c r="D94" s="1070"/>
      <c r="K94" s="724"/>
      <c r="M94" s="395"/>
    </row>
    <row r="95" spans="1:14" ht="13.5" customHeight="1" x14ac:dyDescent="0.2">
      <c r="A95" s="137" t="s">
        <v>226</v>
      </c>
      <c r="B95" s="34" t="s">
        <v>7955</v>
      </c>
      <c r="C95" s="22">
        <v>35.74</v>
      </c>
      <c r="D95" s="25"/>
      <c r="K95" s="724"/>
      <c r="M95" s="395"/>
      <c r="N95"/>
    </row>
    <row r="96" spans="1:14" ht="13.5" customHeight="1" x14ac:dyDescent="0.2">
      <c r="A96" s="137" t="s">
        <v>226</v>
      </c>
      <c r="B96" s="34" t="s">
        <v>7912</v>
      </c>
      <c r="C96" s="22">
        <v>6.25</v>
      </c>
      <c r="D96" s="25"/>
      <c r="K96" s="724"/>
      <c r="M96" s="395"/>
    </row>
    <row r="97" spans="1:14" ht="13.5" customHeight="1" x14ac:dyDescent="0.2">
      <c r="A97" s="137" t="s">
        <v>226</v>
      </c>
      <c r="B97" s="34" t="s">
        <v>7986</v>
      </c>
      <c r="C97" s="22">
        <v>2.8</v>
      </c>
      <c r="D97" s="25"/>
      <c r="K97" s="724"/>
      <c r="M97" s="395"/>
    </row>
    <row r="98" spans="1:14" ht="13.5" customHeight="1" x14ac:dyDescent="0.2">
      <c r="A98" s="137" t="s">
        <v>226</v>
      </c>
      <c r="B98" s="34" t="s">
        <v>6983</v>
      </c>
      <c r="C98" s="22">
        <v>2.5</v>
      </c>
      <c r="D98" s="25"/>
      <c r="K98" s="724"/>
      <c r="M98" s="395"/>
      <c r="N98"/>
    </row>
    <row r="99" spans="1:14" ht="13.5" customHeight="1" x14ac:dyDescent="0.2">
      <c r="A99" s="137" t="s">
        <v>226</v>
      </c>
      <c r="B99" s="34" t="s">
        <v>7984</v>
      </c>
      <c r="C99" s="22">
        <v>12.44</v>
      </c>
      <c r="D99" s="25"/>
      <c r="K99" s="724"/>
      <c r="M99" s="395"/>
    </row>
    <row r="100" spans="1:14" ht="13.5" customHeight="1" x14ac:dyDescent="0.2">
      <c r="A100" s="137" t="s">
        <v>226</v>
      </c>
      <c r="B100" s="34" t="s">
        <v>8029</v>
      </c>
      <c r="C100" s="284">
        <v>44.99</v>
      </c>
      <c r="D100" s="25"/>
      <c r="K100" s="724"/>
      <c r="M100" s="395"/>
    </row>
    <row r="101" spans="1:14" ht="13.5" customHeight="1" x14ac:dyDescent="0.2">
      <c r="A101" s="137" t="s">
        <v>226</v>
      </c>
      <c r="B101" s="34" t="s">
        <v>8064</v>
      </c>
      <c r="C101" s="173">
        <v>10</v>
      </c>
      <c r="D101" s="25"/>
      <c r="K101" s="724"/>
      <c r="M101" s="395"/>
    </row>
    <row r="102" spans="1:14" ht="13.5" customHeight="1" x14ac:dyDescent="0.2">
      <c r="A102" s="137" t="s">
        <v>226</v>
      </c>
      <c r="B102" s="34" t="s">
        <v>7913</v>
      </c>
      <c r="C102" s="22">
        <v>6</v>
      </c>
      <c r="D102" s="25"/>
      <c r="K102" s="724"/>
      <c r="M102" s="395"/>
    </row>
    <row r="103" spans="1:14" ht="13.5" customHeight="1" x14ac:dyDescent="0.2">
      <c r="A103" s="137" t="s">
        <v>226</v>
      </c>
      <c r="B103" s="34" t="s">
        <v>8020</v>
      </c>
      <c r="C103" s="1361">
        <v>6.43</v>
      </c>
      <c r="D103" s="364"/>
      <c r="K103" s="724"/>
      <c r="M103" s="395"/>
    </row>
    <row r="104" spans="1:14" ht="13.5" customHeight="1" x14ac:dyDescent="0.2">
      <c r="A104" s="137" t="s">
        <v>226</v>
      </c>
      <c r="B104" s="36" t="s">
        <v>471</v>
      </c>
      <c r="C104" s="675">
        <v>500</v>
      </c>
      <c r="D104" s="364"/>
      <c r="K104" s="724"/>
      <c r="M104" s="395"/>
    </row>
    <row r="105" spans="1:14" ht="13.5" customHeight="1" x14ac:dyDescent="0.2">
      <c r="A105" s="137" t="s">
        <v>226</v>
      </c>
      <c r="B105" s="34" t="s">
        <v>228</v>
      </c>
      <c r="C105" s="173">
        <v>273.65000000000003</v>
      </c>
      <c r="D105" s="25"/>
      <c r="K105" s="724"/>
      <c r="M105" s="395"/>
      <c r="N105"/>
    </row>
    <row r="106" spans="1:14" ht="13.5" customHeight="1" x14ac:dyDescent="0.2">
      <c r="A106" s="137"/>
      <c r="B106" s="34"/>
      <c r="C106" s="1363">
        <f>SUM(C90:C105)</f>
        <v>-479.45999999999964</v>
      </c>
      <c r="D106" s="364"/>
      <c r="K106" s="724"/>
      <c r="M106" s="395"/>
    </row>
    <row r="107" spans="1:14" ht="13.5" customHeight="1" x14ac:dyDescent="0.2">
      <c r="A107" s="137"/>
      <c r="B107" s="34"/>
      <c r="C107" s="1361"/>
      <c r="D107" s="364"/>
      <c r="K107" s="724"/>
      <c r="M107" s="395"/>
    </row>
    <row r="108" spans="1:14" ht="13.5" customHeight="1" x14ac:dyDescent="0.2">
      <c r="A108" s="137" t="s">
        <v>229</v>
      </c>
      <c r="B108" s="36" t="s">
        <v>8023</v>
      </c>
      <c r="C108" s="1361">
        <v>55</v>
      </c>
      <c r="D108" s="364"/>
      <c r="K108" s="724"/>
      <c r="M108" s="395"/>
    </row>
    <row r="109" spans="1:14" ht="13.5" customHeight="1" x14ac:dyDescent="0.2">
      <c r="A109" s="137" t="s">
        <v>229</v>
      </c>
      <c r="B109" s="36" t="s">
        <v>7901</v>
      </c>
      <c r="C109" s="22">
        <v>54.6</v>
      </c>
      <c r="D109" s="25"/>
      <c r="K109" s="724"/>
      <c r="M109" s="395"/>
    </row>
    <row r="110" spans="1:14" ht="13.5" customHeight="1" x14ac:dyDescent="0.2">
      <c r="A110" s="137" t="s">
        <v>229</v>
      </c>
      <c r="B110" s="34" t="s">
        <v>7946</v>
      </c>
      <c r="C110" s="22">
        <v>1.98</v>
      </c>
      <c r="D110" s="25"/>
      <c r="K110" s="724"/>
      <c r="M110" s="395"/>
    </row>
    <row r="111" spans="1:14" ht="13.5" customHeight="1" x14ac:dyDescent="0.2">
      <c r="A111" s="137" t="s">
        <v>229</v>
      </c>
      <c r="B111" s="34" t="s">
        <v>7937</v>
      </c>
      <c r="C111" s="22">
        <v>25.87</v>
      </c>
      <c r="D111" s="25"/>
      <c r="K111" s="724"/>
      <c r="M111" s="395"/>
    </row>
    <row r="112" spans="1:14" ht="13.5" customHeight="1" x14ac:dyDescent="0.2">
      <c r="A112" s="137" t="s">
        <v>229</v>
      </c>
      <c r="B112" s="34" t="s">
        <v>340</v>
      </c>
      <c r="C112" s="22">
        <v>8.98</v>
      </c>
      <c r="D112" s="25"/>
      <c r="K112" s="724"/>
      <c r="M112" s="395"/>
      <c r="N112"/>
    </row>
    <row r="113" spans="1:13" ht="13.5" customHeight="1" x14ac:dyDescent="0.2">
      <c r="A113" s="137" t="s">
        <v>229</v>
      </c>
      <c r="B113" s="34" t="s">
        <v>8025</v>
      </c>
      <c r="C113" s="1361">
        <v>18.149999999999999</v>
      </c>
      <c r="D113" s="364"/>
      <c r="K113" s="724"/>
      <c r="M113" s="395"/>
    </row>
    <row r="114" spans="1:13" ht="13.5" customHeight="1" x14ac:dyDescent="0.2">
      <c r="A114" s="137" t="s">
        <v>229</v>
      </c>
      <c r="B114" s="36" t="s">
        <v>7897</v>
      </c>
      <c r="C114" s="1097">
        <v>38.549999999999997</v>
      </c>
      <c r="D114" s="60"/>
      <c r="K114" s="724"/>
      <c r="M114" s="395"/>
    </row>
    <row r="115" spans="1:13" ht="13.5" customHeight="1" x14ac:dyDescent="0.2">
      <c r="A115" s="137" t="s">
        <v>229</v>
      </c>
      <c r="B115" s="41" t="s">
        <v>1013</v>
      </c>
      <c r="C115" s="12">
        <v>1200</v>
      </c>
      <c r="D115" s="60"/>
      <c r="K115" s="724"/>
      <c r="M115" s="395"/>
    </row>
    <row r="116" spans="1:13" ht="13.5" customHeight="1" x14ac:dyDescent="0.2">
      <c r="A116" s="137" t="s">
        <v>229</v>
      </c>
      <c r="B116" s="36" t="s">
        <v>7896</v>
      </c>
      <c r="C116" s="1097">
        <v>900</v>
      </c>
      <c r="D116" s="60"/>
      <c r="K116" s="724"/>
      <c r="M116" s="395"/>
    </row>
    <row r="117" spans="1:13" ht="13.5" customHeight="1" x14ac:dyDescent="0.2">
      <c r="A117" s="137" t="s">
        <v>229</v>
      </c>
      <c r="B117" s="36" t="s">
        <v>7903</v>
      </c>
      <c r="C117" s="1097">
        <v>9</v>
      </c>
      <c r="D117" s="60"/>
      <c r="K117" s="724"/>
      <c r="M117" s="395"/>
    </row>
    <row r="118" spans="1:13" ht="13.5" customHeight="1" x14ac:dyDescent="0.2">
      <c r="A118" s="137" t="s">
        <v>229</v>
      </c>
      <c r="B118" s="36" t="s">
        <v>7885</v>
      </c>
      <c r="C118" s="1097">
        <v>30</v>
      </c>
      <c r="D118" s="60"/>
      <c r="K118" s="724"/>
      <c r="M118"/>
    </row>
    <row r="119" spans="1:13" ht="13.5" customHeight="1" x14ac:dyDescent="0.2">
      <c r="A119" s="137" t="s">
        <v>229</v>
      </c>
      <c r="B119" s="34" t="s">
        <v>7945</v>
      </c>
      <c r="C119" s="22">
        <v>39.200000000000003</v>
      </c>
      <c r="D119" s="25"/>
      <c r="K119" s="724"/>
      <c r="M119" s="395"/>
    </row>
    <row r="120" spans="1:13" ht="13.5" customHeight="1" x14ac:dyDescent="0.2">
      <c r="A120" s="137" t="s">
        <v>229</v>
      </c>
      <c r="B120" s="34" t="s">
        <v>7868</v>
      </c>
      <c r="C120" s="22">
        <v>200</v>
      </c>
      <c r="D120" s="25"/>
      <c r="K120" s="724"/>
      <c r="M120" s="395"/>
    </row>
    <row r="121" spans="1:13" ht="13.5" customHeight="1" x14ac:dyDescent="0.2">
      <c r="A121" s="137" t="s">
        <v>229</v>
      </c>
      <c r="B121" s="34" t="s">
        <v>4091</v>
      </c>
      <c r="C121" s="22">
        <v>900</v>
      </c>
      <c r="D121" s="25"/>
      <c r="K121" s="724"/>
      <c r="M121" s="395"/>
    </row>
    <row r="122" spans="1:13" ht="13.5" customHeight="1" x14ac:dyDescent="0.2">
      <c r="A122" s="137"/>
      <c r="B122" s="34"/>
      <c r="C122" s="1364">
        <f>SUM(C108:C121)</f>
        <v>3481.33</v>
      </c>
      <c r="D122" s="25">
        <f>C122/2</f>
        <v>1740.665</v>
      </c>
      <c r="K122" s="724"/>
      <c r="M122" s="395"/>
    </row>
    <row r="123" spans="1:13" ht="13.5" customHeight="1" x14ac:dyDescent="0.2">
      <c r="A123" s="137"/>
      <c r="B123" s="34"/>
      <c r="C123" s="22"/>
      <c r="D123" s="25"/>
      <c r="K123" s="724"/>
      <c r="M123" s="395"/>
    </row>
    <row r="124" spans="1:13" ht="13.5" customHeight="1" x14ac:dyDescent="0.2">
      <c r="A124" s="137" t="s">
        <v>418</v>
      </c>
      <c r="B124" s="36" t="s">
        <v>177</v>
      </c>
      <c r="C124" s="1100">
        <v>162.27000000000001</v>
      </c>
      <c r="D124" s="25">
        <f>C124/2</f>
        <v>81.135000000000005</v>
      </c>
      <c r="K124" s="724"/>
      <c r="M124" s="395"/>
    </row>
    <row r="125" spans="1:13" ht="13.5" customHeight="1" x14ac:dyDescent="0.2">
      <c r="A125" s="137"/>
      <c r="B125" s="34"/>
      <c r="C125" s="284"/>
      <c r="D125" s="25">
        <v>81.135000000000005</v>
      </c>
      <c r="K125" s="724"/>
      <c r="M125" s="395"/>
    </row>
    <row r="126" spans="1:13" ht="13.5" customHeight="1" x14ac:dyDescent="0.2">
      <c r="A126" s="137"/>
      <c r="B126" s="34"/>
      <c r="C126" s="284"/>
      <c r="D126" s="25"/>
      <c r="K126" s="724"/>
      <c r="M126" s="395"/>
    </row>
    <row r="127" spans="1:13" ht="13.5" customHeight="1" x14ac:dyDescent="0.2">
      <c r="A127" s="137" t="s">
        <v>419</v>
      </c>
      <c r="B127" s="34" t="s">
        <v>394</v>
      </c>
      <c r="C127" s="1100">
        <v>926.75</v>
      </c>
      <c r="D127" s="25">
        <f>C127/2</f>
        <v>463.375</v>
      </c>
      <c r="K127" s="724"/>
      <c r="M127" s="395"/>
    </row>
    <row r="128" spans="1:13" ht="13.5" customHeight="1" x14ac:dyDescent="0.2">
      <c r="A128" s="137"/>
      <c r="B128" s="34"/>
      <c r="C128" s="284"/>
      <c r="D128" s="25">
        <v>463.38</v>
      </c>
      <c r="K128" s="724"/>
      <c r="M128" s="395"/>
    </row>
    <row r="129" spans="1:13" ht="13.5" customHeight="1" x14ac:dyDescent="0.2">
      <c r="A129" s="137"/>
      <c r="B129" s="34"/>
      <c r="C129" s="284"/>
      <c r="D129" s="25"/>
      <c r="K129" s="724"/>
      <c r="M129" s="395"/>
    </row>
    <row r="130" spans="1:13" ht="13.5" customHeight="1" x14ac:dyDescent="0.2">
      <c r="A130" s="137" t="s">
        <v>5871</v>
      </c>
      <c r="B130" s="36" t="s">
        <v>8021</v>
      </c>
      <c r="C130" s="1365">
        <v>24</v>
      </c>
      <c r="D130" s="335"/>
      <c r="K130" s="724"/>
      <c r="M130" s="395"/>
    </row>
    <row r="131" spans="1:13" ht="13.5" customHeight="1" x14ac:dyDescent="0.2">
      <c r="A131" s="137" t="s">
        <v>5871</v>
      </c>
      <c r="B131" s="34" t="s">
        <v>8050</v>
      </c>
      <c r="C131" s="284">
        <v>223.44</v>
      </c>
      <c r="D131" s="25"/>
      <c r="K131" s="724"/>
      <c r="M131" s="395"/>
    </row>
    <row r="132" spans="1:13" ht="13.5" customHeight="1" x14ac:dyDescent="0.2">
      <c r="A132" s="137"/>
      <c r="B132" s="34"/>
      <c r="C132" s="1100">
        <f>SUM(C130:C131)</f>
        <v>247.44</v>
      </c>
      <c r="D132" s="25">
        <f>C132/2</f>
        <v>123.72</v>
      </c>
      <c r="K132" s="724"/>
      <c r="M132" s="395"/>
    </row>
    <row r="133" spans="1:13" ht="13.5" customHeight="1" x14ac:dyDescent="0.2">
      <c r="A133" s="137"/>
      <c r="B133" s="34"/>
      <c r="C133" s="284"/>
      <c r="D133" s="25"/>
      <c r="K133" s="724"/>
      <c r="M133" s="395"/>
    </row>
    <row r="134" spans="1:13" ht="13.5" customHeight="1" x14ac:dyDescent="0.2">
      <c r="A134" s="137" t="s">
        <v>232</v>
      </c>
      <c r="B134" s="34" t="s">
        <v>1187</v>
      </c>
      <c r="C134" s="284">
        <v>405.68</v>
      </c>
      <c r="D134" s="25"/>
      <c r="K134" s="724"/>
      <c r="M134" s="395"/>
    </row>
    <row r="135" spans="1:13" ht="13.5" customHeight="1" x14ac:dyDescent="0.2">
      <c r="A135" s="137" t="s">
        <v>232</v>
      </c>
      <c r="B135" s="34" t="s">
        <v>171</v>
      </c>
      <c r="C135" s="284">
        <v>554.20000000000005</v>
      </c>
      <c r="D135" s="25"/>
      <c r="K135" s="724"/>
      <c r="M135" s="395"/>
    </row>
    <row r="136" spans="1:13" ht="13.5" customHeight="1" x14ac:dyDescent="0.2">
      <c r="A136" s="137" t="s">
        <v>232</v>
      </c>
      <c r="B136" s="34" t="s">
        <v>172</v>
      </c>
      <c r="C136" s="284">
        <v>585.91</v>
      </c>
      <c r="D136" s="25"/>
      <c r="K136" s="724"/>
      <c r="M136" s="395"/>
    </row>
    <row r="137" spans="1:13" ht="13.5" customHeight="1" x14ac:dyDescent="0.2">
      <c r="A137" s="137" t="s">
        <v>232</v>
      </c>
      <c r="B137" s="34" t="s">
        <v>8073</v>
      </c>
      <c r="C137" s="173">
        <v>874.125</v>
      </c>
      <c r="D137" s="25"/>
      <c r="F137" s="34" t="s">
        <v>8074</v>
      </c>
      <c r="G137" s="1361">
        <v>81.7</v>
      </c>
      <c r="K137" s="724"/>
      <c r="M137" s="395"/>
    </row>
    <row r="138" spans="1:13" ht="13.5" customHeight="1" x14ac:dyDescent="0.2">
      <c r="A138" s="137"/>
      <c r="B138" s="34"/>
      <c r="C138" s="1100">
        <f>SUM(C134:C137)</f>
        <v>2419.915</v>
      </c>
      <c r="D138" s="25"/>
      <c r="F138" s="34" t="s">
        <v>8075</v>
      </c>
      <c r="G138" s="22">
        <v>21.4</v>
      </c>
      <c r="K138" s="724"/>
      <c r="M138" s="395"/>
    </row>
    <row r="139" spans="1:13" ht="13.5" customHeight="1" x14ac:dyDescent="0.2">
      <c r="A139" s="137"/>
      <c r="B139" s="34"/>
      <c r="C139" s="284"/>
      <c r="D139" s="25"/>
      <c r="F139" s="34" t="s">
        <v>8076</v>
      </c>
      <c r="G139" s="1361">
        <v>53.97</v>
      </c>
      <c r="K139" s="724"/>
      <c r="M139" s="395"/>
    </row>
    <row r="140" spans="1:13" ht="13.5" customHeight="1" x14ac:dyDescent="0.2">
      <c r="A140" s="137" t="s">
        <v>232</v>
      </c>
      <c r="B140" s="34" t="s">
        <v>1189</v>
      </c>
      <c r="C140" s="284">
        <v>405.68</v>
      </c>
      <c r="D140" s="25"/>
      <c r="F140" s="34" t="s">
        <v>6960</v>
      </c>
      <c r="G140" s="1097">
        <v>8.98</v>
      </c>
      <c r="K140" s="724"/>
      <c r="M140" s="395"/>
    </row>
    <row r="141" spans="1:13" ht="13.5" customHeight="1" x14ac:dyDescent="0.2">
      <c r="A141" s="137" t="s">
        <v>232</v>
      </c>
      <c r="B141" s="34" t="s">
        <v>546</v>
      </c>
      <c r="C141" s="22">
        <v>700</v>
      </c>
      <c r="D141" s="364"/>
      <c r="F141" s="34" t="s">
        <v>8077</v>
      </c>
      <c r="G141" s="22">
        <v>17.96</v>
      </c>
      <c r="K141" s="724"/>
      <c r="M141" s="395"/>
    </row>
    <row r="142" spans="1:13" ht="13.5" customHeight="1" x14ac:dyDescent="0.2">
      <c r="A142" s="137" t="s">
        <v>232</v>
      </c>
      <c r="B142" s="34" t="s">
        <v>7985</v>
      </c>
      <c r="C142" s="22">
        <v>50</v>
      </c>
      <c r="D142" s="25"/>
      <c r="F142" s="34" t="s">
        <v>8078</v>
      </c>
      <c r="G142" s="22">
        <v>12.34</v>
      </c>
      <c r="K142" s="724"/>
      <c r="M142" s="395"/>
    </row>
    <row r="143" spans="1:13" ht="13.5" customHeight="1" x14ac:dyDescent="0.2">
      <c r="A143" s="137" t="s">
        <v>232</v>
      </c>
      <c r="B143" s="34" t="s">
        <v>8001</v>
      </c>
      <c r="C143" s="22">
        <v>60</v>
      </c>
      <c r="D143" s="25"/>
      <c r="F143" s="34" t="s">
        <v>855</v>
      </c>
      <c r="G143" s="22">
        <v>350</v>
      </c>
      <c r="K143" s="724"/>
      <c r="M143" s="395"/>
    </row>
    <row r="144" spans="1:13" ht="13.5" customHeight="1" x14ac:dyDescent="0.2">
      <c r="A144" s="137" t="s">
        <v>232</v>
      </c>
      <c r="B144" s="34" t="s">
        <v>1034</v>
      </c>
      <c r="C144" s="1361">
        <v>60</v>
      </c>
      <c r="D144" s="364"/>
      <c r="F144" s="34" t="s">
        <v>855</v>
      </c>
      <c r="G144" s="22">
        <v>350</v>
      </c>
      <c r="K144" s="724"/>
      <c r="M144" s="395"/>
    </row>
    <row r="145" spans="1:14" ht="13.5" customHeight="1" x14ac:dyDescent="0.2">
      <c r="A145" s="137" t="s">
        <v>232</v>
      </c>
      <c r="B145" s="34" t="s">
        <v>1034</v>
      </c>
      <c r="C145" s="22">
        <v>120</v>
      </c>
      <c r="D145" s="25"/>
      <c r="F145" s="34" t="s">
        <v>855</v>
      </c>
      <c r="G145" s="22">
        <v>350</v>
      </c>
      <c r="K145" s="724"/>
      <c r="M145" s="395"/>
    </row>
    <row r="146" spans="1:14" ht="13.5" customHeight="1" x14ac:dyDescent="0.2">
      <c r="A146" s="137" t="s">
        <v>232</v>
      </c>
      <c r="B146" s="34" t="s">
        <v>1034</v>
      </c>
      <c r="C146" s="1361">
        <v>240</v>
      </c>
      <c r="D146" s="364"/>
      <c r="F146" s="34" t="s">
        <v>855</v>
      </c>
      <c r="G146" s="1361">
        <v>350</v>
      </c>
      <c r="K146" s="724"/>
      <c r="M146" s="395"/>
    </row>
    <row r="147" spans="1:14" ht="13.5" customHeight="1" x14ac:dyDescent="0.2">
      <c r="A147" s="137" t="s">
        <v>232</v>
      </c>
      <c r="B147" s="34" t="s">
        <v>838</v>
      </c>
      <c r="C147" s="173">
        <v>874.125</v>
      </c>
      <c r="D147" s="364"/>
      <c r="F147" s="36" t="s">
        <v>7147</v>
      </c>
      <c r="G147" s="12">
        <v>151.9</v>
      </c>
      <c r="K147" s="724"/>
      <c r="M147" s="395"/>
    </row>
    <row r="148" spans="1:14" ht="13.5" customHeight="1" x14ac:dyDescent="0.2">
      <c r="A148" s="137"/>
      <c r="B148" s="34"/>
      <c r="C148" s="1363">
        <f>SUM(C140:C147)</f>
        <v>2509.8050000000003</v>
      </c>
      <c r="D148" s="364"/>
      <c r="G148" s="1366">
        <f>SUM(G137:G147)</f>
        <v>1748.25</v>
      </c>
      <c r="K148" s="724"/>
      <c r="M148" s="395"/>
      <c r="N148"/>
    </row>
    <row r="149" spans="1:14" ht="13.5" customHeight="1" x14ac:dyDescent="0.2">
      <c r="A149" s="137"/>
      <c r="B149" s="34"/>
      <c r="C149" s="1361"/>
      <c r="D149" s="364"/>
      <c r="K149" s="724"/>
      <c r="M149" s="395"/>
    </row>
    <row r="150" spans="1:14" ht="13.5" customHeight="1" x14ac:dyDescent="0.2">
      <c r="A150" s="137" t="s">
        <v>234</v>
      </c>
      <c r="B150" s="34" t="s">
        <v>7886</v>
      </c>
      <c r="C150" s="22">
        <v>29</v>
      </c>
      <c r="D150" s="25"/>
      <c r="K150" s="724"/>
      <c r="M150" s="395"/>
      <c r="N150"/>
    </row>
    <row r="151" spans="1:14" ht="13.5" customHeight="1" x14ac:dyDescent="0.2">
      <c r="A151" s="137" t="s">
        <v>234</v>
      </c>
      <c r="B151" s="34" t="s">
        <v>8079</v>
      </c>
      <c r="C151" s="22">
        <v>113.5</v>
      </c>
      <c r="D151" s="25"/>
      <c r="K151" s="724"/>
      <c r="M151" s="395"/>
    </row>
    <row r="152" spans="1:14" ht="13.5" customHeight="1" x14ac:dyDescent="0.2">
      <c r="A152" s="137"/>
      <c r="B152" s="34"/>
      <c r="C152" s="1364">
        <f>SUM(C150:C151)</f>
        <v>142.5</v>
      </c>
      <c r="D152" s="25"/>
      <c r="K152" s="724"/>
      <c r="M152" s="395"/>
      <c r="N152"/>
    </row>
    <row r="153" spans="1:14" ht="13.5" customHeight="1" x14ac:dyDescent="0.2">
      <c r="A153" s="137"/>
      <c r="B153" s="34"/>
      <c r="C153" s="22"/>
      <c r="D153" s="25"/>
      <c r="K153" s="724"/>
      <c r="M153" s="395"/>
    </row>
    <row r="154" spans="1:14" ht="13.5" customHeight="1" x14ac:dyDescent="0.2">
      <c r="A154" s="137" t="s">
        <v>234</v>
      </c>
      <c r="B154" s="34" t="s">
        <v>2514</v>
      </c>
      <c r="C154" s="284">
        <v>113.5</v>
      </c>
      <c r="D154" s="25"/>
      <c r="K154" s="724"/>
      <c r="M154" s="395"/>
    </row>
    <row r="155" spans="1:14" ht="13.5" customHeight="1" x14ac:dyDescent="0.2">
      <c r="A155" s="137" t="s">
        <v>234</v>
      </c>
      <c r="B155" s="34" t="s">
        <v>8038</v>
      </c>
      <c r="C155" s="284">
        <v>422.48</v>
      </c>
      <c r="D155" s="25"/>
      <c r="K155" s="724"/>
      <c r="M155" s="395"/>
    </row>
    <row r="156" spans="1:14" ht="13.5" customHeight="1" x14ac:dyDescent="0.2">
      <c r="A156" s="137" t="s">
        <v>234</v>
      </c>
      <c r="B156" s="34" t="s">
        <v>166</v>
      </c>
      <c r="C156" s="1361">
        <v>26.75</v>
      </c>
      <c r="D156" s="364"/>
      <c r="K156" s="724"/>
      <c r="M156" s="395"/>
    </row>
    <row r="157" spans="1:14" ht="13.5" customHeight="1" x14ac:dyDescent="0.2">
      <c r="A157" s="137" t="s">
        <v>234</v>
      </c>
      <c r="B157" s="36" t="s">
        <v>7993</v>
      </c>
      <c r="C157" s="675">
        <v>9.9</v>
      </c>
      <c r="D157" s="60"/>
      <c r="K157" s="724"/>
      <c r="M157" s="1367"/>
    </row>
    <row r="158" spans="1:14" ht="13.5" customHeight="1" x14ac:dyDescent="0.2">
      <c r="A158" s="137" t="s">
        <v>234</v>
      </c>
      <c r="B158" s="36" t="s">
        <v>7983</v>
      </c>
      <c r="C158" s="675">
        <v>9.4499999999999993</v>
      </c>
      <c r="D158" s="60"/>
      <c r="K158" s="724"/>
      <c r="M158" s="395"/>
    </row>
    <row r="159" spans="1:14" ht="13.5" customHeight="1" x14ac:dyDescent="0.2">
      <c r="A159" s="137" t="s">
        <v>234</v>
      </c>
      <c r="B159" s="33" t="s">
        <v>7996</v>
      </c>
      <c r="C159" s="1368">
        <v>10</v>
      </c>
      <c r="D159" s="335"/>
      <c r="K159" s="724"/>
      <c r="M159" s="395"/>
    </row>
    <row r="160" spans="1:14" ht="13.5" customHeight="1" x14ac:dyDescent="0.2">
      <c r="A160" s="137" t="s">
        <v>234</v>
      </c>
      <c r="B160" s="36" t="s">
        <v>7998</v>
      </c>
      <c r="C160" s="675">
        <v>6.2</v>
      </c>
      <c r="D160" s="60"/>
      <c r="K160" s="724"/>
      <c r="M160" s="395"/>
    </row>
    <row r="161" spans="1:14" ht="13.5" customHeight="1" x14ac:dyDescent="0.2">
      <c r="A161" s="137" t="s">
        <v>234</v>
      </c>
      <c r="B161" s="34" t="s">
        <v>7953</v>
      </c>
      <c r="C161" s="675">
        <v>30</v>
      </c>
      <c r="D161" s="60"/>
      <c r="K161" s="724"/>
      <c r="M161" s="395"/>
      <c r="N161"/>
    </row>
    <row r="162" spans="1:14" ht="13.5" customHeight="1" x14ac:dyDescent="0.2">
      <c r="A162" s="137" t="s">
        <v>234</v>
      </c>
      <c r="B162" s="36" t="s">
        <v>7997</v>
      </c>
      <c r="C162" s="1368">
        <v>7.5</v>
      </c>
      <c r="D162" s="335"/>
      <c r="K162" s="724"/>
      <c r="M162" s="395"/>
    </row>
    <row r="163" spans="1:14" ht="13.5" customHeight="1" x14ac:dyDescent="0.2">
      <c r="A163" s="137" t="s">
        <v>234</v>
      </c>
      <c r="B163" s="36" t="s">
        <v>7810</v>
      </c>
      <c r="C163" s="1368">
        <v>20.9</v>
      </c>
      <c r="D163" s="335"/>
      <c r="K163" s="724"/>
      <c r="M163" s="395"/>
    </row>
    <row r="164" spans="1:14" ht="13.5" customHeight="1" x14ac:dyDescent="0.2">
      <c r="A164" s="137" t="s">
        <v>234</v>
      </c>
      <c r="B164" s="36" t="s">
        <v>7882</v>
      </c>
      <c r="C164" s="675">
        <v>9.99</v>
      </c>
      <c r="D164" s="60"/>
      <c r="K164" s="724"/>
      <c r="M164" s="395"/>
    </row>
    <row r="165" spans="1:14" ht="13.5" customHeight="1" x14ac:dyDescent="0.2">
      <c r="A165" s="137" t="s">
        <v>234</v>
      </c>
      <c r="B165" s="36" t="s">
        <v>8012</v>
      </c>
      <c r="C165" s="675">
        <v>20</v>
      </c>
      <c r="D165" s="60"/>
      <c r="K165" s="724"/>
      <c r="M165" s="395"/>
    </row>
    <row r="166" spans="1:14" ht="13.5" customHeight="1" x14ac:dyDescent="0.2">
      <c r="A166" s="137" t="s">
        <v>234</v>
      </c>
      <c r="B166" s="36" t="s">
        <v>7881</v>
      </c>
      <c r="C166" s="675">
        <v>10</v>
      </c>
      <c r="D166" s="60"/>
      <c r="K166" s="724"/>
      <c r="M166" s="395"/>
    </row>
    <row r="167" spans="1:14" ht="13.5" customHeight="1" x14ac:dyDescent="0.2">
      <c r="A167" s="137" t="s">
        <v>234</v>
      </c>
      <c r="B167" s="36" t="s">
        <v>7884</v>
      </c>
      <c r="C167" s="675">
        <v>2.4</v>
      </c>
      <c r="D167" s="60"/>
      <c r="K167" s="724"/>
      <c r="M167" s="395"/>
    </row>
    <row r="168" spans="1:14" ht="13.5" customHeight="1" x14ac:dyDescent="0.2">
      <c r="A168" s="137" t="s">
        <v>234</v>
      </c>
      <c r="B168" s="34" t="s">
        <v>7995</v>
      </c>
      <c r="C168" s="1368">
        <v>1.3</v>
      </c>
      <c r="D168" s="335"/>
      <c r="K168" s="724"/>
      <c r="M168" s="395"/>
    </row>
    <row r="169" spans="1:14" ht="13.5" customHeight="1" x14ac:dyDescent="0.2">
      <c r="A169" s="137" t="s">
        <v>234</v>
      </c>
      <c r="B169" s="36" t="s">
        <v>7995</v>
      </c>
      <c r="C169" s="1368">
        <v>2.6</v>
      </c>
      <c r="D169" s="335"/>
      <c r="K169" s="724"/>
      <c r="M169" s="395"/>
    </row>
    <row r="170" spans="1:14" ht="13.5" customHeight="1" x14ac:dyDescent="0.2">
      <c r="A170" s="137" t="s">
        <v>234</v>
      </c>
      <c r="B170" s="36" t="s">
        <v>1106</v>
      </c>
      <c r="C170" s="675">
        <v>1.3</v>
      </c>
      <c r="D170" s="60"/>
      <c r="K170" s="724"/>
      <c r="M170" s="395"/>
    </row>
    <row r="171" spans="1:14" ht="13.5" customHeight="1" x14ac:dyDescent="0.2">
      <c r="A171" s="137" t="s">
        <v>234</v>
      </c>
      <c r="B171" s="36" t="s">
        <v>7954</v>
      </c>
      <c r="C171" s="675">
        <v>10</v>
      </c>
      <c r="D171" s="60"/>
      <c r="K171" s="724"/>
      <c r="M171" s="395"/>
    </row>
    <row r="172" spans="1:14" ht="13.5" customHeight="1" x14ac:dyDescent="0.2">
      <c r="A172" s="137" t="s">
        <v>234</v>
      </c>
      <c r="B172" s="36" t="s">
        <v>7971</v>
      </c>
      <c r="C172" s="675">
        <v>16</v>
      </c>
      <c r="D172" s="60"/>
      <c r="K172" s="724"/>
      <c r="M172" s="395"/>
      <c r="N172"/>
    </row>
    <row r="173" spans="1:14" ht="13.5" customHeight="1" x14ac:dyDescent="0.2">
      <c r="A173" s="137" t="s">
        <v>234</v>
      </c>
      <c r="B173" s="34" t="s">
        <v>7883</v>
      </c>
      <c r="C173" s="675">
        <v>4.5</v>
      </c>
      <c r="D173" s="60"/>
      <c r="K173" s="724"/>
      <c r="M173" s="395"/>
    </row>
    <row r="174" spans="1:14" ht="13.5" customHeight="1" x14ac:dyDescent="0.2">
      <c r="A174" s="137" t="s">
        <v>234</v>
      </c>
      <c r="B174" s="36" t="s">
        <v>8000</v>
      </c>
      <c r="C174" s="1368">
        <v>4</v>
      </c>
      <c r="D174" s="335"/>
      <c r="K174" s="724"/>
      <c r="M174" s="395"/>
    </row>
    <row r="175" spans="1:14" ht="13.5" customHeight="1" x14ac:dyDescent="0.2">
      <c r="A175" s="137" t="s">
        <v>234</v>
      </c>
      <c r="B175" s="34" t="s">
        <v>7992</v>
      </c>
      <c r="C175" s="675">
        <v>70</v>
      </c>
      <c r="D175" s="60"/>
      <c r="K175" s="724"/>
      <c r="M175" s="395"/>
    </row>
    <row r="176" spans="1:14" ht="13.5" customHeight="1" x14ac:dyDescent="0.2">
      <c r="A176" s="137" t="s">
        <v>234</v>
      </c>
      <c r="B176" s="36" t="s">
        <v>7887</v>
      </c>
      <c r="C176" s="675">
        <v>8</v>
      </c>
      <c r="D176" s="60"/>
      <c r="K176" s="724"/>
      <c r="M176" s="395"/>
      <c r="N176"/>
    </row>
    <row r="177" spans="1:14" ht="13.5" customHeight="1" x14ac:dyDescent="0.2">
      <c r="A177" s="137" t="s">
        <v>234</v>
      </c>
      <c r="B177" s="34" t="s">
        <v>7999</v>
      </c>
      <c r="C177" s="675">
        <v>7.8</v>
      </c>
      <c r="D177" s="60"/>
      <c r="K177" s="724"/>
      <c r="M177" s="395"/>
    </row>
    <row r="178" spans="1:14" ht="13.5" customHeight="1" x14ac:dyDescent="0.2">
      <c r="A178" s="137" t="s">
        <v>234</v>
      </c>
      <c r="B178" s="34" t="s">
        <v>7979</v>
      </c>
      <c r="C178" s="22">
        <v>16</v>
      </c>
      <c r="D178" s="314"/>
      <c r="K178" s="724"/>
      <c r="M178" s="395"/>
    </row>
    <row r="179" spans="1:14" ht="13.5" customHeight="1" x14ac:dyDescent="0.2">
      <c r="A179" s="137" t="s">
        <v>234</v>
      </c>
      <c r="B179" s="34" t="s">
        <v>7994</v>
      </c>
      <c r="C179" s="1361">
        <v>10</v>
      </c>
      <c r="D179" s="359"/>
      <c r="K179" s="724"/>
      <c r="M179" s="395"/>
    </row>
    <row r="180" spans="1:14" ht="13.5" customHeight="1" x14ac:dyDescent="0.2">
      <c r="A180" s="137" t="s">
        <v>234</v>
      </c>
      <c r="B180" s="34" t="s">
        <v>179</v>
      </c>
      <c r="C180" s="284">
        <v>112.1</v>
      </c>
      <c r="D180" s="314"/>
      <c r="K180" s="724"/>
      <c r="M180" s="395"/>
    </row>
    <row r="181" spans="1:14" ht="13.5" customHeight="1" x14ac:dyDescent="0.2">
      <c r="A181" s="137" t="s">
        <v>234</v>
      </c>
      <c r="B181" s="34" t="s">
        <v>8030</v>
      </c>
      <c r="C181" s="284">
        <v>442.35</v>
      </c>
      <c r="D181" s="314"/>
      <c r="K181" s="724"/>
      <c r="M181" s="395"/>
    </row>
    <row r="182" spans="1:14" ht="13.5" customHeight="1" x14ac:dyDescent="0.2">
      <c r="A182" s="137" t="s">
        <v>234</v>
      </c>
      <c r="B182" s="34" t="s">
        <v>8037</v>
      </c>
      <c r="C182" s="284">
        <v>475</v>
      </c>
      <c r="D182" s="314"/>
      <c r="K182" s="724"/>
      <c r="M182" s="395"/>
    </row>
    <row r="183" spans="1:14" ht="13.5" customHeight="1" x14ac:dyDescent="0.2">
      <c r="A183" s="137" t="s">
        <v>234</v>
      </c>
      <c r="B183" s="45" t="s">
        <v>8061</v>
      </c>
      <c r="C183" s="284">
        <v>64.5</v>
      </c>
      <c r="D183" s="314"/>
      <c r="K183" s="724"/>
      <c r="M183" s="395"/>
    </row>
    <row r="184" spans="1:14" ht="13.5" customHeight="1" x14ac:dyDescent="0.2">
      <c r="A184" s="137" t="s">
        <v>234</v>
      </c>
      <c r="B184" s="34" t="s">
        <v>8063</v>
      </c>
      <c r="C184" s="284">
        <v>10</v>
      </c>
      <c r="D184" s="314"/>
      <c r="K184" s="724"/>
      <c r="M184" s="395"/>
    </row>
    <row r="185" spans="1:14" ht="13.5" customHeight="1" x14ac:dyDescent="0.2">
      <c r="A185" s="137"/>
      <c r="B185" s="34"/>
      <c r="C185" s="1100">
        <f>SUM(C154:C184)</f>
        <v>1954.52</v>
      </c>
      <c r="D185" s="314"/>
      <c r="K185" s="724"/>
      <c r="M185" s="395"/>
    </row>
    <row r="186" spans="1:14" ht="13.5" customHeight="1" x14ac:dyDescent="0.2">
      <c r="A186" s="137"/>
      <c r="B186" s="34"/>
      <c r="C186" s="284"/>
      <c r="D186" s="314"/>
      <c r="K186" s="724"/>
      <c r="M186" s="395"/>
    </row>
    <row r="187" spans="1:14" ht="13.5" customHeight="1" x14ac:dyDescent="0.2">
      <c r="A187" s="137" t="s">
        <v>235</v>
      </c>
      <c r="B187" s="34" t="s">
        <v>195</v>
      </c>
      <c r="C187" s="284">
        <v>381.94</v>
      </c>
      <c r="D187" s="314"/>
      <c r="K187" s="724"/>
      <c r="M187" s="395"/>
    </row>
    <row r="188" spans="1:14" ht="13.5" customHeight="1" x14ac:dyDescent="0.2">
      <c r="A188" s="137" t="s">
        <v>235</v>
      </c>
      <c r="B188" s="34" t="s">
        <v>194</v>
      </c>
      <c r="C188" s="284">
        <v>82.75</v>
      </c>
      <c r="D188" s="314"/>
      <c r="K188" s="724"/>
      <c r="M188" s="395"/>
    </row>
    <row r="189" spans="1:14" ht="13.5" customHeight="1" x14ac:dyDescent="0.2">
      <c r="A189" s="137"/>
      <c r="B189" s="34"/>
      <c r="C189" s="1100">
        <f>SUM(C187:C188)</f>
        <v>464.69</v>
      </c>
      <c r="D189" s="314"/>
      <c r="K189" s="724"/>
      <c r="M189" s="395"/>
    </row>
    <row r="190" spans="1:14" ht="13.5" customHeight="1" x14ac:dyDescent="0.2">
      <c r="A190" s="137"/>
      <c r="B190" s="34"/>
      <c r="C190" s="284"/>
      <c r="D190" s="314"/>
      <c r="K190" s="724"/>
      <c r="M190" s="395"/>
    </row>
    <row r="191" spans="1:14" ht="13.5" customHeight="1" x14ac:dyDescent="0.2">
      <c r="A191" s="137" t="s">
        <v>236</v>
      </c>
      <c r="B191" s="34" t="s">
        <v>1002</v>
      </c>
      <c r="C191" s="173">
        <v>5948.34</v>
      </c>
      <c r="D191" s="314"/>
      <c r="K191" s="724"/>
      <c r="M191" s="395"/>
      <c r="N191"/>
    </row>
    <row r="192" spans="1:14" ht="13.5" customHeight="1" x14ac:dyDescent="0.2">
      <c r="A192" s="137" t="s">
        <v>236</v>
      </c>
      <c r="B192" s="36" t="s">
        <v>132</v>
      </c>
      <c r="C192" s="89">
        <v>660.23</v>
      </c>
      <c r="D192" s="60"/>
      <c r="K192" s="724"/>
      <c r="M192" s="325"/>
    </row>
    <row r="193" spans="1:14" ht="13.5" customHeight="1" x14ac:dyDescent="0.2">
      <c r="A193" s="137" t="s">
        <v>236</v>
      </c>
      <c r="B193" s="36" t="s">
        <v>130</v>
      </c>
      <c r="C193" s="89">
        <v>147.11000000000001</v>
      </c>
      <c r="D193" s="60"/>
      <c r="K193" s="724"/>
      <c r="M193" s="395"/>
    </row>
    <row r="194" spans="1:14" ht="13.5" customHeight="1" x14ac:dyDescent="0.2">
      <c r="A194" s="137" t="s">
        <v>236</v>
      </c>
      <c r="B194" s="34" t="s">
        <v>53</v>
      </c>
      <c r="C194" s="89">
        <v>511.71</v>
      </c>
      <c r="D194" s="60"/>
      <c r="K194" s="724"/>
      <c r="M194" s="395"/>
    </row>
    <row r="195" spans="1:14" ht="13.5" customHeight="1" x14ac:dyDescent="0.2">
      <c r="A195" s="137" t="s">
        <v>236</v>
      </c>
      <c r="B195" s="34" t="s">
        <v>55</v>
      </c>
      <c r="C195" s="89">
        <v>350</v>
      </c>
      <c r="D195" s="60"/>
      <c r="K195" s="724"/>
      <c r="M195" s="325"/>
    </row>
    <row r="196" spans="1:14" ht="13.5" customHeight="1" x14ac:dyDescent="0.2">
      <c r="A196" s="137" t="s">
        <v>236</v>
      </c>
      <c r="B196" s="36" t="s">
        <v>136</v>
      </c>
      <c r="C196" s="89">
        <v>37.9</v>
      </c>
      <c r="D196" s="60"/>
      <c r="K196" s="724"/>
      <c r="M196" s="325"/>
    </row>
    <row r="197" spans="1:14" ht="13.5" customHeight="1" x14ac:dyDescent="0.2">
      <c r="A197" s="137" t="s">
        <v>236</v>
      </c>
      <c r="B197" s="36" t="s">
        <v>7967</v>
      </c>
      <c r="C197" s="89">
        <v>377.1</v>
      </c>
      <c r="D197" s="60"/>
      <c r="F197"/>
      <c r="K197" s="724"/>
      <c r="M197" s="395"/>
    </row>
    <row r="198" spans="1:14" ht="13.5" customHeight="1" x14ac:dyDescent="0.2">
      <c r="A198" s="137" t="s">
        <v>236</v>
      </c>
      <c r="B198" s="36" t="s">
        <v>7929</v>
      </c>
      <c r="C198" s="89">
        <v>46.07</v>
      </c>
      <c r="D198" s="60"/>
      <c r="F198"/>
      <c r="K198" s="724"/>
      <c r="M198" s="395"/>
      <c r="N198"/>
    </row>
    <row r="199" spans="1:14" ht="13.5" customHeight="1" x14ac:dyDescent="0.2">
      <c r="A199" s="137" t="s">
        <v>236</v>
      </c>
      <c r="B199" s="36" t="s">
        <v>133</v>
      </c>
      <c r="C199" s="89">
        <v>904.47</v>
      </c>
      <c r="D199" s="60"/>
      <c r="F199"/>
      <c r="H199"/>
      <c r="I199"/>
      <c r="J199"/>
      <c r="K199" s="724"/>
      <c r="M199" s="395"/>
    </row>
    <row r="200" spans="1:14" ht="13.5" customHeight="1" x14ac:dyDescent="0.2">
      <c r="A200" s="137" t="s">
        <v>236</v>
      </c>
      <c r="B200" s="36" t="s">
        <v>82</v>
      </c>
      <c r="C200" s="89">
        <v>325.88</v>
      </c>
      <c r="D200" s="60"/>
      <c r="H200"/>
      <c r="I200"/>
      <c r="J200"/>
      <c r="K200" s="724"/>
      <c r="M200" s="395"/>
    </row>
    <row r="201" spans="1:14" ht="13.5" customHeight="1" x14ac:dyDescent="0.2">
      <c r="A201" s="137" t="s">
        <v>236</v>
      </c>
      <c r="B201" s="34" t="s">
        <v>18</v>
      </c>
      <c r="C201" s="89">
        <v>375.15</v>
      </c>
      <c r="D201" s="60"/>
      <c r="H201"/>
      <c r="I201"/>
      <c r="J201"/>
      <c r="K201" s="724"/>
      <c r="M201" s="395"/>
    </row>
    <row r="202" spans="1:14" ht="13.5" customHeight="1" x14ac:dyDescent="0.2">
      <c r="A202" s="137" t="s">
        <v>236</v>
      </c>
      <c r="B202" s="36" t="s">
        <v>114</v>
      </c>
      <c r="C202" s="89">
        <v>213.84</v>
      </c>
      <c r="D202" s="60"/>
      <c r="E202"/>
      <c r="K202" s="724"/>
      <c r="L202"/>
      <c r="M202" s="395"/>
    </row>
    <row r="203" spans="1:14" ht="13.5" customHeight="1" x14ac:dyDescent="0.2">
      <c r="A203" s="137" t="s">
        <v>236</v>
      </c>
      <c r="B203" s="34" t="s">
        <v>7972</v>
      </c>
      <c r="C203" s="89">
        <v>5400</v>
      </c>
      <c r="D203" s="60"/>
      <c r="K203" s="724"/>
      <c r="M203" s="395"/>
      <c r="N203"/>
    </row>
    <row r="204" spans="1:14" ht="13.5" customHeight="1" x14ac:dyDescent="0.2">
      <c r="A204" s="137" t="s">
        <v>236</v>
      </c>
      <c r="B204" s="36" t="s">
        <v>7975</v>
      </c>
      <c r="C204" s="89">
        <v>1000</v>
      </c>
      <c r="D204" s="60"/>
      <c r="K204" s="724"/>
      <c r="M204" s="395"/>
    </row>
    <row r="205" spans="1:14" ht="13.5" customHeight="1" x14ac:dyDescent="0.2">
      <c r="A205" s="137" t="s">
        <v>236</v>
      </c>
      <c r="B205" s="34" t="s">
        <v>7963</v>
      </c>
      <c r="C205" s="89">
        <v>144.31</v>
      </c>
      <c r="D205" s="60"/>
      <c r="K205" s="724"/>
      <c r="M205" s="1367"/>
    </row>
    <row r="206" spans="1:14" ht="13.5" customHeight="1" x14ac:dyDescent="0.2">
      <c r="A206" s="137" t="s">
        <v>236</v>
      </c>
      <c r="B206" s="34" t="s">
        <v>8008</v>
      </c>
      <c r="C206" s="89">
        <v>1500</v>
      </c>
      <c r="D206" s="60"/>
      <c r="K206" s="724"/>
      <c r="M206" s="395"/>
    </row>
    <row r="207" spans="1:14" ht="13.5" customHeight="1" x14ac:dyDescent="0.2">
      <c r="A207" s="137"/>
      <c r="B207" s="34"/>
      <c r="C207" s="1100">
        <f>SUM(C191:C206)</f>
        <v>17942.109999999997</v>
      </c>
      <c r="D207" s="314"/>
      <c r="K207" s="724"/>
      <c r="M207" s="395"/>
    </row>
    <row r="208" spans="1:14" ht="13.5" customHeight="1" x14ac:dyDescent="0.2">
      <c r="A208" s="137"/>
      <c r="B208" s="34"/>
      <c r="C208" s="284"/>
      <c r="D208" s="314"/>
      <c r="K208" s="724"/>
      <c r="M208" s="395"/>
    </row>
    <row r="209" spans="1:14" ht="13.5" customHeight="1" x14ac:dyDescent="0.2">
      <c r="A209" s="137" t="s">
        <v>236</v>
      </c>
      <c r="B209" s="34" t="s">
        <v>38</v>
      </c>
      <c r="C209" s="22">
        <v>5000</v>
      </c>
      <c r="D209" s="314"/>
      <c r="K209" s="724"/>
      <c r="M209" s="1367"/>
    </row>
    <row r="210" spans="1:14" ht="13.5" customHeight="1" x14ac:dyDescent="0.2">
      <c r="A210" s="137" t="s">
        <v>236</v>
      </c>
      <c r="B210" s="36" t="s">
        <v>7931</v>
      </c>
      <c r="C210" s="89">
        <v>51.42</v>
      </c>
      <c r="D210" s="60"/>
      <c r="K210" s="724"/>
      <c r="M210" s="395"/>
    </row>
    <row r="211" spans="1:14" ht="13.5" customHeight="1" x14ac:dyDescent="0.2">
      <c r="A211" s="137"/>
      <c r="B211" s="36"/>
      <c r="C211" s="1118">
        <f>SUM(C209:C210)</f>
        <v>5051.42</v>
      </c>
      <c r="D211" s="60"/>
      <c r="K211" s="724"/>
      <c r="M211" s="395"/>
    </row>
    <row r="212" spans="1:14" ht="13.5" customHeight="1" x14ac:dyDescent="0.2">
      <c r="A212" s="137"/>
      <c r="B212" s="36"/>
      <c r="C212" s="89"/>
      <c r="D212" s="60"/>
      <c r="K212" s="724"/>
      <c r="M212" s="395"/>
      <c r="N212"/>
    </row>
    <row r="213" spans="1:14" ht="13.5" customHeight="1" x14ac:dyDescent="0.2">
      <c r="A213" s="137" t="s">
        <v>237</v>
      </c>
      <c r="B213" s="36" t="s">
        <v>8045</v>
      </c>
      <c r="C213" s="89">
        <v>750</v>
      </c>
      <c r="D213" s="60"/>
      <c r="K213" s="724"/>
      <c r="M213" s="395"/>
    </row>
    <row r="214" spans="1:14" ht="13.5" customHeight="1" x14ac:dyDescent="0.2">
      <c r="A214" s="137" t="s">
        <v>237</v>
      </c>
      <c r="B214" s="36" t="s">
        <v>8044</v>
      </c>
      <c r="C214" s="89">
        <v>2000</v>
      </c>
      <c r="D214" s="60"/>
      <c r="K214" s="724"/>
      <c r="M214" s="395"/>
    </row>
    <row r="215" spans="1:14" ht="13.5" customHeight="1" x14ac:dyDescent="0.2">
      <c r="A215" s="137" t="s">
        <v>237</v>
      </c>
      <c r="B215" s="34" t="s">
        <v>7879</v>
      </c>
      <c r="C215" s="89">
        <v>2000</v>
      </c>
      <c r="D215" s="60"/>
      <c r="K215" s="724"/>
      <c r="M215" s="395"/>
    </row>
    <row r="216" spans="1:14" ht="13.5" customHeight="1" x14ac:dyDescent="0.2">
      <c r="A216" s="137" t="s">
        <v>237</v>
      </c>
      <c r="B216" s="36" t="s">
        <v>8066</v>
      </c>
      <c r="C216" s="249">
        <v>80</v>
      </c>
      <c r="D216" s="69"/>
      <c r="K216" s="724"/>
      <c r="M216" s="395"/>
    </row>
    <row r="217" spans="1:14" ht="13.5" customHeight="1" x14ac:dyDescent="0.2">
      <c r="A217" s="137" t="s">
        <v>237</v>
      </c>
      <c r="B217" s="34" t="s">
        <v>388</v>
      </c>
      <c r="C217" s="89">
        <v>1830</v>
      </c>
      <c r="D217" s="60"/>
      <c r="K217" s="724"/>
      <c r="M217" s="395"/>
    </row>
    <row r="218" spans="1:14" ht="13.5" customHeight="1" x14ac:dyDescent="0.2">
      <c r="A218" s="137"/>
      <c r="B218" s="34"/>
      <c r="C218" s="1118">
        <f>SUM(C213:C217)</f>
        <v>6660</v>
      </c>
      <c r="D218" s="60"/>
      <c r="K218" s="724"/>
      <c r="M218" s="395"/>
    </row>
    <row r="219" spans="1:14" ht="13.5" customHeight="1" x14ac:dyDescent="0.2">
      <c r="A219" s="137"/>
      <c r="B219" s="34"/>
      <c r="C219" s="89"/>
      <c r="D219" s="60"/>
      <c r="K219" s="724"/>
      <c r="M219" s="395"/>
      <c r="N219"/>
    </row>
    <row r="220" spans="1:14" ht="13.5" customHeight="1" x14ac:dyDescent="0.2">
      <c r="A220" s="137" t="s">
        <v>238</v>
      </c>
      <c r="B220" s="36" t="s">
        <v>20</v>
      </c>
      <c r="C220" s="675">
        <v>-0.02</v>
      </c>
      <c r="D220" s="1097"/>
      <c r="K220" s="724"/>
      <c r="M220" s="395"/>
    </row>
    <row r="221" spans="1:14" ht="13.5" customHeight="1" x14ac:dyDescent="0.2">
      <c r="A221" s="137" t="s">
        <v>238</v>
      </c>
      <c r="B221" s="34" t="s">
        <v>20</v>
      </c>
      <c r="C221" s="675">
        <v>-0.02</v>
      </c>
      <c r="D221" s="1097"/>
      <c r="K221" s="724"/>
      <c r="M221" s="395"/>
    </row>
    <row r="222" spans="1:14" ht="13.5" customHeight="1" x14ac:dyDescent="0.2">
      <c r="A222" s="137" t="s">
        <v>238</v>
      </c>
      <c r="B222" s="36" t="s">
        <v>20</v>
      </c>
      <c r="C222" s="675">
        <v>-0.02</v>
      </c>
      <c r="D222" s="1097"/>
      <c r="K222" s="724"/>
      <c r="M222" s="395"/>
    </row>
    <row r="223" spans="1:14" ht="13.5" customHeight="1" x14ac:dyDescent="0.2">
      <c r="A223" s="137" t="s">
        <v>238</v>
      </c>
      <c r="B223" s="34" t="s">
        <v>20</v>
      </c>
      <c r="C223" s="675">
        <v>-0.06</v>
      </c>
      <c r="D223" s="675"/>
      <c r="K223" s="724"/>
      <c r="M223" s="395"/>
    </row>
    <row r="224" spans="1:14" ht="13.5" customHeight="1" x14ac:dyDescent="0.2">
      <c r="A224" s="137" t="s">
        <v>238</v>
      </c>
      <c r="B224" s="34" t="s">
        <v>20</v>
      </c>
      <c r="C224" s="675">
        <v>-0.12</v>
      </c>
      <c r="D224" s="675"/>
      <c r="K224" s="724"/>
      <c r="M224" s="395"/>
    </row>
    <row r="225" spans="1:14" ht="13.5" customHeight="1" x14ac:dyDescent="0.2">
      <c r="A225" s="137" t="s">
        <v>238</v>
      </c>
      <c r="B225" s="34" t="s">
        <v>20</v>
      </c>
      <c r="C225" s="675">
        <v>-0.13</v>
      </c>
      <c r="D225" s="1368"/>
    </row>
    <row r="226" spans="1:14" ht="13.5" customHeight="1" x14ac:dyDescent="0.2">
      <c r="A226" s="137" t="s">
        <v>238</v>
      </c>
      <c r="B226" s="34" t="s">
        <v>20</v>
      </c>
      <c r="C226" s="675">
        <v>-0.31</v>
      </c>
      <c r="D226" s="675"/>
    </row>
    <row r="227" spans="1:14" ht="13.5" customHeight="1" x14ac:dyDescent="0.2">
      <c r="A227" s="137" t="s">
        <v>238</v>
      </c>
      <c r="B227" s="34" t="s">
        <v>20</v>
      </c>
      <c r="C227" s="675">
        <v>-0.57999999999999996</v>
      </c>
      <c r="D227" s="675"/>
      <c r="E227" s="18"/>
    </row>
    <row r="228" spans="1:14" ht="13.5" customHeight="1" x14ac:dyDescent="0.2">
      <c r="A228" s="137" t="s">
        <v>238</v>
      </c>
      <c r="B228" s="34" t="s">
        <v>20</v>
      </c>
      <c r="C228" s="675">
        <v>-0.16</v>
      </c>
      <c r="D228" s="674"/>
    </row>
    <row r="229" spans="1:14" ht="13.5" customHeight="1" x14ac:dyDescent="0.2">
      <c r="A229" s="137" t="s">
        <v>238</v>
      </c>
      <c r="B229" s="34" t="s">
        <v>86</v>
      </c>
      <c r="C229" s="89">
        <v>78</v>
      </c>
      <c r="D229" s="71"/>
    </row>
    <row r="230" spans="1:14" ht="13.5" customHeight="1" x14ac:dyDescent="0.2">
      <c r="A230" s="137" t="s">
        <v>238</v>
      </c>
      <c r="B230" s="34" t="s">
        <v>86</v>
      </c>
      <c r="C230" s="89">
        <v>19</v>
      </c>
      <c r="D230" s="71"/>
    </row>
    <row r="231" spans="1:14" ht="13.5" customHeight="1" x14ac:dyDescent="0.2">
      <c r="A231" s="137" t="s">
        <v>238</v>
      </c>
      <c r="B231" s="34" t="s">
        <v>86</v>
      </c>
      <c r="C231" s="89">
        <v>11.9</v>
      </c>
      <c r="D231" s="71"/>
    </row>
    <row r="232" spans="1:14" ht="13.5" customHeight="1" x14ac:dyDescent="0.2">
      <c r="A232" s="137" t="s">
        <v>238</v>
      </c>
      <c r="B232" s="34" t="s">
        <v>86</v>
      </c>
      <c r="C232" s="89">
        <v>9.5</v>
      </c>
      <c r="D232" s="71"/>
    </row>
    <row r="233" spans="1:14" ht="13.5" customHeight="1" x14ac:dyDescent="0.2">
      <c r="A233" s="137" t="s">
        <v>238</v>
      </c>
      <c r="B233" s="34" t="s">
        <v>86</v>
      </c>
      <c r="C233" s="89">
        <v>72.900000000000006</v>
      </c>
      <c r="D233" s="71"/>
    </row>
    <row r="234" spans="1:14" customFormat="1" ht="13.5" customHeight="1" x14ac:dyDescent="0.2">
      <c r="A234" s="137"/>
      <c r="B234" s="138"/>
      <c r="C234" s="1100">
        <f>SUM(C220:C233)</f>
        <v>189.88</v>
      </c>
      <c r="D234" s="314">
        <f>C234/2</f>
        <v>94.94</v>
      </c>
      <c r="E234" s="1"/>
      <c r="F234" s="1"/>
      <c r="G234" s="40"/>
      <c r="H234" s="1"/>
      <c r="I234" s="1"/>
      <c r="J234" s="1"/>
      <c r="K234" s="96"/>
      <c r="L234" s="1"/>
      <c r="M234" s="1"/>
      <c r="N234" s="1"/>
    </row>
    <row r="235" spans="1:14" customFormat="1" ht="13.5" customHeight="1" x14ac:dyDescent="0.2">
      <c r="A235" s="137"/>
      <c r="B235" s="138"/>
      <c r="C235" s="284"/>
      <c r="D235" s="314"/>
      <c r="E235" s="1"/>
      <c r="F235" s="1"/>
      <c r="G235" s="40"/>
      <c r="H235" s="1"/>
      <c r="I235" s="1"/>
      <c r="J235" s="1"/>
      <c r="K235" s="96"/>
      <c r="L235" s="1"/>
      <c r="M235" s="1"/>
      <c r="N235" s="1"/>
    </row>
    <row r="236" spans="1:14" customFormat="1" ht="13.5" customHeight="1" x14ac:dyDescent="0.2">
      <c r="A236" s="137" t="s">
        <v>8080</v>
      </c>
      <c r="B236" s="34" t="s">
        <v>7127</v>
      </c>
      <c r="C236" s="284">
        <v>152.16</v>
      </c>
      <c r="D236" s="25"/>
      <c r="E236" s="1"/>
      <c r="F236" s="1"/>
      <c r="G236" s="40"/>
      <c r="H236" s="1"/>
      <c r="I236" s="1"/>
      <c r="J236" s="1"/>
      <c r="K236" s="96"/>
      <c r="L236" s="1"/>
      <c r="M236" s="1"/>
      <c r="N236" s="1"/>
    </row>
    <row r="237" spans="1:14" ht="13.5" customHeight="1" x14ac:dyDescent="0.2">
      <c r="A237" s="137" t="s">
        <v>8080</v>
      </c>
      <c r="B237" s="34" t="s">
        <v>7127</v>
      </c>
      <c r="C237" s="284">
        <v>100</v>
      </c>
      <c r="D237" s="25"/>
    </row>
    <row r="238" spans="1:14" ht="13.5" customHeight="1" x14ac:dyDescent="0.2">
      <c r="A238" s="137" t="s">
        <v>8080</v>
      </c>
      <c r="B238" s="34" t="s">
        <v>7127</v>
      </c>
      <c r="C238" s="284">
        <v>100</v>
      </c>
      <c r="D238" s="25"/>
    </row>
    <row r="239" spans="1:14" ht="13.5" customHeight="1" x14ac:dyDescent="0.2">
      <c r="A239" s="137" t="s">
        <v>8080</v>
      </c>
      <c r="B239" s="34" t="s">
        <v>7127</v>
      </c>
      <c r="C239" s="173">
        <v>152.16</v>
      </c>
      <c r="D239" s="25"/>
    </row>
    <row r="240" spans="1:14" ht="13.5" customHeight="1" x14ac:dyDescent="0.2">
      <c r="A240" s="137" t="s">
        <v>8080</v>
      </c>
      <c r="B240" s="34" t="s">
        <v>7127</v>
      </c>
      <c r="C240" s="173">
        <v>303</v>
      </c>
      <c r="D240" s="25"/>
    </row>
    <row r="241" spans="1:4" ht="13.5" customHeight="1" x14ac:dyDescent="0.2">
      <c r="A241" s="137"/>
      <c r="B241" s="34"/>
      <c r="C241" s="1100">
        <f>SUM(C236:C240)</f>
        <v>807.31999999999994</v>
      </c>
      <c r="D241" s="314">
        <f>C241/2</f>
        <v>403.65999999999997</v>
      </c>
    </row>
    <row r="242" spans="1:4" ht="13.5" customHeight="1" x14ac:dyDescent="0.2">
      <c r="A242" s="137"/>
      <c r="B242" s="34"/>
      <c r="C242" s="173"/>
      <c r="D242" s="314"/>
    </row>
    <row r="243" spans="1:4" ht="13.5" customHeight="1" x14ac:dyDescent="0.2">
      <c r="A243" s="137" t="s">
        <v>421</v>
      </c>
      <c r="B243" s="34" t="s">
        <v>7898</v>
      </c>
      <c r="C243" s="1118">
        <v>118.69</v>
      </c>
      <c r="D243" s="71"/>
    </row>
    <row r="244" spans="1:4" ht="13.5" customHeight="1" x14ac:dyDescent="0.2">
      <c r="A244" s="137"/>
      <c r="B244" s="34"/>
      <c r="C244" s="89"/>
      <c r="D244" s="71"/>
    </row>
    <row r="245" spans="1:4" ht="13.5" customHeight="1" x14ac:dyDescent="0.2">
      <c r="A245" s="137" t="s">
        <v>421</v>
      </c>
      <c r="B245" s="34" t="s">
        <v>8062</v>
      </c>
      <c r="C245" s="89">
        <v>150</v>
      </c>
      <c r="D245" s="71"/>
    </row>
    <row r="246" spans="1:4" ht="13.5" customHeight="1" x14ac:dyDescent="0.2">
      <c r="A246" s="137" t="s">
        <v>421</v>
      </c>
      <c r="B246" s="36" t="s">
        <v>7989</v>
      </c>
      <c r="C246" s="89">
        <v>146.19</v>
      </c>
      <c r="D246" s="71"/>
    </row>
    <row r="247" spans="1:4" x14ac:dyDescent="0.2">
      <c r="C247" s="1369">
        <f>SUM(C245:C246)</f>
        <v>296.19</v>
      </c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M353"/>
  <sheetViews>
    <sheetView topLeftCell="D242" zoomScale="80" zoomScaleNormal="80" workbookViewId="0">
      <selection activeCell="L267" sqref="L267"/>
    </sheetView>
  </sheetViews>
  <sheetFormatPr defaultColWidth="9" defaultRowHeight="12.75" x14ac:dyDescent="0.2"/>
  <cols>
    <col min="1" max="1" width="14" style="1" customWidth="1"/>
    <col min="2" max="2" width="1.875" style="1" customWidth="1"/>
    <col min="3" max="3" width="97.125" style="1" bestFit="1" customWidth="1"/>
    <col min="4" max="4" width="12" style="1" customWidth="1"/>
    <col min="5" max="5" width="12.375" style="1" customWidth="1"/>
    <col min="6" max="6" width="10.75" style="1" customWidth="1"/>
    <col min="7" max="7" width="11.875" style="1" customWidth="1"/>
    <col min="8" max="8" width="12" style="18" customWidth="1"/>
    <col min="9" max="9" width="10.75" style="18" customWidth="1"/>
    <col min="10" max="10" width="10.875" style="66" customWidth="1"/>
    <col min="11" max="11" width="9" style="1"/>
    <col min="12" max="12" width="10.75" style="1" customWidth="1"/>
    <col min="13" max="13" width="10.875" style="40" bestFit="1" customWidth="1"/>
    <col min="14" max="16384" width="9" style="1"/>
  </cols>
  <sheetData>
    <row r="1" spans="1:10" ht="13.5" customHeight="1" thickBot="1" x14ac:dyDescent="0.25">
      <c r="A1" s="1418" t="s">
        <v>1026</v>
      </c>
      <c r="B1" s="1418"/>
      <c r="C1" s="1419"/>
      <c r="D1" s="1420" t="s">
        <v>0</v>
      </c>
      <c r="E1" s="1421"/>
      <c r="F1" s="1421"/>
      <c r="G1" s="1422"/>
      <c r="H1" s="1423" t="s">
        <v>1</v>
      </c>
      <c r="I1" s="1423"/>
      <c r="J1" s="1424"/>
    </row>
    <row r="2" spans="1:10" ht="13.5" customHeight="1" thickBot="1" x14ac:dyDescent="0.25">
      <c r="A2" s="2" t="s">
        <v>2</v>
      </c>
      <c r="B2" s="3"/>
      <c r="C2" s="3" t="s">
        <v>3</v>
      </c>
      <c r="D2" s="3" t="s">
        <v>4</v>
      </c>
      <c r="E2" s="3" t="s">
        <v>5</v>
      </c>
      <c r="F2" s="3" t="s">
        <v>6</v>
      </c>
      <c r="G2" s="5" t="s">
        <v>7</v>
      </c>
      <c r="H2" s="6" t="s">
        <v>5</v>
      </c>
      <c r="I2" s="4" t="s">
        <v>6</v>
      </c>
      <c r="J2" s="7" t="s">
        <v>7</v>
      </c>
    </row>
    <row r="3" spans="1:10" ht="13.5" customHeight="1" x14ac:dyDescent="0.2">
      <c r="A3" s="8">
        <v>43313</v>
      </c>
      <c r="B3" s="9"/>
      <c r="C3" s="10" t="s">
        <v>8</v>
      </c>
      <c r="D3" s="11"/>
      <c r="E3" s="12"/>
      <c r="F3" s="13"/>
      <c r="G3" s="14">
        <v>7615.86</v>
      </c>
      <c r="H3" s="15"/>
      <c r="I3" s="16"/>
      <c r="J3" s="17">
        <v>5925.4699999999975</v>
      </c>
    </row>
    <row r="4" spans="1:10" ht="13.5" customHeight="1" x14ac:dyDescent="0.2">
      <c r="A4" s="19"/>
      <c r="B4" s="20"/>
      <c r="C4" s="21" t="s">
        <v>9</v>
      </c>
      <c r="D4" s="11"/>
      <c r="E4" s="12"/>
      <c r="F4" s="22">
        <v>0</v>
      </c>
      <c r="G4" s="23"/>
      <c r="H4" s="24"/>
      <c r="I4" s="25"/>
      <c r="J4" s="26"/>
    </row>
    <row r="5" spans="1:10" ht="13.5" customHeight="1" x14ac:dyDescent="0.2">
      <c r="A5" s="19"/>
      <c r="B5" s="20"/>
      <c r="C5" s="21" t="s">
        <v>10</v>
      </c>
      <c r="D5" s="11"/>
      <c r="E5" s="12"/>
      <c r="F5" s="22">
        <v>0</v>
      </c>
      <c r="G5" s="23"/>
      <c r="H5" s="24"/>
      <c r="I5" s="25"/>
      <c r="J5" s="26"/>
    </row>
    <row r="6" spans="1:10" ht="13.5" customHeight="1" x14ac:dyDescent="0.2">
      <c r="A6" s="19"/>
      <c r="B6" s="20"/>
      <c r="C6" s="34" t="s">
        <v>1027</v>
      </c>
      <c r="D6" s="11"/>
      <c r="E6" s="12"/>
      <c r="F6" s="22"/>
      <c r="G6" s="23"/>
      <c r="H6" s="24"/>
      <c r="I6" s="25">
        <v>220</v>
      </c>
      <c r="J6" s="26"/>
    </row>
    <row r="7" spans="1:10" ht="13.5" customHeight="1" x14ac:dyDescent="0.2">
      <c r="A7" s="19"/>
      <c r="B7" s="20"/>
      <c r="C7" s="34" t="s">
        <v>1028</v>
      </c>
      <c r="D7" s="11"/>
      <c r="E7" s="12"/>
      <c r="F7" s="22"/>
      <c r="G7" s="23"/>
      <c r="H7" s="24"/>
      <c r="I7" s="25">
        <v>1500</v>
      </c>
      <c r="J7" s="26">
        <v>7645.47</v>
      </c>
    </row>
    <row r="8" spans="1:10" ht="13.5" customHeight="1" x14ac:dyDescent="0.2">
      <c r="A8" s="19"/>
      <c r="B8" s="20"/>
      <c r="C8" s="34" t="s">
        <v>1029</v>
      </c>
      <c r="D8" s="11">
        <v>914000</v>
      </c>
      <c r="E8" s="389">
        <v>-218.66</v>
      </c>
      <c r="F8" s="390"/>
      <c r="G8" s="391"/>
      <c r="H8" s="24"/>
      <c r="I8" s="25"/>
      <c r="J8" s="26"/>
    </row>
    <row r="9" spans="1:10" ht="13.5" customHeight="1" x14ac:dyDescent="0.2">
      <c r="A9" s="19"/>
      <c r="B9" s="20"/>
      <c r="C9" s="34" t="s">
        <v>20</v>
      </c>
      <c r="D9" s="11">
        <v>0</v>
      </c>
      <c r="E9" s="389"/>
      <c r="F9" s="392">
        <v>0.03</v>
      </c>
      <c r="G9" s="391">
        <v>7397.23</v>
      </c>
      <c r="H9" s="24"/>
      <c r="I9" s="25"/>
      <c r="J9" s="26"/>
    </row>
    <row r="10" spans="1:10" ht="13.5" customHeight="1" x14ac:dyDescent="0.2">
      <c r="A10" s="19">
        <v>43314</v>
      </c>
      <c r="B10" s="20"/>
      <c r="C10" s="34" t="s">
        <v>1030</v>
      </c>
      <c r="D10" s="11"/>
      <c r="E10" s="389"/>
      <c r="F10" s="392"/>
      <c r="G10" s="391"/>
      <c r="H10" s="24">
        <v>150</v>
      </c>
      <c r="I10" s="25"/>
      <c r="J10" s="26"/>
    </row>
    <row r="11" spans="1:10" ht="13.5" customHeight="1" x14ac:dyDescent="0.2">
      <c r="A11" s="19"/>
      <c r="B11" s="20"/>
      <c r="C11" s="34" t="s">
        <v>1031</v>
      </c>
      <c r="D11" s="11"/>
      <c r="E11" s="389"/>
      <c r="F11" s="392"/>
      <c r="G11" s="391"/>
      <c r="H11" s="24">
        <v>150</v>
      </c>
      <c r="I11" s="25"/>
      <c r="J11" s="39">
        <v>7345.47</v>
      </c>
    </row>
    <row r="12" spans="1:10" ht="13.5" customHeight="1" x14ac:dyDescent="0.2">
      <c r="A12" s="19"/>
      <c r="B12" s="20"/>
      <c r="C12" s="34" t="s">
        <v>1032</v>
      </c>
      <c r="D12" s="11">
        <v>0</v>
      </c>
      <c r="E12" s="389"/>
      <c r="F12" s="392">
        <v>130</v>
      </c>
      <c r="G12" s="391">
        <v>7527.23</v>
      </c>
      <c r="H12" s="24"/>
      <c r="I12" s="25"/>
      <c r="J12" s="26"/>
    </row>
    <row r="13" spans="1:10" ht="13.5" customHeight="1" x14ac:dyDescent="0.2">
      <c r="A13" s="19">
        <v>43315</v>
      </c>
      <c r="B13" s="20"/>
      <c r="C13" s="34" t="s">
        <v>1033</v>
      </c>
      <c r="D13" s="11"/>
      <c r="E13" s="389"/>
      <c r="F13" s="392"/>
      <c r="G13" s="391"/>
      <c r="H13" s="24"/>
      <c r="I13" s="25">
        <v>1070</v>
      </c>
      <c r="J13" s="26"/>
    </row>
    <row r="14" spans="1:10" ht="13.5" customHeight="1" x14ac:dyDescent="0.2">
      <c r="A14" s="19"/>
      <c r="B14" s="20"/>
      <c r="C14" s="34" t="s">
        <v>546</v>
      </c>
      <c r="D14" s="11"/>
      <c r="E14" s="389"/>
      <c r="F14" s="392"/>
      <c r="G14" s="391"/>
      <c r="H14" s="24">
        <v>100</v>
      </c>
      <c r="I14" s="25"/>
      <c r="J14" s="26"/>
    </row>
    <row r="15" spans="1:10" ht="13.5" customHeight="1" x14ac:dyDescent="0.2">
      <c r="A15" s="19"/>
      <c r="B15" s="20"/>
      <c r="C15" s="34" t="s">
        <v>1034</v>
      </c>
      <c r="D15" s="11"/>
      <c r="E15" s="389"/>
      <c r="F15" s="392"/>
      <c r="G15" s="391"/>
      <c r="H15" s="24">
        <v>300</v>
      </c>
      <c r="I15" s="25"/>
      <c r="J15" s="26"/>
    </row>
    <row r="16" spans="1:10" ht="13.5" customHeight="1" x14ac:dyDescent="0.2">
      <c r="A16" s="19"/>
      <c r="B16" s="20"/>
      <c r="C16" s="34" t="s">
        <v>1035</v>
      </c>
      <c r="D16" s="11"/>
      <c r="E16" s="389"/>
      <c r="F16" s="392"/>
      <c r="G16" s="391"/>
      <c r="H16" s="24">
        <v>120</v>
      </c>
      <c r="I16" s="25"/>
      <c r="J16" s="39"/>
    </row>
    <row r="17" spans="1:10" ht="13.5" customHeight="1" x14ac:dyDescent="0.2">
      <c r="A17" s="46"/>
      <c r="B17" s="46"/>
      <c r="C17" s="34" t="s">
        <v>36</v>
      </c>
      <c r="D17" s="42"/>
      <c r="E17" s="393"/>
      <c r="F17" s="393"/>
      <c r="G17" s="391"/>
      <c r="H17" s="24">
        <v>350</v>
      </c>
      <c r="I17" s="25"/>
      <c r="J17" s="26"/>
    </row>
    <row r="18" spans="1:10" ht="13.5" customHeight="1" x14ac:dyDescent="0.2">
      <c r="A18" s="46"/>
      <c r="B18" s="46"/>
      <c r="C18" s="34" t="s">
        <v>1036</v>
      </c>
      <c r="D18" s="42"/>
      <c r="E18" s="393"/>
      <c r="F18" s="393"/>
      <c r="G18" s="391"/>
      <c r="H18" s="24">
        <v>18.48</v>
      </c>
      <c r="I18" s="25"/>
      <c r="J18" s="26"/>
    </row>
    <row r="19" spans="1:10" ht="13.5" customHeight="1" x14ac:dyDescent="0.2">
      <c r="A19" s="19"/>
      <c r="B19" s="20"/>
      <c r="C19" s="34" t="s">
        <v>1037</v>
      </c>
      <c r="D19" s="11"/>
      <c r="E19" s="389"/>
      <c r="F19" s="392"/>
      <c r="G19" s="391"/>
      <c r="H19" s="24">
        <v>900</v>
      </c>
      <c r="I19" s="25"/>
      <c r="J19" s="26">
        <v>6626.99</v>
      </c>
    </row>
    <row r="20" spans="1:10" ht="13.5" customHeight="1" x14ac:dyDescent="0.2">
      <c r="A20" s="19">
        <v>43318</v>
      </c>
      <c r="B20" s="20"/>
      <c r="C20" s="34" t="s">
        <v>1038</v>
      </c>
      <c r="D20" s="11"/>
      <c r="E20" s="389"/>
      <c r="F20" s="392"/>
      <c r="G20" s="391"/>
      <c r="H20" s="24"/>
      <c r="I20" s="25">
        <v>180</v>
      </c>
      <c r="J20" s="26"/>
    </row>
    <row r="21" spans="1:10" ht="13.5" customHeight="1" x14ac:dyDescent="0.2">
      <c r="A21" s="19"/>
      <c r="B21" s="20"/>
      <c r="C21" s="34" t="s">
        <v>1039</v>
      </c>
      <c r="D21" s="11"/>
      <c r="E21" s="389"/>
      <c r="F21" s="392"/>
      <c r="G21" s="391"/>
      <c r="H21" s="24"/>
      <c r="I21" s="25">
        <v>1032</v>
      </c>
      <c r="J21" s="39"/>
    </row>
    <row r="22" spans="1:10" ht="13.5" customHeight="1" x14ac:dyDescent="0.2">
      <c r="A22" s="19"/>
      <c r="B22" s="20"/>
      <c r="C22" s="34" t="s">
        <v>1040</v>
      </c>
      <c r="D22" s="11"/>
      <c r="E22" s="389"/>
      <c r="F22" s="392"/>
      <c r="G22" s="391"/>
      <c r="H22" s="24"/>
      <c r="I22" s="25">
        <v>1032</v>
      </c>
      <c r="J22" s="26"/>
    </row>
    <row r="23" spans="1:10" ht="13.5" customHeight="1" x14ac:dyDescent="0.2">
      <c r="A23" s="19"/>
      <c r="B23" s="20"/>
      <c r="C23" s="21" t="s">
        <v>1041</v>
      </c>
      <c r="D23" s="11"/>
      <c r="E23" s="389"/>
      <c r="F23" s="392"/>
      <c r="G23" s="391"/>
      <c r="H23" s="24"/>
      <c r="I23" s="25">
        <v>942</v>
      </c>
      <c r="J23" s="26"/>
    </row>
    <row r="24" spans="1:10" ht="13.5" customHeight="1" x14ac:dyDescent="0.2">
      <c r="A24" s="19"/>
      <c r="B24" s="20"/>
      <c r="C24" s="21" t="s">
        <v>1042</v>
      </c>
      <c r="D24" s="11"/>
      <c r="E24" s="389"/>
      <c r="F24" s="392"/>
      <c r="G24" s="391"/>
      <c r="H24" s="24"/>
      <c r="I24" s="25">
        <v>942</v>
      </c>
      <c r="J24" s="26"/>
    </row>
    <row r="25" spans="1:10" ht="13.5" customHeight="1" x14ac:dyDescent="0.2">
      <c r="A25" s="19"/>
      <c r="B25" s="20"/>
      <c r="C25" s="34" t="s">
        <v>1043</v>
      </c>
      <c r="D25" s="11"/>
      <c r="E25" s="389"/>
      <c r="F25" s="392"/>
      <c r="G25" s="391"/>
      <c r="H25" s="24"/>
      <c r="I25" s="25">
        <v>5000</v>
      </c>
      <c r="J25" s="26">
        <v>15754.99</v>
      </c>
    </row>
    <row r="26" spans="1:10" ht="13.5" customHeight="1" x14ac:dyDescent="0.2">
      <c r="A26" s="19"/>
      <c r="B26" s="20"/>
      <c r="C26" s="34" t="s">
        <v>55</v>
      </c>
      <c r="D26" s="11">
        <v>501000</v>
      </c>
      <c r="E26" s="389">
        <v>-350</v>
      </c>
      <c r="F26" s="392"/>
      <c r="G26" s="391"/>
      <c r="H26" s="24"/>
      <c r="I26" s="25"/>
      <c r="J26" s="26"/>
    </row>
    <row r="27" spans="1:10" ht="13.5" customHeight="1" x14ac:dyDescent="0.2">
      <c r="A27" s="19"/>
      <c r="B27" s="20"/>
      <c r="C27" s="34" t="s">
        <v>53</v>
      </c>
      <c r="D27" s="11">
        <v>891000</v>
      </c>
      <c r="E27" s="389">
        <v>-511.71</v>
      </c>
      <c r="F27" s="392"/>
      <c r="G27" s="391"/>
      <c r="H27" s="24"/>
      <c r="I27" s="25"/>
      <c r="J27" s="26"/>
    </row>
    <row r="28" spans="1:10" ht="13.5" customHeight="1" x14ac:dyDescent="0.2">
      <c r="A28" s="19"/>
      <c r="B28" s="20"/>
      <c r="C28" s="34" t="s">
        <v>20</v>
      </c>
      <c r="D28" s="11">
        <v>0</v>
      </c>
      <c r="E28" s="389"/>
      <c r="F28" s="392">
        <v>0.13</v>
      </c>
      <c r="G28" s="391">
        <v>6665.65</v>
      </c>
      <c r="H28" s="24"/>
      <c r="I28" s="25"/>
      <c r="J28" s="26"/>
    </row>
    <row r="29" spans="1:10" ht="13.5" customHeight="1" x14ac:dyDescent="0.2">
      <c r="A29" s="19">
        <v>43319</v>
      </c>
      <c r="B29" s="20"/>
      <c r="C29" s="21" t="s">
        <v>1044</v>
      </c>
      <c r="D29" s="11"/>
      <c r="E29" s="389"/>
      <c r="F29" s="392"/>
      <c r="G29" s="391"/>
      <c r="H29" s="24"/>
      <c r="I29" s="25">
        <v>1975.42</v>
      </c>
      <c r="J29" s="26"/>
    </row>
    <row r="30" spans="1:10" ht="13.5" customHeight="1" x14ac:dyDescent="0.2">
      <c r="A30" s="19"/>
      <c r="B30" s="20"/>
      <c r="C30" s="21" t="s">
        <v>1045</v>
      </c>
      <c r="D30" s="11"/>
      <c r="E30" s="12"/>
      <c r="F30" s="22"/>
      <c r="G30" s="23"/>
      <c r="H30" s="24"/>
      <c r="I30" s="25">
        <v>190</v>
      </c>
      <c r="J30" s="26"/>
    </row>
    <row r="31" spans="1:10" ht="13.5" customHeight="1" x14ac:dyDescent="0.2">
      <c r="A31" s="19"/>
      <c r="B31" s="20"/>
      <c r="C31" s="21" t="s">
        <v>1046</v>
      </c>
      <c r="D31" s="11"/>
      <c r="E31" s="12"/>
      <c r="F31" s="22"/>
      <c r="G31" s="23"/>
      <c r="H31" s="24"/>
      <c r="I31" s="25">
        <v>190</v>
      </c>
      <c r="J31" s="26"/>
    </row>
    <row r="32" spans="1:10" ht="13.5" customHeight="1" x14ac:dyDescent="0.2">
      <c r="A32" s="19"/>
      <c r="B32" s="20"/>
      <c r="C32" s="34" t="s">
        <v>1047</v>
      </c>
      <c r="D32" s="11"/>
      <c r="E32" s="12"/>
      <c r="F32" s="22"/>
      <c r="G32" s="23"/>
      <c r="H32" s="24"/>
      <c r="I32" s="25">
        <v>190</v>
      </c>
      <c r="J32" s="26"/>
    </row>
    <row r="33" spans="1:10" ht="13.5" customHeight="1" x14ac:dyDescent="0.2">
      <c r="A33" s="19"/>
      <c r="B33" s="20"/>
      <c r="C33" s="34" t="s">
        <v>1048</v>
      </c>
      <c r="D33" s="11"/>
      <c r="E33" s="12"/>
      <c r="F33" s="22"/>
      <c r="G33" s="23"/>
      <c r="H33" s="24">
        <v>750</v>
      </c>
      <c r="I33" s="25"/>
      <c r="J33" s="26"/>
    </row>
    <row r="34" spans="1:10" ht="13.5" customHeight="1" x14ac:dyDescent="0.2">
      <c r="A34" s="19"/>
      <c r="B34" s="20"/>
      <c r="C34" s="34" t="s">
        <v>1049</v>
      </c>
      <c r="D34" s="11"/>
      <c r="E34" s="12"/>
      <c r="F34" s="22"/>
      <c r="G34" s="23"/>
      <c r="H34" s="24">
        <v>5000</v>
      </c>
      <c r="I34" s="25"/>
      <c r="J34" s="26">
        <v>12550.41</v>
      </c>
    </row>
    <row r="35" spans="1:10" ht="13.5" customHeight="1" x14ac:dyDescent="0.2">
      <c r="A35" s="19"/>
      <c r="B35" s="20"/>
      <c r="C35" s="34" t="s">
        <v>1050</v>
      </c>
      <c r="D35" s="11">
        <v>404365</v>
      </c>
      <c r="E35" s="12">
        <v>-374</v>
      </c>
      <c r="F35" s="22"/>
      <c r="G35" s="23"/>
      <c r="H35" s="24"/>
      <c r="I35" s="25"/>
      <c r="J35" s="26"/>
    </row>
    <row r="36" spans="1:10" ht="13.5" customHeight="1" x14ac:dyDescent="0.2">
      <c r="A36" s="19"/>
      <c r="B36" s="20"/>
      <c r="C36" s="34" t="s">
        <v>20</v>
      </c>
      <c r="D36" s="11">
        <v>0</v>
      </c>
      <c r="E36" s="12"/>
      <c r="F36" s="22">
        <v>7.0000000000000007E-2</v>
      </c>
      <c r="G36" s="23">
        <v>6291.72</v>
      </c>
      <c r="H36" s="24"/>
      <c r="I36" s="25"/>
      <c r="J36" s="26"/>
    </row>
    <row r="37" spans="1:10" ht="13.5" customHeight="1" x14ac:dyDescent="0.2">
      <c r="A37" s="19">
        <v>43320</v>
      </c>
      <c r="B37" s="20"/>
      <c r="C37" s="21" t="s">
        <v>1051</v>
      </c>
      <c r="D37" s="11"/>
      <c r="E37" s="12"/>
      <c r="F37" s="22"/>
      <c r="G37" s="23"/>
      <c r="H37" s="24"/>
      <c r="I37" s="25">
        <v>1338.46</v>
      </c>
      <c r="J37" s="26"/>
    </row>
    <row r="38" spans="1:10" ht="13.5" customHeight="1" x14ac:dyDescent="0.2">
      <c r="A38" s="19"/>
      <c r="B38" s="20"/>
      <c r="C38" s="34" t="s">
        <v>1052</v>
      </c>
      <c r="D38" s="11"/>
      <c r="E38" s="12"/>
      <c r="F38" s="22"/>
      <c r="G38" s="23"/>
      <c r="H38" s="24"/>
      <c r="I38" s="25">
        <v>1261.54</v>
      </c>
      <c r="J38" s="26"/>
    </row>
    <row r="39" spans="1:10" ht="13.5" customHeight="1" x14ac:dyDescent="0.2">
      <c r="A39" s="19"/>
      <c r="B39" s="20"/>
      <c r="C39" s="34" t="s">
        <v>1053</v>
      </c>
      <c r="D39" s="11"/>
      <c r="E39" s="12"/>
      <c r="F39" s="22"/>
      <c r="G39" s="23"/>
      <c r="H39" s="24"/>
      <c r="I39" s="25">
        <v>190</v>
      </c>
      <c r="J39" s="39"/>
    </row>
    <row r="40" spans="1:10" ht="13.5" customHeight="1" x14ac:dyDescent="0.2">
      <c r="A40" s="19"/>
      <c r="B40" s="20"/>
      <c r="C40" s="34" t="s">
        <v>1054</v>
      </c>
      <c r="D40" s="11"/>
      <c r="E40" s="12"/>
      <c r="F40" s="22"/>
      <c r="G40" s="23"/>
      <c r="H40" s="24"/>
      <c r="I40" s="25">
        <v>60</v>
      </c>
      <c r="J40" s="26"/>
    </row>
    <row r="41" spans="1:10" ht="13.5" customHeight="1" x14ac:dyDescent="0.2">
      <c r="A41" s="19"/>
      <c r="B41" s="20"/>
      <c r="C41" s="34" t="s">
        <v>1055</v>
      </c>
      <c r="D41" s="11"/>
      <c r="E41" s="12"/>
      <c r="F41" s="22"/>
      <c r="G41" s="23"/>
      <c r="H41" s="24">
        <v>29.92</v>
      </c>
      <c r="I41" s="25"/>
      <c r="J41" s="26"/>
    </row>
    <row r="42" spans="1:10" ht="13.5" customHeight="1" x14ac:dyDescent="0.2">
      <c r="A42" s="19"/>
      <c r="B42" s="20"/>
      <c r="C42" s="34" t="s">
        <v>1056</v>
      </c>
      <c r="D42" s="11"/>
      <c r="E42" s="12"/>
      <c r="F42" s="22"/>
      <c r="G42" s="23"/>
      <c r="H42" s="24">
        <v>11.66</v>
      </c>
      <c r="I42" s="25"/>
      <c r="J42" s="26"/>
    </row>
    <row r="43" spans="1:10" ht="13.5" customHeight="1" x14ac:dyDescent="0.2">
      <c r="A43" s="19"/>
      <c r="B43" s="20"/>
      <c r="C43" s="21" t="s">
        <v>1057</v>
      </c>
      <c r="D43" s="11"/>
      <c r="E43" s="12"/>
      <c r="F43" s="22"/>
      <c r="G43" s="23"/>
      <c r="H43" s="24">
        <v>19.2</v>
      </c>
      <c r="I43" s="25"/>
      <c r="J43" s="26"/>
    </row>
    <row r="44" spans="1:10" ht="13.5" customHeight="1" x14ac:dyDescent="0.2">
      <c r="A44" s="19"/>
      <c r="B44" s="20"/>
      <c r="C44" s="34" t="s">
        <v>1058</v>
      </c>
      <c r="D44" s="11"/>
      <c r="E44" s="12"/>
      <c r="F44" s="22"/>
      <c r="G44" s="23"/>
      <c r="H44" s="24">
        <v>7.8</v>
      </c>
      <c r="I44" s="25"/>
      <c r="J44" s="26">
        <v>15331.83</v>
      </c>
    </row>
    <row r="45" spans="1:10" ht="13.5" customHeight="1" x14ac:dyDescent="0.2">
      <c r="A45" s="19"/>
      <c r="B45" s="20"/>
      <c r="C45" s="34" t="s">
        <v>558</v>
      </c>
      <c r="D45" s="11">
        <v>0</v>
      </c>
      <c r="E45" s="12">
        <v>-60.65</v>
      </c>
      <c r="F45" s="22"/>
      <c r="G45" s="23"/>
      <c r="H45" s="24"/>
      <c r="I45" s="25"/>
      <c r="J45" s="26"/>
    </row>
    <row r="46" spans="1:10" ht="13.5" customHeight="1" x14ac:dyDescent="0.2">
      <c r="A46" s="19"/>
      <c r="B46" s="20"/>
      <c r="C46" s="34" t="s">
        <v>62</v>
      </c>
      <c r="D46" s="11">
        <v>0</v>
      </c>
      <c r="E46" s="12">
        <v>-425.98</v>
      </c>
      <c r="F46" s="22"/>
      <c r="G46" s="23"/>
      <c r="H46" s="24"/>
      <c r="I46" s="25"/>
      <c r="J46" s="26"/>
    </row>
    <row r="47" spans="1:10" ht="13.5" customHeight="1" x14ac:dyDescent="0.2">
      <c r="A47" s="19"/>
      <c r="B47" s="20"/>
      <c r="C47" s="34" t="s">
        <v>20</v>
      </c>
      <c r="D47" s="11"/>
      <c r="E47" s="12"/>
      <c r="F47" s="22">
        <v>0.1</v>
      </c>
      <c r="G47" s="23">
        <v>5805.19</v>
      </c>
      <c r="H47" s="24"/>
      <c r="I47" s="25"/>
      <c r="J47" s="26"/>
    </row>
    <row r="48" spans="1:10" ht="13.5" customHeight="1" x14ac:dyDescent="0.2">
      <c r="A48" s="19">
        <v>43321</v>
      </c>
      <c r="B48" s="20"/>
      <c r="C48" s="34" t="s">
        <v>1059</v>
      </c>
      <c r="D48" s="11"/>
      <c r="E48" s="12"/>
      <c r="F48" s="22"/>
      <c r="G48" s="23"/>
      <c r="H48" s="24">
        <v>2</v>
      </c>
      <c r="I48" s="25"/>
      <c r="J48" s="26"/>
    </row>
    <row r="49" spans="1:10" ht="13.5" customHeight="1" x14ac:dyDescent="0.2">
      <c r="A49" s="19"/>
      <c r="B49" s="20"/>
      <c r="C49" s="34" t="s">
        <v>1059</v>
      </c>
      <c r="D49" s="11"/>
      <c r="E49" s="12"/>
      <c r="F49" s="22"/>
      <c r="G49" s="23"/>
      <c r="H49" s="24">
        <v>2</v>
      </c>
      <c r="I49" s="25"/>
      <c r="J49" s="26"/>
    </row>
    <row r="50" spans="1:10" ht="13.5" customHeight="1" x14ac:dyDescent="0.2">
      <c r="A50" s="19"/>
      <c r="B50" s="20"/>
      <c r="C50" s="34" t="s">
        <v>955</v>
      </c>
      <c r="D50" s="11"/>
      <c r="E50" s="12"/>
      <c r="F50" s="22"/>
      <c r="G50" s="23"/>
      <c r="H50" s="174">
        <v>3186</v>
      </c>
      <c r="I50" s="25"/>
      <c r="J50" s="26"/>
    </row>
    <row r="51" spans="1:10" ht="13.5" customHeight="1" x14ac:dyDescent="0.2">
      <c r="A51" s="19"/>
      <c r="B51" s="20"/>
      <c r="C51" s="34" t="s">
        <v>458</v>
      </c>
      <c r="D51" s="11"/>
      <c r="E51" s="12"/>
      <c r="F51" s="22"/>
      <c r="G51" s="23"/>
      <c r="H51" s="174">
        <v>190</v>
      </c>
      <c r="I51" s="25"/>
      <c r="J51" s="26"/>
    </row>
    <row r="52" spans="1:10" ht="13.5" customHeight="1" x14ac:dyDescent="0.2">
      <c r="A52" s="19"/>
      <c r="B52" s="20"/>
      <c r="C52" s="34" t="s">
        <v>1060</v>
      </c>
      <c r="D52" s="11"/>
      <c r="E52" s="12"/>
      <c r="F52" s="22"/>
      <c r="G52" s="23"/>
      <c r="H52" s="24">
        <v>3.1</v>
      </c>
      <c r="I52" s="25"/>
      <c r="J52" s="26"/>
    </row>
    <row r="53" spans="1:10" ht="13.5" customHeight="1" x14ac:dyDescent="0.2">
      <c r="A53" s="19"/>
      <c r="B53" s="20"/>
      <c r="C53" s="34" t="s">
        <v>1061</v>
      </c>
      <c r="D53" s="11"/>
      <c r="E53" s="12"/>
      <c r="F53" s="22"/>
      <c r="G53" s="23"/>
      <c r="H53" s="24">
        <v>5.85</v>
      </c>
      <c r="I53" s="25"/>
      <c r="J53" s="26"/>
    </row>
    <row r="54" spans="1:10" ht="13.5" customHeight="1" x14ac:dyDescent="0.2">
      <c r="A54" s="19"/>
      <c r="B54" s="20"/>
      <c r="C54" s="34" t="s">
        <v>1062</v>
      </c>
      <c r="D54" s="11"/>
      <c r="E54" s="12"/>
      <c r="F54" s="22"/>
      <c r="G54" s="23"/>
      <c r="H54" s="24">
        <v>12.9</v>
      </c>
      <c r="I54" s="25"/>
      <c r="J54" s="26"/>
    </row>
    <row r="55" spans="1:10" ht="13.5" customHeight="1" x14ac:dyDescent="0.2">
      <c r="A55" s="19"/>
      <c r="B55" s="20"/>
      <c r="C55" s="34" t="s">
        <v>1063</v>
      </c>
      <c r="D55" s="11"/>
      <c r="E55" s="12"/>
      <c r="F55" s="22"/>
      <c r="G55" s="23"/>
      <c r="H55" s="24">
        <v>5</v>
      </c>
      <c r="I55" s="25"/>
      <c r="J55" s="26"/>
    </row>
    <row r="56" spans="1:10" ht="13.5" customHeight="1" x14ac:dyDescent="0.2">
      <c r="A56" s="19"/>
      <c r="B56" s="20"/>
      <c r="C56" s="34" t="s">
        <v>1064</v>
      </c>
      <c r="D56" s="11"/>
      <c r="E56" s="12"/>
      <c r="F56" s="22"/>
      <c r="G56" s="23"/>
      <c r="H56" s="24">
        <v>3.8</v>
      </c>
      <c r="I56" s="25"/>
      <c r="J56" s="39"/>
    </row>
    <row r="57" spans="1:10" ht="13.5" customHeight="1" x14ac:dyDescent="0.2">
      <c r="A57" s="19"/>
      <c r="B57" s="20"/>
      <c r="C57" s="34" t="s">
        <v>1065</v>
      </c>
      <c r="D57" s="11"/>
      <c r="E57" s="12"/>
      <c r="F57" s="22"/>
      <c r="G57" s="23"/>
      <c r="H57" s="24">
        <v>2</v>
      </c>
      <c r="I57" s="25"/>
      <c r="J57" s="26"/>
    </row>
    <row r="58" spans="1:10" ht="13.5" customHeight="1" x14ac:dyDescent="0.2">
      <c r="A58" s="19"/>
      <c r="B58" s="20"/>
      <c r="C58" s="36" t="s">
        <v>1066</v>
      </c>
      <c r="D58" s="11"/>
      <c r="E58" s="12"/>
      <c r="F58" s="22"/>
      <c r="G58" s="23"/>
      <c r="H58" s="24">
        <v>12</v>
      </c>
      <c r="I58" s="25"/>
      <c r="J58" s="26"/>
    </row>
    <row r="59" spans="1:10" ht="13.5" customHeight="1" x14ac:dyDescent="0.2">
      <c r="A59" s="19"/>
      <c r="B59" s="20"/>
      <c r="C59" s="36" t="s">
        <v>1067</v>
      </c>
      <c r="D59" s="11"/>
      <c r="E59" s="12"/>
      <c r="F59" s="22"/>
      <c r="G59" s="23"/>
      <c r="H59" s="24">
        <v>3.99</v>
      </c>
      <c r="I59" s="25"/>
      <c r="J59" s="26"/>
    </row>
    <row r="60" spans="1:10" ht="13.5" customHeight="1" x14ac:dyDescent="0.2">
      <c r="A60" s="19"/>
      <c r="B60" s="20"/>
      <c r="C60" s="34" t="s">
        <v>1068</v>
      </c>
      <c r="D60" s="11"/>
      <c r="E60" s="12"/>
      <c r="F60" s="22"/>
      <c r="G60" s="23"/>
      <c r="H60" s="24">
        <v>17.5</v>
      </c>
      <c r="I60" s="25"/>
      <c r="J60" s="26"/>
    </row>
    <row r="61" spans="1:10" ht="13.5" customHeight="1" x14ac:dyDescent="0.2">
      <c r="A61" s="19"/>
      <c r="B61" s="20"/>
      <c r="C61" s="34" t="s">
        <v>1069</v>
      </c>
      <c r="D61" s="11"/>
      <c r="E61" s="12"/>
      <c r="F61" s="22"/>
      <c r="G61" s="23"/>
      <c r="H61" s="24">
        <v>1.9</v>
      </c>
      <c r="I61" s="25"/>
      <c r="J61" s="26"/>
    </row>
    <row r="62" spans="1:10" ht="13.5" customHeight="1" x14ac:dyDescent="0.2">
      <c r="A62" s="19"/>
      <c r="B62" s="27"/>
      <c r="C62" s="36" t="s">
        <v>24</v>
      </c>
      <c r="D62" s="27"/>
      <c r="E62" s="27"/>
      <c r="F62" s="27"/>
      <c r="G62" s="23"/>
      <c r="H62" s="38">
        <v>11.9</v>
      </c>
      <c r="I62" s="38"/>
      <c r="J62" s="39"/>
    </row>
    <row r="63" spans="1:10" ht="13.5" customHeight="1" x14ac:dyDescent="0.2">
      <c r="A63" s="27"/>
      <c r="B63" s="27"/>
      <c r="C63" s="36" t="s">
        <v>1070</v>
      </c>
      <c r="D63" s="27"/>
      <c r="E63" s="27"/>
      <c r="F63" s="27"/>
      <c r="G63" s="23"/>
      <c r="H63" s="38">
        <v>6.8</v>
      </c>
      <c r="I63" s="38"/>
      <c r="J63" s="39"/>
    </row>
    <row r="64" spans="1:10" ht="13.5" customHeight="1" x14ac:dyDescent="0.2">
      <c r="A64" s="27"/>
      <c r="B64" s="27"/>
      <c r="C64" s="33" t="s">
        <v>1071</v>
      </c>
      <c r="D64" s="27"/>
      <c r="E64" s="27"/>
      <c r="F64" s="27"/>
      <c r="G64" s="23"/>
      <c r="H64" s="38">
        <v>0.6</v>
      </c>
      <c r="I64" s="38"/>
      <c r="J64" s="39"/>
    </row>
    <row r="65" spans="1:10" ht="13.5" customHeight="1" x14ac:dyDescent="0.2">
      <c r="A65" s="27"/>
      <c r="B65" s="27"/>
      <c r="C65" s="36" t="s">
        <v>1072</v>
      </c>
      <c r="D65" s="27"/>
      <c r="E65" s="27"/>
      <c r="F65" s="27"/>
      <c r="G65" s="23"/>
      <c r="H65" s="38">
        <v>14</v>
      </c>
      <c r="I65" s="38"/>
      <c r="J65" s="39"/>
    </row>
    <row r="66" spans="1:10" ht="13.5" customHeight="1" x14ac:dyDescent="0.2">
      <c r="A66" s="27"/>
      <c r="B66" s="27"/>
      <c r="C66" s="36" t="s">
        <v>1073</v>
      </c>
      <c r="D66" s="27"/>
      <c r="E66" s="27"/>
      <c r="F66" s="27"/>
      <c r="G66" s="23"/>
      <c r="H66" s="38"/>
      <c r="I66" s="38">
        <v>1020</v>
      </c>
      <c r="J66" s="39"/>
    </row>
    <row r="67" spans="1:10" ht="13.5" customHeight="1" x14ac:dyDescent="0.2">
      <c r="A67" s="19"/>
      <c r="B67" s="20"/>
      <c r="C67" s="34" t="s">
        <v>36</v>
      </c>
      <c r="D67" s="11"/>
      <c r="E67" s="12"/>
      <c r="F67" s="22"/>
      <c r="G67" s="23"/>
      <c r="H67" s="24">
        <v>350</v>
      </c>
      <c r="I67" s="25"/>
      <c r="J67" s="26">
        <v>12520.49</v>
      </c>
    </row>
    <row r="68" spans="1:10" ht="13.5" customHeight="1" x14ac:dyDescent="0.2">
      <c r="A68" s="19"/>
      <c r="B68" s="20"/>
      <c r="C68" s="34" t="s">
        <v>955</v>
      </c>
      <c r="D68" s="11">
        <v>284134</v>
      </c>
      <c r="E68" s="12"/>
      <c r="F68" s="162">
        <v>3186</v>
      </c>
      <c r="G68" s="23"/>
      <c r="H68" s="24"/>
      <c r="I68" s="25"/>
      <c r="J68" s="26"/>
    </row>
    <row r="69" spans="1:10" ht="13.5" customHeight="1" x14ac:dyDescent="0.2">
      <c r="A69" s="19"/>
      <c r="B69" s="20"/>
      <c r="C69" s="34" t="s">
        <v>458</v>
      </c>
      <c r="D69" s="11">
        <v>284145</v>
      </c>
      <c r="E69" s="12"/>
      <c r="F69" s="162">
        <v>190</v>
      </c>
      <c r="G69" s="23">
        <v>9181.09</v>
      </c>
      <c r="H69" s="24"/>
      <c r="I69" s="25"/>
      <c r="J69" s="26"/>
    </row>
    <row r="70" spans="1:10" ht="13.5" customHeight="1" x14ac:dyDescent="0.2">
      <c r="A70" s="19"/>
      <c r="B70" s="20"/>
      <c r="C70" s="34" t="s">
        <v>20</v>
      </c>
      <c r="D70" s="11" t="s">
        <v>19</v>
      </c>
      <c r="E70" s="12"/>
      <c r="F70" s="22">
        <v>0.28999999999999998</v>
      </c>
      <c r="G70" s="23" t="s">
        <v>1074</v>
      </c>
      <c r="H70" s="24"/>
      <c r="I70" s="25"/>
      <c r="J70" s="26"/>
    </row>
    <row r="71" spans="1:10" ht="13.5" customHeight="1" x14ac:dyDescent="0.2">
      <c r="A71" s="19">
        <v>43322</v>
      </c>
      <c r="B71" s="20"/>
      <c r="C71" s="36" t="s">
        <v>1034</v>
      </c>
      <c r="D71" s="11"/>
      <c r="E71" s="12"/>
      <c r="F71" s="22"/>
      <c r="G71" s="23"/>
      <c r="H71" s="24">
        <v>300</v>
      </c>
      <c r="I71" s="25"/>
      <c r="J71" s="26"/>
    </row>
    <row r="72" spans="1:10" ht="13.5" customHeight="1" x14ac:dyDescent="0.2">
      <c r="A72" s="19"/>
      <c r="B72" s="20"/>
      <c r="C72" s="34" t="s">
        <v>77</v>
      </c>
      <c r="D72" s="11"/>
      <c r="E72" s="12"/>
      <c r="F72" s="22"/>
      <c r="G72" s="23"/>
      <c r="H72" s="44">
        <v>5250</v>
      </c>
      <c r="I72" s="25"/>
      <c r="J72" s="26">
        <v>6970.49</v>
      </c>
    </row>
    <row r="73" spans="1:10" ht="13.5" customHeight="1" x14ac:dyDescent="0.2">
      <c r="A73" s="19"/>
      <c r="B73" s="20"/>
      <c r="C73" s="34" t="s">
        <v>82</v>
      </c>
      <c r="D73" s="11" t="s">
        <v>1075</v>
      </c>
      <c r="E73" s="12">
        <v>-306.79000000000002</v>
      </c>
      <c r="F73" s="22"/>
      <c r="G73" s="23"/>
      <c r="H73" s="24"/>
      <c r="I73" s="25"/>
      <c r="J73" s="26"/>
    </row>
    <row r="74" spans="1:10" ht="13.5" customHeight="1" x14ac:dyDescent="0.2">
      <c r="A74" s="19"/>
      <c r="B74" s="20"/>
      <c r="C74" s="34" t="s">
        <v>68</v>
      </c>
      <c r="D74" s="11" t="s">
        <v>965</v>
      </c>
      <c r="E74" s="12">
        <v>-129.9</v>
      </c>
      <c r="F74" s="22"/>
      <c r="G74" s="23"/>
      <c r="H74" s="24"/>
      <c r="I74" s="25"/>
      <c r="J74" s="127"/>
    </row>
    <row r="75" spans="1:10" ht="13.5" customHeight="1" x14ac:dyDescent="0.2">
      <c r="A75" s="19"/>
      <c r="B75" s="20"/>
      <c r="C75" s="34" t="s">
        <v>20</v>
      </c>
      <c r="D75" s="11"/>
      <c r="E75" s="12"/>
      <c r="F75" s="22">
        <v>0.08</v>
      </c>
      <c r="G75" s="23" t="s">
        <v>1076</v>
      </c>
      <c r="H75" s="24"/>
      <c r="I75" s="25"/>
      <c r="J75" s="127"/>
    </row>
    <row r="76" spans="1:10" ht="13.5" customHeight="1" x14ac:dyDescent="0.2">
      <c r="A76" s="19">
        <v>43325</v>
      </c>
      <c r="B76" s="20"/>
      <c r="C76" s="34" t="s">
        <v>1077</v>
      </c>
      <c r="D76" s="11"/>
      <c r="E76" s="12"/>
      <c r="F76" s="22"/>
      <c r="G76" s="23"/>
      <c r="H76" s="24"/>
      <c r="I76" s="25">
        <v>80</v>
      </c>
      <c r="J76" s="39"/>
    </row>
    <row r="77" spans="1:10" ht="13.5" customHeight="1" x14ac:dyDescent="0.2">
      <c r="A77" s="19"/>
      <c r="B77" s="20"/>
      <c r="C77" s="34" t="s">
        <v>1078</v>
      </c>
      <c r="D77" s="11"/>
      <c r="E77" s="12"/>
      <c r="F77" s="22"/>
      <c r="G77" s="23"/>
      <c r="H77" s="24"/>
      <c r="I77" s="25">
        <v>60</v>
      </c>
      <c r="J77" s="39"/>
    </row>
    <row r="78" spans="1:10" ht="13.5" customHeight="1" x14ac:dyDescent="0.2">
      <c r="A78" s="19"/>
      <c r="B78" s="20"/>
      <c r="C78" s="34" t="s">
        <v>1079</v>
      </c>
      <c r="D78" s="11"/>
      <c r="E78" s="12"/>
      <c r="F78" s="22"/>
      <c r="G78" s="23"/>
      <c r="H78" s="24">
        <v>31.27</v>
      </c>
      <c r="I78" s="25"/>
      <c r="J78" s="39"/>
    </row>
    <row r="79" spans="1:10" ht="13.5" customHeight="1" x14ac:dyDescent="0.2">
      <c r="A79" s="19"/>
      <c r="B79" s="20"/>
      <c r="C79" s="34" t="s">
        <v>1080</v>
      </c>
      <c r="D79" s="11"/>
      <c r="E79" s="12"/>
      <c r="F79" s="22"/>
      <c r="G79" s="23"/>
      <c r="H79" s="24"/>
      <c r="I79" s="25">
        <v>185</v>
      </c>
      <c r="J79" s="39"/>
    </row>
    <row r="80" spans="1:10" ht="13.5" customHeight="1" x14ac:dyDescent="0.2">
      <c r="A80" s="19"/>
      <c r="B80" s="20"/>
      <c r="C80" s="34" t="s">
        <v>1035</v>
      </c>
      <c r="D80" s="11"/>
      <c r="E80" s="12"/>
      <c r="F80" s="22"/>
      <c r="G80" s="23"/>
      <c r="H80" s="24">
        <v>60</v>
      </c>
      <c r="I80" s="25"/>
      <c r="J80" s="39">
        <v>7204.22</v>
      </c>
    </row>
    <row r="81" spans="1:10" ht="13.5" customHeight="1" x14ac:dyDescent="0.2">
      <c r="A81" s="19"/>
      <c r="B81" s="20"/>
      <c r="C81" s="34" t="s">
        <v>80</v>
      </c>
      <c r="D81" s="11" t="s">
        <v>19</v>
      </c>
      <c r="E81" s="12">
        <v>-60.84</v>
      </c>
      <c r="F81" s="22"/>
      <c r="G81" s="23"/>
      <c r="H81" s="24"/>
      <c r="I81" s="25"/>
      <c r="J81" s="26"/>
    </row>
    <row r="82" spans="1:10" ht="13.5" customHeight="1" x14ac:dyDescent="0.2">
      <c r="A82" s="19"/>
      <c r="B82" s="20"/>
      <c r="C82" s="34" t="s">
        <v>898</v>
      </c>
      <c r="D82" s="11" t="s">
        <v>19</v>
      </c>
      <c r="E82" s="12">
        <v>-35.479999999999997</v>
      </c>
      <c r="F82" s="22"/>
      <c r="G82" s="23"/>
      <c r="H82" s="24"/>
      <c r="I82" s="25"/>
      <c r="J82" s="26"/>
    </row>
    <row r="83" spans="1:10" ht="13.5" customHeight="1" x14ac:dyDescent="0.2">
      <c r="A83" s="19"/>
      <c r="B83" s="20"/>
      <c r="C83" s="34" t="s">
        <v>20</v>
      </c>
      <c r="D83" s="11" t="s">
        <v>19</v>
      </c>
      <c r="E83" s="12"/>
      <c r="F83" s="22">
        <v>0.15</v>
      </c>
      <c r="G83" s="23" t="s">
        <v>1081</v>
      </c>
      <c r="H83" s="24"/>
      <c r="I83" s="25"/>
      <c r="J83" s="39"/>
    </row>
    <row r="84" spans="1:10" ht="13.5" customHeight="1" x14ac:dyDescent="0.2">
      <c r="A84" s="19">
        <v>43326</v>
      </c>
      <c r="B84" s="20"/>
      <c r="C84" s="34" t="s">
        <v>1082</v>
      </c>
      <c r="D84" s="11"/>
      <c r="E84" s="12"/>
      <c r="F84" s="22"/>
      <c r="G84" s="23"/>
      <c r="H84" s="24"/>
      <c r="I84" s="25">
        <v>3500</v>
      </c>
      <c r="J84" s="39">
        <v>10704.22</v>
      </c>
    </row>
    <row r="85" spans="1:10" ht="13.5" customHeight="1" x14ac:dyDescent="0.2">
      <c r="A85" s="19">
        <v>43327</v>
      </c>
      <c r="B85" s="20"/>
      <c r="C85" s="34" t="s">
        <v>1083</v>
      </c>
      <c r="D85" s="11"/>
      <c r="E85" s="12"/>
      <c r="F85" s="22"/>
      <c r="G85" s="23"/>
      <c r="H85" s="24"/>
      <c r="I85" s="25">
        <v>185</v>
      </c>
      <c r="J85" s="39"/>
    </row>
    <row r="86" spans="1:10" ht="13.5" customHeight="1" x14ac:dyDescent="0.2">
      <c r="A86" s="19"/>
      <c r="B86" s="20"/>
      <c r="C86" s="34" t="s">
        <v>862</v>
      </c>
      <c r="D86" s="11"/>
      <c r="E86" s="12"/>
      <c r="F86" s="22"/>
      <c r="G86" s="23"/>
      <c r="H86" s="24">
        <v>50</v>
      </c>
      <c r="I86" s="25"/>
      <c r="J86" s="39"/>
    </row>
    <row r="87" spans="1:10" ht="13.5" customHeight="1" x14ac:dyDescent="0.2">
      <c r="A87" s="19"/>
      <c r="B87" s="20"/>
      <c r="C87" s="34" t="s">
        <v>567</v>
      </c>
      <c r="D87" s="11"/>
      <c r="E87" s="12"/>
      <c r="F87" s="22"/>
      <c r="G87" s="23"/>
      <c r="H87" s="174">
        <v>185</v>
      </c>
      <c r="I87" s="25"/>
      <c r="J87" s="39"/>
    </row>
    <row r="88" spans="1:10" ht="13.5" customHeight="1" x14ac:dyDescent="0.2">
      <c r="A88" s="19"/>
      <c r="B88" s="20"/>
      <c r="C88" s="34" t="s">
        <v>464</v>
      </c>
      <c r="D88" s="11"/>
      <c r="E88" s="12"/>
      <c r="F88" s="22"/>
      <c r="G88" s="23"/>
      <c r="H88" s="174">
        <v>1020</v>
      </c>
      <c r="I88" s="25"/>
      <c r="J88" s="39"/>
    </row>
    <row r="89" spans="1:10" ht="13.5" customHeight="1" x14ac:dyDescent="0.2">
      <c r="A89" s="19"/>
      <c r="B89" s="20"/>
      <c r="C89" s="34" t="s">
        <v>1084</v>
      </c>
      <c r="D89" s="11"/>
      <c r="E89" s="12"/>
      <c r="F89" s="22"/>
      <c r="G89" s="23"/>
      <c r="H89" s="24">
        <v>3.35</v>
      </c>
      <c r="I89" s="25"/>
      <c r="J89" s="39">
        <v>9630.8700000000008</v>
      </c>
    </row>
    <row r="90" spans="1:10" ht="13.5" customHeight="1" x14ac:dyDescent="0.2">
      <c r="A90" s="19"/>
      <c r="B90" s="20"/>
      <c r="C90" s="34" t="s">
        <v>86</v>
      </c>
      <c r="D90" s="11" t="s">
        <v>19</v>
      </c>
      <c r="E90" s="12">
        <v>-72.900000000000006</v>
      </c>
      <c r="F90" s="22"/>
      <c r="G90" s="23"/>
      <c r="H90" s="24"/>
      <c r="I90" s="25"/>
      <c r="J90" s="39"/>
    </row>
    <row r="91" spans="1:10" ht="13.5" customHeight="1" x14ac:dyDescent="0.2">
      <c r="A91" s="19"/>
      <c r="B91" s="20"/>
      <c r="C91" s="34" t="s">
        <v>210</v>
      </c>
      <c r="D91" s="11" t="s">
        <v>1085</v>
      </c>
      <c r="E91" s="12">
        <v>-1150</v>
      </c>
      <c r="F91" s="22"/>
      <c r="G91" s="23"/>
      <c r="H91" s="24"/>
      <c r="I91" s="25"/>
      <c r="J91" s="39"/>
    </row>
    <row r="92" spans="1:10" ht="13.5" customHeight="1" x14ac:dyDescent="0.2">
      <c r="A92" s="19"/>
      <c r="B92" s="20"/>
      <c r="C92" s="34" t="s">
        <v>464</v>
      </c>
      <c r="D92" s="11" t="s">
        <v>1086</v>
      </c>
      <c r="E92" s="12"/>
      <c r="F92" s="162">
        <v>1020</v>
      </c>
      <c r="G92" s="23"/>
      <c r="H92" s="24"/>
      <c r="I92" s="25"/>
      <c r="J92" s="39"/>
    </row>
    <row r="93" spans="1:10" ht="13.5" customHeight="1" x14ac:dyDescent="0.2">
      <c r="A93" s="19"/>
      <c r="B93" s="20"/>
      <c r="C93" s="34" t="s">
        <v>567</v>
      </c>
      <c r="D93" s="11" t="s">
        <v>1087</v>
      </c>
      <c r="E93" s="12"/>
      <c r="F93" s="162">
        <v>185</v>
      </c>
      <c r="G93" s="23" t="s">
        <v>1088</v>
      </c>
      <c r="H93" s="24"/>
      <c r="I93" s="25"/>
      <c r="J93" s="39"/>
    </row>
    <row r="94" spans="1:10" ht="13.5" customHeight="1" x14ac:dyDescent="0.2">
      <c r="A94" s="19">
        <v>43328</v>
      </c>
      <c r="B94" s="20"/>
      <c r="C94" s="34" t="s">
        <v>546</v>
      </c>
      <c r="D94" s="11"/>
      <c r="E94" s="12"/>
      <c r="F94" s="22"/>
      <c r="G94" s="23"/>
      <c r="H94" s="267">
        <v>100</v>
      </c>
      <c r="I94" s="25"/>
      <c r="J94" s="39"/>
    </row>
    <row r="95" spans="1:10" ht="13.5" customHeight="1" x14ac:dyDescent="0.2">
      <c r="A95" s="19"/>
      <c r="B95" s="20"/>
      <c r="C95" s="34" t="s">
        <v>1089</v>
      </c>
      <c r="D95" s="11"/>
      <c r="E95" s="12"/>
      <c r="F95" s="22"/>
      <c r="G95" s="23"/>
      <c r="H95" s="24">
        <v>300</v>
      </c>
      <c r="I95" s="25"/>
      <c r="J95" s="39"/>
    </row>
    <row r="96" spans="1:10" ht="13.5" customHeight="1" x14ac:dyDescent="0.2">
      <c r="A96" s="19"/>
      <c r="B96" s="20"/>
      <c r="C96" s="34" t="s">
        <v>36</v>
      </c>
      <c r="D96" s="11"/>
      <c r="E96" s="12"/>
      <c r="F96" s="22"/>
      <c r="G96" s="23"/>
      <c r="H96" s="24">
        <v>350</v>
      </c>
      <c r="I96" s="25"/>
      <c r="J96" s="39">
        <v>8880.8700000000008</v>
      </c>
    </row>
    <row r="97" spans="1:10" ht="13.5" customHeight="1" x14ac:dyDescent="0.2">
      <c r="A97" s="19"/>
      <c r="B97" s="20"/>
      <c r="C97" s="34" t="s">
        <v>20</v>
      </c>
      <c r="D97" s="11" t="s">
        <v>19</v>
      </c>
      <c r="E97" s="12"/>
      <c r="F97" s="22">
        <v>0.23</v>
      </c>
      <c r="G97" s="23" t="s">
        <v>1090</v>
      </c>
      <c r="H97" s="24"/>
      <c r="I97" s="25"/>
      <c r="J97" s="39"/>
    </row>
    <row r="98" spans="1:10" ht="13.5" customHeight="1" x14ac:dyDescent="0.2">
      <c r="A98" s="19">
        <v>43329</v>
      </c>
      <c r="B98" s="20"/>
      <c r="C98" s="34" t="s">
        <v>1091</v>
      </c>
      <c r="D98" s="11"/>
      <c r="E98" s="12"/>
      <c r="F98" s="22"/>
      <c r="G98" s="23"/>
      <c r="H98" s="24"/>
      <c r="I98" s="25">
        <v>22.9</v>
      </c>
      <c r="J98" s="39"/>
    </row>
    <row r="99" spans="1:10" ht="13.5" customHeight="1" x14ac:dyDescent="0.2">
      <c r="A99" s="19"/>
      <c r="B99" s="20"/>
      <c r="C99" s="34" t="s">
        <v>1034</v>
      </c>
      <c r="D99" s="11"/>
      <c r="E99" s="12"/>
      <c r="F99" s="22"/>
      <c r="G99" s="23"/>
      <c r="H99" s="24">
        <v>300</v>
      </c>
      <c r="I99" s="25"/>
      <c r="J99" s="39"/>
    </row>
    <row r="100" spans="1:10" ht="13.5" customHeight="1" x14ac:dyDescent="0.2">
      <c r="A100" s="19"/>
      <c r="B100" s="20"/>
      <c r="C100" s="34" t="s">
        <v>1092</v>
      </c>
      <c r="D100" s="11"/>
      <c r="E100" s="12"/>
      <c r="F100" s="22"/>
      <c r="G100" s="23"/>
      <c r="H100" s="24"/>
      <c r="I100" s="25">
        <v>650</v>
      </c>
      <c r="J100" s="39"/>
    </row>
    <row r="101" spans="1:10" ht="13.5" customHeight="1" x14ac:dyDescent="0.2">
      <c r="A101" s="19"/>
      <c r="B101" s="20"/>
      <c r="C101" s="34" t="s">
        <v>1093</v>
      </c>
      <c r="D101" s="11"/>
      <c r="E101" s="12"/>
      <c r="F101" s="22"/>
      <c r="G101" s="23"/>
      <c r="H101" s="24">
        <v>150</v>
      </c>
      <c r="I101" s="25"/>
      <c r="J101" s="39"/>
    </row>
    <row r="102" spans="1:10" ht="13.5" customHeight="1" x14ac:dyDescent="0.2">
      <c r="A102" s="19"/>
      <c r="B102" s="20"/>
      <c r="C102" s="34" t="s">
        <v>1094</v>
      </c>
      <c r="D102" s="11"/>
      <c r="E102" s="12"/>
      <c r="F102" s="22"/>
      <c r="G102" s="23"/>
      <c r="H102" s="24">
        <v>150</v>
      </c>
      <c r="I102" s="25"/>
      <c r="J102" s="39"/>
    </row>
    <row r="103" spans="1:10" ht="13.5" customHeight="1" x14ac:dyDescent="0.2">
      <c r="A103" s="19"/>
      <c r="B103" s="20"/>
      <c r="C103" s="34" t="s">
        <v>1095</v>
      </c>
      <c r="D103" s="11"/>
      <c r="E103" s="12"/>
      <c r="F103" s="22"/>
      <c r="G103" s="23"/>
      <c r="H103" s="24">
        <v>75</v>
      </c>
      <c r="I103" s="25"/>
      <c r="J103" s="39"/>
    </row>
    <row r="104" spans="1:10" ht="13.5" customHeight="1" x14ac:dyDescent="0.2">
      <c r="A104" s="19"/>
      <c r="B104" s="20"/>
      <c r="C104" s="34" t="s">
        <v>1096</v>
      </c>
      <c r="D104" s="11"/>
      <c r="E104" s="12"/>
      <c r="F104" s="22"/>
      <c r="G104" s="23"/>
      <c r="H104" s="24"/>
      <c r="I104" s="25">
        <v>1300</v>
      </c>
      <c r="J104" s="39">
        <v>10178.77</v>
      </c>
    </row>
    <row r="105" spans="1:10" ht="13.5" customHeight="1" x14ac:dyDescent="0.2">
      <c r="A105" s="19"/>
      <c r="B105" s="20"/>
      <c r="C105" s="34" t="s">
        <v>109</v>
      </c>
      <c r="D105" s="11" t="s">
        <v>1097</v>
      </c>
      <c r="E105" s="12">
        <v>-177.86</v>
      </c>
      <c r="F105" s="22"/>
      <c r="G105" s="23"/>
      <c r="H105" s="24"/>
      <c r="I105" s="25"/>
      <c r="J105" s="39"/>
    </row>
    <row r="106" spans="1:10" ht="13.5" customHeight="1" x14ac:dyDescent="0.2">
      <c r="A106" s="19"/>
      <c r="B106" s="20"/>
      <c r="C106" s="34" t="s">
        <v>18</v>
      </c>
      <c r="D106" s="11" t="s">
        <v>19</v>
      </c>
      <c r="E106" s="12">
        <v>-350.3</v>
      </c>
      <c r="F106" s="22"/>
      <c r="G106" s="23"/>
      <c r="H106" s="24"/>
      <c r="I106" s="25"/>
      <c r="J106" s="39"/>
    </row>
    <row r="107" spans="1:10" ht="13.5" customHeight="1" x14ac:dyDescent="0.2">
      <c r="A107" s="19"/>
      <c r="B107" s="20"/>
      <c r="C107" s="34" t="s">
        <v>114</v>
      </c>
      <c r="D107" s="11" t="s">
        <v>19</v>
      </c>
      <c r="E107" s="12">
        <v>-213.84</v>
      </c>
      <c r="F107" s="22"/>
      <c r="G107" s="23" t="s">
        <v>1098</v>
      </c>
      <c r="H107" s="24"/>
      <c r="I107" s="25"/>
      <c r="J107" s="39"/>
    </row>
    <row r="108" spans="1:10" ht="13.5" customHeight="1" x14ac:dyDescent="0.2">
      <c r="A108" s="19"/>
      <c r="B108" s="20"/>
      <c r="C108" s="34" t="s">
        <v>20</v>
      </c>
      <c r="D108" s="11" t="s">
        <v>19</v>
      </c>
      <c r="E108" s="12"/>
      <c r="F108" s="22">
        <v>0.1</v>
      </c>
      <c r="G108" s="23" t="s">
        <v>1099</v>
      </c>
      <c r="H108" s="24"/>
      <c r="I108" s="25"/>
      <c r="J108" s="39"/>
    </row>
    <row r="109" spans="1:10" ht="13.5" customHeight="1" x14ac:dyDescent="0.2">
      <c r="A109" s="19" t="s">
        <v>1100</v>
      </c>
      <c r="B109" s="20"/>
      <c r="C109" s="34" t="s">
        <v>132</v>
      </c>
      <c r="D109" s="11" t="s">
        <v>1101</v>
      </c>
      <c r="E109" s="12">
        <v>-340.56</v>
      </c>
      <c r="F109" s="22"/>
      <c r="G109" s="23" t="s">
        <v>1102</v>
      </c>
      <c r="H109" s="24"/>
      <c r="I109" s="25"/>
      <c r="J109" s="39"/>
    </row>
    <row r="110" spans="1:10" ht="13.5" customHeight="1" x14ac:dyDescent="0.2">
      <c r="A110" s="19"/>
      <c r="B110" s="20"/>
      <c r="C110" s="34" t="s">
        <v>1103</v>
      </c>
      <c r="D110" s="11" t="s">
        <v>1104</v>
      </c>
      <c r="E110" s="12"/>
      <c r="F110" s="22">
        <v>940</v>
      </c>
      <c r="G110" s="23" t="s">
        <v>1105</v>
      </c>
      <c r="H110" s="24"/>
      <c r="I110" s="25"/>
      <c r="J110" s="39"/>
    </row>
    <row r="111" spans="1:10" ht="13.5" customHeight="1" x14ac:dyDescent="0.2">
      <c r="A111" s="19"/>
      <c r="B111" s="20"/>
      <c r="C111" s="45" t="s">
        <v>547</v>
      </c>
      <c r="D111" s="11" t="s">
        <v>19</v>
      </c>
      <c r="E111" s="12">
        <v>-163</v>
      </c>
      <c r="F111" s="22"/>
      <c r="G111" s="23" t="s">
        <v>550</v>
      </c>
      <c r="H111" s="24"/>
      <c r="I111" s="25"/>
      <c r="J111" s="39"/>
    </row>
    <row r="112" spans="1:10" ht="13.5" customHeight="1" x14ac:dyDescent="0.2">
      <c r="A112" s="19"/>
      <c r="B112" s="20"/>
      <c r="C112" s="45" t="s">
        <v>551</v>
      </c>
      <c r="D112" s="11" t="s">
        <v>19</v>
      </c>
      <c r="E112" s="12">
        <v>-53.7</v>
      </c>
      <c r="F112" s="22"/>
      <c r="G112" s="23" t="s">
        <v>553</v>
      </c>
      <c r="H112" s="24"/>
      <c r="I112" s="25"/>
      <c r="J112" s="39"/>
    </row>
    <row r="113" spans="1:10" ht="13.5" customHeight="1" x14ac:dyDescent="0.2">
      <c r="A113" s="19">
        <v>43333</v>
      </c>
      <c r="B113" s="20"/>
      <c r="C113" s="34" t="s">
        <v>1106</v>
      </c>
      <c r="D113" s="11"/>
      <c r="E113" s="12"/>
      <c r="F113" s="22"/>
      <c r="G113" s="23"/>
      <c r="H113" s="24">
        <v>7.45</v>
      </c>
      <c r="I113" s="25"/>
      <c r="J113" s="39"/>
    </row>
    <row r="114" spans="1:10" ht="13.5" customHeight="1" x14ac:dyDescent="0.2">
      <c r="A114" s="19"/>
      <c r="B114" s="20"/>
      <c r="C114" s="34" t="s">
        <v>1107</v>
      </c>
      <c r="D114" s="11"/>
      <c r="E114" s="12"/>
      <c r="F114" s="22"/>
      <c r="G114" s="23"/>
      <c r="H114" s="24">
        <v>4.95</v>
      </c>
      <c r="I114" s="25"/>
      <c r="J114" s="39"/>
    </row>
    <row r="115" spans="1:10" ht="13.5" customHeight="1" x14ac:dyDescent="0.2">
      <c r="A115" s="19"/>
      <c r="B115" s="20"/>
      <c r="C115" s="34" t="s">
        <v>1108</v>
      </c>
      <c r="D115" s="11"/>
      <c r="E115" s="12"/>
      <c r="F115" s="22"/>
      <c r="G115" s="23"/>
      <c r="H115" s="24">
        <v>10.35</v>
      </c>
      <c r="I115" s="25"/>
      <c r="J115" s="39"/>
    </row>
    <row r="116" spans="1:10" ht="13.5" customHeight="1" x14ac:dyDescent="0.2">
      <c r="A116" s="19"/>
      <c r="B116" s="20"/>
      <c r="C116" s="34" t="s">
        <v>1109</v>
      </c>
      <c r="D116" s="11"/>
      <c r="E116" s="12"/>
      <c r="F116" s="22"/>
      <c r="G116" s="23"/>
      <c r="H116" s="24">
        <v>31.4</v>
      </c>
      <c r="I116" s="25"/>
      <c r="J116" s="39"/>
    </row>
    <row r="117" spans="1:10" ht="13.5" customHeight="1" x14ac:dyDescent="0.2">
      <c r="A117" s="19"/>
      <c r="B117" s="20"/>
      <c r="C117" s="34" t="s">
        <v>1110</v>
      </c>
      <c r="D117" s="11"/>
      <c r="E117" s="12"/>
      <c r="F117" s="22"/>
      <c r="G117" s="23"/>
      <c r="H117" s="24">
        <v>13.25</v>
      </c>
      <c r="I117" s="25"/>
      <c r="J117" s="39"/>
    </row>
    <row r="118" spans="1:10" ht="13.5" customHeight="1" x14ac:dyDescent="0.2">
      <c r="A118" s="19"/>
      <c r="B118" s="20"/>
      <c r="C118" s="34" t="s">
        <v>1111</v>
      </c>
      <c r="D118" s="11"/>
      <c r="E118" s="12"/>
      <c r="F118" s="22"/>
      <c r="G118" s="23"/>
      <c r="H118" s="24">
        <v>2.25</v>
      </c>
      <c r="I118" s="25"/>
      <c r="J118" s="39"/>
    </row>
    <row r="119" spans="1:10" ht="13.5" customHeight="1" x14ac:dyDescent="0.2">
      <c r="A119" s="19"/>
      <c r="B119" s="20"/>
      <c r="C119" s="34" t="s">
        <v>1112</v>
      </c>
      <c r="D119" s="11"/>
      <c r="E119" s="12"/>
      <c r="F119" s="22"/>
      <c r="G119" s="23"/>
      <c r="H119" s="24">
        <v>20</v>
      </c>
      <c r="I119" s="25"/>
      <c r="J119" s="39"/>
    </row>
    <row r="120" spans="1:10" ht="13.5" customHeight="1" x14ac:dyDescent="0.2">
      <c r="A120" s="19"/>
      <c r="B120" s="20"/>
      <c r="C120" s="34" t="s">
        <v>1113</v>
      </c>
      <c r="D120" s="11"/>
      <c r="E120" s="12"/>
      <c r="F120" s="22"/>
      <c r="G120" s="23"/>
      <c r="H120" s="24">
        <v>37.200000000000003</v>
      </c>
      <c r="I120" s="25"/>
      <c r="J120" s="39"/>
    </row>
    <row r="121" spans="1:10" ht="13.5" customHeight="1" x14ac:dyDescent="0.2">
      <c r="A121" s="19"/>
      <c r="B121" s="20"/>
      <c r="C121" s="34" t="s">
        <v>1114</v>
      </c>
      <c r="D121" s="11"/>
      <c r="E121" s="12"/>
      <c r="F121" s="22"/>
      <c r="G121" s="23"/>
      <c r="H121" s="24">
        <v>30.2</v>
      </c>
      <c r="I121" s="25"/>
      <c r="J121" s="39"/>
    </row>
    <row r="122" spans="1:10" ht="13.5" customHeight="1" x14ac:dyDescent="0.2">
      <c r="A122" s="19"/>
      <c r="B122" s="20"/>
      <c r="C122" s="34" t="s">
        <v>339</v>
      </c>
      <c r="D122" s="11"/>
      <c r="E122" s="12"/>
      <c r="F122" s="22"/>
      <c r="G122" s="23"/>
      <c r="H122" s="24">
        <v>8.98</v>
      </c>
      <c r="I122" s="25"/>
      <c r="J122" s="39"/>
    </row>
    <row r="123" spans="1:10" ht="13.5" customHeight="1" x14ac:dyDescent="0.2">
      <c r="A123" s="19"/>
      <c r="B123" s="20"/>
      <c r="C123" s="34" t="s">
        <v>1115</v>
      </c>
      <c r="D123" s="11"/>
      <c r="E123" s="12"/>
      <c r="F123" s="22"/>
      <c r="G123" s="23"/>
      <c r="H123" s="24">
        <v>16.36</v>
      </c>
      <c r="I123" s="25"/>
      <c r="J123" s="39"/>
    </row>
    <row r="124" spans="1:10" ht="13.5" customHeight="1" x14ac:dyDescent="0.2">
      <c r="A124" s="19"/>
      <c r="B124" s="20"/>
      <c r="C124" s="34" t="s">
        <v>1116</v>
      </c>
      <c r="D124" s="11"/>
      <c r="E124" s="12"/>
      <c r="F124" s="22"/>
      <c r="G124" s="23"/>
      <c r="H124" s="24">
        <v>60</v>
      </c>
      <c r="I124" s="25"/>
      <c r="J124" s="39">
        <v>9936.3799999999992</v>
      </c>
    </row>
    <row r="125" spans="1:10" ht="13.5" customHeight="1" x14ac:dyDescent="0.2">
      <c r="A125" s="19"/>
      <c r="B125" s="20"/>
      <c r="C125" s="34" t="s">
        <v>133</v>
      </c>
      <c r="D125" s="11" t="s">
        <v>478</v>
      </c>
      <c r="E125" s="12">
        <v>-994.92</v>
      </c>
      <c r="F125" s="22"/>
      <c r="G125" s="23" t="s">
        <v>1117</v>
      </c>
      <c r="H125" s="24"/>
      <c r="I125" s="25"/>
      <c r="J125" s="39"/>
    </row>
    <row r="126" spans="1:10" ht="13.5" customHeight="1" x14ac:dyDescent="0.2">
      <c r="A126" s="19"/>
      <c r="B126" s="20"/>
      <c r="C126" s="34" t="s">
        <v>20</v>
      </c>
      <c r="D126" s="11" t="s">
        <v>19</v>
      </c>
      <c r="E126" s="12"/>
      <c r="F126" s="22">
        <v>0.09</v>
      </c>
      <c r="G126" s="23" t="s">
        <v>1118</v>
      </c>
      <c r="H126" s="24"/>
      <c r="I126" s="25"/>
      <c r="J126" s="39"/>
    </row>
    <row r="127" spans="1:10" ht="13.5" customHeight="1" x14ac:dyDescent="0.2">
      <c r="A127" s="19">
        <v>43334</v>
      </c>
      <c r="B127" s="20"/>
      <c r="C127" s="34" t="s">
        <v>1119</v>
      </c>
      <c r="D127" s="11"/>
      <c r="E127" s="12"/>
      <c r="F127" s="22"/>
      <c r="G127" s="23"/>
      <c r="H127" s="24"/>
      <c r="I127" s="25">
        <v>1070</v>
      </c>
      <c r="J127" s="39"/>
    </row>
    <row r="128" spans="1:10" ht="13.5" customHeight="1" x14ac:dyDescent="0.2">
      <c r="A128" s="19"/>
      <c r="B128" s="20"/>
      <c r="C128" s="34" t="s">
        <v>1120</v>
      </c>
      <c r="D128" s="11"/>
      <c r="E128" s="12"/>
      <c r="F128" s="22"/>
      <c r="G128" s="23"/>
      <c r="H128" s="24"/>
      <c r="I128" s="25">
        <v>7500</v>
      </c>
      <c r="J128" s="39"/>
    </row>
    <row r="129" spans="1:10" ht="13.5" customHeight="1" x14ac:dyDescent="0.2">
      <c r="A129" s="19"/>
      <c r="B129" s="20"/>
      <c r="C129" s="34" t="s">
        <v>1121</v>
      </c>
      <c r="D129" s="11"/>
      <c r="E129" s="12"/>
      <c r="F129" s="22"/>
      <c r="G129" s="23"/>
      <c r="H129" s="24"/>
      <c r="I129" s="25">
        <v>500</v>
      </c>
      <c r="J129" s="39"/>
    </row>
    <row r="130" spans="1:10" ht="13.5" customHeight="1" x14ac:dyDescent="0.2">
      <c r="A130" s="19"/>
      <c r="B130" s="20"/>
      <c r="C130" s="34" t="s">
        <v>1122</v>
      </c>
      <c r="D130" s="11"/>
      <c r="E130" s="12"/>
      <c r="F130" s="22"/>
      <c r="G130" s="23"/>
      <c r="H130" s="24"/>
      <c r="I130" s="25">
        <v>2050</v>
      </c>
      <c r="J130" s="39"/>
    </row>
    <row r="131" spans="1:10" ht="13.5" customHeight="1" x14ac:dyDescent="0.2">
      <c r="A131" s="19"/>
      <c r="B131" s="20"/>
      <c r="C131" s="34" t="s">
        <v>1065</v>
      </c>
      <c r="D131" s="11"/>
      <c r="E131" s="12"/>
      <c r="F131" s="22"/>
      <c r="G131" s="23"/>
      <c r="H131" s="24">
        <v>2</v>
      </c>
      <c r="I131" s="25"/>
      <c r="J131" s="39"/>
    </row>
    <row r="132" spans="1:10" ht="13.5" customHeight="1" x14ac:dyDescent="0.2">
      <c r="A132" s="19"/>
      <c r="B132" s="20"/>
      <c r="C132" s="34" t="s">
        <v>1065</v>
      </c>
      <c r="D132" s="11"/>
      <c r="E132" s="12"/>
      <c r="F132" s="22"/>
      <c r="G132" s="23"/>
      <c r="H132" s="24">
        <v>2</v>
      </c>
      <c r="I132" s="25"/>
      <c r="J132" s="39">
        <v>21052.38</v>
      </c>
    </row>
    <row r="133" spans="1:10" ht="13.5" customHeight="1" x14ac:dyDescent="0.2">
      <c r="A133" s="19"/>
      <c r="B133" s="20"/>
      <c r="C133" s="34" t="s">
        <v>127</v>
      </c>
      <c r="D133" s="11" t="s">
        <v>19</v>
      </c>
      <c r="E133" s="12">
        <v>-31.3</v>
      </c>
      <c r="F133" s="22"/>
      <c r="G133" s="23"/>
      <c r="H133" s="24"/>
      <c r="I133" s="25"/>
      <c r="J133" s="39"/>
    </row>
    <row r="134" spans="1:10" ht="13.5" customHeight="1" x14ac:dyDescent="0.2">
      <c r="A134" s="19"/>
      <c r="B134" s="20"/>
      <c r="C134" s="34" t="s">
        <v>128</v>
      </c>
      <c r="D134" s="11" t="s">
        <v>19</v>
      </c>
      <c r="E134" s="12">
        <v>-34.71</v>
      </c>
      <c r="F134" s="22"/>
      <c r="G134" s="23"/>
      <c r="H134" s="24"/>
      <c r="I134" s="25"/>
      <c r="J134" s="39"/>
    </row>
    <row r="135" spans="1:10" ht="13.5" customHeight="1" x14ac:dyDescent="0.2">
      <c r="A135" s="19"/>
      <c r="B135" s="20"/>
      <c r="C135" s="34" t="s">
        <v>129</v>
      </c>
      <c r="D135" s="11" t="s">
        <v>19</v>
      </c>
      <c r="E135" s="12">
        <v>-52.17</v>
      </c>
      <c r="F135" s="22"/>
      <c r="G135" s="23"/>
      <c r="H135" s="24"/>
      <c r="I135" s="25"/>
      <c r="J135" s="39"/>
    </row>
    <row r="136" spans="1:10" ht="13.5" customHeight="1" x14ac:dyDescent="0.2">
      <c r="A136" s="19"/>
      <c r="B136" s="20"/>
      <c r="C136" s="34" t="s">
        <v>131</v>
      </c>
      <c r="D136" s="11" t="s">
        <v>19</v>
      </c>
      <c r="E136" s="12">
        <v>-124.6</v>
      </c>
      <c r="F136" s="22"/>
      <c r="G136" s="23"/>
      <c r="H136" s="24"/>
      <c r="I136" s="25"/>
      <c r="J136" s="39"/>
    </row>
    <row r="137" spans="1:10" ht="13.5" customHeight="1" x14ac:dyDescent="0.2">
      <c r="A137" s="19"/>
      <c r="B137" s="20"/>
      <c r="C137" s="34" t="s">
        <v>130</v>
      </c>
      <c r="D137" s="11" t="s">
        <v>19</v>
      </c>
      <c r="E137" s="12">
        <v>-130.9</v>
      </c>
      <c r="F137" s="22"/>
      <c r="G137" s="23"/>
      <c r="H137" s="24"/>
      <c r="I137" s="25"/>
      <c r="J137" s="39"/>
    </row>
    <row r="138" spans="1:10" ht="13.5" customHeight="1" x14ac:dyDescent="0.2">
      <c r="A138" s="19"/>
      <c r="B138" s="20"/>
      <c r="C138" s="34" t="s">
        <v>20</v>
      </c>
      <c r="D138" s="11" t="s">
        <v>19</v>
      </c>
      <c r="E138" s="12"/>
      <c r="F138" s="22">
        <v>0.05</v>
      </c>
      <c r="G138" s="23" t="s">
        <v>1123</v>
      </c>
      <c r="H138" s="24"/>
      <c r="I138" s="25"/>
      <c r="J138" s="39"/>
    </row>
    <row r="139" spans="1:10" ht="13.5" customHeight="1" x14ac:dyDescent="0.2">
      <c r="A139" s="19">
        <v>43335</v>
      </c>
      <c r="B139" s="20"/>
      <c r="C139" s="34" t="s">
        <v>1115</v>
      </c>
      <c r="D139" s="11"/>
      <c r="E139" s="12"/>
      <c r="F139" s="22"/>
      <c r="G139" s="23"/>
      <c r="H139" s="24">
        <v>11.8</v>
      </c>
      <c r="I139" s="25"/>
      <c r="J139" s="39"/>
    </row>
    <row r="140" spans="1:10" ht="13.5" customHeight="1" x14ac:dyDescent="0.2">
      <c r="A140" s="19"/>
      <c r="B140" s="20"/>
      <c r="C140" s="34" t="s">
        <v>1124</v>
      </c>
      <c r="D140" s="11"/>
      <c r="E140" s="12"/>
      <c r="F140" s="22"/>
      <c r="G140" s="23"/>
      <c r="H140" s="24">
        <v>55.58</v>
      </c>
      <c r="I140" s="25"/>
      <c r="J140" s="39"/>
    </row>
    <row r="141" spans="1:10" ht="13.5" customHeight="1" x14ac:dyDescent="0.2">
      <c r="A141" s="19"/>
      <c r="B141" s="20"/>
      <c r="C141" s="34" t="s">
        <v>1035</v>
      </c>
      <c r="D141" s="11"/>
      <c r="E141" s="12"/>
      <c r="F141" s="22"/>
      <c r="G141" s="23"/>
      <c r="H141" s="24">
        <v>60</v>
      </c>
      <c r="I141" s="25"/>
      <c r="J141" s="39"/>
    </row>
    <row r="142" spans="1:10" ht="13.5" customHeight="1" x14ac:dyDescent="0.2">
      <c r="A142" s="19"/>
      <c r="B142" s="20"/>
      <c r="C142" s="34" t="s">
        <v>1125</v>
      </c>
      <c r="D142" s="11"/>
      <c r="E142" s="12"/>
      <c r="F142" s="22"/>
      <c r="G142" s="23"/>
      <c r="H142" s="24">
        <v>60</v>
      </c>
      <c r="I142" s="25"/>
      <c r="J142" s="39">
        <v>20865</v>
      </c>
    </row>
    <row r="143" spans="1:10" ht="13.5" customHeight="1" x14ac:dyDescent="0.2">
      <c r="A143" s="19">
        <v>43336</v>
      </c>
      <c r="B143" s="20"/>
      <c r="C143" s="34" t="s">
        <v>1126</v>
      </c>
      <c r="D143" s="11"/>
      <c r="E143" s="12"/>
      <c r="F143" s="22"/>
      <c r="G143" s="23"/>
      <c r="H143" s="24">
        <v>6.8</v>
      </c>
      <c r="I143" s="25"/>
      <c r="J143" s="39"/>
    </row>
    <row r="144" spans="1:10" ht="13.5" customHeight="1" x14ac:dyDescent="0.2">
      <c r="A144" s="19"/>
      <c r="B144" s="20"/>
      <c r="C144" s="34" t="s">
        <v>1127</v>
      </c>
      <c r="D144" s="11"/>
      <c r="E144" s="12"/>
      <c r="F144" s="22"/>
      <c r="G144" s="23"/>
      <c r="H144" s="24">
        <v>25.8</v>
      </c>
      <c r="I144" s="25"/>
      <c r="J144" s="39"/>
    </row>
    <row r="145" spans="1:10" ht="13.5" customHeight="1" x14ac:dyDescent="0.2">
      <c r="A145" s="19"/>
      <c r="B145" s="20"/>
      <c r="C145" s="34" t="s">
        <v>1128</v>
      </c>
      <c r="D145" s="11"/>
      <c r="E145" s="12"/>
      <c r="F145" s="22"/>
      <c r="G145" s="23"/>
      <c r="H145" s="24">
        <v>33.76</v>
      </c>
      <c r="I145" s="25"/>
      <c r="J145" s="39"/>
    </row>
    <row r="146" spans="1:10" ht="13.5" customHeight="1" x14ac:dyDescent="0.2">
      <c r="A146" s="19"/>
      <c r="B146" s="20"/>
      <c r="C146" s="34" t="s">
        <v>1129</v>
      </c>
      <c r="D146" s="11"/>
      <c r="E146" s="12"/>
      <c r="F146" s="22"/>
      <c r="G146" s="23"/>
      <c r="H146" s="24">
        <v>180</v>
      </c>
      <c r="I146" s="25"/>
      <c r="J146" s="39"/>
    </row>
    <row r="147" spans="1:10" ht="13.5" customHeight="1" x14ac:dyDescent="0.2">
      <c r="A147" s="19"/>
      <c r="B147" s="20"/>
      <c r="C147" s="34" t="s">
        <v>1130</v>
      </c>
      <c r="D147" s="11"/>
      <c r="E147" s="12"/>
      <c r="F147" s="22"/>
      <c r="G147" s="23"/>
      <c r="H147" s="24">
        <v>240</v>
      </c>
      <c r="I147" s="25"/>
      <c r="J147" s="39"/>
    </row>
    <row r="148" spans="1:10" ht="13.5" customHeight="1" x14ac:dyDescent="0.2">
      <c r="A148" s="19"/>
      <c r="B148" s="20"/>
      <c r="C148" s="34" t="s">
        <v>470</v>
      </c>
      <c r="D148" s="11"/>
      <c r="E148" s="12"/>
      <c r="F148" s="22"/>
      <c r="G148" s="23"/>
      <c r="H148" s="174">
        <v>1500</v>
      </c>
      <c r="I148" s="25"/>
      <c r="J148" s="39"/>
    </row>
    <row r="149" spans="1:10" ht="13.5" customHeight="1" x14ac:dyDescent="0.2">
      <c r="A149" s="19"/>
      <c r="B149" s="20"/>
      <c r="C149" s="34" t="s">
        <v>36</v>
      </c>
      <c r="D149" s="11"/>
      <c r="E149" s="12"/>
      <c r="F149" s="22"/>
      <c r="G149" s="23"/>
      <c r="H149" s="24">
        <v>350</v>
      </c>
      <c r="I149" s="25"/>
      <c r="J149" s="39"/>
    </row>
    <row r="150" spans="1:10" ht="13.5" customHeight="1" x14ac:dyDescent="0.2">
      <c r="A150" s="19"/>
      <c r="B150" s="20"/>
      <c r="C150" s="34" t="s">
        <v>1131</v>
      </c>
      <c r="D150" s="11"/>
      <c r="E150" s="12"/>
      <c r="F150" s="22"/>
      <c r="G150" s="23"/>
      <c r="H150" s="24">
        <v>0.5</v>
      </c>
      <c r="I150" s="25"/>
      <c r="J150" s="39">
        <v>18528.14</v>
      </c>
    </row>
    <row r="151" spans="1:10" ht="13.5" customHeight="1" x14ac:dyDescent="0.2">
      <c r="A151" s="19"/>
      <c r="B151" s="20"/>
      <c r="C151" s="34" t="s">
        <v>136</v>
      </c>
      <c r="D151" s="11" t="s">
        <v>19</v>
      </c>
      <c r="E151" s="12">
        <v>-37.9</v>
      </c>
      <c r="F151" s="22"/>
      <c r="G151" s="23" t="s">
        <v>1132</v>
      </c>
      <c r="H151" s="24"/>
      <c r="I151" s="25"/>
      <c r="J151" s="39"/>
    </row>
    <row r="152" spans="1:10" ht="13.5" customHeight="1" x14ac:dyDescent="0.2">
      <c r="A152" s="19"/>
      <c r="B152" s="20"/>
      <c r="C152" s="34" t="s">
        <v>470</v>
      </c>
      <c r="D152" s="11" t="s">
        <v>1133</v>
      </c>
      <c r="E152" s="12"/>
      <c r="F152" s="162">
        <v>1500</v>
      </c>
      <c r="G152" s="23" t="s">
        <v>1134</v>
      </c>
      <c r="H152" s="24"/>
      <c r="I152" s="25"/>
      <c r="J152" s="39"/>
    </row>
    <row r="153" spans="1:10" ht="13.5" customHeight="1" x14ac:dyDescent="0.2">
      <c r="A153" s="19">
        <v>43339</v>
      </c>
      <c r="B153" s="20"/>
      <c r="C153" s="34" t="s">
        <v>471</v>
      </c>
      <c r="D153" s="11"/>
      <c r="E153" s="12"/>
      <c r="F153" s="22"/>
      <c r="G153" s="23"/>
      <c r="H153" s="174">
        <v>8000</v>
      </c>
      <c r="I153" s="25"/>
      <c r="J153" s="39"/>
    </row>
    <row r="154" spans="1:10" ht="13.5" customHeight="1" x14ac:dyDescent="0.2">
      <c r="A154" s="19"/>
      <c r="B154" s="20"/>
      <c r="C154" s="34" t="s">
        <v>1135</v>
      </c>
      <c r="D154" s="11"/>
      <c r="E154" s="12"/>
      <c r="F154" s="22"/>
      <c r="G154" s="23"/>
      <c r="H154" s="24">
        <v>60</v>
      </c>
      <c r="I154" s="25"/>
      <c r="J154" s="39"/>
    </row>
    <row r="155" spans="1:10" ht="13.5" customHeight="1" x14ac:dyDescent="0.2">
      <c r="A155" s="19"/>
      <c r="B155" s="20"/>
      <c r="C155" s="34" t="s">
        <v>1136</v>
      </c>
      <c r="D155" s="11"/>
      <c r="E155" s="12"/>
      <c r="F155" s="22"/>
      <c r="G155" s="23"/>
      <c r="H155" s="24">
        <v>350</v>
      </c>
      <c r="I155" s="25"/>
      <c r="J155" s="39">
        <v>10118.14</v>
      </c>
    </row>
    <row r="156" spans="1:10" ht="13.5" customHeight="1" x14ac:dyDescent="0.2">
      <c r="A156" s="19">
        <v>43340</v>
      </c>
      <c r="B156" s="20"/>
      <c r="C156" s="34" t="s">
        <v>1137</v>
      </c>
      <c r="D156" s="11"/>
      <c r="E156" s="12"/>
      <c r="F156" s="22"/>
      <c r="G156" s="23"/>
      <c r="H156" s="24">
        <v>99.96</v>
      </c>
      <c r="I156" s="25"/>
      <c r="J156" s="39"/>
    </row>
    <row r="157" spans="1:10" ht="13.5" customHeight="1" x14ac:dyDescent="0.2">
      <c r="A157" s="19"/>
      <c r="B157" s="20"/>
      <c r="C157" s="34" t="s">
        <v>1138</v>
      </c>
      <c r="D157" s="11"/>
      <c r="E157" s="12"/>
      <c r="F157" s="22"/>
      <c r="G157" s="23"/>
      <c r="H157" s="24">
        <v>60</v>
      </c>
      <c r="I157" s="25"/>
      <c r="J157" s="39">
        <v>9958.18</v>
      </c>
    </row>
    <row r="158" spans="1:10" ht="13.5" customHeight="1" x14ac:dyDescent="0.2">
      <c r="A158" s="19">
        <v>43341</v>
      </c>
      <c r="B158" s="20"/>
      <c r="C158" s="34" t="s">
        <v>1139</v>
      </c>
      <c r="D158" s="11"/>
      <c r="E158" s="12"/>
      <c r="F158" s="22"/>
      <c r="G158" s="23"/>
      <c r="H158" s="24">
        <v>30</v>
      </c>
      <c r="I158" s="25"/>
      <c r="J158" s="39"/>
    </row>
    <row r="159" spans="1:10" ht="13.5" customHeight="1" x14ac:dyDescent="0.2">
      <c r="A159" s="19"/>
      <c r="B159" s="20"/>
      <c r="C159" s="34" t="s">
        <v>1140</v>
      </c>
      <c r="D159" s="11"/>
      <c r="E159" s="12"/>
      <c r="F159" s="22"/>
      <c r="G159" s="23"/>
      <c r="H159" s="24">
        <v>8.9</v>
      </c>
      <c r="I159" s="25"/>
      <c r="J159" s="39"/>
    </row>
    <row r="160" spans="1:10" ht="13.5" customHeight="1" x14ac:dyDescent="0.2">
      <c r="A160" s="19"/>
      <c r="B160" s="20"/>
      <c r="C160" s="34" t="s">
        <v>1128</v>
      </c>
      <c r="D160" s="11"/>
      <c r="E160" s="12"/>
      <c r="F160" s="22"/>
      <c r="G160" s="23"/>
      <c r="H160" s="24">
        <v>10.8</v>
      </c>
      <c r="I160" s="25"/>
      <c r="J160" s="39"/>
    </row>
    <row r="161" spans="1:10" ht="13.5" customHeight="1" x14ac:dyDescent="0.2">
      <c r="A161" s="19"/>
      <c r="B161" s="20"/>
      <c r="C161" s="34" t="s">
        <v>1141</v>
      </c>
      <c r="D161" s="11"/>
      <c r="E161" s="12"/>
      <c r="F161" s="22"/>
      <c r="G161" s="23"/>
      <c r="H161" s="24">
        <v>6.2</v>
      </c>
      <c r="I161" s="25"/>
      <c r="J161" s="39"/>
    </row>
    <row r="162" spans="1:10" ht="13.5" customHeight="1" x14ac:dyDescent="0.2">
      <c r="A162" s="19"/>
      <c r="B162" s="20"/>
      <c r="C162" s="34" t="s">
        <v>1142</v>
      </c>
      <c r="D162" s="11"/>
      <c r="E162" s="12"/>
      <c r="F162" s="22"/>
      <c r="G162" s="23"/>
      <c r="H162" s="24">
        <v>7.4</v>
      </c>
      <c r="I162" s="25"/>
      <c r="J162" s="39"/>
    </row>
    <row r="163" spans="1:10" ht="13.5" customHeight="1" x14ac:dyDescent="0.2">
      <c r="A163" s="19"/>
      <c r="B163" s="20"/>
      <c r="C163" s="34" t="s">
        <v>1143</v>
      </c>
      <c r="D163" s="11"/>
      <c r="E163" s="12"/>
      <c r="F163" s="22"/>
      <c r="G163" s="23"/>
      <c r="H163" s="24">
        <v>25</v>
      </c>
      <c r="I163" s="25"/>
      <c r="J163" s="39"/>
    </row>
    <row r="164" spans="1:10" ht="13.5" customHeight="1" x14ac:dyDescent="0.2">
      <c r="A164" s="19"/>
      <c r="B164" s="20"/>
      <c r="C164" s="34" t="s">
        <v>1144</v>
      </c>
      <c r="D164" s="11"/>
      <c r="E164" s="12"/>
      <c r="F164" s="22"/>
      <c r="G164" s="23"/>
      <c r="H164" s="24">
        <v>300</v>
      </c>
      <c r="I164" s="25"/>
      <c r="J164" s="39"/>
    </row>
    <row r="165" spans="1:10" ht="13.5" customHeight="1" x14ac:dyDescent="0.2">
      <c r="A165" s="19"/>
      <c r="B165" s="20"/>
      <c r="C165" s="34" t="s">
        <v>1145</v>
      </c>
      <c r="D165" s="11"/>
      <c r="E165" s="12"/>
      <c r="F165" s="22"/>
      <c r="G165" s="23"/>
      <c r="H165" s="24">
        <v>600</v>
      </c>
      <c r="I165" s="25"/>
      <c r="J165" s="39"/>
    </row>
    <row r="166" spans="1:10" ht="13.5" customHeight="1" x14ac:dyDescent="0.2">
      <c r="A166" s="19"/>
      <c r="B166" s="20"/>
      <c r="C166" s="34" t="s">
        <v>1146</v>
      </c>
      <c r="D166" s="11"/>
      <c r="E166" s="12"/>
      <c r="F166" s="22"/>
      <c r="G166" s="23"/>
      <c r="H166" s="24">
        <v>6.9</v>
      </c>
      <c r="I166" s="25"/>
      <c r="J166" s="39"/>
    </row>
    <row r="167" spans="1:10" ht="13.5" customHeight="1" x14ac:dyDescent="0.2">
      <c r="A167" s="19"/>
      <c r="B167" s="20"/>
      <c r="C167" s="34" t="s">
        <v>1147</v>
      </c>
      <c r="D167" s="11"/>
      <c r="E167" s="12"/>
      <c r="F167" s="22"/>
      <c r="G167" s="23"/>
      <c r="H167" s="24">
        <v>9</v>
      </c>
      <c r="I167" s="25"/>
      <c r="J167" s="39">
        <v>8953.98</v>
      </c>
    </row>
    <row r="168" spans="1:10" ht="13.5" customHeight="1" x14ac:dyDescent="0.2">
      <c r="A168" s="19" t="s">
        <v>1148</v>
      </c>
      <c r="B168" s="20"/>
      <c r="C168" s="34" t="s">
        <v>1149</v>
      </c>
      <c r="D168" s="11" t="s">
        <v>19</v>
      </c>
      <c r="E168" s="12"/>
      <c r="F168" s="22">
        <v>485</v>
      </c>
      <c r="G168" s="23" t="s">
        <v>1150</v>
      </c>
      <c r="H168" s="24"/>
      <c r="I168" s="25"/>
      <c r="J168" s="39"/>
    </row>
    <row r="169" spans="1:10" ht="13.5" customHeight="1" x14ac:dyDescent="0.2">
      <c r="A169" s="19">
        <v>43342</v>
      </c>
      <c r="B169" s="20"/>
      <c r="C169" s="34" t="s">
        <v>1151</v>
      </c>
      <c r="D169" s="11"/>
      <c r="E169" s="12"/>
      <c r="F169" s="22"/>
      <c r="G169" s="23"/>
      <c r="H169" s="24">
        <v>16.73</v>
      </c>
      <c r="I169" s="25"/>
      <c r="J169" s="39"/>
    </row>
    <row r="170" spans="1:10" ht="13.5" customHeight="1" x14ac:dyDescent="0.2">
      <c r="A170" s="19"/>
      <c r="B170" s="20"/>
      <c r="C170" s="34" t="s">
        <v>1152</v>
      </c>
      <c r="D170" s="11"/>
      <c r="E170" s="12"/>
      <c r="F170" s="22"/>
      <c r="G170" s="23"/>
      <c r="H170" s="24">
        <v>14.9</v>
      </c>
      <c r="I170" s="25"/>
      <c r="J170" s="39"/>
    </row>
    <row r="171" spans="1:10" ht="13.5" customHeight="1" x14ac:dyDescent="0.2">
      <c r="A171" s="19"/>
      <c r="B171" s="20"/>
      <c r="C171" s="34" t="s">
        <v>1153</v>
      </c>
      <c r="D171" s="11"/>
      <c r="E171" s="12"/>
      <c r="F171" s="22"/>
      <c r="G171" s="23"/>
      <c r="H171" s="24">
        <v>76.97</v>
      </c>
      <c r="I171" s="25"/>
      <c r="J171" s="39"/>
    </row>
    <row r="172" spans="1:10" ht="13.5" customHeight="1" x14ac:dyDescent="0.2">
      <c r="A172" s="19"/>
      <c r="B172" s="20"/>
      <c r="C172" s="34" t="s">
        <v>1154</v>
      </c>
      <c r="D172" s="11"/>
      <c r="E172" s="12"/>
      <c r="F172" s="22"/>
      <c r="G172" s="23"/>
      <c r="H172" s="24">
        <v>250</v>
      </c>
      <c r="I172" s="25"/>
      <c r="J172" s="39"/>
    </row>
    <row r="173" spans="1:10" ht="13.5" customHeight="1" x14ac:dyDescent="0.2">
      <c r="A173" s="19"/>
      <c r="B173" s="20"/>
      <c r="C173" s="34" t="s">
        <v>1155</v>
      </c>
      <c r="D173" s="11"/>
      <c r="E173" s="12"/>
      <c r="F173" s="22"/>
      <c r="G173" s="23"/>
      <c r="H173" s="24">
        <v>150</v>
      </c>
      <c r="I173" s="25"/>
      <c r="J173" s="39"/>
    </row>
    <row r="174" spans="1:10" ht="13.5" customHeight="1" x14ac:dyDescent="0.2">
      <c r="A174" s="19"/>
      <c r="B174" s="20"/>
      <c r="C174" s="34" t="s">
        <v>1156</v>
      </c>
      <c r="D174" s="11"/>
      <c r="E174" s="12"/>
      <c r="F174" s="22"/>
      <c r="G174" s="23"/>
      <c r="H174" s="24">
        <v>150</v>
      </c>
      <c r="I174" s="25"/>
      <c r="J174" s="39"/>
    </row>
    <row r="175" spans="1:10" ht="13.5" customHeight="1" x14ac:dyDescent="0.2">
      <c r="A175" s="19"/>
      <c r="B175" s="20"/>
      <c r="C175" s="34" t="s">
        <v>1157</v>
      </c>
      <c r="D175" s="11"/>
      <c r="E175" s="12"/>
      <c r="F175" s="22"/>
      <c r="G175" s="23"/>
      <c r="H175" s="24">
        <v>189.9</v>
      </c>
      <c r="I175" s="25"/>
      <c r="J175" s="39"/>
    </row>
    <row r="176" spans="1:10" ht="13.5" customHeight="1" x14ac:dyDescent="0.2">
      <c r="A176" s="19"/>
      <c r="B176" s="20"/>
      <c r="C176" s="34" t="s">
        <v>1158</v>
      </c>
      <c r="D176" s="11"/>
      <c r="E176" s="12"/>
      <c r="F176" s="22"/>
      <c r="G176" s="23"/>
      <c r="H176" s="24">
        <v>150</v>
      </c>
      <c r="I176" s="25"/>
      <c r="J176" s="39">
        <v>7955.48</v>
      </c>
    </row>
    <row r="177" spans="1:10" ht="13.5" customHeight="1" x14ac:dyDescent="0.2">
      <c r="A177" s="19" t="s">
        <v>1159</v>
      </c>
      <c r="B177" s="20"/>
      <c r="C177" s="34" t="s">
        <v>20</v>
      </c>
      <c r="D177" s="11" t="s">
        <v>19</v>
      </c>
      <c r="E177" s="12"/>
      <c r="F177" s="22">
        <v>0.11</v>
      </c>
      <c r="G177" s="23" t="s">
        <v>1160</v>
      </c>
      <c r="H177" s="24"/>
      <c r="I177" s="25"/>
      <c r="J177" s="39"/>
    </row>
    <row r="178" spans="1:10" ht="13.5" customHeight="1" x14ac:dyDescent="0.2">
      <c r="A178" s="19">
        <v>43343</v>
      </c>
      <c r="B178" s="20"/>
      <c r="C178" s="34" t="s">
        <v>1161</v>
      </c>
      <c r="D178" s="11"/>
      <c r="E178" s="12"/>
      <c r="F178" s="22"/>
      <c r="G178" s="23"/>
      <c r="H178" s="24"/>
      <c r="I178" s="25">
        <v>1360</v>
      </c>
      <c r="J178" s="39"/>
    </row>
    <row r="179" spans="1:10" ht="13.5" customHeight="1" x14ac:dyDescent="0.2">
      <c r="A179" s="19"/>
      <c r="B179" s="20"/>
      <c r="C179" s="34" t="s">
        <v>1162</v>
      </c>
      <c r="D179" s="11"/>
      <c r="E179" s="12"/>
      <c r="F179" s="22"/>
      <c r="G179" s="23"/>
      <c r="H179" s="24">
        <v>1</v>
      </c>
      <c r="I179" s="25"/>
      <c r="J179" s="39"/>
    </row>
    <row r="180" spans="1:10" ht="13.5" customHeight="1" x14ac:dyDescent="0.2">
      <c r="A180" s="19"/>
      <c r="B180" s="20"/>
      <c r="C180" s="34" t="s">
        <v>1163</v>
      </c>
      <c r="D180" s="11"/>
      <c r="E180" s="12"/>
      <c r="F180" s="22"/>
      <c r="G180" s="23"/>
      <c r="H180" s="24">
        <v>20.9</v>
      </c>
      <c r="I180" s="25"/>
      <c r="J180" s="39"/>
    </row>
    <row r="181" spans="1:10" ht="13.5" customHeight="1" x14ac:dyDescent="0.2">
      <c r="A181" s="19"/>
      <c r="B181" s="20"/>
      <c r="C181" s="34" t="s">
        <v>1164</v>
      </c>
      <c r="D181" s="11"/>
      <c r="E181" s="12"/>
      <c r="F181" s="22"/>
      <c r="G181" s="23"/>
      <c r="H181" s="24">
        <v>53.2</v>
      </c>
      <c r="I181" s="25"/>
      <c r="J181" s="39"/>
    </row>
    <row r="182" spans="1:10" ht="13.5" customHeight="1" x14ac:dyDescent="0.2">
      <c r="A182" s="19"/>
      <c r="B182" s="20"/>
      <c r="C182" s="34" t="s">
        <v>1125</v>
      </c>
      <c r="D182" s="11"/>
      <c r="E182" s="12"/>
      <c r="F182" s="22"/>
      <c r="G182" s="23"/>
      <c r="H182" s="24">
        <v>180</v>
      </c>
      <c r="I182" s="25"/>
      <c r="J182" s="394">
        <v>9060.3799999999992</v>
      </c>
    </row>
    <row r="183" spans="1:10" ht="13.5" customHeight="1" x14ac:dyDescent="0.2">
      <c r="A183" s="19" t="s">
        <v>1165</v>
      </c>
      <c r="B183" s="20"/>
      <c r="C183" s="34" t="s">
        <v>924</v>
      </c>
      <c r="D183" s="11" t="s">
        <v>19</v>
      </c>
      <c r="E183" s="12">
        <v>-416</v>
      </c>
      <c r="F183" s="22"/>
      <c r="G183" s="128">
        <v>8434.6200000000008</v>
      </c>
      <c r="H183" s="24"/>
      <c r="I183" s="25"/>
      <c r="J183" s="39"/>
    </row>
    <row r="184" spans="1:10" ht="13.5" customHeight="1" thickBot="1" x14ac:dyDescent="0.25">
      <c r="A184" s="47"/>
      <c r="B184" s="48"/>
      <c r="C184" s="49"/>
      <c r="D184" s="50"/>
      <c r="E184" s="716">
        <f>SUM(E3:E183)</f>
        <v>-6818.670000000001</v>
      </c>
      <c r="F184" s="717">
        <f>SUM(F167:F178)+SUM(F96:F140)+SUM(F70:F85)+SUM(F7:F50)</f>
        <v>1556.4299999999998</v>
      </c>
      <c r="G184" s="53"/>
      <c r="H184" s="718">
        <f>-(SUM(H154:H183)+H150+H149+SUM(H89:H147)+SUM(H75:H86)+SUM(H52:H71)+SUM(H4:H49))</f>
        <v>-14330.41</v>
      </c>
      <c r="I184" s="719">
        <f>SUM(I3:I178)</f>
        <v>36796.320000000007</v>
      </c>
      <c r="J184" s="52"/>
    </row>
    <row r="185" spans="1:10" ht="13.5" customHeight="1" thickBot="1" x14ac:dyDescent="0.25">
      <c r="A185" s="2" t="s">
        <v>2</v>
      </c>
      <c r="B185" s="3"/>
      <c r="C185" s="3" t="s">
        <v>481</v>
      </c>
      <c r="D185" s="3" t="s">
        <v>4</v>
      </c>
      <c r="E185" s="3" t="s">
        <v>5</v>
      </c>
      <c r="F185" s="3" t="s">
        <v>6</v>
      </c>
      <c r="G185" s="5" t="s">
        <v>7</v>
      </c>
      <c r="H185" s="1415" t="s">
        <v>482</v>
      </c>
      <c r="I185" s="1416"/>
      <c r="J185" s="1417"/>
    </row>
    <row r="186" spans="1:10" ht="13.5" customHeight="1" x14ac:dyDescent="0.2">
      <c r="A186" s="8">
        <v>43313</v>
      </c>
      <c r="B186" s="56"/>
      <c r="C186" s="10" t="s">
        <v>8</v>
      </c>
      <c r="D186" s="11">
        <v>0</v>
      </c>
      <c r="E186" s="51"/>
      <c r="F186" s="12"/>
      <c r="G186" s="178">
        <v>0</v>
      </c>
      <c r="H186" s="179"/>
      <c r="I186" s="57"/>
      <c r="J186" s="58">
        <v>14594.02</v>
      </c>
    </row>
    <row r="187" spans="1:10" ht="13.5" customHeight="1" x14ac:dyDescent="0.2">
      <c r="A187" s="180" t="s">
        <v>1166</v>
      </c>
      <c r="B187" s="56" t="s">
        <v>483</v>
      </c>
      <c r="C187" s="36" t="s">
        <v>170</v>
      </c>
      <c r="D187" s="11" t="s">
        <v>1167</v>
      </c>
      <c r="E187" s="181">
        <v>-150</v>
      </c>
      <c r="F187" s="12"/>
      <c r="G187" s="182" t="s">
        <v>483</v>
      </c>
      <c r="H187" s="59"/>
      <c r="I187" s="60"/>
      <c r="J187" s="61">
        <f>J186-H187+I187</f>
        <v>14594.02</v>
      </c>
    </row>
    <row r="188" spans="1:10" ht="13.5" customHeight="1" x14ac:dyDescent="0.2">
      <c r="A188" s="180"/>
      <c r="B188" s="56" t="s">
        <v>483</v>
      </c>
      <c r="C188" s="34" t="s">
        <v>172</v>
      </c>
      <c r="D188" s="11" t="s">
        <v>1168</v>
      </c>
      <c r="E188" s="181">
        <v>-585.91</v>
      </c>
      <c r="F188" s="12"/>
      <c r="G188" s="182" t="s">
        <v>483</v>
      </c>
      <c r="H188" s="59"/>
      <c r="I188" s="60"/>
      <c r="J188" s="61">
        <f t="shared" ref="J188:J226" si="0">J187-H188+I188</f>
        <v>14594.02</v>
      </c>
    </row>
    <row r="189" spans="1:10" ht="13.5" customHeight="1" x14ac:dyDescent="0.2">
      <c r="A189" s="180"/>
      <c r="B189" s="56" t="s">
        <v>483</v>
      </c>
      <c r="C189" s="36" t="s">
        <v>171</v>
      </c>
      <c r="D189" s="11" t="s">
        <v>1169</v>
      </c>
      <c r="E189" s="181">
        <v>-554.20000000000005</v>
      </c>
      <c r="F189" s="12"/>
      <c r="G189" s="182" t="s">
        <v>483</v>
      </c>
      <c r="H189" s="59"/>
      <c r="I189" s="60"/>
      <c r="J189" s="61">
        <f t="shared" si="0"/>
        <v>14594.02</v>
      </c>
    </row>
    <row r="190" spans="1:10" ht="13.5" customHeight="1" x14ac:dyDescent="0.2">
      <c r="A190" s="180"/>
      <c r="B190" s="56" t="s">
        <v>483</v>
      </c>
      <c r="C190" s="36" t="s">
        <v>174</v>
      </c>
      <c r="D190" s="11" t="s">
        <v>488</v>
      </c>
      <c r="E190" s="30"/>
      <c r="F190" s="183">
        <v>1290.1099999999999</v>
      </c>
      <c r="G190" s="182">
        <v>0</v>
      </c>
      <c r="H190" s="59">
        <v>1290.1099999999999</v>
      </c>
      <c r="I190" s="60"/>
      <c r="J190" s="61">
        <f t="shared" si="0"/>
        <v>13303.91</v>
      </c>
    </row>
    <row r="191" spans="1:10" ht="13.5" customHeight="1" x14ac:dyDescent="0.2">
      <c r="A191" s="180" t="s">
        <v>1170</v>
      </c>
      <c r="B191" s="56" t="s">
        <v>483</v>
      </c>
      <c r="C191" s="34" t="s">
        <v>1171</v>
      </c>
      <c r="D191" s="11" t="s">
        <v>1172</v>
      </c>
      <c r="E191" s="181">
        <v>-118.8</v>
      </c>
      <c r="F191" s="12"/>
      <c r="G191" s="182" t="s">
        <v>483</v>
      </c>
      <c r="H191" s="59"/>
      <c r="I191" s="60"/>
      <c r="J191" s="61">
        <f t="shared" si="0"/>
        <v>13303.91</v>
      </c>
    </row>
    <row r="192" spans="1:10" ht="13.5" customHeight="1" x14ac:dyDescent="0.2">
      <c r="A192" s="180"/>
      <c r="B192" s="56" t="s">
        <v>483</v>
      </c>
      <c r="C192" s="36" t="s">
        <v>174</v>
      </c>
      <c r="D192" s="11" t="s">
        <v>488</v>
      </c>
      <c r="E192" s="30"/>
      <c r="F192" s="183">
        <v>118.8</v>
      </c>
      <c r="G192" s="182">
        <v>0</v>
      </c>
      <c r="H192" s="59">
        <v>118.8</v>
      </c>
      <c r="I192" s="60"/>
      <c r="J192" s="61">
        <f t="shared" si="0"/>
        <v>13185.11</v>
      </c>
    </row>
    <row r="193" spans="1:10" ht="13.5" customHeight="1" x14ac:dyDescent="0.2">
      <c r="A193" s="180" t="s">
        <v>1173</v>
      </c>
      <c r="B193" s="56" t="s">
        <v>483</v>
      </c>
      <c r="C193" s="34" t="s">
        <v>180</v>
      </c>
      <c r="D193" s="11" t="s">
        <v>488</v>
      </c>
      <c r="E193" s="181">
        <v>-183.09</v>
      </c>
      <c r="F193" s="12"/>
      <c r="G193" s="182" t="s">
        <v>483</v>
      </c>
      <c r="H193" s="59"/>
      <c r="I193" s="60"/>
      <c r="J193" s="61">
        <f t="shared" si="0"/>
        <v>13185.11</v>
      </c>
    </row>
    <row r="194" spans="1:10" ht="13.5" customHeight="1" x14ac:dyDescent="0.2">
      <c r="A194" s="180"/>
      <c r="B194" s="56" t="s">
        <v>483</v>
      </c>
      <c r="C194" s="36" t="s">
        <v>174</v>
      </c>
      <c r="D194" s="11" t="s">
        <v>488</v>
      </c>
      <c r="E194" s="30"/>
      <c r="F194" s="183">
        <v>183.09</v>
      </c>
      <c r="G194" s="182">
        <v>0</v>
      </c>
      <c r="H194" s="59">
        <v>183.09</v>
      </c>
      <c r="I194" s="60"/>
      <c r="J194" s="61">
        <f t="shared" si="0"/>
        <v>13002.02</v>
      </c>
    </row>
    <row r="195" spans="1:10" ht="13.5" customHeight="1" x14ac:dyDescent="0.2">
      <c r="A195" s="180" t="s">
        <v>1174</v>
      </c>
      <c r="B195" s="56" t="s">
        <v>483</v>
      </c>
      <c r="C195" s="34" t="s">
        <v>177</v>
      </c>
      <c r="D195" s="11" t="s">
        <v>1175</v>
      </c>
      <c r="E195" s="181">
        <v>-162.27000000000001</v>
      </c>
      <c r="F195" s="12"/>
      <c r="G195" s="182" t="s">
        <v>483</v>
      </c>
      <c r="H195" s="59"/>
      <c r="I195" s="60"/>
      <c r="J195" s="61">
        <f t="shared" si="0"/>
        <v>13002.02</v>
      </c>
    </row>
    <row r="196" spans="1:10" ht="13.5" customHeight="1" x14ac:dyDescent="0.2">
      <c r="A196" s="180"/>
      <c r="B196" s="56" t="s">
        <v>483</v>
      </c>
      <c r="C196" s="36" t="s">
        <v>1176</v>
      </c>
      <c r="D196" s="11" t="s">
        <v>766</v>
      </c>
      <c r="E196" s="181">
        <v>-195.55</v>
      </c>
      <c r="F196" s="12"/>
      <c r="G196" s="182" t="s">
        <v>483</v>
      </c>
      <c r="H196" s="59"/>
      <c r="I196" s="60"/>
      <c r="J196" s="61">
        <f t="shared" si="0"/>
        <v>13002.02</v>
      </c>
    </row>
    <row r="197" spans="1:10" ht="13.5" customHeight="1" x14ac:dyDescent="0.2">
      <c r="A197" s="180"/>
      <c r="B197" s="56" t="s">
        <v>483</v>
      </c>
      <c r="C197" s="36" t="s">
        <v>174</v>
      </c>
      <c r="D197" s="11" t="s">
        <v>488</v>
      </c>
      <c r="E197" s="30"/>
      <c r="F197" s="183">
        <v>357.82</v>
      </c>
      <c r="G197" s="182">
        <v>0</v>
      </c>
      <c r="H197" s="59">
        <v>357.82</v>
      </c>
      <c r="I197" s="60"/>
      <c r="J197" s="61">
        <f t="shared" si="0"/>
        <v>12644.2</v>
      </c>
    </row>
    <row r="198" spans="1:10" ht="13.5" customHeight="1" x14ac:dyDescent="0.2">
      <c r="A198" s="180" t="s">
        <v>1177</v>
      </c>
      <c r="B198" s="56" t="s">
        <v>483</v>
      </c>
      <c r="C198" s="36" t="s">
        <v>1178</v>
      </c>
      <c r="D198" s="11" t="s">
        <v>488</v>
      </c>
      <c r="E198" s="181">
        <v>-3681</v>
      </c>
      <c r="F198" s="12"/>
      <c r="G198" s="182"/>
      <c r="H198" s="59"/>
      <c r="I198" s="60"/>
      <c r="J198" s="61">
        <f t="shared" si="0"/>
        <v>12644.2</v>
      </c>
    </row>
    <row r="199" spans="1:10" ht="13.5" customHeight="1" x14ac:dyDescent="0.2">
      <c r="A199" s="180"/>
      <c r="B199" s="56" t="s">
        <v>483</v>
      </c>
      <c r="C199" s="36" t="s">
        <v>1179</v>
      </c>
      <c r="D199" s="11" t="s">
        <v>488</v>
      </c>
      <c r="E199" s="181">
        <v>-180</v>
      </c>
      <c r="F199" s="12"/>
      <c r="G199" s="182">
        <v>-3861</v>
      </c>
      <c r="H199" s="59"/>
      <c r="I199" s="60"/>
      <c r="J199" s="61">
        <f t="shared" si="0"/>
        <v>12644.2</v>
      </c>
    </row>
    <row r="200" spans="1:10" ht="13.5" customHeight="1" x14ac:dyDescent="0.2">
      <c r="A200" s="180"/>
      <c r="B200" s="56" t="s">
        <v>483</v>
      </c>
      <c r="C200" s="36" t="s">
        <v>174</v>
      </c>
      <c r="D200" s="11" t="s">
        <v>488</v>
      </c>
      <c r="E200" s="30"/>
      <c r="F200" s="183">
        <v>3861</v>
      </c>
      <c r="G200" s="182">
        <v>0</v>
      </c>
      <c r="H200" s="59">
        <v>3861</v>
      </c>
      <c r="I200" s="60"/>
      <c r="J200" s="61">
        <f t="shared" si="0"/>
        <v>8783.2000000000007</v>
      </c>
    </row>
    <row r="201" spans="1:10" ht="13.5" customHeight="1" x14ac:dyDescent="0.2">
      <c r="A201" s="180" t="s">
        <v>1180</v>
      </c>
      <c r="B201" s="56" t="s">
        <v>483</v>
      </c>
      <c r="C201" s="36" t="s">
        <v>1181</v>
      </c>
      <c r="D201" s="11" t="s">
        <v>1182</v>
      </c>
      <c r="E201" s="181">
        <v>-180</v>
      </c>
      <c r="F201" s="12"/>
      <c r="G201" s="182" t="s">
        <v>483</v>
      </c>
      <c r="H201" s="59"/>
      <c r="I201" s="60"/>
      <c r="J201" s="61">
        <f t="shared" si="0"/>
        <v>8783.2000000000007</v>
      </c>
    </row>
    <row r="202" spans="1:10" ht="13.5" customHeight="1" x14ac:dyDescent="0.2">
      <c r="A202" s="180"/>
      <c r="B202" s="56" t="s">
        <v>483</v>
      </c>
      <c r="C202" s="36" t="s">
        <v>174</v>
      </c>
      <c r="D202" s="11" t="s">
        <v>488</v>
      </c>
      <c r="E202" s="30"/>
      <c r="F202" s="183">
        <v>180</v>
      </c>
      <c r="G202" s="182">
        <v>0</v>
      </c>
      <c r="H202" s="59">
        <v>180</v>
      </c>
      <c r="I202" s="60"/>
      <c r="J202" s="61">
        <f t="shared" si="0"/>
        <v>8603.2000000000007</v>
      </c>
    </row>
    <row r="203" spans="1:10" ht="13.5" customHeight="1" x14ac:dyDescent="0.2">
      <c r="A203" s="180" t="s">
        <v>1183</v>
      </c>
      <c r="B203" s="56" t="s">
        <v>483</v>
      </c>
      <c r="C203" s="34" t="s">
        <v>1184</v>
      </c>
      <c r="D203" s="11" t="s">
        <v>1185</v>
      </c>
      <c r="E203" s="181">
        <v>-720.85</v>
      </c>
      <c r="F203" s="12"/>
      <c r="G203" s="182" t="s">
        <v>483</v>
      </c>
      <c r="H203" s="59"/>
      <c r="I203" s="60"/>
      <c r="J203" s="61">
        <f t="shared" si="0"/>
        <v>8603.2000000000007</v>
      </c>
    </row>
    <row r="204" spans="1:10" ht="13.5" customHeight="1" x14ac:dyDescent="0.2">
      <c r="A204" s="180"/>
      <c r="B204" s="56" t="s">
        <v>483</v>
      </c>
      <c r="C204" s="34" t="s">
        <v>1186</v>
      </c>
      <c r="D204" s="11" t="s">
        <v>488</v>
      </c>
      <c r="E204" s="30"/>
      <c r="F204" s="183">
        <v>4731.47</v>
      </c>
      <c r="G204" s="182" t="s">
        <v>483</v>
      </c>
      <c r="H204" s="59"/>
      <c r="I204" s="60"/>
      <c r="J204" s="61">
        <f t="shared" si="0"/>
        <v>8603.2000000000007</v>
      </c>
    </row>
    <row r="205" spans="1:10" ht="13.5" customHeight="1" x14ac:dyDescent="0.2">
      <c r="A205" s="180"/>
      <c r="B205" s="56" t="s">
        <v>483</v>
      </c>
      <c r="C205" s="36" t="s">
        <v>1187</v>
      </c>
      <c r="D205" s="11" t="s">
        <v>1188</v>
      </c>
      <c r="E205" s="181">
        <v>-405.68</v>
      </c>
      <c r="F205" s="12"/>
      <c r="G205" s="182" t="s">
        <v>483</v>
      </c>
      <c r="H205" s="59"/>
      <c r="I205" s="60"/>
      <c r="J205" s="61">
        <f t="shared" si="0"/>
        <v>8603.2000000000007</v>
      </c>
    </row>
    <row r="206" spans="1:10" ht="13.5" customHeight="1" x14ac:dyDescent="0.2">
      <c r="A206" s="180"/>
      <c r="B206" s="56" t="s">
        <v>483</v>
      </c>
      <c r="C206" s="36" t="s">
        <v>1189</v>
      </c>
      <c r="D206" s="11" t="s">
        <v>1190</v>
      </c>
      <c r="E206" s="181">
        <v>-405.68</v>
      </c>
      <c r="F206" s="12"/>
      <c r="G206" s="182" t="s">
        <v>483</v>
      </c>
      <c r="H206" s="59"/>
      <c r="I206" s="60"/>
      <c r="J206" s="61">
        <f t="shared" si="0"/>
        <v>8603.2000000000007</v>
      </c>
    </row>
    <row r="207" spans="1:10" ht="13.5" customHeight="1" x14ac:dyDescent="0.2">
      <c r="A207" s="180"/>
      <c r="B207" s="56" t="s">
        <v>483</v>
      </c>
      <c r="C207" s="36" t="s">
        <v>1191</v>
      </c>
      <c r="D207" s="11" t="s">
        <v>1192</v>
      </c>
      <c r="E207" s="181">
        <v>-754</v>
      </c>
      <c r="F207" s="12"/>
      <c r="G207" s="182" t="s">
        <v>483</v>
      </c>
      <c r="H207" s="59"/>
      <c r="I207" s="60"/>
      <c r="J207" s="61">
        <f t="shared" si="0"/>
        <v>8603.2000000000007</v>
      </c>
    </row>
    <row r="208" spans="1:10" ht="13.5" customHeight="1" x14ac:dyDescent="0.2">
      <c r="A208" s="180"/>
      <c r="B208" s="56" t="s">
        <v>483</v>
      </c>
      <c r="C208" s="36" t="s">
        <v>189</v>
      </c>
      <c r="D208" s="11" t="s">
        <v>488</v>
      </c>
      <c r="E208" s="181">
        <v>-2445.2600000000002</v>
      </c>
      <c r="F208" s="12"/>
      <c r="G208" s="182">
        <v>0</v>
      </c>
      <c r="H208" s="59"/>
      <c r="I208" s="60">
        <v>2445.2600000000002</v>
      </c>
      <c r="J208" s="61">
        <f t="shared" si="0"/>
        <v>11048.460000000001</v>
      </c>
    </row>
    <row r="209" spans="1:10" ht="13.5" customHeight="1" x14ac:dyDescent="0.2">
      <c r="A209" s="180" t="s">
        <v>1193</v>
      </c>
      <c r="B209" s="56" t="s">
        <v>483</v>
      </c>
      <c r="C209" s="36" t="s">
        <v>179</v>
      </c>
      <c r="D209" s="11" t="s">
        <v>1194</v>
      </c>
      <c r="E209" s="181">
        <v>-374.15</v>
      </c>
      <c r="F209" s="12"/>
      <c r="G209" s="182" t="s">
        <v>483</v>
      </c>
      <c r="H209" s="59"/>
      <c r="I209" s="60"/>
      <c r="J209" s="61">
        <f t="shared" si="0"/>
        <v>11048.460000000001</v>
      </c>
    </row>
    <row r="210" spans="1:10" ht="13.5" customHeight="1" x14ac:dyDescent="0.2">
      <c r="A210" s="180"/>
      <c r="B210" s="56" t="s">
        <v>483</v>
      </c>
      <c r="C210" s="36" t="s">
        <v>174</v>
      </c>
      <c r="D210" s="11" t="s">
        <v>488</v>
      </c>
      <c r="E210" s="30"/>
      <c r="F210" s="183">
        <v>374.15</v>
      </c>
      <c r="G210" s="182">
        <v>0</v>
      </c>
      <c r="H210" s="59">
        <v>374.15</v>
      </c>
      <c r="I210" s="60"/>
      <c r="J210" s="61">
        <f t="shared" si="0"/>
        <v>10674.310000000001</v>
      </c>
    </row>
    <row r="211" spans="1:10" ht="13.5" customHeight="1" x14ac:dyDescent="0.2">
      <c r="A211" s="180" t="s">
        <v>1195</v>
      </c>
      <c r="B211" s="56" t="s">
        <v>483</v>
      </c>
      <c r="C211" s="36" t="s">
        <v>394</v>
      </c>
      <c r="D211" s="11" t="s">
        <v>495</v>
      </c>
      <c r="E211" s="181">
        <v>-926.75</v>
      </c>
      <c r="F211" s="12"/>
      <c r="G211" s="182" t="s">
        <v>483</v>
      </c>
      <c r="H211" s="59"/>
      <c r="I211" s="60"/>
      <c r="J211" s="61">
        <f t="shared" si="0"/>
        <v>10674.310000000001</v>
      </c>
    </row>
    <row r="212" spans="1:10" ht="13.5" customHeight="1" x14ac:dyDescent="0.2">
      <c r="A212" s="180"/>
      <c r="B212" s="56" t="s">
        <v>483</v>
      </c>
      <c r="C212" s="36" t="s">
        <v>174</v>
      </c>
      <c r="D212" s="11" t="s">
        <v>488</v>
      </c>
      <c r="E212" s="30"/>
      <c r="F212" s="183">
        <v>926.75</v>
      </c>
      <c r="G212" s="182">
        <v>0</v>
      </c>
      <c r="H212" s="59">
        <v>926.75</v>
      </c>
      <c r="I212" s="60"/>
      <c r="J212" s="61">
        <f t="shared" si="0"/>
        <v>9747.5600000000013</v>
      </c>
    </row>
    <row r="213" spans="1:10" ht="13.5" customHeight="1" x14ac:dyDescent="0.2">
      <c r="A213" s="180" t="s">
        <v>1196</v>
      </c>
      <c r="B213" s="56" t="s">
        <v>483</v>
      </c>
      <c r="C213" s="34" t="s">
        <v>86</v>
      </c>
      <c r="D213" s="11" t="s">
        <v>488</v>
      </c>
      <c r="E213" s="181">
        <v>-78</v>
      </c>
      <c r="F213" s="12"/>
      <c r="G213" s="182" t="s">
        <v>483</v>
      </c>
      <c r="H213" s="59"/>
      <c r="I213" s="60"/>
      <c r="J213" s="61">
        <f t="shared" si="0"/>
        <v>9747.5600000000013</v>
      </c>
    </row>
    <row r="214" spans="1:10" ht="13.5" customHeight="1" x14ac:dyDescent="0.2">
      <c r="A214" s="180"/>
      <c r="B214" s="56" t="s">
        <v>483</v>
      </c>
      <c r="C214" s="36" t="s">
        <v>174</v>
      </c>
      <c r="D214" s="11" t="s">
        <v>488</v>
      </c>
      <c r="E214" s="30"/>
      <c r="F214" s="183">
        <v>78</v>
      </c>
      <c r="G214" s="182">
        <v>0</v>
      </c>
      <c r="H214" s="59">
        <v>78</v>
      </c>
      <c r="I214" s="60"/>
      <c r="J214" s="61">
        <f t="shared" si="0"/>
        <v>9669.5600000000013</v>
      </c>
    </row>
    <row r="215" spans="1:10" ht="13.5" customHeight="1" x14ac:dyDescent="0.2">
      <c r="A215" s="180" t="s">
        <v>1197</v>
      </c>
      <c r="B215" s="56" t="s">
        <v>483</v>
      </c>
      <c r="C215" s="32" t="s">
        <v>199</v>
      </c>
      <c r="D215" s="11" t="s">
        <v>488</v>
      </c>
      <c r="E215" s="181">
        <v>-168.01</v>
      </c>
      <c r="F215" s="12"/>
      <c r="G215" s="182" t="s">
        <v>483</v>
      </c>
      <c r="H215" s="59"/>
      <c r="I215" s="60"/>
      <c r="J215" s="61">
        <f t="shared" si="0"/>
        <v>9669.5600000000013</v>
      </c>
    </row>
    <row r="216" spans="1:10" ht="13.5" customHeight="1" x14ac:dyDescent="0.2">
      <c r="A216" s="180"/>
      <c r="B216" s="56" t="s">
        <v>483</v>
      </c>
      <c r="C216" s="36" t="s">
        <v>1198</v>
      </c>
      <c r="D216" s="11" t="s">
        <v>488</v>
      </c>
      <c r="E216" s="181">
        <v>-260.05</v>
      </c>
      <c r="F216" s="12"/>
      <c r="G216" s="182" t="s">
        <v>483</v>
      </c>
      <c r="H216" s="59"/>
      <c r="I216" s="60"/>
      <c r="J216" s="61">
        <f t="shared" si="0"/>
        <v>9669.5600000000013</v>
      </c>
    </row>
    <row r="217" spans="1:10" ht="13.5" customHeight="1" x14ac:dyDescent="0.2">
      <c r="A217" s="180"/>
      <c r="B217" s="56" t="s">
        <v>483</v>
      </c>
      <c r="C217" s="34" t="s">
        <v>194</v>
      </c>
      <c r="D217" s="11" t="s">
        <v>488</v>
      </c>
      <c r="E217" s="181">
        <v>-82.75</v>
      </c>
      <c r="F217" s="12"/>
      <c r="G217" s="182" t="s">
        <v>483</v>
      </c>
      <c r="H217" s="59"/>
      <c r="I217" s="60"/>
      <c r="J217" s="61">
        <f t="shared" si="0"/>
        <v>9669.5600000000013</v>
      </c>
    </row>
    <row r="218" spans="1:10" ht="13.5" customHeight="1" x14ac:dyDescent="0.2">
      <c r="A218" s="180"/>
      <c r="B218" s="56" t="s">
        <v>483</v>
      </c>
      <c r="C218" s="34" t="s">
        <v>195</v>
      </c>
      <c r="D218" s="11" t="s">
        <v>488</v>
      </c>
      <c r="E218" s="181">
        <v>-381.94</v>
      </c>
      <c r="F218" s="12"/>
      <c r="G218" s="182">
        <v>-892.75</v>
      </c>
      <c r="H218" s="59"/>
      <c r="I218" s="60"/>
      <c r="J218" s="61">
        <f t="shared" si="0"/>
        <v>9669.5600000000013</v>
      </c>
    </row>
    <row r="219" spans="1:10" ht="13.5" customHeight="1" x14ac:dyDescent="0.2">
      <c r="A219" s="180"/>
      <c r="B219" s="56" t="s">
        <v>483</v>
      </c>
      <c r="C219" s="36" t="s">
        <v>174</v>
      </c>
      <c r="D219" s="11" t="s">
        <v>488</v>
      </c>
      <c r="E219" s="30"/>
      <c r="F219" s="181">
        <v>892.75</v>
      </c>
      <c r="G219" s="182">
        <v>0</v>
      </c>
      <c r="H219" s="59">
        <v>892.75</v>
      </c>
      <c r="I219" s="60"/>
      <c r="J219" s="61">
        <f t="shared" si="0"/>
        <v>8776.8100000000013</v>
      </c>
    </row>
    <row r="220" spans="1:10" ht="13.5" customHeight="1" x14ac:dyDescent="0.2">
      <c r="A220" s="180" t="s">
        <v>1199</v>
      </c>
      <c r="B220" s="56" t="s">
        <v>483</v>
      </c>
      <c r="C220" s="34" t="s">
        <v>86</v>
      </c>
      <c r="D220" s="11" t="s">
        <v>488</v>
      </c>
      <c r="E220" s="181">
        <v>-11.9</v>
      </c>
      <c r="F220" s="12"/>
      <c r="G220" s="182" t="s">
        <v>483</v>
      </c>
      <c r="H220" s="59"/>
      <c r="I220" s="60"/>
      <c r="J220" s="61">
        <f t="shared" si="0"/>
        <v>8776.8100000000013</v>
      </c>
    </row>
    <row r="221" spans="1:10" ht="13.5" customHeight="1" x14ac:dyDescent="0.2">
      <c r="A221" s="180"/>
      <c r="B221" s="56" t="s">
        <v>591</v>
      </c>
      <c r="C221" s="34" t="s">
        <v>471</v>
      </c>
      <c r="D221" s="11" t="s">
        <v>1200</v>
      </c>
      <c r="E221" s="181"/>
      <c r="F221" s="168">
        <v>8000</v>
      </c>
      <c r="G221" s="182" t="s">
        <v>483</v>
      </c>
      <c r="H221" s="59"/>
      <c r="I221" s="60"/>
      <c r="J221" s="61">
        <f t="shared" si="0"/>
        <v>8776.8100000000013</v>
      </c>
    </row>
    <row r="222" spans="1:10" ht="13.5" customHeight="1" x14ac:dyDescent="0.2">
      <c r="A222" s="180"/>
      <c r="B222" s="56" t="s">
        <v>483</v>
      </c>
      <c r="C222" s="36" t="s">
        <v>174</v>
      </c>
      <c r="D222" s="11" t="s">
        <v>488</v>
      </c>
      <c r="E222" s="30"/>
      <c r="F222" s="183">
        <v>11.9</v>
      </c>
      <c r="G222" s="182">
        <v>8000</v>
      </c>
      <c r="H222" s="59">
        <v>11.9</v>
      </c>
      <c r="I222" s="60"/>
      <c r="J222" s="61">
        <f t="shared" si="0"/>
        <v>8764.9100000000017</v>
      </c>
    </row>
    <row r="223" spans="1:10" ht="13.5" customHeight="1" x14ac:dyDescent="0.2">
      <c r="A223" s="180" t="s">
        <v>1201</v>
      </c>
      <c r="B223" s="56" t="s">
        <v>483</v>
      </c>
      <c r="C223" s="36" t="s">
        <v>189</v>
      </c>
      <c r="D223" s="11" t="s">
        <v>488</v>
      </c>
      <c r="E223" s="181">
        <v>-8000</v>
      </c>
      <c r="F223" s="12"/>
      <c r="G223" s="182">
        <v>0</v>
      </c>
      <c r="H223" s="59"/>
      <c r="I223" s="60">
        <v>8000</v>
      </c>
      <c r="J223" s="61">
        <f t="shared" si="0"/>
        <v>16764.910000000003</v>
      </c>
    </row>
    <row r="224" spans="1:10" ht="13.5" customHeight="1" x14ac:dyDescent="0.2">
      <c r="A224" s="180" t="s">
        <v>1202</v>
      </c>
      <c r="B224" s="56" t="s">
        <v>483</v>
      </c>
      <c r="C224" s="36" t="s">
        <v>1203</v>
      </c>
      <c r="D224" s="11" t="s">
        <v>488</v>
      </c>
      <c r="E224" s="181">
        <v>-91.5</v>
      </c>
      <c r="F224" s="12"/>
      <c r="G224" s="182" t="s">
        <v>483</v>
      </c>
      <c r="H224" s="59"/>
      <c r="I224" s="60"/>
      <c r="J224" s="61">
        <f t="shared" si="0"/>
        <v>16764.910000000003</v>
      </c>
    </row>
    <row r="225" spans="1:13" ht="13.5" customHeight="1" x14ac:dyDescent="0.2">
      <c r="A225" s="180"/>
      <c r="B225" s="56" t="s">
        <v>483</v>
      </c>
      <c r="C225" s="36" t="s">
        <v>1204</v>
      </c>
      <c r="D225" s="11" t="s">
        <v>488</v>
      </c>
      <c r="E225" s="181">
        <v>-48.77</v>
      </c>
      <c r="F225" s="12"/>
      <c r="G225" s="182" t="s">
        <v>483</v>
      </c>
      <c r="H225" s="59"/>
      <c r="I225" s="60"/>
      <c r="J225" s="61">
        <f t="shared" si="0"/>
        <v>16764.910000000003</v>
      </c>
    </row>
    <row r="226" spans="1:13" ht="13.5" customHeight="1" x14ac:dyDescent="0.2">
      <c r="A226" s="180"/>
      <c r="B226" s="56" t="s">
        <v>483</v>
      </c>
      <c r="C226" s="36" t="s">
        <v>174</v>
      </c>
      <c r="D226" s="11" t="s">
        <v>488</v>
      </c>
      <c r="E226" s="181">
        <v>140.27000000000001</v>
      </c>
      <c r="F226" s="12"/>
      <c r="G226" s="228">
        <v>0</v>
      </c>
      <c r="H226" s="59">
        <v>140.27000000000001</v>
      </c>
      <c r="I226" s="60"/>
      <c r="J226" s="61">
        <f t="shared" si="0"/>
        <v>16624.640000000003</v>
      </c>
    </row>
    <row r="227" spans="1:13" s="64" customFormat="1" ht="13.5" customHeight="1" x14ac:dyDescent="0.2">
      <c r="A227" s="184"/>
      <c r="B227" s="63"/>
      <c r="C227" s="36" t="s">
        <v>20</v>
      </c>
      <c r="D227" s="50"/>
      <c r="E227" s="51"/>
      <c r="F227" s="13"/>
      <c r="G227" s="53"/>
      <c r="H227" s="179"/>
      <c r="I227" s="57">
        <f>J227-J226</f>
        <v>2.6299999999973807</v>
      </c>
      <c r="J227" s="14">
        <f>6181.82+2445.42+8000.03</f>
        <v>16627.27</v>
      </c>
      <c r="M227" s="65"/>
    </row>
    <row r="228" spans="1:13" s="64" customFormat="1" ht="13.5" customHeight="1" thickBot="1" x14ac:dyDescent="0.25">
      <c r="A228" s="184"/>
      <c r="B228" s="63"/>
      <c r="C228" s="63"/>
      <c r="D228" s="50"/>
      <c r="E228" s="51">
        <f>SUM(E187:E226)</f>
        <v>-21005.84</v>
      </c>
      <c r="F228" s="13">
        <f>SUM(F190:F220)+F222</f>
        <v>13005.84</v>
      </c>
      <c r="G228" s="53"/>
      <c r="H228" s="179"/>
      <c r="I228" s="57"/>
      <c r="J228" s="67"/>
      <c r="M228" s="65"/>
    </row>
    <row r="229" spans="1:13" ht="13.5" customHeight="1" thickBot="1" x14ac:dyDescent="0.25">
      <c r="A229" s="2" t="s">
        <v>2</v>
      </c>
      <c r="B229" s="3"/>
      <c r="C229" s="3" t="s">
        <v>525</v>
      </c>
      <c r="D229" s="3" t="s">
        <v>4</v>
      </c>
      <c r="E229" s="3" t="s">
        <v>5</v>
      </c>
      <c r="F229" s="3" t="s">
        <v>6</v>
      </c>
      <c r="G229" s="5" t="s">
        <v>7</v>
      </c>
      <c r="H229" s="187"/>
      <c r="I229" s="188"/>
      <c r="J229" s="189"/>
    </row>
    <row r="230" spans="1:13" ht="13.5" customHeight="1" x14ac:dyDescent="0.2">
      <c r="A230" s="8">
        <v>43313</v>
      </c>
      <c r="B230" s="56"/>
      <c r="C230" s="10" t="s">
        <v>8</v>
      </c>
      <c r="D230" s="11"/>
      <c r="E230" s="51"/>
      <c r="F230" s="12"/>
      <c r="G230" s="178">
        <v>2715.89</v>
      </c>
      <c r="H230" s="179"/>
      <c r="I230" s="57"/>
      <c r="J230" s="67"/>
    </row>
    <row r="231" spans="1:13" ht="13.5" customHeight="1" x14ac:dyDescent="0.2">
      <c r="A231" s="180">
        <v>43315</v>
      </c>
      <c r="B231" s="56"/>
      <c r="C231" s="36" t="s">
        <v>530</v>
      </c>
      <c r="D231" s="11"/>
      <c r="E231" s="181">
        <v>849.06</v>
      </c>
      <c r="F231" s="12"/>
      <c r="G231" s="182">
        <f>G230-E231</f>
        <v>1866.83</v>
      </c>
      <c r="H231" s="59"/>
      <c r="I231" s="60"/>
      <c r="J231" s="61"/>
    </row>
    <row r="232" spans="1:13" ht="13.5" customHeight="1" x14ac:dyDescent="0.2">
      <c r="A232" s="180">
        <v>43320</v>
      </c>
      <c r="B232" s="56"/>
      <c r="C232" s="36" t="s">
        <v>1205</v>
      </c>
      <c r="D232" s="11"/>
      <c r="E232" s="181">
        <v>750</v>
      </c>
      <c r="F232" s="12"/>
      <c r="G232" s="203">
        <f>G231-E232</f>
        <v>1116.83</v>
      </c>
      <c r="H232" s="59"/>
      <c r="I232" s="60"/>
      <c r="J232" s="61"/>
    </row>
    <row r="233" spans="1:13" ht="13.5" customHeight="1" x14ac:dyDescent="0.2">
      <c r="A233" s="180">
        <v>43315</v>
      </c>
      <c r="B233" s="56"/>
      <c r="C233" s="34" t="s">
        <v>613</v>
      </c>
      <c r="D233" s="11"/>
      <c r="E233" s="181">
        <v>20.9</v>
      </c>
      <c r="F233" s="12"/>
      <c r="G233" s="203">
        <f>G232-E233</f>
        <v>1095.9299999999998</v>
      </c>
      <c r="H233" s="59"/>
      <c r="I233" s="60"/>
      <c r="J233" s="61"/>
    </row>
    <row r="234" spans="1:13" ht="13.5" customHeight="1" x14ac:dyDescent="0.2">
      <c r="A234" s="180"/>
      <c r="B234" s="56"/>
      <c r="C234" s="34" t="s">
        <v>613</v>
      </c>
      <c r="D234" s="11"/>
      <c r="E234" s="181">
        <v>53.2</v>
      </c>
      <c r="F234" s="12"/>
      <c r="G234" s="205">
        <f>G233-E234</f>
        <v>1042.7299999999998</v>
      </c>
      <c r="H234" s="59"/>
      <c r="I234" s="60"/>
      <c r="J234" s="61"/>
    </row>
    <row r="235" spans="1:13" s="64" customFormat="1" ht="13.5" customHeight="1" thickBot="1" x14ac:dyDescent="0.25">
      <c r="A235" s="184"/>
      <c r="B235" s="63"/>
      <c r="C235" s="357"/>
      <c r="D235" s="50"/>
      <c r="E235" s="51"/>
      <c r="F235" s="13"/>
      <c r="G235" s="53"/>
      <c r="H235" s="179"/>
      <c r="I235" s="57"/>
      <c r="J235" s="67"/>
      <c r="M235" s="65"/>
    </row>
    <row r="236" spans="1:13" customFormat="1" ht="13.5" customHeight="1" thickBot="1" x14ac:dyDescent="0.25">
      <c r="A236" s="2" t="s">
        <v>2</v>
      </c>
      <c r="B236" s="3"/>
      <c r="C236" s="3" t="s">
        <v>534</v>
      </c>
      <c r="D236" s="191" t="s">
        <v>4</v>
      </c>
      <c r="E236" s="3" t="s">
        <v>5</v>
      </c>
      <c r="F236" s="3" t="s">
        <v>6</v>
      </c>
      <c r="G236" s="5" t="s">
        <v>7</v>
      </c>
      <c r="H236" s="192"/>
      <c r="I236" s="193"/>
      <c r="J236" s="194"/>
    </row>
    <row r="237" spans="1:13" customFormat="1" ht="13.5" customHeight="1" x14ac:dyDescent="0.2">
      <c r="A237" s="8">
        <v>42370</v>
      </c>
      <c r="B237" s="36"/>
      <c r="C237" s="10" t="s">
        <v>8</v>
      </c>
      <c r="D237" s="195"/>
      <c r="E237" s="196"/>
      <c r="F237" s="43"/>
      <c r="G237" s="178">
        <v>0</v>
      </c>
      <c r="H237" s="197"/>
      <c r="I237" s="57"/>
      <c r="J237" s="198"/>
    </row>
    <row r="238" spans="1:13" customFormat="1" ht="13.5" customHeight="1" x14ac:dyDescent="0.2">
      <c r="A238" s="180">
        <v>43649</v>
      </c>
      <c r="B238" s="36"/>
      <c r="C238" s="32" t="s">
        <v>1206</v>
      </c>
      <c r="D238" s="195"/>
      <c r="E238" s="196"/>
      <c r="F238" s="199">
        <v>500</v>
      </c>
      <c r="G238" s="178">
        <f>G237-E238+F238</f>
        <v>500</v>
      </c>
      <c r="H238" s="197"/>
      <c r="I238" s="57"/>
      <c r="J238" s="198"/>
    </row>
    <row r="239" spans="1:13" ht="13.5" customHeight="1" thickBot="1" x14ac:dyDescent="0.25">
      <c r="A239" s="180"/>
      <c r="B239" s="56"/>
      <c r="C239" s="56"/>
      <c r="D239" s="11"/>
      <c r="E239" s="30"/>
      <c r="F239" s="12"/>
      <c r="G239" s="182"/>
      <c r="H239" s="59"/>
      <c r="I239" s="60"/>
      <c r="J239" s="61"/>
    </row>
    <row r="240" spans="1:13" ht="13.5" customHeight="1" thickBot="1" x14ac:dyDescent="0.25">
      <c r="A240" s="2" t="s">
        <v>2</v>
      </c>
      <c r="B240" s="3"/>
      <c r="C240" s="3" t="s">
        <v>536</v>
      </c>
      <c r="D240" s="3"/>
      <c r="E240" s="3"/>
      <c r="F240" s="3"/>
      <c r="G240" s="5" t="s">
        <v>7</v>
      </c>
      <c r="H240" s="6" t="s">
        <v>5</v>
      </c>
      <c r="I240" s="4" t="s">
        <v>6</v>
      </c>
      <c r="J240" s="7" t="s">
        <v>7</v>
      </c>
    </row>
    <row r="241" spans="1:13" ht="13.5" customHeight="1" x14ac:dyDescent="0.2">
      <c r="A241" s="8">
        <v>43313</v>
      </c>
      <c r="B241" s="70"/>
      <c r="C241" s="10" t="s">
        <v>537</v>
      </c>
      <c r="D241" s="125"/>
      <c r="E241" s="67"/>
      <c r="F241" s="67"/>
      <c r="G241" s="178"/>
      <c r="H241" s="179"/>
      <c r="I241" s="57"/>
      <c r="J241" s="58">
        <v>8500</v>
      </c>
    </row>
    <row r="242" spans="1:13" customFormat="1" ht="13.5" customHeight="1" x14ac:dyDescent="0.2">
      <c r="A242" s="180">
        <v>43315</v>
      </c>
      <c r="B242" s="46"/>
      <c r="C242" s="34" t="s">
        <v>1002</v>
      </c>
      <c r="D242" s="229"/>
      <c r="E242" s="69"/>
      <c r="F242" s="69"/>
      <c r="G242" s="203"/>
      <c r="H242" s="68">
        <f>1710+500-10+500+500+200+1968.42</f>
        <v>5368.42</v>
      </c>
      <c r="I242" s="71"/>
      <c r="J242" s="69">
        <f>J241-H242+I242</f>
        <v>3131.58</v>
      </c>
      <c r="M242" s="40"/>
    </row>
    <row r="243" spans="1:13" customFormat="1" ht="13.5" customHeight="1" x14ac:dyDescent="0.2">
      <c r="A243" s="180">
        <v>43320</v>
      </c>
      <c r="B243" s="46"/>
      <c r="C243" s="34" t="s">
        <v>1207</v>
      </c>
      <c r="D243" s="229"/>
      <c r="E243" s="69"/>
      <c r="F243" s="69"/>
      <c r="G243" s="203"/>
      <c r="H243" s="68">
        <v>40</v>
      </c>
      <c r="I243" s="71"/>
      <c r="J243" s="69">
        <f t="shared" ref="J243:J255" si="1">J242-H243+I243</f>
        <v>3091.58</v>
      </c>
      <c r="M243" s="40"/>
    </row>
    <row r="244" spans="1:13" customFormat="1" ht="13.5" customHeight="1" x14ac:dyDescent="0.2">
      <c r="A244" s="180">
        <v>43322</v>
      </c>
      <c r="B244" s="46"/>
      <c r="C244" s="34" t="s">
        <v>77</v>
      </c>
      <c r="D244" s="229"/>
      <c r="E244" s="69"/>
      <c r="F244" s="69"/>
      <c r="G244" s="203"/>
      <c r="H244" s="68"/>
      <c r="I244" s="73">
        <v>5250</v>
      </c>
      <c r="J244" s="69">
        <f t="shared" si="1"/>
        <v>8341.58</v>
      </c>
      <c r="M244" s="40"/>
    </row>
    <row r="245" spans="1:13" customFormat="1" ht="13.5" customHeight="1" x14ac:dyDescent="0.2">
      <c r="A245" s="180">
        <v>43323</v>
      </c>
      <c r="B245" s="46"/>
      <c r="C245" s="34" t="s">
        <v>1208</v>
      </c>
      <c r="D245" s="229"/>
      <c r="E245" s="69"/>
      <c r="F245" s="69"/>
      <c r="G245" s="203"/>
      <c r="H245" s="68"/>
      <c r="I245" s="71">
        <v>3000</v>
      </c>
      <c r="J245" s="69">
        <f t="shared" si="1"/>
        <v>11341.58</v>
      </c>
      <c r="M245" s="40"/>
    </row>
    <row r="246" spans="1:13" ht="13.5" customHeight="1" x14ac:dyDescent="0.2">
      <c r="A246" s="180">
        <v>43325</v>
      </c>
      <c r="B246" s="9"/>
      <c r="C246" s="34" t="s">
        <v>1209</v>
      </c>
      <c r="D246" s="230"/>
      <c r="E246" s="61"/>
      <c r="F246" s="61"/>
      <c r="G246" s="205"/>
      <c r="H246" s="59">
        <v>10</v>
      </c>
      <c r="I246" s="71"/>
      <c r="J246" s="69">
        <f t="shared" si="1"/>
        <v>11331.58</v>
      </c>
    </row>
    <row r="247" spans="1:13" ht="13.5" customHeight="1" x14ac:dyDescent="0.2">
      <c r="A247" s="180">
        <v>43327</v>
      </c>
      <c r="B247" s="9"/>
      <c r="C247" s="34" t="s">
        <v>1210</v>
      </c>
      <c r="D247" s="230"/>
      <c r="E247" s="61"/>
      <c r="F247" s="61"/>
      <c r="G247" s="205"/>
      <c r="H247" s="59">
        <v>15.98</v>
      </c>
      <c r="I247" s="71"/>
      <c r="J247" s="69">
        <f t="shared" si="1"/>
        <v>11315.6</v>
      </c>
    </row>
    <row r="248" spans="1:13" ht="13.5" customHeight="1" x14ac:dyDescent="0.2">
      <c r="A248" s="180"/>
      <c r="B248" s="9"/>
      <c r="C248" s="34" t="s">
        <v>1210</v>
      </c>
      <c r="D248" s="230"/>
      <c r="E248" s="61"/>
      <c r="F248" s="61"/>
      <c r="G248" s="205"/>
      <c r="H248" s="59">
        <v>35</v>
      </c>
      <c r="I248" s="71"/>
      <c r="J248" s="69">
        <f t="shared" si="1"/>
        <v>11280.6</v>
      </c>
    </row>
    <row r="249" spans="1:13" ht="13.5" customHeight="1" x14ac:dyDescent="0.2">
      <c r="A249" s="180">
        <v>43332</v>
      </c>
      <c r="B249" s="9"/>
      <c r="C249" s="34" t="s">
        <v>1211</v>
      </c>
      <c r="D249" s="230"/>
      <c r="E249" s="61"/>
      <c r="F249" s="61"/>
      <c r="G249" s="205"/>
      <c r="H249" s="59"/>
      <c r="I249" s="71">
        <v>900</v>
      </c>
      <c r="J249" s="69">
        <f t="shared" si="1"/>
        <v>12180.6</v>
      </c>
    </row>
    <row r="250" spans="1:13" ht="13.5" customHeight="1" x14ac:dyDescent="0.2">
      <c r="A250" s="180"/>
      <c r="B250" s="9"/>
      <c r="C250" s="34" t="s">
        <v>1212</v>
      </c>
      <c r="D250" s="230"/>
      <c r="E250" s="61"/>
      <c r="F250" s="61"/>
      <c r="G250" s="205"/>
      <c r="H250" s="59">
        <v>10</v>
      </c>
      <c r="I250" s="71"/>
      <c r="J250" s="69">
        <f t="shared" si="1"/>
        <v>12170.6</v>
      </c>
    </row>
    <row r="251" spans="1:13" ht="13.5" customHeight="1" x14ac:dyDescent="0.2">
      <c r="A251" s="180">
        <v>43334</v>
      </c>
      <c r="B251" s="9"/>
      <c r="C251" s="34" t="s">
        <v>1213</v>
      </c>
      <c r="D251" s="230"/>
      <c r="E251" s="61"/>
      <c r="F251" s="61"/>
      <c r="G251" s="205"/>
      <c r="H251" s="59">
        <v>4</v>
      </c>
      <c r="I251" s="71"/>
      <c r="J251" s="69">
        <f t="shared" si="1"/>
        <v>12166.6</v>
      </c>
    </row>
    <row r="252" spans="1:13" ht="13.5" customHeight="1" x14ac:dyDescent="0.2">
      <c r="A252" s="180">
        <v>43336</v>
      </c>
      <c r="B252" s="9"/>
      <c r="C252" s="34" t="s">
        <v>1214</v>
      </c>
      <c r="D252" s="230"/>
      <c r="E252" s="61"/>
      <c r="F252" s="61"/>
      <c r="G252" s="205"/>
      <c r="H252" s="59">
        <v>12</v>
      </c>
      <c r="I252" s="71"/>
      <c r="J252" s="69">
        <f t="shared" si="1"/>
        <v>12154.6</v>
      </c>
    </row>
    <row r="253" spans="1:13" ht="13.5" customHeight="1" x14ac:dyDescent="0.2">
      <c r="A253" s="180">
        <v>43337</v>
      </c>
      <c r="B253" s="9"/>
      <c r="C253" s="34" t="s">
        <v>1215</v>
      </c>
      <c r="D253" s="230"/>
      <c r="E253" s="61"/>
      <c r="F253" s="61"/>
      <c r="G253" s="205"/>
      <c r="H253" s="59">
        <v>150</v>
      </c>
      <c r="I253" s="71"/>
      <c r="J253" s="69">
        <f t="shared" si="1"/>
        <v>12004.6</v>
      </c>
    </row>
    <row r="254" spans="1:13" ht="13.5" customHeight="1" x14ac:dyDescent="0.2">
      <c r="A254" s="180">
        <v>43341</v>
      </c>
      <c r="B254" s="9"/>
      <c r="C254" s="34" t="s">
        <v>1216</v>
      </c>
      <c r="D254" s="230"/>
      <c r="E254" s="61"/>
      <c r="F254" s="61"/>
      <c r="G254" s="205"/>
      <c r="H254" s="59">
        <v>4.5999999999999996</v>
      </c>
      <c r="I254" s="71"/>
      <c r="J254" s="69">
        <f t="shared" si="1"/>
        <v>12000</v>
      </c>
    </row>
    <row r="255" spans="1:13" ht="13.5" customHeight="1" x14ac:dyDescent="0.2">
      <c r="A255" s="180">
        <v>43343</v>
      </c>
      <c r="B255" s="9"/>
      <c r="C255" s="34" t="s">
        <v>1217</v>
      </c>
      <c r="D255" s="230"/>
      <c r="E255" s="61"/>
      <c r="F255" s="61"/>
      <c r="G255" s="205"/>
      <c r="H255" s="59">
        <v>1000</v>
      </c>
      <c r="I255" s="71"/>
      <c r="J255" s="231">
        <f t="shared" si="1"/>
        <v>11000</v>
      </c>
    </row>
    <row r="256" spans="1:13" ht="13.5" customHeight="1" thickBot="1" x14ac:dyDescent="0.25">
      <c r="A256" s="207"/>
      <c r="B256" s="207"/>
      <c r="C256" s="208"/>
      <c r="D256" s="208"/>
      <c r="E256" s="208"/>
      <c r="F256" s="208"/>
      <c r="G256" s="210"/>
      <c r="H256" s="211">
        <f>-SUM(H242:H255)</f>
        <v>-6650</v>
      </c>
      <c r="I256" s="211">
        <f>SUM(I245:I249)</f>
        <v>3900</v>
      </c>
      <c r="J256" s="212"/>
      <c r="L256" s="30">
        <f>SUM(J241,G186,G3,J3)</f>
        <v>22041.329999999998</v>
      </c>
      <c r="M256" s="33" t="s">
        <v>1798</v>
      </c>
    </row>
    <row r="257" spans="1:13" ht="13.5" customHeight="1" thickBot="1" x14ac:dyDescent="0.25">
      <c r="A257" s="213"/>
      <c r="B257" s="214"/>
      <c r="C257" s="215" t="s">
        <v>539</v>
      </c>
      <c r="D257" s="216"/>
      <c r="E257" s="187"/>
      <c r="F257" s="187"/>
      <c r="G257" s="217" t="s">
        <v>7</v>
      </c>
      <c r="H257" s="187"/>
      <c r="I257" s="187"/>
      <c r="J257" s="189"/>
      <c r="M257" s="1"/>
    </row>
    <row r="258" spans="1:13" ht="13.5" customHeight="1" x14ac:dyDescent="0.2">
      <c r="A258" s="74" t="s">
        <v>540</v>
      </c>
      <c r="B258" s="74"/>
      <c r="C258" s="218" t="s">
        <v>541</v>
      </c>
      <c r="D258" s="219"/>
      <c r="E258" s="220"/>
      <c r="F258" s="220"/>
      <c r="G258" s="75">
        <f>6181.82+2445.42+8000.03</f>
        <v>16627.27</v>
      </c>
      <c r="H258" s="220"/>
      <c r="I258" s="220"/>
      <c r="J258" s="220"/>
      <c r="L258" s="30">
        <f>J182</f>
        <v>9060.3799999999992</v>
      </c>
      <c r="M258" s="33" t="s">
        <v>1799</v>
      </c>
    </row>
    <row r="259" spans="1:13" ht="13.5" customHeight="1" x14ac:dyDescent="0.2">
      <c r="A259" s="221" t="s">
        <v>540</v>
      </c>
      <c r="B259" s="70"/>
      <c r="C259" s="63" t="s">
        <v>542</v>
      </c>
      <c r="D259" s="50"/>
      <c r="E259" s="13"/>
      <c r="F259" s="13"/>
      <c r="G259" s="75">
        <v>7479.32</v>
      </c>
      <c r="H259" s="13"/>
      <c r="I259" s="13"/>
      <c r="J259" s="13"/>
      <c r="M259" s="1"/>
    </row>
    <row r="260" spans="1:13" ht="13.5" customHeight="1" x14ac:dyDescent="0.2">
      <c r="A260" s="70"/>
      <c r="B260" s="70"/>
      <c r="C260" s="222" t="s">
        <v>543</v>
      </c>
      <c r="D260" s="50"/>
      <c r="E260" s="13"/>
      <c r="F260" s="13"/>
      <c r="G260" s="14">
        <f>SUM(G258:G259)</f>
        <v>24106.59</v>
      </c>
      <c r="H260" s="13"/>
      <c r="I260" s="13"/>
      <c r="J260" s="13"/>
      <c r="L260" s="30">
        <f>SUM(J255,G226,G183)</f>
        <v>19434.620000000003</v>
      </c>
      <c r="M260" s="33" t="s">
        <v>1797</v>
      </c>
    </row>
    <row r="261" spans="1:13" ht="13.5" customHeight="1" x14ac:dyDescent="0.2">
      <c r="A261" s="70"/>
      <c r="B261" s="70"/>
      <c r="C261" s="63"/>
      <c r="D261" s="50"/>
      <c r="E261" s="13"/>
      <c r="F261" s="13"/>
      <c r="G261" s="14"/>
      <c r="H261" s="13"/>
      <c r="I261" s="13"/>
      <c r="J261" s="13"/>
      <c r="M261" s="1"/>
    </row>
    <row r="262" spans="1:13" ht="13.5" customHeight="1" x14ac:dyDescent="0.2">
      <c r="A262" s="70"/>
      <c r="B262" s="70"/>
      <c r="C262" s="222" t="s">
        <v>544</v>
      </c>
      <c r="D262" s="50"/>
      <c r="E262" s="13"/>
      <c r="F262" s="13"/>
      <c r="G262" s="14">
        <f>J255+G183+J182</f>
        <v>28495</v>
      </c>
      <c r="H262" s="13"/>
      <c r="I262" s="13"/>
      <c r="J262" s="13"/>
      <c r="L262" s="30">
        <f>SUM(I256,H256,F228,E228,H184,I184,F184,E184)</f>
        <v>6453.6700000000064</v>
      </c>
      <c r="M262" s="33" t="s">
        <v>3517</v>
      </c>
    </row>
    <row r="263" spans="1:13" ht="13.5" customHeight="1" x14ac:dyDescent="0.2">
      <c r="A263" s="70"/>
      <c r="B263" s="70"/>
      <c r="C263" s="63"/>
      <c r="D263" s="50"/>
      <c r="E263" s="13"/>
      <c r="F263" s="13"/>
      <c r="G263" s="75"/>
      <c r="H263" s="13"/>
      <c r="I263" s="13"/>
      <c r="J263" s="13"/>
      <c r="M263" s="1"/>
    </row>
    <row r="264" spans="1:13" ht="13.5" customHeight="1" x14ac:dyDescent="0.2">
      <c r="A264" s="76"/>
      <c r="B264" s="76"/>
      <c r="C264" s="222" t="s">
        <v>545</v>
      </c>
      <c r="D264" s="78"/>
      <c r="E264" s="78"/>
      <c r="F264" s="78"/>
      <c r="G264" s="14">
        <f>G262+G260</f>
        <v>52601.59</v>
      </c>
      <c r="H264" s="77"/>
      <c r="I264" s="77"/>
      <c r="J264" s="13"/>
      <c r="M264" s="1"/>
    </row>
    <row r="265" spans="1:13" ht="13.5" customHeight="1" x14ac:dyDescent="0.2">
      <c r="A265" s="76"/>
      <c r="B265" s="76"/>
      <c r="C265" s="78"/>
      <c r="D265" s="78"/>
      <c r="E265" s="78"/>
      <c r="F265" s="78"/>
      <c r="G265" s="75"/>
      <c r="H265" s="77"/>
      <c r="I265" s="77"/>
      <c r="J265" s="13"/>
      <c r="M265" s="1"/>
    </row>
    <row r="266" spans="1:13" ht="13.5" customHeight="1" x14ac:dyDescent="0.2">
      <c r="A266" s="79"/>
      <c r="B266" s="79"/>
      <c r="C266" s="78"/>
      <c r="D266" s="78"/>
      <c r="E266" s="78"/>
      <c r="F266" s="78"/>
      <c r="G266" s="75"/>
      <c r="H266" s="77"/>
      <c r="I266" s="77"/>
      <c r="J266" s="13"/>
      <c r="L266" s="714">
        <f>L256+L262-L258-L260</f>
        <v>0</v>
      </c>
      <c r="M266" s="1"/>
    </row>
    <row r="267" spans="1:13" ht="13.5" customHeight="1" x14ac:dyDescent="0.2">
      <c r="A267" s="79"/>
      <c r="B267" s="79"/>
      <c r="C267" s="78"/>
      <c r="D267" s="78"/>
      <c r="E267" s="13"/>
      <c r="F267" s="13"/>
      <c r="G267" s="75"/>
      <c r="H267" s="77"/>
      <c r="I267" s="77"/>
      <c r="J267" s="13"/>
    </row>
    <row r="268" spans="1:13" ht="13.5" customHeight="1" x14ac:dyDescent="0.2">
      <c r="A268" s="74"/>
      <c r="B268" s="80"/>
      <c r="C268" s="81"/>
      <c r="D268" s="50"/>
      <c r="E268" s="13"/>
      <c r="F268" s="13"/>
      <c r="G268" s="75"/>
      <c r="H268" s="13"/>
      <c r="I268" s="13"/>
      <c r="J268" s="13"/>
    </row>
    <row r="269" spans="1:13" ht="13.5" customHeight="1" x14ac:dyDescent="0.2">
      <c r="A269" s="79"/>
      <c r="B269" s="79"/>
      <c r="C269" s="78"/>
      <c r="D269" s="78"/>
      <c r="E269" s="13"/>
      <c r="F269" s="13"/>
      <c r="G269" s="75"/>
      <c r="H269" s="77"/>
      <c r="I269" s="77"/>
      <c r="J269" s="13"/>
    </row>
    <row r="270" spans="1:13" ht="13.5" customHeight="1" x14ac:dyDescent="0.2">
      <c r="A270" s="79"/>
      <c r="B270" s="79"/>
      <c r="C270" s="78"/>
      <c r="D270" s="78"/>
      <c r="E270" s="13"/>
      <c r="F270" s="13"/>
      <c r="G270" s="75"/>
      <c r="H270" s="77"/>
      <c r="I270" s="77"/>
      <c r="J270" s="13"/>
    </row>
    <row r="271" spans="1:13" ht="13.5" customHeight="1" x14ac:dyDescent="0.2">
      <c r="A271" s="79"/>
      <c r="B271" s="79"/>
      <c r="C271" s="78"/>
      <c r="D271" s="78"/>
      <c r="E271" s="78"/>
      <c r="F271" s="78"/>
      <c r="G271" s="75"/>
      <c r="H271" s="77"/>
      <c r="I271" s="77"/>
      <c r="J271" s="13"/>
    </row>
    <row r="272" spans="1:13" ht="13.5" customHeight="1" x14ac:dyDescent="0.2">
      <c r="A272" s="79"/>
      <c r="B272" s="79"/>
      <c r="C272" s="78"/>
      <c r="D272" s="78"/>
      <c r="E272" s="78"/>
      <c r="F272" s="78"/>
      <c r="G272" s="75"/>
      <c r="H272" s="77"/>
      <c r="I272" s="77"/>
      <c r="J272" s="13"/>
    </row>
    <row r="273" spans="1:10" ht="13.5" customHeight="1" x14ac:dyDescent="0.2">
      <c r="A273" s="79"/>
      <c r="B273" s="79"/>
      <c r="C273" s="78"/>
      <c r="D273" s="78"/>
      <c r="E273" s="78"/>
      <c r="F273" s="78"/>
      <c r="G273" s="75"/>
      <c r="H273" s="77"/>
      <c r="I273" s="77"/>
      <c r="J273" s="13"/>
    </row>
    <row r="274" spans="1:10" ht="13.5" customHeight="1" x14ac:dyDescent="0.2">
      <c r="A274" s="79"/>
      <c r="B274" s="79"/>
      <c r="C274" s="78"/>
      <c r="D274" s="78"/>
      <c r="E274" s="78"/>
      <c r="F274" s="78"/>
      <c r="G274" s="75"/>
      <c r="H274" s="77"/>
      <c r="I274" s="77"/>
      <c r="J274" s="13"/>
    </row>
    <row r="275" spans="1:10" ht="13.5" customHeight="1" x14ac:dyDescent="0.2">
      <c r="A275" s="79"/>
      <c r="B275" s="79"/>
      <c r="C275" s="78"/>
      <c r="D275" s="78"/>
      <c r="E275" s="78"/>
      <c r="F275" s="78"/>
      <c r="G275" s="75"/>
      <c r="H275" s="77"/>
      <c r="I275" s="77"/>
      <c r="J275" s="13"/>
    </row>
    <row r="276" spans="1:10" ht="13.5" customHeight="1" x14ac:dyDescent="0.2">
      <c r="A276" s="79"/>
      <c r="B276" s="79"/>
      <c r="C276" s="78"/>
      <c r="D276" s="78"/>
      <c r="E276" s="78"/>
      <c r="F276" s="78"/>
      <c r="G276" s="14"/>
      <c r="H276" s="77"/>
      <c r="I276" s="77"/>
      <c r="J276" s="130"/>
    </row>
    <row r="277" spans="1:10" ht="13.5" customHeight="1" x14ac:dyDescent="0.2">
      <c r="A277" s="70"/>
      <c r="B277" s="70"/>
      <c r="C277" s="63"/>
      <c r="D277" s="50"/>
      <c r="E277" s="13"/>
      <c r="F277" s="13"/>
      <c r="G277" s="75"/>
      <c r="H277" s="82"/>
      <c r="I277" s="13"/>
      <c r="J277" s="13"/>
    </row>
    <row r="278" spans="1:10" ht="13.5" customHeight="1" x14ac:dyDescent="0.2">
      <c r="A278" s="70"/>
      <c r="B278" s="70"/>
      <c r="C278" s="63"/>
      <c r="D278" s="50"/>
      <c r="E278" s="13"/>
      <c r="F278" s="13"/>
      <c r="G278" s="75"/>
      <c r="H278" s="82"/>
      <c r="I278" s="13"/>
      <c r="J278" s="13"/>
    </row>
    <row r="279" spans="1:10" ht="13.5" customHeight="1" x14ac:dyDescent="0.2">
      <c r="A279" s="70"/>
      <c r="B279" s="70"/>
      <c r="C279" s="63"/>
      <c r="D279" s="50"/>
      <c r="E279" s="13"/>
      <c r="F279" s="13"/>
      <c r="G279" s="75"/>
      <c r="H279" s="82"/>
      <c r="I279" s="13"/>
      <c r="J279" s="13"/>
    </row>
    <row r="280" spans="1:10" ht="13.5" customHeight="1" x14ac:dyDescent="0.2">
      <c r="A280" s="70"/>
      <c r="B280" s="70"/>
      <c r="C280" s="63"/>
      <c r="D280" s="50"/>
      <c r="E280" s="13"/>
      <c r="F280" s="13"/>
      <c r="G280" s="75"/>
      <c r="H280" s="82"/>
      <c r="I280" s="13"/>
      <c r="J280" s="13"/>
    </row>
    <row r="281" spans="1:10" ht="13.5" customHeight="1" x14ac:dyDescent="0.2">
      <c r="A281" s="70"/>
      <c r="B281" s="70"/>
      <c r="C281" s="63"/>
      <c r="D281" s="50"/>
      <c r="E281" s="13"/>
      <c r="F281" s="13"/>
      <c r="G281" s="75"/>
      <c r="H281" s="82"/>
      <c r="I281" s="13"/>
      <c r="J281" s="13"/>
    </row>
    <row r="282" spans="1:10" ht="13.5" customHeight="1" x14ac:dyDescent="0.2">
      <c r="A282" s="70"/>
      <c r="B282" s="70"/>
      <c r="C282" s="63"/>
      <c r="D282" s="50"/>
      <c r="E282" s="13"/>
      <c r="F282" s="13"/>
      <c r="G282" s="75"/>
      <c r="H282" s="82"/>
      <c r="I282" s="13"/>
      <c r="J282" s="13"/>
    </row>
    <row r="283" spans="1:10" ht="13.5" customHeight="1" x14ac:dyDescent="0.2">
      <c r="A283" s="70"/>
      <c r="B283" s="70"/>
      <c r="C283" s="63"/>
      <c r="D283" s="50"/>
      <c r="E283" s="13"/>
      <c r="F283" s="13"/>
      <c r="G283" s="75"/>
      <c r="H283" s="82"/>
      <c r="I283" s="13"/>
      <c r="J283" s="13"/>
    </row>
    <row r="284" spans="1:10" ht="13.5" customHeight="1" x14ac:dyDescent="0.2">
      <c r="A284" s="70"/>
      <c r="B284" s="70"/>
      <c r="C284" s="63"/>
      <c r="D284" s="50"/>
      <c r="E284" s="13"/>
      <c r="F284" s="13"/>
      <c r="G284" s="75"/>
      <c r="H284" s="82"/>
      <c r="I284" s="13"/>
      <c r="J284" s="13"/>
    </row>
    <row r="285" spans="1:10" ht="13.5" customHeight="1" x14ac:dyDescent="0.2">
      <c r="A285" s="70"/>
      <c r="B285" s="70"/>
      <c r="C285" s="63"/>
      <c r="D285" s="50"/>
      <c r="E285" s="13"/>
      <c r="F285" s="13"/>
      <c r="G285" s="75"/>
      <c r="H285" s="82"/>
      <c r="I285" s="13"/>
      <c r="J285" s="13"/>
    </row>
    <row r="286" spans="1:10" ht="13.5" customHeight="1" x14ac:dyDescent="0.2">
      <c r="A286" s="70"/>
      <c r="B286" s="70"/>
      <c r="C286" s="63"/>
      <c r="D286" s="50"/>
      <c r="E286" s="13"/>
      <c r="F286" s="13"/>
      <c r="G286" s="75"/>
      <c r="H286" s="82"/>
      <c r="I286" s="13"/>
      <c r="J286" s="13"/>
    </row>
    <row r="287" spans="1:10" ht="13.5" customHeight="1" x14ac:dyDescent="0.2">
      <c r="A287" s="70"/>
      <c r="B287" s="70"/>
      <c r="C287" s="63"/>
      <c r="D287" s="50"/>
      <c r="E287" s="13"/>
      <c r="F287" s="13"/>
      <c r="G287" s="75"/>
      <c r="H287" s="82"/>
      <c r="I287" s="13"/>
      <c r="J287" s="13"/>
    </row>
    <row r="288" spans="1:10" ht="13.5" customHeight="1" x14ac:dyDescent="0.2">
      <c r="A288" s="70"/>
      <c r="B288" s="70"/>
      <c r="C288" s="63"/>
      <c r="D288" s="50"/>
      <c r="E288" s="13"/>
      <c r="F288" s="13"/>
      <c r="G288" s="75"/>
      <c r="H288" s="82"/>
      <c r="I288" s="13"/>
      <c r="J288" s="13"/>
    </row>
    <row r="289" spans="1:10" ht="13.5" customHeight="1" x14ac:dyDescent="0.2">
      <c r="A289" s="70"/>
      <c r="B289" s="70"/>
      <c r="C289" s="63"/>
      <c r="D289" s="50"/>
      <c r="E289" s="13"/>
      <c r="F289" s="13"/>
      <c r="G289" s="75"/>
      <c r="H289" s="82"/>
      <c r="I289" s="13"/>
      <c r="J289" s="13"/>
    </row>
    <row r="290" spans="1:10" ht="13.5" customHeight="1" x14ac:dyDescent="0.2">
      <c r="A290" s="70"/>
      <c r="B290" s="70"/>
      <c r="C290" s="63"/>
      <c r="D290" s="50"/>
      <c r="E290" s="13"/>
      <c r="F290" s="13"/>
      <c r="G290" s="75"/>
      <c r="H290" s="82"/>
      <c r="I290" s="13"/>
      <c r="J290" s="13"/>
    </row>
    <row r="291" spans="1:10" ht="13.5" customHeight="1" x14ac:dyDescent="0.2">
      <c r="A291" s="70"/>
      <c r="B291" s="70"/>
      <c r="C291" s="63"/>
      <c r="D291" s="50"/>
      <c r="E291" s="13"/>
      <c r="F291" s="13"/>
      <c r="G291" s="75"/>
      <c r="H291" s="82"/>
      <c r="I291" s="13"/>
      <c r="J291" s="13"/>
    </row>
    <row r="292" spans="1:10" ht="13.5" customHeight="1" x14ac:dyDescent="0.2">
      <c r="A292" s="70"/>
      <c r="B292" s="70"/>
      <c r="C292" s="63"/>
      <c r="D292" s="50"/>
      <c r="E292" s="13"/>
      <c r="F292" s="13"/>
      <c r="G292" s="75"/>
      <c r="H292" s="82"/>
      <c r="I292" s="13"/>
      <c r="J292" s="13"/>
    </row>
    <row r="293" spans="1:10" ht="13.5" customHeight="1" x14ac:dyDescent="0.2">
      <c r="A293" s="70"/>
      <c r="B293" s="70"/>
      <c r="C293" s="63"/>
      <c r="D293" s="50"/>
      <c r="E293" s="13"/>
      <c r="F293" s="13"/>
      <c r="G293" s="75"/>
      <c r="H293" s="82"/>
      <c r="I293" s="13"/>
      <c r="J293" s="13"/>
    </row>
    <row r="294" spans="1:10" ht="13.5" customHeight="1" x14ac:dyDescent="0.2">
      <c r="A294" s="70"/>
      <c r="B294" s="70"/>
      <c r="C294" s="63"/>
      <c r="D294" s="50"/>
      <c r="E294" s="13"/>
      <c r="F294" s="13"/>
      <c r="G294" s="75"/>
      <c r="H294" s="82"/>
      <c r="I294" s="13"/>
      <c r="J294" s="13"/>
    </row>
    <row r="295" spans="1:10" ht="13.5" customHeight="1" x14ac:dyDescent="0.2">
      <c r="A295" s="70"/>
      <c r="B295" s="70"/>
      <c r="C295" s="63"/>
      <c r="D295" s="50"/>
      <c r="E295" s="13"/>
      <c r="F295" s="13"/>
      <c r="G295" s="75"/>
      <c r="H295" s="82"/>
      <c r="I295" s="13"/>
      <c r="J295" s="13"/>
    </row>
    <row r="296" spans="1:10" ht="13.5" customHeight="1" x14ac:dyDescent="0.2">
      <c r="A296" s="70"/>
      <c r="B296" s="70"/>
      <c r="C296" s="63"/>
      <c r="D296" s="50"/>
      <c r="E296" s="13"/>
      <c r="F296" s="13"/>
      <c r="G296" s="75"/>
      <c r="H296" s="82"/>
      <c r="I296" s="13"/>
      <c r="J296" s="13"/>
    </row>
    <row r="297" spans="1:10" ht="13.5" customHeight="1" x14ac:dyDescent="0.2">
      <c r="A297" s="70"/>
      <c r="B297" s="70"/>
      <c r="C297" s="63"/>
      <c r="D297" s="50"/>
      <c r="E297" s="13"/>
      <c r="F297" s="13"/>
      <c r="G297" s="75"/>
      <c r="H297" s="82"/>
      <c r="I297" s="13"/>
      <c r="J297" s="13"/>
    </row>
    <row r="298" spans="1:10" ht="13.5" customHeight="1" x14ac:dyDescent="0.2">
      <c r="A298" s="70"/>
      <c r="B298" s="70"/>
      <c r="C298" s="63"/>
      <c r="D298" s="50"/>
      <c r="E298" s="13"/>
      <c r="F298" s="13"/>
      <c r="G298" s="75"/>
      <c r="H298" s="82"/>
      <c r="I298" s="13"/>
      <c r="J298" s="13"/>
    </row>
    <row r="299" spans="1:10" ht="13.5" customHeight="1" x14ac:dyDescent="0.2">
      <c r="A299" s="70"/>
      <c r="B299" s="70"/>
      <c r="C299" s="63"/>
      <c r="D299" s="50"/>
      <c r="E299" s="13"/>
      <c r="F299" s="13"/>
      <c r="G299" s="75"/>
      <c r="H299" s="82"/>
      <c r="I299" s="13"/>
      <c r="J299" s="13"/>
    </row>
    <row r="300" spans="1:10" ht="13.5" customHeight="1" x14ac:dyDescent="0.2">
      <c r="A300" s="70"/>
      <c r="B300" s="70"/>
      <c r="C300" s="63"/>
      <c r="D300" s="50"/>
      <c r="E300" s="13"/>
      <c r="F300" s="13"/>
      <c r="G300" s="75"/>
      <c r="H300" s="82"/>
      <c r="I300" s="13"/>
      <c r="J300" s="13"/>
    </row>
    <row r="301" spans="1:10" ht="13.5" customHeight="1" x14ac:dyDescent="0.2">
      <c r="A301" s="70"/>
      <c r="B301" s="70"/>
      <c r="C301" s="63"/>
      <c r="D301" s="50"/>
      <c r="E301" s="13"/>
      <c r="F301" s="13"/>
      <c r="G301" s="75"/>
      <c r="H301" s="82"/>
      <c r="I301" s="13"/>
      <c r="J301" s="13"/>
    </row>
    <row r="302" spans="1:10" ht="13.5" customHeight="1" x14ac:dyDescent="0.2">
      <c r="A302" s="70"/>
      <c r="B302" s="70"/>
      <c r="C302" s="63"/>
      <c r="D302" s="50"/>
      <c r="E302" s="13"/>
      <c r="F302" s="13"/>
      <c r="G302" s="75"/>
      <c r="H302" s="82"/>
      <c r="I302" s="13"/>
      <c r="J302" s="13"/>
    </row>
    <row r="303" spans="1:10" ht="13.5" customHeight="1" x14ac:dyDescent="0.2">
      <c r="A303" s="70"/>
      <c r="B303" s="70"/>
      <c r="C303" s="63"/>
      <c r="D303" s="50"/>
      <c r="E303" s="13"/>
      <c r="F303" s="13"/>
      <c r="G303" s="75"/>
      <c r="H303" s="82"/>
      <c r="I303" s="13"/>
      <c r="J303" s="13"/>
    </row>
    <row r="304" spans="1:10" ht="13.5" customHeight="1" x14ac:dyDescent="0.2">
      <c r="A304" s="70"/>
      <c r="B304" s="70"/>
      <c r="C304" s="63"/>
      <c r="D304" s="50"/>
      <c r="E304" s="13"/>
      <c r="F304" s="13"/>
      <c r="G304" s="75"/>
      <c r="H304" s="82"/>
      <c r="I304" s="13"/>
      <c r="J304" s="13"/>
    </row>
    <row r="305" spans="1:10" ht="13.5" customHeight="1" x14ac:dyDescent="0.2">
      <c r="A305" s="70"/>
      <c r="B305" s="70"/>
      <c r="C305" s="63"/>
      <c r="D305" s="50"/>
      <c r="E305" s="13"/>
      <c r="F305" s="13"/>
      <c r="G305" s="75"/>
      <c r="H305" s="82"/>
      <c r="I305" s="13"/>
      <c r="J305" s="13"/>
    </row>
    <row r="306" spans="1:10" ht="13.5" customHeight="1" x14ac:dyDescent="0.2">
      <c r="A306" s="70"/>
      <c r="B306" s="70"/>
      <c r="C306" s="63"/>
      <c r="D306" s="50"/>
      <c r="E306" s="13"/>
      <c r="F306" s="13"/>
      <c r="G306" s="75"/>
      <c r="H306" s="82"/>
      <c r="I306" s="13"/>
      <c r="J306" s="13"/>
    </row>
    <row r="307" spans="1:10" ht="13.5" customHeight="1" x14ac:dyDescent="0.2">
      <c r="A307" s="70"/>
      <c r="B307" s="70"/>
      <c r="C307" s="63"/>
      <c r="D307" s="50"/>
      <c r="E307" s="13"/>
      <c r="F307" s="13"/>
      <c r="G307" s="75"/>
      <c r="H307" s="82"/>
      <c r="I307" s="13"/>
      <c r="J307" s="13"/>
    </row>
    <row r="308" spans="1:10" ht="13.5" customHeight="1" x14ac:dyDescent="0.2">
      <c r="A308" s="70"/>
      <c r="B308" s="70"/>
      <c r="C308" s="63"/>
      <c r="D308" s="50"/>
      <c r="E308" s="13"/>
      <c r="F308" s="13"/>
      <c r="G308" s="75"/>
      <c r="H308" s="82"/>
      <c r="I308" s="13"/>
      <c r="J308" s="13"/>
    </row>
    <row r="309" spans="1:10" ht="13.5" customHeight="1" x14ac:dyDescent="0.2">
      <c r="A309" s="70"/>
      <c r="B309" s="70"/>
      <c r="C309" s="63"/>
      <c r="D309" s="50"/>
      <c r="E309" s="13"/>
      <c r="F309" s="13"/>
      <c r="G309" s="75"/>
      <c r="H309" s="82"/>
      <c r="I309" s="13"/>
      <c r="J309" s="13"/>
    </row>
    <row r="310" spans="1:10" ht="13.5" customHeight="1" x14ac:dyDescent="0.2">
      <c r="A310" s="70"/>
      <c r="B310" s="70"/>
      <c r="C310" s="63"/>
      <c r="D310" s="50"/>
      <c r="E310" s="13"/>
      <c r="F310" s="13"/>
      <c r="G310" s="75"/>
      <c r="H310" s="82"/>
      <c r="I310" s="13"/>
      <c r="J310" s="13"/>
    </row>
    <row r="311" spans="1:10" ht="13.5" customHeight="1" x14ac:dyDescent="0.2">
      <c r="A311" s="70"/>
      <c r="B311" s="70"/>
      <c r="C311" s="63"/>
      <c r="D311" s="50"/>
      <c r="E311" s="13"/>
      <c r="F311" s="13"/>
      <c r="G311" s="75"/>
      <c r="H311" s="82"/>
      <c r="I311" s="13"/>
      <c r="J311" s="13"/>
    </row>
    <row r="312" spans="1:10" ht="13.5" customHeight="1" x14ac:dyDescent="0.2">
      <c r="A312" s="70"/>
      <c r="B312" s="70"/>
      <c r="C312" s="63"/>
      <c r="D312" s="50"/>
      <c r="E312" s="13"/>
      <c r="F312" s="13"/>
      <c r="G312" s="75"/>
      <c r="H312" s="82"/>
      <c r="I312" s="13"/>
      <c r="J312" s="13"/>
    </row>
    <row r="313" spans="1:10" ht="13.5" customHeight="1" x14ac:dyDescent="0.2">
      <c r="A313" s="70"/>
      <c r="B313" s="70"/>
      <c r="C313" s="63"/>
      <c r="D313" s="50"/>
      <c r="E313" s="13"/>
      <c r="F313" s="13"/>
      <c r="G313" s="75"/>
      <c r="H313" s="82"/>
      <c r="I313" s="13"/>
      <c r="J313" s="13"/>
    </row>
    <row r="314" spans="1:10" ht="13.5" customHeight="1" x14ac:dyDescent="0.2">
      <c r="A314" s="70"/>
      <c r="B314" s="70"/>
      <c r="C314" s="63"/>
      <c r="D314" s="50"/>
      <c r="E314" s="13"/>
      <c r="F314" s="13"/>
      <c r="G314" s="75"/>
      <c r="H314" s="82"/>
      <c r="I314" s="13"/>
      <c r="J314" s="13"/>
    </row>
    <row r="315" spans="1:10" ht="13.5" customHeight="1" x14ac:dyDescent="0.2">
      <c r="A315" s="70"/>
      <c r="B315" s="70"/>
      <c r="C315" s="63"/>
      <c r="D315" s="50"/>
      <c r="E315" s="13"/>
      <c r="F315" s="13"/>
      <c r="G315" s="75"/>
      <c r="H315" s="82"/>
      <c r="I315" s="13"/>
      <c r="J315" s="13"/>
    </row>
    <row r="316" spans="1:10" ht="13.5" customHeight="1" x14ac:dyDescent="0.2">
      <c r="A316" s="70"/>
      <c r="B316" s="70"/>
      <c r="C316" s="63"/>
      <c r="D316" s="50"/>
      <c r="E316" s="13"/>
      <c r="F316" s="13"/>
      <c r="G316" s="75"/>
      <c r="H316" s="82"/>
      <c r="I316" s="13"/>
      <c r="J316" s="13"/>
    </row>
    <row r="317" spans="1:10" ht="13.5" customHeight="1" x14ac:dyDescent="0.2">
      <c r="A317" s="70"/>
      <c r="B317" s="70"/>
      <c r="C317" s="63"/>
      <c r="D317" s="50"/>
      <c r="E317" s="13"/>
      <c r="F317" s="13"/>
      <c r="G317" s="75"/>
      <c r="H317" s="83"/>
      <c r="I317" s="13"/>
      <c r="J317" s="13"/>
    </row>
    <row r="318" spans="1:10" ht="13.5" customHeight="1" x14ac:dyDescent="0.2">
      <c r="A318" s="70"/>
      <c r="B318" s="70"/>
      <c r="C318" s="63"/>
      <c r="D318" s="50"/>
      <c r="E318" s="13"/>
      <c r="F318" s="13"/>
      <c r="G318" s="75"/>
      <c r="H318" s="83"/>
      <c r="I318" s="13"/>
      <c r="J318" s="13"/>
    </row>
    <row r="319" spans="1:10" ht="13.5" customHeight="1" x14ac:dyDescent="0.2">
      <c r="A319" s="131"/>
      <c r="B319" s="70"/>
      <c r="C319" s="64"/>
      <c r="D319" s="50"/>
      <c r="E319" s="13"/>
      <c r="F319" s="13"/>
      <c r="G319" s="75"/>
      <c r="H319" s="84"/>
      <c r="I319" s="13"/>
      <c r="J319" s="13"/>
    </row>
    <row r="320" spans="1:10" ht="13.5" customHeight="1" x14ac:dyDescent="0.2">
      <c r="A320" s="70"/>
      <c r="B320" s="70"/>
      <c r="C320" s="63"/>
      <c r="D320" s="50"/>
      <c r="E320" s="13"/>
      <c r="F320" s="13"/>
      <c r="G320" s="75"/>
      <c r="H320" s="83"/>
      <c r="I320" s="13"/>
      <c r="J320" s="13"/>
    </row>
    <row r="321" spans="1:10" ht="13.5" customHeight="1" x14ac:dyDescent="0.2">
      <c r="A321" s="70"/>
      <c r="B321" s="70"/>
      <c r="C321" s="63"/>
      <c r="D321" s="50"/>
      <c r="E321" s="13"/>
      <c r="F321" s="13"/>
      <c r="G321" s="75"/>
      <c r="H321" s="83"/>
      <c r="I321" s="13"/>
      <c r="J321" s="13"/>
    </row>
    <row r="322" spans="1:10" ht="13.5" customHeight="1" x14ac:dyDescent="0.2">
      <c r="A322" s="131"/>
      <c r="B322" s="70"/>
      <c r="C322" s="85"/>
      <c r="D322" s="50"/>
      <c r="E322" s="13"/>
      <c r="F322" s="13"/>
      <c r="G322" s="75"/>
      <c r="H322" s="83"/>
      <c r="I322" s="13"/>
      <c r="J322" s="13"/>
    </row>
    <row r="323" spans="1:10" ht="13.5" customHeight="1" x14ac:dyDescent="0.2">
      <c r="A323" s="131"/>
      <c r="B323" s="70"/>
      <c r="C323" s="63"/>
      <c r="D323" s="50"/>
      <c r="E323" s="13"/>
      <c r="F323" s="13"/>
      <c r="G323" s="75"/>
      <c r="H323" s="83"/>
      <c r="I323" s="13"/>
      <c r="J323" s="13"/>
    </row>
    <row r="324" spans="1:10" ht="13.5" customHeight="1" x14ac:dyDescent="0.2">
      <c r="A324" s="131"/>
      <c r="B324" s="70"/>
      <c r="C324" s="63"/>
      <c r="D324" s="50"/>
      <c r="E324" s="13"/>
      <c r="F324" s="13"/>
      <c r="G324" s="75"/>
      <c r="H324" s="84"/>
      <c r="I324" s="13"/>
      <c r="J324" s="13"/>
    </row>
    <row r="325" spans="1:10" ht="13.5" customHeight="1" x14ac:dyDescent="0.2">
      <c r="A325" s="131"/>
      <c r="B325" s="70"/>
      <c r="C325" s="64"/>
      <c r="D325" s="50"/>
      <c r="E325" s="13"/>
      <c r="F325" s="13"/>
      <c r="G325" s="75"/>
      <c r="H325" s="83"/>
      <c r="I325" s="13"/>
      <c r="J325" s="13"/>
    </row>
    <row r="326" spans="1:10" ht="13.5" customHeight="1" x14ac:dyDescent="0.2">
      <c r="A326" s="70"/>
      <c r="B326" s="70"/>
      <c r="C326" s="63"/>
      <c r="D326" s="50"/>
      <c r="E326" s="13"/>
      <c r="F326" s="13"/>
      <c r="G326" s="75"/>
      <c r="H326" s="83"/>
      <c r="I326" s="13"/>
      <c r="J326" s="13"/>
    </row>
    <row r="327" spans="1:10" ht="13.5" customHeight="1" x14ac:dyDescent="0.2">
      <c r="A327" s="131"/>
      <c r="B327" s="70"/>
      <c r="C327" s="63"/>
      <c r="D327" s="50"/>
      <c r="E327" s="13"/>
      <c r="F327" s="13"/>
      <c r="G327" s="75"/>
      <c r="H327" s="84"/>
      <c r="I327" s="13"/>
      <c r="J327" s="13"/>
    </row>
    <row r="328" spans="1:10" ht="13.5" customHeight="1" x14ac:dyDescent="0.2">
      <c r="A328" s="131"/>
      <c r="B328" s="70"/>
      <c r="C328" s="64"/>
      <c r="D328" s="50"/>
      <c r="E328" s="13"/>
      <c r="F328" s="13"/>
      <c r="G328" s="75"/>
      <c r="H328" s="84"/>
      <c r="I328" s="13"/>
      <c r="J328" s="13"/>
    </row>
    <row r="329" spans="1:10" ht="13.5" customHeight="1" x14ac:dyDescent="0.2">
      <c r="A329" s="70"/>
      <c r="B329" s="70"/>
      <c r="C329" s="63"/>
      <c r="D329" s="50"/>
      <c r="E329" s="13"/>
      <c r="F329" s="13"/>
      <c r="G329" s="75"/>
      <c r="H329" s="83"/>
      <c r="I329" s="13"/>
      <c r="J329" s="13"/>
    </row>
    <row r="330" spans="1:10" ht="13.5" customHeight="1" x14ac:dyDescent="0.2">
      <c r="A330" s="131"/>
      <c r="B330" s="70"/>
      <c r="C330" s="63"/>
      <c r="D330" s="50"/>
      <c r="E330" s="13"/>
      <c r="F330" s="13"/>
      <c r="G330" s="75"/>
      <c r="H330" s="84"/>
      <c r="I330" s="13"/>
      <c r="J330" s="13"/>
    </row>
    <row r="331" spans="1:10" ht="13.5" customHeight="1" x14ac:dyDescent="0.2">
      <c r="A331" s="131"/>
      <c r="B331" s="70"/>
      <c r="C331" s="64"/>
      <c r="D331" s="50"/>
      <c r="E331" s="13"/>
      <c r="F331" s="13"/>
      <c r="G331" s="75"/>
      <c r="H331" s="84"/>
      <c r="I331" s="13"/>
      <c r="J331" s="13"/>
    </row>
    <row r="332" spans="1:10" ht="13.5" customHeight="1" x14ac:dyDescent="0.2">
      <c r="A332" s="70"/>
      <c r="B332" s="70"/>
      <c r="C332" s="63"/>
      <c r="D332" s="50"/>
      <c r="E332" s="13"/>
      <c r="F332" s="13"/>
      <c r="G332" s="75"/>
      <c r="H332" s="83"/>
      <c r="I332" s="13"/>
      <c r="J332" s="13"/>
    </row>
    <row r="333" spans="1:10" ht="13.5" customHeight="1" x14ac:dyDescent="0.2">
      <c r="A333" s="70"/>
      <c r="B333" s="70"/>
      <c r="C333" s="63"/>
      <c r="D333" s="50"/>
      <c r="E333" s="13"/>
      <c r="F333" s="13"/>
      <c r="G333" s="75"/>
      <c r="H333" s="83"/>
      <c r="I333" s="13"/>
      <c r="J333" s="13"/>
    </row>
    <row r="334" spans="1:10" ht="13.5" customHeight="1" x14ac:dyDescent="0.2">
      <c r="A334" s="70"/>
      <c r="B334" s="70"/>
      <c r="C334" s="63"/>
      <c r="D334" s="50"/>
      <c r="E334" s="13"/>
      <c r="F334" s="13"/>
      <c r="G334" s="75"/>
      <c r="H334" s="82"/>
      <c r="I334" s="13"/>
      <c r="J334" s="13"/>
    </row>
    <row r="335" spans="1:10" ht="13.5" customHeight="1" x14ac:dyDescent="0.2">
      <c r="A335" s="131"/>
      <c r="B335" s="70"/>
      <c r="C335" s="86"/>
      <c r="D335" s="50"/>
      <c r="E335" s="13"/>
      <c r="F335" s="13"/>
      <c r="G335" s="75"/>
      <c r="H335" s="82"/>
      <c r="I335" s="13"/>
      <c r="J335" s="13"/>
    </row>
    <row r="336" spans="1:10" ht="13.5" customHeight="1" x14ac:dyDescent="0.2">
      <c r="A336" s="131"/>
      <c r="B336" s="70"/>
      <c r="C336" s="85"/>
      <c r="D336" s="50"/>
      <c r="E336" s="13"/>
      <c r="F336" s="13"/>
      <c r="G336" s="75"/>
      <c r="H336" s="82"/>
      <c r="I336" s="13"/>
      <c r="J336" s="13"/>
    </row>
    <row r="337" spans="1:10" ht="13.5" customHeight="1" x14ac:dyDescent="0.2">
      <c r="A337" s="131"/>
      <c r="B337" s="70"/>
      <c r="C337" s="87"/>
      <c r="D337" s="50"/>
      <c r="E337" s="13"/>
      <c r="F337" s="13"/>
      <c r="G337" s="75"/>
      <c r="H337" s="82"/>
      <c r="I337" s="13"/>
      <c r="J337" s="13"/>
    </row>
    <row r="338" spans="1:10" ht="13.5" customHeight="1" x14ac:dyDescent="0.2">
      <c r="A338" s="131"/>
      <c r="B338" s="70"/>
      <c r="C338" s="88"/>
      <c r="D338" s="50"/>
      <c r="E338" s="13"/>
      <c r="F338" s="13"/>
      <c r="G338" s="75"/>
      <c r="H338" s="82"/>
      <c r="I338" s="13"/>
      <c r="J338" s="13"/>
    </row>
    <row r="339" spans="1:10" ht="13.5" customHeight="1" x14ac:dyDescent="0.2">
      <c r="A339" s="91"/>
      <c r="B339" s="9"/>
      <c r="C339" s="56"/>
      <c r="D339" s="11"/>
      <c r="E339" s="12"/>
      <c r="F339" s="12"/>
      <c r="G339" s="23"/>
      <c r="H339" s="89"/>
      <c r="I339" s="12"/>
      <c r="J339" s="13"/>
    </row>
    <row r="340" spans="1:10" ht="13.5" customHeight="1" x14ac:dyDescent="0.2">
      <c r="A340" s="9"/>
      <c r="B340" s="9"/>
      <c r="C340" s="56"/>
      <c r="D340" s="11"/>
      <c r="E340" s="12"/>
      <c r="F340" s="12"/>
      <c r="G340" s="23"/>
      <c r="H340" s="90"/>
      <c r="I340" s="12"/>
      <c r="J340" s="13"/>
    </row>
    <row r="341" spans="1:10" ht="13.5" customHeight="1" x14ac:dyDescent="0.2">
      <c r="A341" s="9"/>
      <c r="B341" s="9"/>
      <c r="C341" s="56"/>
      <c r="D341" s="11"/>
      <c r="E341" s="12"/>
      <c r="F341" s="12"/>
      <c r="G341" s="23"/>
      <c r="H341" s="89"/>
      <c r="I341" s="12"/>
      <c r="J341" s="13"/>
    </row>
    <row r="342" spans="1:10" ht="13.5" customHeight="1" x14ac:dyDescent="0.2">
      <c r="A342" s="91"/>
      <c r="B342" s="9"/>
      <c r="D342" s="11"/>
      <c r="E342" s="12"/>
      <c r="F342" s="12"/>
      <c r="G342" s="23"/>
      <c r="H342" s="89"/>
      <c r="I342" s="12"/>
      <c r="J342" s="13"/>
    </row>
    <row r="343" spans="1:10" ht="13.5" customHeight="1" x14ac:dyDescent="0.2">
      <c r="A343" s="9"/>
      <c r="B343" s="9"/>
      <c r="C343" s="56"/>
      <c r="D343" s="11"/>
      <c r="E343" s="12"/>
      <c r="F343" s="12"/>
      <c r="G343" s="23"/>
      <c r="H343" s="90"/>
      <c r="I343" s="12"/>
      <c r="J343" s="13"/>
    </row>
    <row r="344" spans="1:10" ht="13.5" customHeight="1" x14ac:dyDescent="0.2">
      <c r="A344" s="9"/>
      <c r="B344" s="9"/>
      <c r="C344" s="56"/>
      <c r="D344" s="11"/>
      <c r="E344" s="12"/>
      <c r="F344" s="12"/>
      <c r="G344" s="23"/>
      <c r="H344" s="90"/>
      <c r="I344" s="12"/>
      <c r="J344" s="13"/>
    </row>
    <row r="345" spans="1:10" ht="13.5" customHeight="1" x14ac:dyDescent="0.2">
      <c r="A345" s="9"/>
      <c r="B345" s="9"/>
      <c r="C345" s="56"/>
      <c r="D345" s="11"/>
      <c r="E345" s="12"/>
      <c r="F345" s="12"/>
      <c r="G345" s="23"/>
      <c r="H345" s="90"/>
      <c r="I345" s="12"/>
      <c r="J345" s="13"/>
    </row>
    <row r="346" spans="1:10" ht="13.5" customHeight="1" x14ac:dyDescent="0.2">
      <c r="A346" s="91"/>
      <c r="B346" s="9"/>
      <c r="C346" s="27"/>
      <c r="D346" s="11"/>
      <c r="E346" s="12"/>
      <c r="F346" s="12"/>
      <c r="G346" s="23"/>
      <c r="H346" s="92"/>
      <c r="I346" s="12"/>
      <c r="J346" s="13"/>
    </row>
    <row r="347" spans="1:10" ht="13.5" customHeight="1" x14ac:dyDescent="0.2">
      <c r="A347" s="91"/>
      <c r="B347" s="9"/>
      <c r="C347" s="27"/>
      <c r="D347" s="11"/>
      <c r="E347" s="12"/>
      <c r="F347" s="12"/>
      <c r="G347" s="23"/>
      <c r="H347" s="90"/>
      <c r="I347" s="12"/>
      <c r="J347" s="13"/>
    </row>
    <row r="348" spans="1:10" ht="13.5" customHeight="1" x14ac:dyDescent="0.2">
      <c r="A348" s="91"/>
      <c r="B348" s="9"/>
      <c r="D348" s="11"/>
      <c r="E348" s="12"/>
      <c r="F348" s="12"/>
      <c r="G348" s="23"/>
      <c r="H348" s="92"/>
      <c r="I348" s="12"/>
      <c r="J348" s="13"/>
    </row>
    <row r="349" spans="1:10" ht="13.5" customHeight="1" x14ac:dyDescent="0.2">
      <c r="A349" s="9"/>
      <c r="B349" s="9"/>
      <c r="C349" s="56"/>
      <c r="D349" s="11"/>
      <c r="E349" s="12"/>
      <c r="F349" s="12"/>
      <c r="G349" s="23"/>
      <c r="H349" s="89"/>
      <c r="I349" s="12"/>
      <c r="J349" s="13"/>
    </row>
    <row r="350" spans="1:10" ht="13.5" customHeight="1" x14ac:dyDescent="0.2">
      <c r="A350" s="9"/>
      <c r="B350" s="9"/>
      <c r="C350" s="56"/>
      <c r="D350" s="11"/>
      <c r="E350" s="12"/>
      <c r="F350" s="12"/>
      <c r="G350" s="23"/>
      <c r="H350" s="89"/>
      <c r="I350" s="12"/>
      <c r="J350" s="13"/>
    </row>
    <row r="351" spans="1:10" ht="13.5" customHeight="1" x14ac:dyDescent="0.2">
      <c r="A351" s="9"/>
      <c r="B351" s="9"/>
      <c r="C351" s="56"/>
      <c r="D351" s="11"/>
      <c r="E351" s="12"/>
      <c r="F351" s="12"/>
      <c r="G351" s="23"/>
      <c r="H351" s="89"/>
      <c r="I351" s="12"/>
      <c r="J351" s="13"/>
    </row>
    <row r="352" spans="1:10" ht="13.5" customHeight="1" x14ac:dyDescent="0.2">
      <c r="A352" s="9"/>
      <c r="B352" s="9"/>
      <c r="C352" s="56"/>
      <c r="D352" s="11"/>
      <c r="E352" s="12"/>
      <c r="F352" s="12"/>
      <c r="G352" s="23"/>
      <c r="H352" s="89"/>
      <c r="I352" s="12"/>
      <c r="J352" s="13"/>
    </row>
    <row r="353" spans="1:10" x14ac:dyDescent="0.2">
      <c r="A353" s="132"/>
      <c r="B353" s="93"/>
      <c r="C353" s="94"/>
      <c r="D353" s="27"/>
      <c r="E353" s="27"/>
      <c r="F353" s="27"/>
      <c r="G353" s="27"/>
      <c r="H353" s="95"/>
      <c r="I353" s="30"/>
      <c r="J353" s="51"/>
    </row>
  </sheetData>
  <mergeCells count="4">
    <mergeCell ref="A1:C1"/>
    <mergeCell ref="D1:G1"/>
    <mergeCell ref="H1:J1"/>
    <mergeCell ref="H185:J185"/>
  </mergeCells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L375"/>
  <sheetViews>
    <sheetView topLeftCell="A250" zoomScale="80" zoomScaleNormal="80" workbookViewId="0">
      <selection activeCell="G271" sqref="G271"/>
    </sheetView>
  </sheetViews>
  <sheetFormatPr defaultColWidth="9" defaultRowHeight="12.75" x14ac:dyDescent="0.2"/>
  <cols>
    <col min="1" max="1" width="12.375" style="1" customWidth="1"/>
    <col min="2" max="2" width="64" style="1" customWidth="1"/>
    <col min="3" max="3" width="14.875" style="18" customWidth="1"/>
    <col min="4" max="4" width="14.5" style="18" customWidth="1"/>
    <col min="5" max="5" width="12" style="40" customWidth="1"/>
    <col min="6" max="6" width="10.25" style="1" customWidth="1"/>
    <col min="7" max="7" width="10" style="1" customWidth="1"/>
    <col min="8" max="9" width="9" style="1"/>
    <col min="10" max="10" width="15" style="1" customWidth="1"/>
    <col min="11" max="16384" width="9" style="1"/>
  </cols>
  <sheetData>
    <row r="1" spans="1:12" x14ac:dyDescent="0.2">
      <c r="F1" s="97" t="s">
        <v>218</v>
      </c>
      <c r="G1" s="97" t="s">
        <v>219</v>
      </c>
      <c r="H1" s="97" t="s">
        <v>220</v>
      </c>
      <c r="I1" s="97" t="s">
        <v>221</v>
      </c>
      <c r="J1" s="97" t="s">
        <v>222</v>
      </c>
    </row>
    <row r="2" spans="1:12" x14ac:dyDescent="0.2">
      <c r="A2" s="1" t="s">
        <v>240</v>
      </c>
      <c r="B2" s="395" t="s">
        <v>1073</v>
      </c>
      <c r="C2" s="397"/>
      <c r="D2" s="399">
        <v>940</v>
      </c>
      <c r="F2" s="399">
        <v>1020</v>
      </c>
      <c r="G2" s="402">
        <v>80</v>
      </c>
      <c r="H2" s="402"/>
      <c r="I2" s="402"/>
      <c r="J2" s="104">
        <f>F2-G2-H2-I2</f>
        <v>940</v>
      </c>
    </row>
    <row r="3" spans="1:12" ht="13.5" customHeight="1" x14ac:dyDescent="0.2">
      <c r="A3" s="1" t="s">
        <v>240</v>
      </c>
      <c r="B3" s="34" t="s">
        <v>1103</v>
      </c>
      <c r="C3" s="24"/>
      <c r="D3" s="399">
        <v>860</v>
      </c>
      <c r="F3" s="399">
        <v>940</v>
      </c>
      <c r="G3" s="402">
        <v>80</v>
      </c>
      <c r="H3" s="402"/>
      <c r="I3" s="402"/>
      <c r="J3" s="104">
        <f t="shared" ref="J3:J13" si="0">F3-G3-H3-I3</f>
        <v>860</v>
      </c>
    </row>
    <row r="4" spans="1:12" ht="13.5" customHeight="1" x14ac:dyDescent="0.2">
      <c r="A4" s="1" t="s">
        <v>240</v>
      </c>
      <c r="B4" s="34" t="s">
        <v>1119</v>
      </c>
      <c r="C4" s="24"/>
      <c r="D4" s="399">
        <v>990</v>
      </c>
      <c r="F4" s="399">
        <v>1070</v>
      </c>
      <c r="G4" s="402">
        <v>80</v>
      </c>
      <c r="H4" s="402"/>
      <c r="I4" s="402"/>
      <c r="J4" s="104">
        <f t="shared" si="0"/>
        <v>990</v>
      </c>
    </row>
    <row r="5" spans="1:12" ht="13.5" customHeight="1" x14ac:dyDescent="0.2">
      <c r="A5" s="1" t="s">
        <v>240</v>
      </c>
      <c r="B5" s="34" t="s">
        <v>1033</v>
      </c>
      <c r="C5" s="24"/>
      <c r="D5" s="399">
        <v>990</v>
      </c>
      <c r="F5" s="399">
        <v>1070</v>
      </c>
      <c r="G5" s="402">
        <v>80</v>
      </c>
      <c r="H5" s="402"/>
      <c r="I5" s="402"/>
      <c r="J5" s="104">
        <f t="shared" si="0"/>
        <v>990</v>
      </c>
    </row>
    <row r="6" spans="1:12" ht="13.5" customHeight="1" x14ac:dyDescent="0.2">
      <c r="A6" s="1" t="s">
        <v>240</v>
      </c>
      <c r="B6" s="21" t="s">
        <v>1042</v>
      </c>
      <c r="C6" s="24"/>
      <c r="D6" s="399">
        <v>862</v>
      </c>
      <c r="F6" s="399">
        <v>942</v>
      </c>
      <c r="G6" s="402">
        <v>80</v>
      </c>
      <c r="H6" s="402"/>
      <c r="I6" s="402"/>
      <c r="J6" s="104">
        <f t="shared" si="0"/>
        <v>862</v>
      </c>
    </row>
    <row r="7" spans="1:12" ht="13.5" customHeight="1" x14ac:dyDescent="0.2">
      <c r="A7" s="1" t="s">
        <v>240</v>
      </c>
      <c r="B7" s="21" t="s">
        <v>1041</v>
      </c>
      <c r="C7" s="24"/>
      <c r="D7" s="399">
        <v>862</v>
      </c>
      <c r="F7" s="399">
        <v>942</v>
      </c>
      <c r="G7" s="402">
        <v>80</v>
      </c>
      <c r="H7" s="402"/>
      <c r="I7" s="402"/>
      <c r="J7" s="104">
        <f t="shared" si="0"/>
        <v>862</v>
      </c>
    </row>
    <row r="8" spans="1:12" ht="13.5" customHeight="1" x14ac:dyDescent="0.2">
      <c r="A8" s="1" t="s">
        <v>240</v>
      </c>
      <c r="B8" s="34" t="s">
        <v>1040</v>
      </c>
      <c r="C8" s="24"/>
      <c r="D8" s="399">
        <v>952</v>
      </c>
      <c r="F8" s="399">
        <v>1032</v>
      </c>
      <c r="G8" s="403">
        <v>80</v>
      </c>
      <c r="H8" s="403"/>
      <c r="I8" s="403"/>
      <c r="J8" s="104">
        <f t="shared" si="0"/>
        <v>952</v>
      </c>
    </row>
    <row r="9" spans="1:12" ht="13.5" customHeight="1" x14ac:dyDescent="0.2">
      <c r="A9" s="1" t="s">
        <v>240</v>
      </c>
      <c r="B9" s="34" t="s">
        <v>1039</v>
      </c>
      <c r="C9" s="24"/>
      <c r="D9" s="399">
        <v>952</v>
      </c>
      <c r="F9" s="399">
        <v>1032</v>
      </c>
      <c r="G9" s="403">
        <v>80</v>
      </c>
      <c r="H9" s="403"/>
      <c r="I9" s="403"/>
      <c r="J9" s="104">
        <f t="shared" si="0"/>
        <v>952</v>
      </c>
    </row>
    <row r="10" spans="1:12" ht="13.5" customHeight="1" x14ac:dyDescent="0.2">
      <c r="A10" s="1" t="s">
        <v>240</v>
      </c>
      <c r="B10" s="34" t="s">
        <v>1038</v>
      </c>
      <c r="C10" s="24"/>
      <c r="D10" s="399">
        <v>180</v>
      </c>
      <c r="F10" s="399">
        <v>180</v>
      </c>
      <c r="G10" s="403"/>
      <c r="H10" s="403"/>
      <c r="I10" s="403"/>
      <c r="J10" s="104">
        <f t="shared" si="0"/>
        <v>180</v>
      </c>
    </row>
    <row r="11" spans="1:12" ht="13.5" customHeight="1" x14ac:dyDescent="0.2">
      <c r="A11" s="1" t="s">
        <v>240</v>
      </c>
      <c r="B11" s="34" t="s">
        <v>1052</v>
      </c>
      <c r="C11" s="24"/>
      <c r="D11" s="399">
        <v>1151.1299999999999</v>
      </c>
      <c r="F11" s="399">
        <v>1261.54</v>
      </c>
      <c r="G11" s="403">
        <v>80</v>
      </c>
      <c r="H11" s="403">
        <v>30.41</v>
      </c>
      <c r="I11" s="403"/>
      <c r="J11" s="104">
        <f>F11-G11-H11-I11</f>
        <v>1151.1299999999999</v>
      </c>
    </row>
    <row r="12" spans="1:12" ht="13.5" customHeight="1" x14ac:dyDescent="0.2">
      <c r="A12" s="1" t="s">
        <v>240</v>
      </c>
      <c r="B12" s="21" t="s">
        <v>1051</v>
      </c>
      <c r="C12" s="24"/>
      <c r="D12" s="399">
        <v>1200</v>
      </c>
      <c r="F12" s="399">
        <v>1338.46</v>
      </c>
      <c r="G12" s="403">
        <v>80</v>
      </c>
      <c r="H12" s="403">
        <v>23.28</v>
      </c>
      <c r="I12" s="403">
        <v>35.18</v>
      </c>
      <c r="J12" s="104">
        <f t="shared" si="0"/>
        <v>1200</v>
      </c>
    </row>
    <row r="13" spans="1:12" ht="13.5" customHeight="1" x14ac:dyDescent="0.2">
      <c r="A13" s="1" t="s">
        <v>240</v>
      </c>
      <c r="B13" s="34" t="s">
        <v>1096</v>
      </c>
      <c r="C13" s="24"/>
      <c r="D13" s="399">
        <v>1178.6600000000001</v>
      </c>
      <c r="F13" s="399">
        <v>1300</v>
      </c>
      <c r="G13" s="403">
        <v>80</v>
      </c>
      <c r="H13" s="403"/>
      <c r="I13" s="403">
        <v>41.34</v>
      </c>
      <c r="J13" s="104">
        <f t="shared" si="0"/>
        <v>1178.6600000000001</v>
      </c>
    </row>
    <row r="14" spans="1:12" ht="13.5" customHeight="1" x14ac:dyDescent="0.2">
      <c r="A14" s="1" t="s">
        <v>240</v>
      </c>
      <c r="B14" s="21" t="s">
        <v>9</v>
      </c>
      <c r="C14" s="24"/>
      <c r="D14" s="399">
        <v>900</v>
      </c>
      <c r="F14" s="399">
        <v>0</v>
      </c>
      <c r="G14" s="403"/>
      <c r="H14" s="403"/>
      <c r="I14" s="403"/>
      <c r="J14" s="104">
        <f>F14-G14-H14-I14</f>
        <v>0</v>
      </c>
    </row>
    <row r="15" spans="1:12" ht="13.5" customHeight="1" x14ac:dyDescent="0.2">
      <c r="A15" s="1" t="s">
        <v>240</v>
      </c>
      <c r="B15" s="34" t="s">
        <v>1208</v>
      </c>
      <c r="C15" s="24"/>
      <c r="D15" s="399">
        <v>3000</v>
      </c>
      <c r="F15" s="399">
        <v>3000</v>
      </c>
      <c r="G15" s="403"/>
      <c r="H15" s="403"/>
      <c r="I15" s="403"/>
      <c r="J15" s="104">
        <f>F15-G15-H15-I15</f>
        <v>3000</v>
      </c>
      <c r="K15"/>
      <c r="L15"/>
    </row>
    <row r="16" spans="1:12" ht="13.5" customHeight="1" x14ac:dyDescent="0.2">
      <c r="A16" t="s">
        <v>240</v>
      </c>
      <c r="B16" s="34" t="s">
        <v>1219</v>
      </c>
      <c r="C16" s="24"/>
      <c r="D16" s="399">
        <v>880</v>
      </c>
      <c r="F16" s="399"/>
      <c r="G16" s="404"/>
      <c r="H16" s="404"/>
      <c r="I16" s="404"/>
      <c r="J16" s="405"/>
      <c r="K16"/>
      <c r="L16"/>
    </row>
    <row r="17" spans="1:12" ht="13.5" customHeight="1" x14ac:dyDescent="0.2">
      <c r="A17" t="s">
        <v>240</v>
      </c>
      <c r="B17" s="34" t="s">
        <v>844</v>
      </c>
      <c r="C17" s="24"/>
      <c r="D17" s="399">
        <v>76.52</v>
      </c>
      <c r="F17" s="399"/>
      <c r="G17" s="404"/>
      <c r="H17" s="404"/>
      <c r="I17" s="404"/>
      <c r="J17" s="405"/>
      <c r="K17"/>
      <c r="L17"/>
    </row>
    <row r="18" spans="1:12" ht="13.5" customHeight="1" x14ac:dyDescent="0.2">
      <c r="A18" s="1" t="s">
        <v>240</v>
      </c>
      <c r="B18" s="34" t="s">
        <v>1028</v>
      </c>
      <c r="C18" s="24"/>
      <c r="D18" s="399">
        <v>1500</v>
      </c>
      <c r="G18" s="107">
        <f>SUM(G2:G16)</f>
        <v>880</v>
      </c>
      <c r="H18" s="107">
        <f>SUM(H2:H15)</f>
        <v>53.69</v>
      </c>
      <c r="I18" s="107">
        <f>SUM(I2:I17)</f>
        <v>76.52000000000001</v>
      </c>
    </row>
    <row r="19" spans="1:12" ht="13.5" customHeight="1" x14ac:dyDescent="0.2">
      <c r="A19" s="1" t="s">
        <v>240</v>
      </c>
      <c r="B19" s="21" t="s">
        <v>1044</v>
      </c>
      <c r="C19" s="24"/>
      <c r="D19" s="399">
        <v>1975.42</v>
      </c>
    </row>
    <row r="20" spans="1:12" ht="13.5" customHeight="1" x14ac:dyDescent="0.2">
      <c r="A20" s="1" t="s">
        <v>240</v>
      </c>
      <c r="B20" s="34" t="s">
        <v>1082</v>
      </c>
      <c r="C20" s="24"/>
      <c r="D20" s="399">
        <v>3500</v>
      </c>
    </row>
    <row r="21" spans="1:12" ht="13.5" customHeight="1" x14ac:dyDescent="0.2">
      <c r="A21" s="1" t="s">
        <v>240</v>
      </c>
      <c r="B21" s="34" t="s">
        <v>1122</v>
      </c>
      <c r="C21" s="24"/>
      <c r="D21" s="399">
        <v>2050</v>
      </c>
    </row>
    <row r="22" spans="1:12" ht="13.5" customHeight="1" x14ac:dyDescent="0.2">
      <c r="A22" s="1" t="s">
        <v>240</v>
      </c>
      <c r="B22" s="34" t="s">
        <v>1043</v>
      </c>
      <c r="C22" s="24"/>
      <c r="D22" s="399">
        <v>5000</v>
      </c>
    </row>
    <row r="23" spans="1:12" ht="13.5" customHeight="1" x14ac:dyDescent="0.2">
      <c r="A23" s="1" t="s">
        <v>240</v>
      </c>
      <c r="B23" s="34" t="s">
        <v>1161</v>
      </c>
      <c r="C23" s="24"/>
      <c r="D23" s="399">
        <v>1360</v>
      </c>
    </row>
    <row r="24" spans="1:12" ht="13.5" customHeight="1" x14ac:dyDescent="0.2">
      <c r="A24" s="1" t="s">
        <v>240</v>
      </c>
      <c r="B24" s="34" t="s">
        <v>1080</v>
      </c>
      <c r="C24" s="24"/>
      <c r="D24" s="400">
        <v>185</v>
      </c>
    </row>
    <row r="25" spans="1:12" ht="13.5" customHeight="1" x14ac:dyDescent="0.2">
      <c r="A25" s="1" t="s">
        <v>240</v>
      </c>
      <c r="B25" s="34" t="s">
        <v>1053</v>
      </c>
      <c r="C25" s="24"/>
      <c r="D25" s="400">
        <v>190</v>
      </c>
    </row>
    <row r="26" spans="1:12" ht="13.5" customHeight="1" x14ac:dyDescent="0.2">
      <c r="A26" s="1" t="s">
        <v>240</v>
      </c>
      <c r="B26" s="34" t="s">
        <v>1083</v>
      </c>
      <c r="C26" s="24"/>
      <c r="D26" s="400">
        <v>185</v>
      </c>
    </row>
    <row r="27" spans="1:12" ht="13.5" customHeight="1" x14ac:dyDescent="0.2">
      <c r="A27" s="1" t="s">
        <v>240</v>
      </c>
      <c r="B27" s="21" t="s">
        <v>1045</v>
      </c>
      <c r="C27" s="24"/>
      <c r="D27" s="400">
        <v>190</v>
      </c>
    </row>
    <row r="28" spans="1:12" ht="13.5" customHeight="1" x14ac:dyDescent="0.2">
      <c r="A28" s="1" t="s">
        <v>240</v>
      </c>
      <c r="B28" s="34" t="s">
        <v>1047</v>
      </c>
      <c r="C28" s="24"/>
      <c r="D28" s="400">
        <v>190</v>
      </c>
    </row>
    <row r="29" spans="1:12" ht="13.5" customHeight="1" x14ac:dyDescent="0.2">
      <c r="A29" s="1" t="s">
        <v>240</v>
      </c>
      <c r="B29" s="21" t="s">
        <v>1046</v>
      </c>
      <c r="C29" s="24"/>
      <c r="D29" s="400">
        <v>190</v>
      </c>
    </row>
    <row r="30" spans="1:12" ht="13.5" customHeight="1" x14ac:dyDescent="0.2">
      <c r="A30" s="1" t="s">
        <v>240</v>
      </c>
      <c r="B30" s="34" t="s">
        <v>1027</v>
      </c>
      <c r="C30" s="24"/>
      <c r="D30" s="400">
        <v>220</v>
      </c>
    </row>
    <row r="31" spans="1:12" ht="13.5" customHeight="1" x14ac:dyDescent="0.2">
      <c r="A31" s="1" t="s">
        <v>240</v>
      </c>
      <c r="B31" s="34" t="s">
        <v>1078</v>
      </c>
      <c r="C31" s="24"/>
      <c r="D31" s="400">
        <v>60</v>
      </c>
    </row>
    <row r="32" spans="1:12" ht="13.5" customHeight="1" x14ac:dyDescent="0.2">
      <c r="A32" s="1" t="s">
        <v>240</v>
      </c>
      <c r="B32" s="34" t="s">
        <v>1077</v>
      </c>
      <c r="C32" s="24"/>
      <c r="D32" s="400">
        <v>80</v>
      </c>
    </row>
    <row r="33" spans="1:10" ht="13.5" customHeight="1" x14ac:dyDescent="0.2">
      <c r="A33" s="1" t="s">
        <v>240</v>
      </c>
      <c r="B33" s="34" t="s">
        <v>1054</v>
      </c>
      <c r="C33" s="24"/>
      <c r="D33" s="400">
        <v>60</v>
      </c>
      <c r="E33" s="401">
        <f>SUM(D24:D33)</f>
        <v>1550</v>
      </c>
    </row>
    <row r="34" spans="1:10" ht="13.5" customHeight="1" x14ac:dyDescent="0.2">
      <c r="B34" s="34"/>
      <c r="C34" s="24"/>
      <c r="D34" s="406">
        <f>SUM(D2:D33)</f>
        <v>32909.729999999996</v>
      </c>
    </row>
    <row r="35" spans="1:10" ht="13.5" customHeight="1" x14ac:dyDescent="0.2">
      <c r="B35" s="34"/>
      <c r="C35" s="24"/>
      <c r="D35" s="399"/>
    </row>
    <row r="36" spans="1:10" ht="13.5" customHeight="1" x14ac:dyDescent="0.2">
      <c r="A36" s="1" t="s">
        <v>240</v>
      </c>
      <c r="B36" s="34" t="s">
        <v>1211</v>
      </c>
      <c r="C36" s="24"/>
      <c r="D36" s="399">
        <v>900</v>
      </c>
      <c r="F36" s="100">
        <v>900</v>
      </c>
      <c r="G36" s="109"/>
      <c r="H36" s="109"/>
      <c r="I36" s="109"/>
      <c r="J36" s="104">
        <f>F36-G36-H36-I36</f>
        <v>900</v>
      </c>
    </row>
    <row r="37" spans="1:10" ht="13.5" customHeight="1" x14ac:dyDescent="0.2">
      <c r="A37" s="1" t="s">
        <v>240</v>
      </c>
      <c r="B37" s="34" t="s">
        <v>1120</v>
      </c>
      <c r="C37" s="24"/>
      <c r="D37" s="399">
        <v>7500</v>
      </c>
      <c r="F37" s="100">
        <v>7500</v>
      </c>
      <c r="G37" s="109"/>
      <c r="H37" s="109"/>
      <c r="I37" s="109"/>
      <c r="J37" s="104">
        <f>F37-G37-H37-I37</f>
        <v>7500</v>
      </c>
    </row>
    <row r="38" spans="1:10" ht="13.5" customHeight="1" x14ac:dyDescent="0.2">
      <c r="A38" s="1" t="s">
        <v>240</v>
      </c>
      <c r="B38" s="34" t="s">
        <v>1121</v>
      </c>
      <c r="C38" s="24"/>
      <c r="D38" s="399">
        <v>500</v>
      </c>
      <c r="F38" s="100">
        <v>500</v>
      </c>
      <c r="G38" s="109"/>
      <c r="H38" s="109"/>
      <c r="I38" s="109"/>
      <c r="J38" s="104">
        <f>F38-G38-H38-I38</f>
        <v>500</v>
      </c>
    </row>
    <row r="39" spans="1:10" ht="13.5" customHeight="1" x14ac:dyDescent="0.2">
      <c r="A39" t="s">
        <v>240</v>
      </c>
      <c r="B39" s="34" t="s">
        <v>1186</v>
      </c>
      <c r="C39" s="24"/>
      <c r="D39" s="399">
        <v>4731.47</v>
      </c>
      <c r="F39" s="100">
        <v>4731.47</v>
      </c>
      <c r="G39" s="109"/>
      <c r="H39" s="109"/>
      <c r="I39" s="109"/>
      <c r="J39" s="104">
        <f>F39-G39-H39-I39</f>
        <v>4731.47</v>
      </c>
    </row>
    <row r="40" spans="1:10" ht="13.5" customHeight="1" x14ac:dyDescent="0.2">
      <c r="A40"/>
      <c r="B40" s="34"/>
      <c r="C40" s="24"/>
      <c r="D40" s="406">
        <f>SUM(D36:D39)</f>
        <v>13631.470000000001</v>
      </c>
    </row>
    <row r="41" spans="1:10" ht="13.5" customHeight="1" x14ac:dyDescent="0.2">
      <c r="A41"/>
      <c r="B41" s="34"/>
      <c r="C41" s="24"/>
      <c r="D41" s="399"/>
    </row>
    <row r="42" spans="1:10" ht="13.5" customHeight="1" x14ac:dyDescent="0.2">
      <c r="A42" t="s">
        <v>241</v>
      </c>
      <c r="B42" s="34" t="s">
        <v>189</v>
      </c>
      <c r="C42" s="110">
        <v>8000</v>
      </c>
      <c r="D42" s="25"/>
    </row>
    <row r="43" spans="1:10" ht="13.5" customHeight="1" x14ac:dyDescent="0.2">
      <c r="A43" t="s">
        <v>241</v>
      </c>
      <c r="B43" s="34" t="s">
        <v>189</v>
      </c>
      <c r="C43" s="110">
        <v>2445.2600000000002</v>
      </c>
      <c r="D43" s="25"/>
    </row>
    <row r="44" spans="1:10" ht="13.5" customHeight="1" x14ac:dyDescent="0.2">
      <c r="A44" s="1" t="s">
        <v>241</v>
      </c>
      <c r="B44" s="34" t="s">
        <v>174</v>
      </c>
      <c r="C44" s="110">
        <v>-140.27000000000001</v>
      </c>
      <c r="D44" s="25"/>
    </row>
    <row r="45" spans="1:10" ht="13.5" customHeight="1" x14ac:dyDescent="0.2">
      <c r="A45" s="1" t="s">
        <v>241</v>
      </c>
      <c r="B45" s="34" t="s">
        <v>174</v>
      </c>
      <c r="C45" s="24">
        <v>-11.9</v>
      </c>
      <c r="D45" s="25"/>
    </row>
    <row r="46" spans="1:10" ht="13.5" customHeight="1" x14ac:dyDescent="0.2">
      <c r="A46" s="1" t="s">
        <v>241</v>
      </c>
      <c r="B46" s="34" t="s">
        <v>174</v>
      </c>
      <c r="C46" s="24">
        <v>-78</v>
      </c>
      <c r="D46" s="25"/>
    </row>
    <row r="47" spans="1:10" ht="13.5" customHeight="1" x14ac:dyDescent="0.2">
      <c r="A47" s="1" t="s">
        <v>241</v>
      </c>
      <c r="B47" s="34" t="s">
        <v>174</v>
      </c>
      <c r="C47" s="24">
        <v>-118.8</v>
      </c>
      <c r="D47" s="25"/>
    </row>
    <row r="48" spans="1:10" ht="13.5" customHeight="1" x14ac:dyDescent="0.2">
      <c r="A48" s="1" t="s">
        <v>241</v>
      </c>
      <c r="B48" s="34" t="s">
        <v>174</v>
      </c>
      <c r="C48" s="24">
        <v>-180</v>
      </c>
      <c r="D48" s="25"/>
    </row>
    <row r="49" spans="1:4" ht="13.5" customHeight="1" x14ac:dyDescent="0.2">
      <c r="A49" s="1" t="s">
        <v>241</v>
      </c>
      <c r="B49" s="34" t="s">
        <v>174</v>
      </c>
      <c r="C49" s="24">
        <v>-183.09</v>
      </c>
      <c r="D49" s="25"/>
    </row>
    <row r="50" spans="1:4" ht="13.5" customHeight="1" x14ac:dyDescent="0.2">
      <c r="A50" s="1" t="s">
        <v>241</v>
      </c>
      <c r="B50" s="34" t="s">
        <v>174</v>
      </c>
      <c r="C50" s="24">
        <v>-357.82</v>
      </c>
      <c r="D50" s="25"/>
    </row>
    <row r="51" spans="1:4" ht="13.5" customHeight="1" x14ac:dyDescent="0.2">
      <c r="A51" s="1" t="s">
        <v>241</v>
      </c>
      <c r="B51" s="34" t="s">
        <v>174</v>
      </c>
      <c r="C51" s="24">
        <v>-374.15</v>
      </c>
      <c r="D51" s="25"/>
    </row>
    <row r="52" spans="1:4" ht="13.5" customHeight="1" x14ac:dyDescent="0.2">
      <c r="A52" s="1" t="s">
        <v>241</v>
      </c>
      <c r="B52" s="34" t="s">
        <v>174</v>
      </c>
      <c r="C52" s="24">
        <v>-892.75</v>
      </c>
      <c r="D52" s="25"/>
    </row>
    <row r="53" spans="1:4" ht="13.5" customHeight="1" x14ac:dyDescent="0.2">
      <c r="A53" s="1" t="s">
        <v>241</v>
      </c>
      <c r="B53" s="34" t="s">
        <v>174</v>
      </c>
      <c r="C53" s="24">
        <v>-926.75</v>
      </c>
      <c r="D53" s="25"/>
    </row>
    <row r="54" spans="1:4" ht="13.5" customHeight="1" x14ac:dyDescent="0.2">
      <c r="A54" s="1" t="s">
        <v>241</v>
      </c>
      <c r="B54" s="34" t="s">
        <v>174</v>
      </c>
      <c r="C54" s="24">
        <v>-1290.1099999999999</v>
      </c>
      <c r="D54" s="25"/>
    </row>
    <row r="55" spans="1:4" ht="13.5" customHeight="1" x14ac:dyDescent="0.2">
      <c r="A55" s="1" t="s">
        <v>241</v>
      </c>
      <c r="B55" s="34" t="s">
        <v>174</v>
      </c>
      <c r="C55" s="24">
        <v>-3861</v>
      </c>
      <c r="D55" s="25"/>
    </row>
    <row r="56" spans="1:4" ht="13.5" customHeight="1" x14ac:dyDescent="0.2">
      <c r="B56" s="34"/>
      <c r="C56" s="115">
        <f>SUM(C42:C55)</f>
        <v>2030.6200000000017</v>
      </c>
      <c r="D56" s="25"/>
    </row>
    <row r="57" spans="1:4" ht="13.5" customHeight="1" x14ac:dyDescent="0.2">
      <c r="B57" s="34"/>
      <c r="C57" s="24"/>
      <c r="D57" s="25"/>
    </row>
    <row r="58" spans="1:4" ht="13.5" customHeight="1" x14ac:dyDescent="0.2">
      <c r="A58" t="s">
        <v>224</v>
      </c>
      <c r="B58" s="34" t="s">
        <v>1124</v>
      </c>
      <c r="C58" s="24">
        <v>55.58</v>
      </c>
      <c r="D58" s="25"/>
    </row>
    <row r="59" spans="1:4" ht="13.5" customHeight="1" x14ac:dyDescent="0.2">
      <c r="A59" s="1" t="s">
        <v>224</v>
      </c>
      <c r="B59" s="21" t="s">
        <v>10</v>
      </c>
      <c r="C59" s="24">
        <v>0</v>
      </c>
      <c r="D59" s="25"/>
    </row>
    <row r="60" spans="1:4" ht="13.5" customHeight="1" x14ac:dyDescent="0.2">
      <c r="A60" t="s">
        <v>224</v>
      </c>
      <c r="B60" s="34" t="s">
        <v>62</v>
      </c>
      <c r="C60" s="110">
        <v>425.98</v>
      </c>
      <c r="D60" s="25"/>
    </row>
    <row r="61" spans="1:4" ht="13.5" customHeight="1" x14ac:dyDescent="0.2">
      <c r="A61" t="s">
        <v>224</v>
      </c>
      <c r="B61" s="34" t="s">
        <v>68</v>
      </c>
      <c r="C61" s="110">
        <v>129.9</v>
      </c>
      <c r="D61" s="25"/>
    </row>
    <row r="62" spans="1:4" ht="13.5" customHeight="1" x14ac:dyDescent="0.2">
      <c r="A62" t="s">
        <v>224</v>
      </c>
      <c r="B62" s="34" t="s">
        <v>1220</v>
      </c>
      <c r="C62" s="110">
        <v>650</v>
      </c>
      <c r="D62" s="25"/>
    </row>
    <row r="63" spans="1:4" ht="13.5" customHeight="1" x14ac:dyDescent="0.2">
      <c r="A63"/>
      <c r="B63" s="34"/>
      <c r="C63" s="112">
        <f>SUM(C58:C62)</f>
        <v>1261.46</v>
      </c>
      <c r="D63" s="25"/>
    </row>
    <row r="64" spans="1:4" ht="13.5" customHeight="1" x14ac:dyDescent="0.2">
      <c r="A64"/>
      <c r="B64" s="34"/>
      <c r="C64" s="117"/>
      <c r="D64" s="25"/>
    </row>
    <row r="65" spans="1:6" ht="13.5" customHeight="1" x14ac:dyDescent="0.2">
      <c r="A65" t="s">
        <v>224</v>
      </c>
      <c r="B65" s="34" t="s">
        <v>1031</v>
      </c>
      <c r="C65" s="24">
        <v>150</v>
      </c>
      <c r="D65" s="25"/>
    </row>
    <row r="66" spans="1:6" ht="13.5" customHeight="1" x14ac:dyDescent="0.2">
      <c r="A66" s="1" t="s">
        <v>224</v>
      </c>
      <c r="B66" s="36" t="s">
        <v>1094</v>
      </c>
      <c r="C66" s="24">
        <v>150</v>
      </c>
      <c r="D66" s="25"/>
    </row>
    <row r="67" spans="1:6" ht="13.5" customHeight="1" x14ac:dyDescent="0.2">
      <c r="A67" s="1" t="s">
        <v>224</v>
      </c>
      <c r="B67" s="36" t="s">
        <v>1156</v>
      </c>
      <c r="C67" s="24">
        <v>150</v>
      </c>
      <c r="D67" s="25"/>
    </row>
    <row r="68" spans="1:6" ht="13.5" customHeight="1" x14ac:dyDescent="0.2">
      <c r="A68" s="1" t="s">
        <v>224</v>
      </c>
      <c r="B68" s="34" t="s">
        <v>1093</v>
      </c>
      <c r="C68" s="24">
        <v>150</v>
      </c>
      <c r="D68" s="25"/>
    </row>
    <row r="69" spans="1:6" ht="13.5" customHeight="1" x14ac:dyDescent="0.2">
      <c r="A69" s="1" t="s">
        <v>224</v>
      </c>
      <c r="B69" s="34" t="s">
        <v>1030</v>
      </c>
      <c r="C69" s="24">
        <v>150</v>
      </c>
      <c r="D69" s="25"/>
    </row>
    <row r="70" spans="1:6" ht="13.5" customHeight="1" x14ac:dyDescent="0.2">
      <c r="A70" s="1" t="s">
        <v>224</v>
      </c>
      <c r="B70" s="36" t="s">
        <v>1155</v>
      </c>
      <c r="C70" s="103">
        <v>150</v>
      </c>
      <c r="D70" s="60">
        <f>SUM(C65:C71)-D72</f>
        <v>650</v>
      </c>
    </row>
    <row r="71" spans="1:6" ht="13.5" customHeight="1" x14ac:dyDescent="0.2">
      <c r="A71" s="1" t="s">
        <v>224</v>
      </c>
      <c r="B71" s="36" t="s">
        <v>1095</v>
      </c>
      <c r="C71" s="103">
        <v>75</v>
      </c>
      <c r="D71" s="60"/>
    </row>
    <row r="72" spans="1:6" ht="13.5" customHeight="1" x14ac:dyDescent="0.2">
      <c r="B72" s="36"/>
      <c r="C72" s="103">
        <f>SUM(C65:C71)</f>
        <v>975</v>
      </c>
      <c r="D72" s="60">
        <f t="array" ref="D72">SUM(C65:C71/3)</f>
        <v>325</v>
      </c>
    </row>
    <row r="73" spans="1:6" ht="13.5" customHeight="1" x14ac:dyDescent="0.2">
      <c r="B73" s="36"/>
      <c r="C73" s="103"/>
      <c r="D73" s="60"/>
    </row>
    <row r="74" spans="1:6" ht="13.5" customHeight="1" x14ac:dyDescent="0.2">
      <c r="A74" t="s">
        <v>225</v>
      </c>
      <c r="B74" s="36" t="s">
        <v>1184</v>
      </c>
      <c r="C74" s="114">
        <v>720.85</v>
      </c>
      <c r="D74" s="60"/>
    </row>
    <row r="75" spans="1:6" ht="13.5" customHeight="1" x14ac:dyDescent="0.2">
      <c r="A75"/>
      <c r="B75" s="36"/>
      <c r="C75" s="61"/>
      <c r="D75" s="60"/>
    </row>
    <row r="76" spans="1:6" ht="13.5" customHeight="1" x14ac:dyDescent="0.2">
      <c r="A76"/>
      <c r="B76" s="36"/>
      <c r="C76" s="61"/>
      <c r="D76" s="60"/>
    </row>
    <row r="77" spans="1:6" ht="13.5" customHeight="1" x14ac:dyDescent="0.2">
      <c r="A77" s="126" t="s">
        <v>242</v>
      </c>
      <c r="B77" s="36" t="s">
        <v>1149</v>
      </c>
      <c r="C77" s="103">
        <v>-485</v>
      </c>
      <c r="D77" s="60"/>
    </row>
    <row r="78" spans="1:6" ht="13.5" customHeight="1" x14ac:dyDescent="0.2">
      <c r="A78" s="126" t="s">
        <v>242</v>
      </c>
      <c r="B78" s="36" t="s">
        <v>80</v>
      </c>
      <c r="C78" s="61">
        <v>60.84</v>
      </c>
      <c r="D78" s="60"/>
      <c r="F78" s="1" t="s">
        <v>549</v>
      </c>
    </row>
    <row r="79" spans="1:6" ht="13.5" customHeight="1" x14ac:dyDescent="0.2">
      <c r="A79" s="126" t="s">
        <v>242</v>
      </c>
      <c r="B79" s="34" t="s">
        <v>127</v>
      </c>
      <c r="C79" s="110">
        <v>31.3</v>
      </c>
      <c r="D79" s="25"/>
    </row>
    <row r="80" spans="1:6" ht="13.5" customHeight="1" x14ac:dyDescent="0.2">
      <c r="A80" s="126" t="s">
        <v>242</v>
      </c>
      <c r="B80" s="34" t="s">
        <v>128</v>
      </c>
      <c r="C80" s="110">
        <v>34.71</v>
      </c>
      <c r="D80" s="25"/>
    </row>
    <row r="81" spans="1:8" ht="13.5" customHeight="1" x14ac:dyDescent="0.2">
      <c r="A81" s="126" t="s">
        <v>242</v>
      </c>
      <c r="B81" s="36" t="s">
        <v>109</v>
      </c>
      <c r="C81" s="110">
        <v>177.86</v>
      </c>
      <c r="D81" s="25"/>
    </row>
    <row r="82" spans="1:8" ht="13.5" customHeight="1" x14ac:dyDescent="0.2">
      <c r="A82" s="126" t="s">
        <v>242</v>
      </c>
      <c r="B82" s="34" t="s">
        <v>129</v>
      </c>
      <c r="C82" s="110">
        <v>52.17</v>
      </c>
      <c r="D82" s="25"/>
    </row>
    <row r="83" spans="1:8" ht="13.5" customHeight="1" x14ac:dyDescent="0.2">
      <c r="A83" s="126" t="s">
        <v>242</v>
      </c>
      <c r="B83" s="34" t="s">
        <v>131</v>
      </c>
      <c r="C83" s="110">
        <v>124.6</v>
      </c>
      <c r="D83" s="25"/>
    </row>
    <row r="84" spans="1:8" ht="13.5" customHeight="1" x14ac:dyDescent="0.2">
      <c r="A84" s="126" t="s">
        <v>242</v>
      </c>
      <c r="B84" s="34" t="s">
        <v>1227</v>
      </c>
      <c r="C84" s="110">
        <v>-30.41</v>
      </c>
      <c r="D84" s="25"/>
    </row>
    <row r="85" spans="1:8" ht="13.5" customHeight="1" x14ac:dyDescent="0.2">
      <c r="A85" s="126" t="s">
        <v>242</v>
      </c>
      <c r="B85" s="34" t="s">
        <v>1227</v>
      </c>
      <c r="C85" s="110">
        <v>-23.28</v>
      </c>
      <c r="D85" s="25"/>
    </row>
    <row r="86" spans="1:8" ht="13.5" customHeight="1" x14ac:dyDescent="0.2">
      <c r="A86" s="126" t="s">
        <v>242</v>
      </c>
      <c r="B86" s="34" t="s">
        <v>898</v>
      </c>
      <c r="C86" s="110">
        <v>35.479999999999997</v>
      </c>
      <c r="D86" s="25"/>
    </row>
    <row r="87" spans="1:8" ht="13.5" customHeight="1" x14ac:dyDescent="0.2">
      <c r="A87" s="126" t="s">
        <v>242</v>
      </c>
      <c r="B87" s="34" t="s">
        <v>558</v>
      </c>
      <c r="C87" s="110">
        <v>60.65</v>
      </c>
      <c r="D87" s="25"/>
    </row>
    <row r="88" spans="1:8" ht="13.5" customHeight="1" x14ac:dyDescent="0.2">
      <c r="A88" s="126" t="s">
        <v>242</v>
      </c>
      <c r="B88" s="34" t="s">
        <v>1084</v>
      </c>
      <c r="C88" s="24">
        <v>3.35</v>
      </c>
      <c r="D88" s="25"/>
    </row>
    <row r="89" spans="1:8" ht="13.5" customHeight="1" x14ac:dyDescent="0.2">
      <c r="A89" s="126" t="s">
        <v>242</v>
      </c>
      <c r="B89" s="34" t="s">
        <v>1079</v>
      </c>
      <c r="C89" s="24">
        <v>31.27</v>
      </c>
      <c r="D89" s="25"/>
    </row>
    <row r="90" spans="1:8" ht="13.5" customHeight="1" x14ac:dyDescent="0.2">
      <c r="A90" s="126" t="s">
        <v>242</v>
      </c>
      <c r="B90" s="34" t="s">
        <v>1065</v>
      </c>
      <c r="C90" s="24">
        <v>2</v>
      </c>
      <c r="D90" s="25"/>
    </row>
    <row r="91" spans="1:8" ht="13.5" customHeight="1" x14ac:dyDescent="0.2">
      <c r="A91" s="126" t="s">
        <v>242</v>
      </c>
      <c r="B91" s="34" t="s">
        <v>1065</v>
      </c>
      <c r="C91" s="24">
        <v>2</v>
      </c>
      <c r="D91" s="25"/>
    </row>
    <row r="92" spans="1:8" ht="13.5" customHeight="1" x14ac:dyDescent="0.2">
      <c r="A92" s="126" t="s">
        <v>242</v>
      </c>
      <c r="B92" s="34" t="s">
        <v>1065</v>
      </c>
      <c r="C92" s="24">
        <v>2</v>
      </c>
      <c r="D92" s="25"/>
    </row>
    <row r="93" spans="1:8" ht="13.5" customHeight="1" x14ac:dyDescent="0.2">
      <c r="A93" s="126" t="s">
        <v>242</v>
      </c>
      <c r="B93" s="34" t="s">
        <v>1059</v>
      </c>
      <c r="C93" s="24">
        <v>2</v>
      </c>
      <c r="D93" s="25"/>
    </row>
    <row r="94" spans="1:8" ht="13.5" customHeight="1" x14ac:dyDescent="0.2">
      <c r="A94" s="126" t="s">
        <v>242</v>
      </c>
      <c r="B94" s="34" t="s">
        <v>1059</v>
      </c>
      <c r="C94" s="24">
        <v>2</v>
      </c>
      <c r="D94" s="25"/>
    </row>
    <row r="95" spans="1:8" ht="13.5" customHeight="1" x14ac:dyDescent="0.2">
      <c r="A95" s="126" t="s">
        <v>242</v>
      </c>
      <c r="B95" s="34" t="s">
        <v>1091</v>
      </c>
      <c r="C95" s="24">
        <v>-22.9</v>
      </c>
      <c r="D95" s="25"/>
    </row>
    <row r="96" spans="1:8" ht="13.5" customHeight="1" x14ac:dyDescent="0.2">
      <c r="A96" s="126" t="s">
        <v>242</v>
      </c>
      <c r="B96" s="34" t="s">
        <v>1092</v>
      </c>
      <c r="C96" s="24">
        <v>-650</v>
      </c>
      <c r="D96" s="25"/>
      <c r="F96" s="126" t="s">
        <v>242</v>
      </c>
      <c r="G96" s="34" t="s">
        <v>1131</v>
      </c>
      <c r="H96" s="24">
        <v>0.5</v>
      </c>
    </row>
    <row r="97" spans="1:8" ht="13.5" customHeight="1" x14ac:dyDescent="0.2">
      <c r="A97" s="126" t="s">
        <v>242</v>
      </c>
      <c r="B97" s="34" t="s">
        <v>1213</v>
      </c>
      <c r="C97" s="110">
        <v>4</v>
      </c>
      <c r="D97" s="25"/>
      <c r="F97" s="126" t="s">
        <v>242</v>
      </c>
      <c r="G97" s="34" t="s">
        <v>1162</v>
      </c>
      <c r="H97" s="24">
        <v>1</v>
      </c>
    </row>
    <row r="98" spans="1:8" ht="13.5" customHeight="1" x14ac:dyDescent="0.2">
      <c r="A98" s="126" t="s">
        <v>242</v>
      </c>
      <c r="B98" s="34" t="s">
        <v>1225</v>
      </c>
      <c r="C98" s="110">
        <f t="array" ref="C98">SUM(H96:H97/2)</f>
        <v>0.75</v>
      </c>
      <c r="D98" s="25"/>
      <c r="F98" s="126"/>
      <c r="G98" s="395"/>
      <c r="H98" s="397"/>
    </row>
    <row r="99" spans="1:8" ht="13.5" customHeight="1" x14ac:dyDescent="0.2">
      <c r="A99" s="126"/>
      <c r="B99" s="34"/>
      <c r="C99" s="112">
        <f>SUM(C77:C98)</f>
        <v>-584.6099999999999</v>
      </c>
      <c r="D99" s="25"/>
      <c r="F99" s="126"/>
      <c r="G99" s="395"/>
      <c r="H99" s="397"/>
    </row>
    <row r="100" spans="1:8" ht="13.5" customHeight="1" x14ac:dyDescent="0.2">
      <c r="A100" s="126"/>
      <c r="B100" s="34"/>
      <c r="C100" s="110"/>
      <c r="D100" s="25"/>
      <c r="F100" s="126"/>
      <c r="G100" s="395"/>
      <c r="H100" s="397"/>
    </row>
    <row r="101" spans="1:8" ht="13.5" customHeight="1" x14ac:dyDescent="0.2">
      <c r="A101" s="126" t="s">
        <v>242</v>
      </c>
      <c r="B101" s="138" t="s">
        <v>199</v>
      </c>
      <c r="C101" s="110">
        <v>168.01</v>
      </c>
      <c r="D101" s="25"/>
    </row>
    <row r="102" spans="1:8" ht="13.5" customHeight="1" x14ac:dyDescent="0.2">
      <c r="A102" s="126" t="s">
        <v>242</v>
      </c>
      <c r="B102" s="34" t="s">
        <v>1178</v>
      </c>
      <c r="C102" s="110">
        <v>3681</v>
      </c>
      <c r="D102" s="25"/>
    </row>
    <row r="103" spans="1:8" ht="13.5" customHeight="1" x14ac:dyDescent="0.2">
      <c r="A103" s="126" t="s">
        <v>242</v>
      </c>
      <c r="B103" s="34" t="s">
        <v>180</v>
      </c>
      <c r="C103" s="110">
        <v>183.09</v>
      </c>
      <c r="D103" s="25"/>
    </row>
    <row r="104" spans="1:8" ht="13.5" customHeight="1" x14ac:dyDescent="0.2">
      <c r="A104" s="126" t="s">
        <v>242</v>
      </c>
      <c r="B104" s="34" t="s">
        <v>1179</v>
      </c>
      <c r="C104" s="110">
        <v>180</v>
      </c>
      <c r="D104" s="25"/>
    </row>
    <row r="105" spans="1:8" ht="13.5" customHeight="1" x14ac:dyDescent="0.2">
      <c r="A105" s="126" t="s">
        <v>242</v>
      </c>
      <c r="B105" s="34" t="s">
        <v>1157</v>
      </c>
      <c r="C105" s="24">
        <v>189.9</v>
      </c>
      <c r="D105" s="25"/>
    </row>
    <row r="106" spans="1:8" ht="13.5" customHeight="1" x14ac:dyDescent="0.2">
      <c r="A106" s="126" t="s">
        <v>242</v>
      </c>
      <c r="B106" s="45" t="s">
        <v>1223</v>
      </c>
      <c r="C106" s="110">
        <v>53.7</v>
      </c>
      <c r="D106" s="25"/>
    </row>
    <row r="107" spans="1:8" ht="13.5" customHeight="1" x14ac:dyDescent="0.2">
      <c r="A107" s="126" t="s">
        <v>242</v>
      </c>
      <c r="B107" s="45" t="s">
        <v>1224</v>
      </c>
      <c r="C107" s="110">
        <v>163</v>
      </c>
      <c r="D107" s="25"/>
    </row>
    <row r="108" spans="1:8" ht="13.5" customHeight="1" x14ac:dyDescent="0.2">
      <c r="A108" s="126" t="s">
        <v>242</v>
      </c>
      <c r="B108" s="34" t="s">
        <v>1226</v>
      </c>
      <c r="C108" s="110">
        <v>0.75</v>
      </c>
      <c r="D108" s="25"/>
    </row>
    <row r="109" spans="1:8" ht="13.5" customHeight="1" x14ac:dyDescent="0.2">
      <c r="A109" s="126"/>
      <c r="B109" s="34"/>
      <c r="C109" s="112">
        <f>SUM(C101:C108)</f>
        <v>4619.45</v>
      </c>
      <c r="D109" s="25"/>
    </row>
    <row r="110" spans="1:8" ht="13.5" customHeight="1" x14ac:dyDescent="0.2">
      <c r="A110" s="126"/>
      <c r="B110" s="34"/>
      <c r="C110" s="110"/>
      <c r="D110" s="25"/>
    </row>
    <row r="111" spans="1:8" ht="13.5" customHeight="1" x14ac:dyDescent="0.2">
      <c r="A111" t="s">
        <v>243</v>
      </c>
      <c r="B111" s="34" t="s">
        <v>1114</v>
      </c>
      <c r="C111" s="24">
        <v>30.2</v>
      </c>
      <c r="D111" s="25"/>
    </row>
    <row r="112" spans="1:8" ht="13.5" customHeight="1" x14ac:dyDescent="0.2">
      <c r="A112" t="s">
        <v>243</v>
      </c>
      <c r="B112" s="34" t="s">
        <v>1058</v>
      </c>
      <c r="C112" s="24">
        <v>7.8</v>
      </c>
      <c r="D112" s="25"/>
    </row>
    <row r="113" spans="1:5" ht="13.5" customHeight="1" x14ac:dyDescent="0.2">
      <c r="A113" t="s">
        <v>243</v>
      </c>
      <c r="B113" s="34" t="s">
        <v>1151</v>
      </c>
      <c r="C113" s="24">
        <v>16.73</v>
      </c>
      <c r="D113" s="25"/>
    </row>
    <row r="114" spans="1:5" ht="13.5" customHeight="1" x14ac:dyDescent="0.2">
      <c r="A114" t="s">
        <v>243</v>
      </c>
      <c r="B114" s="34" t="s">
        <v>1056</v>
      </c>
      <c r="C114" s="24">
        <v>11.66</v>
      </c>
      <c r="D114" s="25"/>
    </row>
    <row r="115" spans="1:5" ht="13.5" customHeight="1" x14ac:dyDescent="0.2">
      <c r="A115" t="s">
        <v>243</v>
      </c>
      <c r="B115" s="34" t="s">
        <v>1115</v>
      </c>
      <c r="C115" s="24">
        <v>11.8</v>
      </c>
      <c r="D115" s="25"/>
    </row>
    <row r="116" spans="1:5" ht="13.5" customHeight="1" x14ac:dyDescent="0.2">
      <c r="A116" t="s">
        <v>243</v>
      </c>
      <c r="B116" s="34" t="s">
        <v>1115</v>
      </c>
      <c r="C116" s="24">
        <v>16.36</v>
      </c>
      <c r="D116" s="25"/>
    </row>
    <row r="117" spans="1:5" ht="13.5" customHeight="1" x14ac:dyDescent="0.2">
      <c r="A117" t="s">
        <v>243</v>
      </c>
      <c r="B117" s="34" t="s">
        <v>1152</v>
      </c>
      <c r="C117" s="24">
        <v>14.9</v>
      </c>
      <c r="D117" s="25"/>
    </row>
    <row r="118" spans="1:5" ht="13.5" customHeight="1" x14ac:dyDescent="0.2">
      <c r="A118" t="s">
        <v>243</v>
      </c>
      <c r="B118" s="34" t="s">
        <v>1036</v>
      </c>
      <c r="C118" s="24">
        <v>18.48</v>
      </c>
      <c r="D118" s="25"/>
    </row>
    <row r="119" spans="1:5" ht="13.5" customHeight="1" x14ac:dyDescent="0.2">
      <c r="A119" t="s">
        <v>243</v>
      </c>
      <c r="B119" s="34" t="s">
        <v>1029</v>
      </c>
      <c r="C119" s="110">
        <v>218.66</v>
      </c>
      <c r="D119" s="25"/>
    </row>
    <row r="120" spans="1:5" ht="13.5" customHeight="1" x14ac:dyDescent="0.2">
      <c r="A120" t="s">
        <v>243</v>
      </c>
      <c r="B120" s="34" t="s">
        <v>1037</v>
      </c>
      <c r="C120" s="24">
        <v>900</v>
      </c>
      <c r="D120" s="25"/>
    </row>
    <row r="121" spans="1:5" ht="13.5" customHeight="1" x14ac:dyDescent="0.2">
      <c r="A121" t="s">
        <v>243</v>
      </c>
      <c r="B121" s="34" t="s">
        <v>1222</v>
      </c>
      <c r="C121" s="24">
        <v>900</v>
      </c>
      <c r="D121" s="25"/>
    </row>
    <row r="122" spans="1:5" ht="13.5" customHeight="1" x14ac:dyDescent="0.2">
      <c r="A122" t="s">
        <v>243</v>
      </c>
      <c r="B122" s="34" t="s">
        <v>1221</v>
      </c>
      <c r="C122" s="24">
        <v>325</v>
      </c>
      <c r="D122" s="25"/>
    </row>
    <row r="123" spans="1:5" ht="13.5" customHeight="1" x14ac:dyDescent="0.2">
      <c r="A123"/>
      <c r="B123" s="34"/>
      <c r="C123" s="115">
        <f>SUM(C111:C122)</f>
        <v>2471.59</v>
      </c>
      <c r="D123" s="25">
        <f>C123/2</f>
        <v>1235.7950000000001</v>
      </c>
    </row>
    <row r="124" spans="1:5" ht="13.5" customHeight="1" x14ac:dyDescent="0.2">
      <c r="A124"/>
      <c r="B124" s="34"/>
      <c r="C124" s="267"/>
      <c r="D124" s="25"/>
    </row>
    <row r="125" spans="1:5" ht="13.5" customHeight="1" x14ac:dyDescent="0.2">
      <c r="A125" s="1" t="s">
        <v>230</v>
      </c>
      <c r="B125" s="34" t="s">
        <v>177</v>
      </c>
      <c r="C125" s="135">
        <v>162.27000000000001</v>
      </c>
      <c r="D125" s="25">
        <f>C125/2</f>
        <v>81.135000000000005</v>
      </c>
    </row>
    <row r="126" spans="1:5" ht="13.5" customHeight="1" x14ac:dyDescent="0.2">
      <c r="B126" s="34"/>
      <c r="C126" s="110"/>
      <c r="D126" s="25"/>
    </row>
    <row r="127" spans="1:5" ht="13.5" customHeight="1" x14ac:dyDescent="0.2">
      <c r="B127" s="34"/>
      <c r="C127" s="110"/>
      <c r="D127" s="25"/>
    </row>
    <row r="128" spans="1:5" ht="13.5" customHeight="1" x14ac:dyDescent="0.2">
      <c r="A128" t="s">
        <v>231</v>
      </c>
      <c r="B128" s="34" t="s">
        <v>394</v>
      </c>
      <c r="C128" s="135">
        <v>926.75</v>
      </c>
      <c r="D128" s="25">
        <f>C128/2</f>
        <v>463.375</v>
      </c>
      <c r="E128" s="40">
        <v>3</v>
      </c>
    </row>
    <row r="129" spans="1:10" ht="13.5" customHeight="1" x14ac:dyDescent="0.2">
      <c r="A129"/>
      <c r="B129" s="34"/>
      <c r="C129" s="113"/>
      <c r="D129" s="25"/>
    </row>
    <row r="130" spans="1:10" ht="13.5" customHeight="1" x14ac:dyDescent="0.2">
      <c r="A130"/>
      <c r="B130" s="34"/>
      <c r="C130" s="110"/>
      <c r="D130" s="25"/>
    </row>
    <row r="131" spans="1:10" ht="13.5" customHeight="1" x14ac:dyDescent="0.2">
      <c r="A131" s="1" t="s">
        <v>232</v>
      </c>
      <c r="B131" s="34" t="s">
        <v>1187</v>
      </c>
      <c r="C131" s="110">
        <v>405.68</v>
      </c>
      <c r="D131" s="25"/>
    </row>
    <row r="132" spans="1:10" ht="13.5" customHeight="1" x14ac:dyDescent="0.2">
      <c r="A132" t="s">
        <v>232</v>
      </c>
      <c r="B132" s="34" t="s">
        <v>624</v>
      </c>
      <c r="C132" s="110">
        <f t="array" ref="C132">SUM(H135:H137/2)</f>
        <v>575.05500000000006</v>
      </c>
      <c r="D132" s="25"/>
    </row>
    <row r="133" spans="1:10" ht="13.5" customHeight="1" x14ac:dyDescent="0.2">
      <c r="B133" s="34"/>
      <c r="C133" s="112">
        <f>SUM(C131:C132)</f>
        <v>980.73500000000013</v>
      </c>
      <c r="D133" s="25"/>
    </row>
    <row r="134" spans="1:10" ht="13.5" customHeight="1" x14ac:dyDescent="0.2">
      <c r="B134" s="34"/>
      <c r="C134" s="110"/>
      <c r="D134" s="25"/>
    </row>
    <row r="135" spans="1:10" ht="13.5" customHeight="1" x14ac:dyDescent="0.2">
      <c r="A135" s="1" t="s">
        <v>232</v>
      </c>
      <c r="B135" s="34" t="s">
        <v>1189</v>
      </c>
      <c r="C135" s="110">
        <v>405.68</v>
      </c>
      <c r="D135" s="25"/>
      <c r="F135" s="1" t="s">
        <v>232</v>
      </c>
      <c r="G135" s="34" t="s">
        <v>1209</v>
      </c>
      <c r="H135" s="110">
        <v>10</v>
      </c>
    </row>
    <row r="136" spans="1:10" ht="13.5" customHeight="1" x14ac:dyDescent="0.2">
      <c r="A136" s="1" t="s">
        <v>232</v>
      </c>
      <c r="B136" s="34" t="s">
        <v>1113</v>
      </c>
      <c r="C136" s="24">
        <v>37.200000000000003</v>
      </c>
      <c r="D136" s="25"/>
      <c r="F136" s="1" t="s">
        <v>232</v>
      </c>
      <c r="G136" s="34" t="s">
        <v>171</v>
      </c>
      <c r="H136" s="110">
        <v>554.20000000000005</v>
      </c>
    </row>
    <row r="137" spans="1:10" ht="13.5" customHeight="1" x14ac:dyDescent="0.2">
      <c r="A137" s="1" t="s">
        <v>232</v>
      </c>
      <c r="B137" s="21" t="s">
        <v>1057</v>
      </c>
      <c r="C137" s="24">
        <v>19.2</v>
      </c>
      <c r="D137" s="25"/>
      <c r="E137" s="40" t="s">
        <v>1218</v>
      </c>
      <c r="F137" s="1" t="s">
        <v>232</v>
      </c>
      <c r="G137" s="34" t="s">
        <v>172</v>
      </c>
      <c r="H137" s="110">
        <v>585.91</v>
      </c>
    </row>
    <row r="138" spans="1:10" ht="13.5" customHeight="1" x14ac:dyDescent="0.2">
      <c r="A138" s="1" t="s">
        <v>232</v>
      </c>
      <c r="B138" s="34" t="s">
        <v>1055</v>
      </c>
      <c r="C138" s="24">
        <v>29.92</v>
      </c>
      <c r="D138" s="25"/>
    </row>
    <row r="139" spans="1:10" ht="13.5" customHeight="1" x14ac:dyDescent="0.2">
      <c r="A139" s="1" t="s">
        <v>232</v>
      </c>
      <c r="B139" s="34" t="s">
        <v>339</v>
      </c>
      <c r="C139" s="24">
        <v>8.98</v>
      </c>
      <c r="D139" s="25"/>
    </row>
    <row r="140" spans="1:10" ht="13.5" customHeight="1" x14ac:dyDescent="0.2">
      <c r="A140" s="1" t="s">
        <v>232</v>
      </c>
      <c r="B140" s="34" t="s">
        <v>546</v>
      </c>
      <c r="C140" s="24">
        <v>100</v>
      </c>
      <c r="D140" s="25"/>
    </row>
    <row r="141" spans="1:10" ht="13.5" customHeight="1" x14ac:dyDescent="0.2">
      <c r="A141" s="1" t="s">
        <v>232</v>
      </c>
      <c r="B141" s="34" t="s">
        <v>546</v>
      </c>
      <c r="C141" s="267">
        <v>100</v>
      </c>
      <c r="D141" s="25"/>
    </row>
    <row r="142" spans="1:10" ht="13.5" customHeight="1" x14ac:dyDescent="0.2">
      <c r="A142" s="1" t="s">
        <v>232</v>
      </c>
      <c r="B142" s="34" t="s">
        <v>36</v>
      </c>
      <c r="C142" s="24">
        <v>350</v>
      </c>
      <c r="D142" s="25"/>
      <c r="F142"/>
      <c r="G142"/>
      <c r="H142"/>
      <c r="I142"/>
      <c r="J142"/>
    </row>
    <row r="143" spans="1:10" ht="13.5" customHeight="1" x14ac:dyDescent="0.2">
      <c r="A143" s="1" t="s">
        <v>232</v>
      </c>
      <c r="B143" s="34" t="s">
        <v>36</v>
      </c>
      <c r="C143" s="24">
        <v>350</v>
      </c>
      <c r="D143" s="25"/>
    </row>
    <row r="144" spans="1:10" ht="13.5" customHeight="1" x14ac:dyDescent="0.2">
      <c r="A144" s="1" t="s">
        <v>232</v>
      </c>
      <c r="B144" s="34" t="s">
        <v>36</v>
      </c>
      <c r="C144" s="24">
        <v>350</v>
      </c>
      <c r="D144" s="25"/>
    </row>
    <row r="145" spans="1:4" ht="13.5" customHeight="1" x14ac:dyDescent="0.2">
      <c r="A145" s="1" t="s">
        <v>232</v>
      </c>
      <c r="B145" s="34" t="s">
        <v>36</v>
      </c>
      <c r="C145" s="24">
        <v>350</v>
      </c>
      <c r="D145" s="25"/>
    </row>
    <row r="146" spans="1:4" ht="13.5" customHeight="1" x14ac:dyDescent="0.2">
      <c r="A146" s="1" t="s">
        <v>232</v>
      </c>
      <c r="B146" s="34" t="s">
        <v>1136</v>
      </c>
      <c r="C146" s="24">
        <v>350</v>
      </c>
      <c r="D146" s="25"/>
    </row>
    <row r="147" spans="1:4" ht="13.5" customHeight="1" x14ac:dyDescent="0.2">
      <c r="A147" s="1" t="s">
        <v>232</v>
      </c>
      <c r="B147" s="34" t="s">
        <v>862</v>
      </c>
      <c r="C147" s="24">
        <v>50</v>
      </c>
      <c r="D147" s="25"/>
    </row>
    <row r="148" spans="1:4" ht="13.5" customHeight="1" x14ac:dyDescent="0.2">
      <c r="A148" s="1" t="s">
        <v>232</v>
      </c>
      <c r="B148" s="34" t="s">
        <v>170</v>
      </c>
      <c r="C148" s="110">
        <v>150</v>
      </c>
      <c r="D148" s="25"/>
    </row>
    <row r="149" spans="1:4" ht="13.5" customHeight="1" x14ac:dyDescent="0.2">
      <c r="A149" t="s">
        <v>232</v>
      </c>
      <c r="B149" s="34" t="s">
        <v>1226</v>
      </c>
      <c r="C149" s="110">
        <v>575.05999999999995</v>
      </c>
      <c r="D149" s="25"/>
    </row>
    <row r="150" spans="1:4" ht="13.5" customHeight="1" x14ac:dyDescent="0.2">
      <c r="B150" s="34"/>
      <c r="C150" s="112">
        <f>SUM(C135:C149)</f>
        <v>3226.04</v>
      </c>
      <c r="D150" s="25"/>
    </row>
    <row r="151" spans="1:4" ht="13.5" customHeight="1" x14ac:dyDescent="0.2">
      <c r="B151" s="34"/>
      <c r="C151" s="110"/>
      <c r="D151" s="25"/>
    </row>
    <row r="152" spans="1:4" ht="13.5" customHeight="1" x14ac:dyDescent="0.2">
      <c r="A152" s="126" t="s">
        <v>245</v>
      </c>
      <c r="B152" s="34" t="s">
        <v>1143</v>
      </c>
      <c r="C152" s="24">
        <v>25</v>
      </c>
      <c r="D152" s="25"/>
    </row>
    <row r="153" spans="1:4" ht="13.5" customHeight="1" x14ac:dyDescent="0.2">
      <c r="A153" s="126" t="s">
        <v>245</v>
      </c>
      <c r="B153" s="34" t="s">
        <v>1141</v>
      </c>
      <c r="C153" s="24">
        <v>6.2</v>
      </c>
      <c r="D153" s="25"/>
    </row>
    <row r="154" spans="1:4" ht="13.5" customHeight="1" x14ac:dyDescent="0.2">
      <c r="A154" s="126" t="s">
        <v>245</v>
      </c>
      <c r="B154" s="34" t="s">
        <v>1144</v>
      </c>
      <c r="C154" s="24">
        <v>300</v>
      </c>
      <c r="D154" s="25"/>
    </row>
    <row r="155" spans="1:4" ht="13.5" customHeight="1" x14ac:dyDescent="0.2">
      <c r="A155" s="126" t="s">
        <v>245</v>
      </c>
      <c r="B155" s="34" t="s">
        <v>1147</v>
      </c>
      <c r="C155" s="24">
        <v>9</v>
      </c>
      <c r="D155" s="25"/>
    </row>
    <row r="156" spans="1:4" ht="13.5" customHeight="1" x14ac:dyDescent="0.2">
      <c r="A156" s="126" t="s">
        <v>245</v>
      </c>
      <c r="B156" s="34" t="s">
        <v>1128</v>
      </c>
      <c r="C156" s="24">
        <v>10.8</v>
      </c>
      <c r="D156" s="25"/>
    </row>
    <row r="157" spans="1:4" ht="13.5" customHeight="1" x14ac:dyDescent="0.2">
      <c r="A157" s="126" t="s">
        <v>245</v>
      </c>
      <c r="B157" s="34" t="s">
        <v>1128</v>
      </c>
      <c r="C157" s="24">
        <v>33.76</v>
      </c>
      <c r="D157" s="25"/>
    </row>
    <row r="158" spans="1:4" ht="13.5" customHeight="1" x14ac:dyDescent="0.2">
      <c r="A158" s="126" t="s">
        <v>245</v>
      </c>
      <c r="B158" s="34" t="s">
        <v>1142</v>
      </c>
      <c r="C158" s="24">
        <v>7.4</v>
      </c>
      <c r="D158" s="25"/>
    </row>
    <row r="159" spans="1:4" ht="13.5" customHeight="1" x14ac:dyDescent="0.2">
      <c r="A159" s="126" t="s">
        <v>245</v>
      </c>
      <c r="B159" s="34" t="s">
        <v>1126</v>
      </c>
      <c r="C159" s="24">
        <v>6.8</v>
      </c>
      <c r="D159" s="25"/>
    </row>
    <row r="160" spans="1:4" ht="13.5" customHeight="1" x14ac:dyDescent="0.2">
      <c r="A160" s="126" t="s">
        <v>245</v>
      </c>
      <c r="B160" s="34" t="s">
        <v>1127</v>
      </c>
      <c r="C160" s="24">
        <v>25.8</v>
      </c>
      <c r="D160" s="25"/>
    </row>
    <row r="161" spans="1:8" ht="13.5" customHeight="1" x14ac:dyDescent="0.2">
      <c r="A161" s="126" t="s">
        <v>245</v>
      </c>
      <c r="B161" s="34" t="s">
        <v>1210</v>
      </c>
      <c r="C161" s="110">
        <v>15.98</v>
      </c>
      <c r="D161" s="25"/>
    </row>
    <row r="162" spans="1:8" ht="13.5" customHeight="1" x14ac:dyDescent="0.2">
      <c r="A162" s="126" t="s">
        <v>245</v>
      </c>
      <c r="B162" s="34" t="s">
        <v>1210</v>
      </c>
      <c r="C162" s="110">
        <v>35</v>
      </c>
      <c r="D162" s="25"/>
    </row>
    <row r="163" spans="1:8" ht="13.5" customHeight="1" x14ac:dyDescent="0.2">
      <c r="A163" s="126" t="s">
        <v>245</v>
      </c>
      <c r="B163" s="34" t="s">
        <v>1198</v>
      </c>
      <c r="C163" s="110">
        <v>260.05</v>
      </c>
      <c r="D163" s="25"/>
    </row>
    <row r="164" spans="1:8" ht="13.5" customHeight="1" x14ac:dyDescent="0.2">
      <c r="A164" s="126" t="s">
        <v>245</v>
      </c>
      <c r="B164" s="34" t="s">
        <v>1154</v>
      </c>
      <c r="C164" s="24">
        <v>250</v>
      </c>
      <c r="D164" s="25"/>
    </row>
    <row r="165" spans="1:8" ht="13.5" customHeight="1" x14ac:dyDescent="0.2">
      <c r="A165" s="126" t="s">
        <v>245</v>
      </c>
      <c r="B165" s="34" t="s">
        <v>1138</v>
      </c>
      <c r="C165" s="24">
        <v>60</v>
      </c>
      <c r="D165" s="25"/>
    </row>
    <row r="166" spans="1:8" ht="13.5" customHeight="1" x14ac:dyDescent="0.2">
      <c r="A166" s="126" t="s">
        <v>245</v>
      </c>
      <c r="B166" s="34" t="s">
        <v>1089</v>
      </c>
      <c r="C166" s="24">
        <v>300</v>
      </c>
      <c r="D166" s="25"/>
    </row>
    <row r="167" spans="1:8" ht="13.5" customHeight="1" x14ac:dyDescent="0.2">
      <c r="A167" s="126" t="s">
        <v>245</v>
      </c>
      <c r="B167" s="34" t="s">
        <v>1135</v>
      </c>
      <c r="C167" s="24">
        <v>60</v>
      </c>
      <c r="D167" s="25"/>
    </row>
    <row r="168" spans="1:8" ht="13.5" customHeight="1" x14ac:dyDescent="0.2">
      <c r="A168" s="126" t="s">
        <v>245</v>
      </c>
      <c r="B168" s="34" t="s">
        <v>1212</v>
      </c>
      <c r="C168" s="110">
        <v>10</v>
      </c>
      <c r="D168" s="25"/>
      <c r="F168" s="126" t="s">
        <v>245</v>
      </c>
      <c r="G168" s="34" t="s">
        <v>1207</v>
      </c>
      <c r="H168" s="113">
        <v>40</v>
      </c>
    </row>
    <row r="169" spans="1:8" ht="13.5" customHeight="1" x14ac:dyDescent="0.2">
      <c r="A169" s="126" t="s">
        <v>245</v>
      </c>
      <c r="B169" s="34" t="s">
        <v>1214</v>
      </c>
      <c r="C169" s="110">
        <v>12</v>
      </c>
      <c r="D169" s="25"/>
    </row>
    <row r="170" spans="1:8" ht="13.5" customHeight="1" x14ac:dyDescent="0.2">
      <c r="A170" s="126" t="s">
        <v>245</v>
      </c>
      <c r="B170" s="34" t="s">
        <v>1216</v>
      </c>
      <c r="C170" s="110">
        <v>4.5999999999999996</v>
      </c>
      <c r="D170" s="25"/>
    </row>
    <row r="171" spans="1:8" ht="13.5" customHeight="1" x14ac:dyDescent="0.2">
      <c r="A171" s="126" t="s">
        <v>245</v>
      </c>
      <c r="B171" s="34" t="s">
        <v>624</v>
      </c>
      <c r="C171" s="110">
        <f>SUM(H168/2)</f>
        <v>20</v>
      </c>
      <c r="D171" s="25"/>
    </row>
    <row r="172" spans="1:8" ht="13.5" customHeight="1" x14ac:dyDescent="0.2">
      <c r="A172" s="126"/>
      <c r="B172" s="34"/>
      <c r="C172" s="112">
        <f>SUM(C152:C171)</f>
        <v>1452.3899999999999</v>
      </c>
      <c r="D172" s="25"/>
    </row>
    <row r="173" spans="1:8" ht="13.5" customHeight="1" x14ac:dyDescent="0.2">
      <c r="A173" s="126"/>
      <c r="B173" s="34"/>
      <c r="C173" s="110"/>
      <c r="D173" s="25"/>
    </row>
    <row r="174" spans="1:8" ht="13.5" customHeight="1" x14ac:dyDescent="0.2">
      <c r="A174" s="126" t="s">
        <v>245</v>
      </c>
      <c r="B174" s="34" t="s">
        <v>1109</v>
      </c>
      <c r="C174" s="24">
        <v>31.4</v>
      </c>
      <c r="D174" s="25"/>
    </row>
    <row r="175" spans="1:8" ht="13.5" customHeight="1" x14ac:dyDescent="0.2">
      <c r="A175" s="126" t="s">
        <v>245</v>
      </c>
      <c r="B175" s="34" t="s">
        <v>1060</v>
      </c>
      <c r="C175" s="24">
        <v>3.1</v>
      </c>
      <c r="D175" s="25"/>
    </row>
    <row r="176" spans="1:8" ht="13.5" customHeight="1" x14ac:dyDescent="0.2">
      <c r="A176" s="126" t="s">
        <v>245</v>
      </c>
      <c r="B176" s="34" t="s">
        <v>1072</v>
      </c>
      <c r="C176" s="133">
        <v>14</v>
      </c>
      <c r="D176" s="25"/>
    </row>
    <row r="177" spans="1:12" ht="13.5" customHeight="1" x14ac:dyDescent="0.2">
      <c r="A177" s="126" t="s">
        <v>245</v>
      </c>
      <c r="B177" s="34" t="s">
        <v>1112</v>
      </c>
      <c r="C177" s="24">
        <v>20</v>
      </c>
      <c r="D177" s="25"/>
    </row>
    <row r="178" spans="1:12" ht="13.5" customHeight="1" x14ac:dyDescent="0.2">
      <c r="A178" s="126" t="s">
        <v>245</v>
      </c>
      <c r="B178" s="34" t="s">
        <v>1139</v>
      </c>
      <c r="C178" s="24">
        <v>30</v>
      </c>
      <c r="D178" s="25"/>
    </row>
    <row r="179" spans="1:12" ht="13.5" customHeight="1" x14ac:dyDescent="0.2">
      <c r="A179" s="126" t="s">
        <v>245</v>
      </c>
      <c r="B179" s="34" t="s">
        <v>1158</v>
      </c>
      <c r="C179" s="24">
        <v>150</v>
      </c>
      <c r="D179" s="25"/>
      <c r="K179"/>
      <c r="L179"/>
    </row>
    <row r="180" spans="1:12" ht="13.5" customHeight="1" x14ac:dyDescent="0.2">
      <c r="A180" s="126" t="s">
        <v>245</v>
      </c>
      <c r="B180" s="34" t="s">
        <v>1153</v>
      </c>
      <c r="C180" s="24">
        <v>76.97</v>
      </c>
      <c r="D180" s="25"/>
    </row>
    <row r="181" spans="1:12" ht="13.5" customHeight="1" x14ac:dyDescent="0.2">
      <c r="A181" s="126" t="s">
        <v>245</v>
      </c>
      <c r="B181" s="34" t="s">
        <v>1137</v>
      </c>
      <c r="C181" s="24">
        <v>99.96</v>
      </c>
      <c r="D181" s="25"/>
    </row>
    <row r="182" spans="1:12" ht="13.5" customHeight="1" x14ac:dyDescent="0.2">
      <c r="A182" s="126" t="s">
        <v>245</v>
      </c>
      <c r="B182" s="34" t="s">
        <v>1067</v>
      </c>
      <c r="C182" s="24">
        <v>3.99</v>
      </c>
      <c r="D182" s="116"/>
    </row>
    <row r="183" spans="1:12" ht="13.5" customHeight="1" x14ac:dyDescent="0.2">
      <c r="A183" s="126" t="s">
        <v>245</v>
      </c>
      <c r="B183" s="34" t="s">
        <v>24</v>
      </c>
      <c r="C183" s="133">
        <v>11.9</v>
      </c>
      <c r="D183" s="25"/>
    </row>
    <row r="184" spans="1:12" ht="13.5" customHeight="1" x14ac:dyDescent="0.2">
      <c r="A184" s="126" t="s">
        <v>245</v>
      </c>
      <c r="B184" s="34" t="s">
        <v>1110</v>
      </c>
      <c r="C184" s="24">
        <v>13.25</v>
      </c>
      <c r="D184" s="25"/>
    </row>
    <row r="185" spans="1:12" ht="13.5" customHeight="1" x14ac:dyDescent="0.2">
      <c r="A185" s="126" t="s">
        <v>245</v>
      </c>
      <c r="B185" s="34" t="s">
        <v>1106</v>
      </c>
      <c r="C185" s="24">
        <v>7.45</v>
      </c>
      <c r="D185" s="25"/>
    </row>
    <row r="186" spans="1:12" ht="13.5" customHeight="1" x14ac:dyDescent="0.2">
      <c r="A186" s="126" t="s">
        <v>245</v>
      </c>
      <c r="B186" s="34" t="s">
        <v>1068</v>
      </c>
      <c r="C186" s="24">
        <v>17.5</v>
      </c>
      <c r="D186" s="25"/>
    </row>
    <row r="187" spans="1:12" ht="13.5" customHeight="1" x14ac:dyDescent="0.2">
      <c r="A187" s="126" t="s">
        <v>245</v>
      </c>
      <c r="B187" s="34" t="s">
        <v>1069</v>
      </c>
      <c r="C187" s="24">
        <v>1.9</v>
      </c>
      <c r="D187" s="25"/>
    </row>
    <row r="188" spans="1:12" ht="13.5" customHeight="1" x14ac:dyDescent="0.2">
      <c r="A188" s="126" t="s">
        <v>245</v>
      </c>
      <c r="B188" s="34" t="s">
        <v>1066</v>
      </c>
      <c r="C188" s="24">
        <v>12</v>
      </c>
      <c r="D188" s="25"/>
    </row>
    <row r="189" spans="1:12" ht="13.5" customHeight="1" x14ac:dyDescent="0.2">
      <c r="A189" s="126" t="s">
        <v>245</v>
      </c>
      <c r="B189" s="34" t="s">
        <v>1146</v>
      </c>
      <c r="C189" s="24">
        <v>6.9</v>
      </c>
      <c r="D189" s="116"/>
    </row>
    <row r="190" spans="1:12" ht="13.5" customHeight="1" x14ac:dyDescent="0.2">
      <c r="A190" s="126" t="s">
        <v>245</v>
      </c>
      <c r="B190" s="34" t="s">
        <v>1108</v>
      </c>
      <c r="C190" s="24">
        <v>10.35</v>
      </c>
      <c r="D190" s="25"/>
    </row>
    <row r="191" spans="1:12" ht="13.5" customHeight="1" x14ac:dyDescent="0.2">
      <c r="A191" s="126" t="s">
        <v>245</v>
      </c>
      <c r="B191" s="34" t="s">
        <v>1111</v>
      </c>
      <c r="C191" s="24">
        <v>2.25</v>
      </c>
      <c r="D191" s="25"/>
    </row>
    <row r="192" spans="1:12" ht="13.5" customHeight="1" x14ac:dyDescent="0.2">
      <c r="A192" s="126" t="s">
        <v>245</v>
      </c>
      <c r="B192" s="34" t="s">
        <v>1063</v>
      </c>
      <c r="C192" s="24">
        <v>5</v>
      </c>
      <c r="D192" s="25"/>
      <c r="F192"/>
      <c r="G192"/>
      <c r="H192"/>
      <c r="I192"/>
      <c r="J192"/>
    </row>
    <row r="193" spans="1:4" ht="13.5" customHeight="1" x14ac:dyDescent="0.2">
      <c r="A193" s="126" t="s">
        <v>245</v>
      </c>
      <c r="B193" s="34" t="s">
        <v>1107</v>
      </c>
      <c r="C193" s="24">
        <v>4.95</v>
      </c>
      <c r="D193" s="25"/>
    </row>
    <row r="194" spans="1:4" ht="13.5" customHeight="1" x14ac:dyDescent="0.2">
      <c r="A194" s="126" t="s">
        <v>245</v>
      </c>
      <c r="B194" s="34" t="s">
        <v>1061</v>
      </c>
      <c r="C194" s="24">
        <v>5.85</v>
      </c>
      <c r="D194" s="25"/>
    </row>
    <row r="195" spans="1:4" ht="13.5" customHeight="1" x14ac:dyDescent="0.2">
      <c r="A195" s="126" t="s">
        <v>245</v>
      </c>
      <c r="B195" s="34" t="s">
        <v>1064</v>
      </c>
      <c r="C195" s="24">
        <v>3.8</v>
      </c>
      <c r="D195" s="25"/>
    </row>
    <row r="196" spans="1:4" ht="13.5" customHeight="1" x14ac:dyDescent="0.2">
      <c r="A196" s="126" t="s">
        <v>245</v>
      </c>
      <c r="B196" s="237" t="s">
        <v>1071</v>
      </c>
      <c r="C196" s="133">
        <v>0.6</v>
      </c>
      <c r="D196" s="25"/>
    </row>
    <row r="197" spans="1:4" ht="13.5" customHeight="1" x14ac:dyDescent="0.2">
      <c r="A197" s="126" t="s">
        <v>245</v>
      </c>
      <c r="B197" s="34" t="s">
        <v>1140</v>
      </c>
      <c r="C197" s="24">
        <v>8.9</v>
      </c>
      <c r="D197" s="25"/>
    </row>
    <row r="198" spans="1:4" ht="13.5" customHeight="1" x14ac:dyDescent="0.2">
      <c r="A198" s="126" t="s">
        <v>245</v>
      </c>
      <c r="B198" s="34" t="s">
        <v>1062</v>
      </c>
      <c r="C198" s="24">
        <v>12.9</v>
      </c>
      <c r="D198" s="25"/>
    </row>
    <row r="199" spans="1:4" ht="13.5" customHeight="1" x14ac:dyDescent="0.2">
      <c r="A199" s="126" t="s">
        <v>245</v>
      </c>
      <c r="B199" s="34" t="s">
        <v>1070</v>
      </c>
      <c r="C199" s="133">
        <v>6.8</v>
      </c>
      <c r="D199" s="25"/>
    </row>
    <row r="200" spans="1:4" ht="13.5" customHeight="1" x14ac:dyDescent="0.2">
      <c r="A200" s="126" t="s">
        <v>245</v>
      </c>
      <c r="B200" s="34" t="s">
        <v>179</v>
      </c>
      <c r="C200" s="110">
        <v>374.15</v>
      </c>
      <c r="D200" s="25"/>
    </row>
    <row r="201" spans="1:4" ht="13.5" customHeight="1" x14ac:dyDescent="0.2">
      <c r="A201" s="126" t="s">
        <v>245</v>
      </c>
      <c r="B201" s="34" t="s">
        <v>1176</v>
      </c>
      <c r="C201" s="110">
        <v>195.55</v>
      </c>
      <c r="D201" s="25"/>
    </row>
    <row r="202" spans="1:4" ht="13.5" customHeight="1" x14ac:dyDescent="0.2">
      <c r="A202" s="126" t="s">
        <v>245</v>
      </c>
      <c r="B202" s="34" t="s">
        <v>1171</v>
      </c>
      <c r="C202" s="110">
        <v>118.8</v>
      </c>
      <c r="D202" s="116"/>
    </row>
    <row r="203" spans="1:4" ht="13.5" customHeight="1" x14ac:dyDescent="0.2">
      <c r="A203" s="126" t="s">
        <v>245</v>
      </c>
      <c r="B203" s="34" t="s">
        <v>1191</v>
      </c>
      <c r="C203" s="110">
        <v>754</v>
      </c>
      <c r="D203" s="25"/>
    </row>
    <row r="204" spans="1:4" ht="13.5" customHeight="1" x14ac:dyDescent="0.2">
      <c r="A204" s="126" t="s">
        <v>245</v>
      </c>
      <c r="B204" s="34" t="s">
        <v>1164</v>
      </c>
      <c r="C204" s="24">
        <v>53.2</v>
      </c>
      <c r="D204" s="25"/>
    </row>
    <row r="205" spans="1:4" ht="13.5" customHeight="1" x14ac:dyDescent="0.2">
      <c r="A205" s="126" t="s">
        <v>245</v>
      </c>
      <c r="B205" s="36" t="s">
        <v>1163</v>
      </c>
      <c r="C205" s="24">
        <v>20.9</v>
      </c>
      <c r="D205" s="116"/>
    </row>
    <row r="206" spans="1:4" ht="13.5" customHeight="1" x14ac:dyDescent="0.2">
      <c r="A206" s="126" t="s">
        <v>245</v>
      </c>
      <c r="B206" s="34" t="s">
        <v>625</v>
      </c>
      <c r="C206" s="24">
        <v>20</v>
      </c>
      <c r="D206" s="116"/>
    </row>
    <row r="207" spans="1:4" ht="13.5" customHeight="1" x14ac:dyDescent="0.2">
      <c r="A207" s="126"/>
      <c r="B207" s="34"/>
      <c r="C207" s="115">
        <f>SUM(C174:C206)</f>
        <v>2098.3199999999997</v>
      </c>
      <c r="D207" s="25"/>
    </row>
    <row r="208" spans="1:4" ht="13.5" customHeight="1" x14ac:dyDescent="0.2">
      <c r="A208" s="126"/>
      <c r="B208" s="34"/>
      <c r="C208" s="24"/>
      <c r="D208" s="25"/>
    </row>
    <row r="209" spans="1:4" ht="13.5" customHeight="1" x14ac:dyDescent="0.2">
      <c r="A209" t="s">
        <v>246</v>
      </c>
      <c r="B209" s="34" t="s">
        <v>195</v>
      </c>
      <c r="C209" s="110">
        <v>381.94</v>
      </c>
      <c r="D209" s="25"/>
    </row>
    <row r="210" spans="1:4" ht="13.5" customHeight="1" x14ac:dyDescent="0.2">
      <c r="A210" t="s">
        <v>246</v>
      </c>
      <c r="B210" s="36" t="s">
        <v>194</v>
      </c>
      <c r="C210" s="110">
        <v>82.75</v>
      </c>
      <c r="D210" s="25"/>
    </row>
    <row r="211" spans="1:4" ht="13.5" customHeight="1" x14ac:dyDescent="0.2">
      <c r="A211"/>
      <c r="B211" s="36"/>
      <c r="C211" s="112">
        <f>SUM(C209:C210)</f>
        <v>464.69</v>
      </c>
      <c r="D211" s="25"/>
    </row>
    <row r="212" spans="1:4" ht="13.5" customHeight="1" x14ac:dyDescent="0.2">
      <c r="A212"/>
      <c r="B212" s="36"/>
      <c r="C212" s="110"/>
      <c r="D212" s="60"/>
    </row>
    <row r="213" spans="1:4" ht="13.5" customHeight="1" x14ac:dyDescent="0.2">
      <c r="A213" t="s">
        <v>247</v>
      </c>
      <c r="B213" s="36" t="s">
        <v>1203</v>
      </c>
      <c r="C213" s="110">
        <v>91.5</v>
      </c>
      <c r="D213" s="60"/>
    </row>
    <row r="214" spans="1:4" ht="13.5" customHeight="1" x14ac:dyDescent="0.2">
      <c r="A214" t="s">
        <v>247</v>
      </c>
      <c r="B214" s="34" t="s">
        <v>1204</v>
      </c>
      <c r="C214" s="110">
        <v>48.77</v>
      </c>
      <c r="D214" s="60"/>
    </row>
    <row r="215" spans="1:4" ht="13.5" customHeight="1" x14ac:dyDescent="0.2">
      <c r="A215"/>
      <c r="B215" s="34"/>
      <c r="C215" s="112">
        <f>SUM(C213:C214)</f>
        <v>140.27000000000001</v>
      </c>
      <c r="D215" s="60"/>
    </row>
    <row r="216" spans="1:4" ht="13.5" customHeight="1" x14ac:dyDescent="0.2">
      <c r="A216"/>
      <c r="B216" s="34"/>
      <c r="C216" s="110"/>
      <c r="D216" s="60"/>
    </row>
    <row r="217" spans="1:4" ht="13.5" customHeight="1" x14ac:dyDescent="0.2">
      <c r="A217" s="126" t="s">
        <v>248</v>
      </c>
      <c r="B217" s="36" t="s">
        <v>1049</v>
      </c>
      <c r="C217" s="115">
        <v>5000</v>
      </c>
      <c r="D217" s="60"/>
    </row>
    <row r="218" spans="1:4" ht="13.5" customHeight="1" x14ac:dyDescent="0.2">
      <c r="A218" s="126"/>
      <c r="B218" s="34"/>
      <c r="C218" s="24"/>
      <c r="D218" s="60"/>
    </row>
    <row r="219" spans="1:4" ht="13.5" customHeight="1" x14ac:dyDescent="0.2">
      <c r="A219" s="126"/>
      <c r="B219" s="34"/>
      <c r="C219" s="24"/>
      <c r="D219" s="60"/>
    </row>
    <row r="220" spans="1:4" ht="13.5" customHeight="1" x14ac:dyDescent="0.2">
      <c r="A220" s="126" t="s">
        <v>248</v>
      </c>
      <c r="B220" s="34" t="s">
        <v>1002</v>
      </c>
      <c r="C220" s="113">
        <v>5368.42</v>
      </c>
      <c r="D220" s="60"/>
    </row>
    <row r="221" spans="1:4" ht="13.5" customHeight="1" x14ac:dyDescent="0.2">
      <c r="A221" s="126" t="s">
        <v>248</v>
      </c>
      <c r="B221" s="36" t="s">
        <v>132</v>
      </c>
      <c r="C221" s="110">
        <v>340.56</v>
      </c>
      <c r="D221" s="60"/>
    </row>
    <row r="222" spans="1:4" ht="13.5" customHeight="1" x14ac:dyDescent="0.2">
      <c r="A222" s="126" t="s">
        <v>248</v>
      </c>
      <c r="B222" s="34" t="s">
        <v>130</v>
      </c>
      <c r="C222" s="110">
        <v>130.9</v>
      </c>
      <c r="D222" s="60"/>
    </row>
    <row r="223" spans="1:4" ht="13.5" customHeight="1" x14ac:dyDescent="0.2">
      <c r="A223" s="126" t="s">
        <v>248</v>
      </c>
      <c r="B223" s="36" t="s">
        <v>53</v>
      </c>
      <c r="C223" s="110">
        <v>511.71</v>
      </c>
      <c r="D223" s="60"/>
    </row>
    <row r="224" spans="1:4" ht="13.5" customHeight="1" x14ac:dyDescent="0.2">
      <c r="A224" s="126" t="s">
        <v>248</v>
      </c>
      <c r="B224" s="36" t="s">
        <v>55</v>
      </c>
      <c r="C224" s="110">
        <v>350</v>
      </c>
      <c r="D224" s="60"/>
    </row>
    <row r="225" spans="1:12" ht="13.5" customHeight="1" x14ac:dyDescent="0.2">
      <c r="A225" s="126" t="s">
        <v>248</v>
      </c>
      <c r="B225" s="36" t="s">
        <v>136</v>
      </c>
      <c r="C225" s="110">
        <v>37.9</v>
      </c>
      <c r="D225" s="60"/>
    </row>
    <row r="226" spans="1:12" ht="13.5" customHeight="1" x14ac:dyDescent="0.2">
      <c r="A226" s="126" t="s">
        <v>248</v>
      </c>
      <c r="B226" s="36" t="s">
        <v>924</v>
      </c>
      <c r="C226" s="110">
        <v>416</v>
      </c>
      <c r="D226" s="60"/>
      <c r="K226"/>
      <c r="L226"/>
    </row>
    <row r="227" spans="1:12" ht="13.5" customHeight="1" x14ac:dyDescent="0.2">
      <c r="A227" s="126" t="s">
        <v>248</v>
      </c>
      <c r="B227" s="36" t="s">
        <v>133</v>
      </c>
      <c r="C227" s="110">
        <v>994.92</v>
      </c>
      <c r="D227" s="60"/>
    </row>
    <row r="228" spans="1:12" ht="13.5" customHeight="1" x14ac:dyDescent="0.2">
      <c r="A228" s="126" t="s">
        <v>248</v>
      </c>
      <c r="B228" s="36" t="s">
        <v>82</v>
      </c>
      <c r="C228" s="110">
        <v>306.79000000000002</v>
      </c>
      <c r="D228" s="60"/>
    </row>
    <row r="229" spans="1:12" ht="13.5" customHeight="1" x14ac:dyDescent="0.2">
      <c r="A229" s="126" t="s">
        <v>248</v>
      </c>
      <c r="B229" s="36" t="s">
        <v>18</v>
      </c>
      <c r="C229" s="110">
        <v>350.3</v>
      </c>
      <c r="D229" s="60"/>
    </row>
    <row r="230" spans="1:12" ht="13.5" customHeight="1" x14ac:dyDescent="0.2">
      <c r="A230" s="126" t="s">
        <v>248</v>
      </c>
      <c r="B230" s="34" t="s">
        <v>114</v>
      </c>
      <c r="C230" s="110">
        <v>213.84</v>
      </c>
      <c r="D230" s="60"/>
    </row>
    <row r="231" spans="1:12" ht="13.5" customHeight="1" x14ac:dyDescent="0.2">
      <c r="A231" s="126" t="s">
        <v>248</v>
      </c>
      <c r="B231" s="34" t="s">
        <v>210</v>
      </c>
      <c r="C231" s="110">
        <v>1150</v>
      </c>
      <c r="D231" s="60"/>
    </row>
    <row r="232" spans="1:12" ht="13.5" customHeight="1" x14ac:dyDescent="0.2">
      <c r="A232" s="126"/>
      <c r="B232" s="34"/>
      <c r="C232" s="112">
        <f>SUM(C220:C231)</f>
        <v>10171.34</v>
      </c>
      <c r="D232" s="60"/>
    </row>
    <row r="233" spans="1:12" ht="13.5" customHeight="1" x14ac:dyDescent="0.2">
      <c r="A233" s="126"/>
      <c r="B233" s="34"/>
      <c r="C233" s="110"/>
      <c r="D233" s="60"/>
    </row>
    <row r="234" spans="1:12" ht="13.5" customHeight="1" x14ac:dyDescent="0.2">
      <c r="A234" t="s">
        <v>249</v>
      </c>
      <c r="B234" s="36" t="s">
        <v>1181</v>
      </c>
      <c r="C234" s="110">
        <v>180</v>
      </c>
      <c r="D234" s="60"/>
    </row>
    <row r="235" spans="1:12" ht="13.5" customHeight="1" x14ac:dyDescent="0.2">
      <c r="A235" t="s">
        <v>249</v>
      </c>
      <c r="B235" s="36" t="s">
        <v>1145</v>
      </c>
      <c r="C235" s="119">
        <v>600</v>
      </c>
      <c r="D235" s="60"/>
      <c r="F235" s="64"/>
      <c r="G235" s="64"/>
      <c r="H235" s="64"/>
      <c r="I235" s="64"/>
      <c r="J235" s="64"/>
    </row>
    <row r="236" spans="1:12" ht="13.5" customHeight="1" x14ac:dyDescent="0.2">
      <c r="A236"/>
      <c r="B236" s="36"/>
      <c r="C236" s="407">
        <f>SUM(C234:C235)</f>
        <v>780</v>
      </c>
      <c r="D236" s="60"/>
      <c r="F236" s="64"/>
      <c r="G236" s="64"/>
      <c r="H236" s="64"/>
      <c r="I236" s="64"/>
      <c r="J236" s="64"/>
    </row>
    <row r="237" spans="1:12" ht="13.5" customHeight="1" x14ac:dyDescent="0.2">
      <c r="A237"/>
      <c r="B237" s="36"/>
      <c r="C237" s="119"/>
      <c r="D237" s="60"/>
      <c r="F237" s="64"/>
      <c r="G237" s="64"/>
      <c r="H237" s="64"/>
      <c r="I237" s="64"/>
      <c r="J237" s="64"/>
    </row>
    <row r="238" spans="1:12" ht="13.5" customHeight="1" x14ac:dyDescent="0.2">
      <c r="A238" t="s">
        <v>249</v>
      </c>
      <c r="B238" s="36" t="s">
        <v>1048</v>
      </c>
      <c r="C238" s="119">
        <v>750</v>
      </c>
      <c r="D238" s="60"/>
    </row>
    <row r="239" spans="1:12" ht="13.5" customHeight="1" x14ac:dyDescent="0.2">
      <c r="A239" t="s">
        <v>249</v>
      </c>
      <c r="B239" s="36" t="s">
        <v>1034</v>
      </c>
      <c r="C239" s="119">
        <v>300</v>
      </c>
      <c r="D239" s="60"/>
    </row>
    <row r="240" spans="1:12" ht="13.5" customHeight="1" x14ac:dyDescent="0.2">
      <c r="A240" t="s">
        <v>249</v>
      </c>
      <c r="B240" s="36" t="s">
        <v>1034</v>
      </c>
      <c r="C240" s="119">
        <v>300</v>
      </c>
      <c r="D240" s="60"/>
    </row>
    <row r="241" spans="1:10" ht="13.5" customHeight="1" x14ac:dyDescent="0.2">
      <c r="A241" t="s">
        <v>249</v>
      </c>
      <c r="B241" s="36" t="s">
        <v>1034</v>
      </c>
      <c r="C241" s="119">
        <v>300</v>
      </c>
      <c r="D241" s="60"/>
    </row>
    <row r="242" spans="1:10" ht="13.5" customHeight="1" x14ac:dyDescent="0.2">
      <c r="A242" t="s">
        <v>249</v>
      </c>
      <c r="B242" s="36" t="s">
        <v>1125</v>
      </c>
      <c r="C242" s="119">
        <v>60</v>
      </c>
      <c r="D242" s="60"/>
    </row>
    <row r="243" spans="1:10" ht="13.5" customHeight="1" x14ac:dyDescent="0.2">
      <c r="A243" t="s">
        <v>249</v>
      </c>
      <c r="B243" s="36" t="s">
        <v>1125</v>
      </c>
      <c r="C243" s="119">
        <v>180</v>
      </c>
      <c r="D243" s="60"/>
    </row>
    <row r="244" spans="1:10" ht="13.5" customHeight="1" x14ac:dyDescent="0.2">
      <c r="A244" t="s">
        <v>249</v>
      </c>
      <c r="B244" s="34" t="s">
        <v>1130</v>
      </c>
      <c r="C244" s="119">
        <v>240</v>
      </c>
      <c r="D244" s="60"/>
    </row>
    <row r="245" spans="1:10" ht="13.5" customHeight="1" x14ac:dyDescent="0.2">
      <c r="A245" t="s">
        <v>249</v>
      </c>
      <c r="B245" s="36" t="s">
        <v>1116</v>
      </c>
      <c r="C245" s="119">
        <v>60</v>
      </c>
      <c r="D245" s="60"/>
    </row>
    <row r="246" spans="1:10" ht="13.5" customHeight="1" x14ac:dyDescent="0.2">
      <c r="A246" t="s">
        <v>249</v>
      </c>
      <c r="B246" s="36" t="s">
        <v>1035</v>
      </c>
      <c r="C246" s="119">
        <v>60</v>
      </c>
      <c r="D246" s="60"/>
    </row>
    <row r="247" spans="1:10" ht="13.5" customHeight="1" x14ac:dyDescent="0.2">
      <c r="A247" t="s">
        <v>249</v>
      </c>
      <c r="B247" s="36" t="s">
        <v>1035</v>
      </c>
      <c r="C247" s="119">
        <v>60</v>
      </c>
      <c r="D247" s="60"/>
    </row>
    <row r="248" spans="1:10" ht="13.5" customHeight="1" x14ac:dyDescent="0.2">
      <c r="A248" t="s">
        <v>249</v>
      </c>
      <c r="B248" s="34" t="s">
        <v>1035</v>
      </c>
      <c r="C248" s="119">
        <v>120</v>
      </c>
      <c r="D248" s="60"/>
    </row>
    <row r="249" spans="1:10" ht="13.5" customHeight="1" x14ac:dyDescent="0.2">
      <c r="A249" t="s">
        <v>249</v>
      </c>
      <c r="B249" s="34" t="s">
        <v>1129</v>
      </c>
      <c r="C249" s="119">
        <v>180</v>
      </c>
      <c r="D249" s="60"/>
    </row>
    <row r="250" spans="1:10" ht="13.5" customHeight="1" x14ac:dyDescent="0.2">
      <c r="A250"/>
      <c r="B250" s="34"/>
      <c r="C250" s="407">
        <f>SUM(C238:C249)</f>
        <v>2610</v>
      </c>
      <c r="D250" s="60"/>
      <c r="F250" s="64"/>
      <c r="G250" s="64"/>
      <c r="H250" s="64"/>
      <c r="I250" s="64"/>
      <c r="J250" s="64"/>
    </row>
    <row r="251" spans="1:10" ht="13.5" customHeight="1" x14ac:dyDescent="0.2">
      <c r="A251"/>
      <c r="B251" s="34"/>
      <c r="C251" s="119"/>
      <c r="D251" s="60"/>
    </row>
    <row r="252" spans="1:10" ht="13.5" customHeight="1" x14ac:dyDescent="0.2">
      <c r="A252" s="1" t="s">
        <v>250</v>
      </c>
      <c r="B252" s="36" t="s">
        <v>20</v>
      </c>
      <c r="C252" s="119">
        <v>-0.03</v>
      </c>
      <c r="D252" s="60"/>
    </row>
    <row r="253" spans="1:10" ht="13.5" customHeight="1" x14ac:dyDescent="0.2">
      <c r="A253" s="1" t="s">
        <v>250</v>
      </c>
      <c r="B253" s="34" t="s">
        <v>20</v>
      </c>
      <c r="C253" s="119">
        <v>-0.05</v>
      </c>
      <c r="D253" s="60"/>
    </row>
    <row r="254" spans="1:10" ht="13.5" customHeight="1" x14ac:dyDescent="0.2">
      <c r="A254" s="1" t="s">
        <v>250</v>
      </c>
      <c r="B254" s="36" t="s">
        <v>20</v>
      </c>
      <c r="C254" s="119">
        <v>-7.0000000000000007E-2</v>
      </c>
      <c r="D254" s="60"/>
    </row>
    <row r="255" spans="1:10" ht="13.5" customHeight="1" x14ac:dyDescent="0.2">
      <c r="A255" s="1" t="s">
        <v>250</v>
      </c>
      <c r="B255" s="36" t="s">
        <v>20</v>
      </c>
      <c r="C255" s="119">
        <v>-0.08</v>
      </c>
      <c r="D255" s="60"/>
    </row>
    <row r="256" spans="1:10" ht="13.5" customHeight="1" x14ac:dyDescent="0.2">
      <c r="A256" s="1" t="s">
        <v>250</v>
      </c>
      <c r="B256" s="36" t="s">
        <v>20</v>
      </c>
      <c r="C256" s="119">
        <v>-0.09</v>
      </c>
      <c r="D256" s="60"/>
    </row>
    <row r="257" spans="1:12" ht="13.5" customHeight="1" x14ac:dyDescent="0.2">
      <c r="A257" s="1" t="s">
        <v>250</v>
      </c>
      <c r="B257" s="36" t="s">
        <v>20</v>
      </c>
      <c r="C257" s="119">
        <v>-0.1</v>
      </c>
      <c r="D257" s="60"/>
    </row>
    <row r="258" spans="1:12" ht="13.5" customHeight="1" x14ac:dyDescent="0.2">
      <c r="A258" s="1" t="s">
        <v>250</v>
      </c>
      <c r="B258" s="36" t="s">
        <v>20</v>
      </c>
      <c r="C258" s="119">
        <v>-0.1</v>
      </c>
      <c r="D258" s="60"/>
    </row>
    <row r="259" spans="1:12" ht="13.5" customHeight="1" x14ac:dyDescent="0.2">
      <c r="A259" s="1" t="s">
        <v>250</v>
      </c>
      <c r="B259" s="36" t="s">
        <v>20</v>
      </c>
      <c r="C259" s="119">
        <v>-0.11</v>
      </c>
      <c r="D259" s="60"/>
    </row>
    <row r="260" spans="1:12" ht="13.5" customHeight="1" x14ac:dyDescent="0.2">
      <c r="A260" s="1" t="s">
        <v>250</v>
      </c>
      <c r="B260" s="36" t="s">
        <v>20</v>
      </c>
      <c r="C260" s="119">
        <v>-0.13</v>
      </c>
      <c r="D260" s="60"/>
    </row>
    <row r="261" spans="1:12" ht="13.5" customHeight="1" x14ac:dyDescent="0.2">
      <c r="A261" s="1" t="s">
        <v>250</v>
      </c>
      <c r="B261" s="34" t="s">
        <v>20</v>
      </c>
      <c r="C261" s="119">
        <v>-0.15</v>
      </c>
      <c r="D261" s="60"/>
    </row>
    <row r="262" spans="1:12" ht="13.5" customHeight="1" x14ac:dyDescent="0.2">
      <c r="A262" s="1" t="s">
        <v>250</v>
      </c>
      <c r="B262" s="34" t="s">
        <v>20</v>
      </c>
      <c r="C262" s="119">
        <v>-0.23</v>
      </c>
      <c r="D262" s="60"/>
    </row>
    <row r="263" spans="1:12" ht="13.5" customHeight="1" x14ac:dyDescent="0.2">
      <c r="A263" s="1" t="s">
        <v>250</v>
      </c>
      <c r="B263" s="34" t="s">
        <v>20</v>
      </c>
      <c r="C263" s="119">
        <v>-0.28999999999999998</v>
      </c>
      <c r="D263" s="60"/>
    </row>
    <row r="264" spans="1:12" ht="13.5" customHeight="1" x14ac:dyDescent="0.2">
      <c r="A264" s="1" t="s">
        <v>250</v>
      </c>
      <c r="B264" s="34" t="s">
        <v>20</v>
      </c>
      <c r="C264" s="179"/>
      <c r="D264" s="60"/>
    </row>
    <row r="265" spans="1:12" s="64" customFormat="1" ht="13.5" customHeight="1" x14ac:dyDescent="0.2">
      <c r="A265" s="1" t="s">
        <v>250</v>
      </c>
      <c r="B265" s="34" t="s">
        <v>86</v>
      </c>
      <c r="C265" s="59">
        <v>78</v>
      </c>
      <c r="D265" s="60"/>
      <c r="E265" s="40"/>
      <c r="F265" s="1"/>
      <c r="G265" s="1"/>
      <c r="H265" s="1"/>
      <c r="I265" s="1"/>
      <c r="J265" s="1"/>
      <c r="K265" s="1"/>
      <c r="L265" s="1"/>
    </row>
    <row r="266" spans="1:12" s="64" customFormat="1" ht="13.5" customHeight="1" x14ac:dyDescent="0.2">
      <c r="A266" s="1" t="s">
        <v>250</v>
      </c>
      <c r="B266" s="34" t="s">
        <v>86</v>
      </c>
      <c r="C266" s="59">
        <v>72.900000000000006</v>
      </c>
      <c r="D266" s="60"/>
      <c r="E266" s="40"/>
      <c r="F266" s="1"/>
      <c r="G266" s="1"/>
      <c r="H266" s="1"/>
      <c r="I266" s="1"/>
      <c r="J266" s="1"/>
      <c r="K266" s="1"/>
      <c r="L266" s="1"/>
    </row>
    <row r="267" spans="1:12" customFormat="1" ht="13.5" customHeight="1" x14ac:dyDescent="0.2">
      <c r="A267" s="1" t="s">
        <v>250</v>
      </c>
      <c r="B267" s="34" t="s">
        <v>86</v>
      </c>
      <c r="C267" s="59">
        <v>11.9</v>
      </c>
      <c r="D267" s="71"/>
      <c r="E267" s="40"/>
      <c r="F267" s="1"/>
      <c r="G267" s="1"/>
      <c r="H267" s="1"/>
      <c r="I267" s="1"/>
      <c r="J267" s="1"/>
      <c r="K267" s="1"/>
      <c r="L267" s="1"/>
    </row>
    <row r="268" spans="1:12" customFormat="1" ht="13.5" customHeight="1" x14ac:dyDescent="0.2">
      <c r="A268" s="1"/>
      <c r="B268" s="34"/>
      <c r="C268" s="120">
        <f>SUM(C252:C267)</f>
        <v>161.37</v>
      </c>
      <c r="D268" s="71">
        <f>C268/2</f>
        <v>80.685000000000002</v>
      </c>
      <c r="E268" s="40"/>
      <c r="F268" s="1"/>
      <c r="G268" s="1"/>
      <c r="H268" s="1"/>
      <c r="I268" s="1"/>
      <c r="J268" s="1"/>
      <c r="K268" s="1"/>
      <c r="L268" s="1"/>
    </row>
    <row r="269" spans="1:12" customFormat="1" ht="13.5" customHeight="1" x14ac:dyDescent="0.2">
      <c r="A269" s="1"/>
      <c r="B269" s="34"/>
      <c r="C269" s="59"/>
      <c r="D269" s="71"/>
      <c r="E269" s="40"/>
      <c r="F269" s="1"/>
      <c r="G269" s="1"/>
      <c r="H269" s="1"/>
      <c r="I269" s="1"/>
      <c r="J269" s="1"/>
      <c r="K269" s="1"/>
      <c r="L269" s="1"/>
    </row>
    <row r="270" spans="1:12" ht="13.5" customHeight="1" x14ac:dyDescent="0.2">
      <c r="A270" t="s">
        <v>251</v>
      </c>
      <c r="B270" s="34" t="s">
        <v>1215</v>
      </c>
      <c r="C270" s="120">
        <v>150</v>
      </c>
      <c r="D270" s="122"/>
      <c r="E270" s="65"/>
      <c r="K270" s="64"/>
      <c r="L270" s="64"/>
    </row>
    <row r="271" spans="1:12" ht="13.5" customHeight="1" x14ac:dyDescent="0.2">
      <c r="A271"/>
      <c r="B271" s="34"/>
      <c r="C271" s="59"/>
      <c r="D271" s="71"/>
    </row>
    <row r="272" spans="1:12" ht="13.5" customHeight="1" x14ac:dyDescent="0.2">
      <c r="A272"/>
      <c r="B272" s="34"/>
      <c r="C272" s="59"/>
      <c r="D272" s="71"/>
    </row>
    <row r="273" spans="1:12" ht="13.5" customHeight="1" x14ac:dyDescent="0.2">
      <c r="A273" t="s">
        <v>421</v>
      </c>
      <c r="B273" s="34" t="s">
        <v>1050</v>
      </c>
      <c r="C273" s="120">
        <v>374</v>
      </c>
      <c r="D273" s="71"/>
    </row>
    <row r="274" spans="1:12" ht="13.5" customHeight="1" x14ac:dyDescent="0.2">
      <c r="A274"/>
      <c r="B274" s="34"/>
      <c r="C274" s="59"/>
      <c r="D274" s="71"/>
    </row>
    <row r="275" spans="1:12" ht="13.5" customHeight="1" x14ac:dyDescent="0.2">
      <c r="A275"/>
      <c r="B275" s="34"/>
      <c r="C275" s="59"/>
      <c r="D275" s="71"/>
      <c r="F275" s="18"/>
    </row>
    <row r="276" spans="1:12" ht="13.5" customHeight="1" x14ac:dyDescent="0.2">
      <c r="A276" t="s">
        <v>421</v>
      </c>
      <c r="B276" s="34" t="s">
        <v>1032</v>
      </c>
      <c r="C276" s="119">
        <v>-130</v>
      </c>
      <c r="D276" s="71"/>
      <c r="G276" s="365"/>
    </row>
    <row r="277" spans="1:12" ht="13.5" customHeight="1" x14ac:dyDescent="0.2">
      <c r="A277" t="s">
        <v>421</v>
      </c>
      <c r="B277" s="34" t="s">
        <v>1217</v>
      </c>
      <c r="C277" s="59">
        <v>1000</v>
      </c>
      <c r="D277" s="71"/>
    </row>
    <row r="278" spans="1:12" ht="13.5" customHeight="1" x14ac:dyDescent="0.2">
      <c r="A278" s="126"/>
      <c r="B278" s="396"/>
      <c r="C278" s="408">
        <f>SUM(C276:C277)</f>
        <v>870</v>
      </c>
      <c r="D278" s="71"/>
      <c r="F278" s="720">
        <f>SUM(C278,C273,C270,C268,C250,C236,C232,C217,C215,C211,C207,C172,C150,C133,C128,C125,C123,C109,C99,C74,C63,C56)-SUM(D34,D40)</f>
        <v>-6453.6650000000009</v>
      </c>
    </row>
    <row r="279" spans="1:12" ht="13.5" customHeight="1" x14ac:dyDescent="0.2">
      <c r="B279" s="357"/>
      <c r="C279" s="179"/>
      <c r="D279" s="71"/>
    </row>
    <row r="280" spans="1:12" ht="13.5" customHeight="1" x14ac:dyDescent="0.2">
      <c r="B280" s="208"/>
      <c r="C280" s="211"/>
      <c r="D280" s="71"/>
      <c r="F280" s="365"/>
    </row>
    <row r="281" spans="1:12" ht="13.5" customHeight="1" x14ac:dyDescent="0.2">
      <c r="B281" s="78"/>
      <c r="C281" s="77"/>
      <c r="D281" s="71"/>
    </row>
    <row r="282" spans="1:12" ht="13.5" customHeight="1" x14ac:dyDescent="0.2">
      <c r="B282" s="78"/>
      <c r="C282" s="77"/>
      <c r="D282" s="71"/>
    </row>
    <row r="283" spans="1:12" ht="13.5" customHeight="1" x14ac:dyDescent="0.2">
      <c r="B283" s="78"/>
      <c r="C283" s="77"/>
      <c r="D283" s="71"/>
    </row>
    <row r="284" spans="1:12" ht="13.5" customHeight="1" x14ac:dyDescent="0.2">
      <c r="B284" s="81"/>
      <c r="C284" s="13"/>
      <c r="D284" s="398"/>
    </row>
    <row r="285" spans="1:12" ht="13.5" customHeight="1" x14ac:dyDescent="0.2">
      <c r="B285" s="78"/>
      <c r="C285" s="77"/>
      <c r="D285" s="122"/>
      <c r="E285" s="65"/>
      <c r="K285" s="64"/>
      <c r="L285" s="64"/>
    </row>
    <row r="286" spans="1:12" ht="16.5" customHeight="1" x14ac:dyDescent="0.2">
      <c r="B286" s="78"/>
      <c r="C286" s="77"/>
      <c r="D286" s="211"/>
    </row>
    <row r="287" spans="1:12" ht="13.5" customHeight="1" x14ac:dyDescent="0.2">
      <c r="B287" s="78"/>
      <c r="C287" s="77"/>
      <c r="D287" s="77"/>
    </row>
    <row r="288" spans="1:12" ht="13.5" customHeight="1" x14ac:dyDescent="0.2">
      <c r="B288" s="78"/>
      <c r="C288" s="77"/>
      <c r="D288" s="77"/>
    </row>
    <row r="289" spans="2:4" ht="13.5" customHeight="1" x14ac:dyDescent="0.2">
      <c r="B289" s="78"/>
      <c r="C289" s="77"/>
      <c r="D289" s="77"/>
    </row>
    <row r="290" spans="2:4" ht="13.5" customHeight="1" x14ac:dyDescent="0.2">
      <c r="B290" s="78"/>
      <c r="C290" s="77"/>
      <c r="D290" s="13"/>
    </row>
    <row r="291" spans="2:4" ht="13.5" customHeight="1" x14ac:dyDescent="0.2">
      <c r="B291" s="78"/>
      <c r="C291" s="77"/>
      <c r="D291" s="77"/>
    </row>
    <row r="292" spans="2:4" ht="13.5" customHeight="1" x14ac:dyDescent="0.2">
      <c r="B292" s="78"/>
      <c r="C292" s="77"/>
      <c r="D292" s="77"/>
    </row>
    <row r="293" spans="2:4" ht="13.5" customHeight="1" x14ac:dyDescent="0.2">
      <c r="B293" s="63"/>
      <c r="C293" s="82"/>
      <c r="D293" s="77"/>
    </row>
    <row r="294" spans="2:4" ht="13.5" customHeight="1" x14ac:dyDescent="0.2">
      <c r="B294" s="63"/>
      <c r="C294" s="82"/>
      <c r="D294" s="77"/>
    </row>
    <row r="295" spans="2:4" ht="13.5" customHeight="1" x14ac:dyDescent="0.2">
      <c r="B295" s="63"/>
      <c r="C295" s="82"/>
      <c r="D295" s="77"/>
    </row>
    <row r="296" spans="2:4" ht="13.5" customHeight="1" x14ac:dyDescent="0.2">
      <c r="B296" s="63"/>
      <c r="C296" s="82"/>
      <c r="D296" s="77"/>
    </row>
    <row r="297" spans="2:4" ht="13.5" customHeight="1" x14ac:dyDescent="0.2">
      <c r="B297" s="63"/>
      <c r="C297" s="82"/>
      <c r="D297" s="77"/>
    </row>
    <row r="298" spans="2:4" ht="13.5" customHeight="1" x14ac:dyDescent="0.2">
      <c r="B298" s="63"/>
      <c r="C298" s="82"/>
      <c r="D298" s="77"/>
    </row>
    <row r="299" spans="2:4" ht="13.5" customHeight="1" x14ac:dyDescent="0.2">
      <c r="B299" s="63"/>
      <c r="C299" s="82"/>
      <c r="D299" s="13"/>
    </row>
    <row r="300" spans="2:4" ht="13.5" customHeight="1" x14ac:dyDescent="0.2">
      <c r="B300" s="63"/>
      <c r="C300" s="82"/>
      <c r="D300" s="13"/>
    </row>
    <row r="301" spans="2:4" ht="13.5" customHeight="1" x14ac:dyDescent="0.2">
      <c r="B301" s="63"/>
      <c r="C301" s="82"/>
      <c r="D301" s="13"/>
    </row>
    <row r="302" spans="2:4" ht="13.5" customHeight="1" x14ac:dyDescent="0.2">
      <c r="B302" s="63"/>
      <c r="C302" s="82"/>
      <c r="D302" s="13"/>
    </row>
    <row r="303" spans="2:4" ht="13.5" customHeight="1" x14ac:dyDescent="0.2">
      <c r="B303" s="63"/>
      <c r="C303" s="82"/>
      <c r="D303" s="13"/>
    </row>
    <row r="304" spans="2:4" ht="13.5" customHeight="1" x14ac:dyDescent="0.2">
      <c r="B304" s="63"/>
      <c r="C304" s="82"/>
      <c r="D304" s="13"/>
    </row>
    <row r="305" spans="2:4" ht="13.5" customHeight="1" x14ac:dyDescent="0.2">
      <c r="B305" s="63"/>
      <c r="C305" s="82"/>
      <c r="D305" s="13"/>
    </row>
    <row r="306" spans="2:4" ht="13.5" customHeight="1" x14ac:dyDescent="0.2">
      <c r="B306" s="63"/>
      <c r="C306" s="82"/>
      <c r="D306" s="13"/>
    </row>
    <row r="307" spans="2:4" ht="13.5" customHeight="1" x14ac:dyDescent="0.2">
      <c r="B307" s="63"/>
      <c r="C307" s="82"/>
      <c r="D307" s="13"/>
    </row>
    <row r="308" spans="2:4" ht="13.5" customHeight="1" x14ac:dyDescent="0.2">
      <c r="B308" s="63"/>
      <c r="C308" s="82"/>
      <c r="D308" s="13"/>
    </row>
    <row r="309" spans="2:4" ht="13.5" customHeight="1" x14ac:dyDescent="0.2">
      <c r="B309" s="63"/>
      <c r="C309" s="82"/>
      <c r="D309" s="13"/>
    </row>
    <row r="310" spans="2:4" ht="13.5" customHeight="1" x14ac:dyDescent="0.2">
      <c r="B310" s="63"/>
      <c r="C310" s="82"/>
      <c r="D310" s="13"/>
    </row>
    <row r="311" spans="2:4" ht="13.5" customHeight="1" x14ac:dyDescent="0.2">
      <c r="B311" s="63"/>
      <c r="C311" s="82"/>
      <c r="D311" s="13"/>
    </row>
    <row r="312" spans="2:4" ht="13.5" customHeight="1" x14ac:dyDescent="0.2">
      <c r="B312" s="63"/>
      <c r="C312" s="82"/>
      <c r="D312" s="13"/>
    </row>
    <row r="313" spans="2:4" ht="13.5" customHeight="1" x14ac:dyDescent="0.2">
      <c r="B313" s="63"/>
      <c r="C313" s="82"/>
      <c r="D313" s="13"/>
    </row>
    <row r="314" spans="2:4" ht="13.5" customHeight="1" x14ac:dyDescent="0.2">
      <c r="B314" s="63"/>
      <c r="C314" s="82"/>
      <c r="D314" s="13"/>
    </row>
    <row r="315" spans="2:4" ht="13.5" customHeight="1" x14ac:dyDescent="0.2">
      <c r="B315" s="63"/>
      <c r="C315" s="82"/>
      <c r="D315" s="13"/>
    </row>
    <row r="316" spans="2:4" ht="13.5" customHeight="1" x14ac:dyDescent="0.2">
      <c r="B316" s="63"/>
      <c r="C316" s="82"/>
      <c r="D316" s="13"/>
    </row>
    <row r="317" spans="2:4" ht="13.5" customHeight="1" x14ac:dyDescent="0.2">
      <c r="B317" s="63"/>
      <c r="C317" s="82"/>
      <c r="D317" s="13"/>
    </row>
    <row r="318" spans="2:4" ht="13.5" customHeight="1" x14ac:dyDescent="0.2">
      <c r="B318" s="63"/>
      <c r="C318" s="82"/>
      <c r="D318" s="13"/>
    </row>
    <row r="319" spans="2:4" ht="13.5" customHeight="1" x14ac:dyDescent="0.2">
      <c r="B319" s="63"/>
      <c r="C319" s="82"/>
      <c r="D319" s="13"/>
    </row>
    <row r="320" spans="2:4" ht="13.5" customHeight="1" x14ac:dyDescent="0.2">
      <c r="B320" s="63"/>
      <c r="C320" s="82"/>
      <c r="D320" s="13"/>
    </row>
    <row r="321" spans="2:4" ht="13.5" customHeight="1" x14ac:dyDescent="0.2">
      <c r="B321" s="63"/>
      <c r="C321" s="82"/>
      <c r="D321" s="13"/>
    </row>
    <row r="322" spans="2:4" ht="13.5" customHeight="1" x14ac:dyDescent="0.2">
      <c r="B322" s="63"/>
      <c r="C322" s="82"/>
      <c r="D322" s="13"/>
    </row>
    <row r="323" spans="2:4" ht="13.5" customHeight="1" x14ac:dyDescent="0.2">
      <c r="B323" s="63"/>
      <c r="C323" s="82"/>
      <c r="D323" s="13"/>
    </row>
    <row r="324" spans="2:4" ht="13.5" customHeight="1" x14ac:dyDescent="0.2">
      <c r="B324" s="63"/>
      <c r="C324" s="82"/>
      <c r="D324" s="13"/>
    </row>
    <row r="325" spans="2:4" ht="13.5" customHeight="1" x14ac:dyDescent="0.2">
      <c r="B325" s="63"/>
      <c r="C325" s="82"/>
      <c r="D325" s="13"/>
    </row>
    <row r="326" spans="2:4" ht="13.5" customHeight="1" x14ac:dyDescent="0.2">
      <c r="B326" s="63"/>
      <c r="C326" s="82"/>
      <c r="D326" s="13"/>
    </row>
    <row r="327" spans="2:4" ht="13.5" customHeight="1" x14ac:dyDescent="0.2">
      <c r="B327" s="63"/>
      <c r="C327" s="82"/>
      <c r="D327" s="13"/>
    </row>
    <row r="328" spans="2:4" ht="13.5" customHeight="1" x14ac:dyDescent="0.2">
      <c r="B328" s="63"/>
      <c r="C328" s="82"/>
      <c r="D328" s="13"/>
    </row>
    <row r="329" spans="2:4" ht="13.5" customHeight="1" x14ac:dyDescent="0.2">
      <c r="B329" s="63"/>
      <c r="C329" s="82"/>
      <c r="D329" s="13"/>
    </row>
    <row r="330" spans="2:4" ht="13.5" customHeight="1" x14ac:dyDescent="0.2">
      <c r="B330" s="63"/>
      <c r="C330" s="82"/>
      <c r="D330" s="13"/>
    </row>
    <row r="331" spans="2:4" ht="13.5" customHeight="1" x14ac:dyDescent="0.2">
      <c r="B331" s="63"/>
      <c r="C331" s="82"/>
      <c r="D331" s="13"/>
    </row>
    <row r="332" spans="2:4" ht="13.5" customHeight="1" x14ac:dyDescent="0.2">
      <c r="B332" s="63"/>
      <c r="C332" s="82"/>
      <c r="D332" s="13"/>
    </row>
    <row r="333" spans="2:4" ht="13.5" customHeight="1" x14ac:dyDescent="0.2">
      <c r="B333" s="63"/>
      <c r="C333" s="83"/>
      <c r="D333" s="13"/>
    </row>
    <row r="334" spans="2:4" ht="13.5" customHeight="1" x14ac:dyDescent="0.2">
      <c r="B334" s="63"/>
      <c r="C334" s="83"/>
      <c r="D334" s="13"/>
    </row>
    <row r="335" spans="2:4" ht="13.5" customHeight="1" x14ac:dyDescent="0.2">
      <c r="B335" s="64"/>
      <c r="C335" s="84"/>
      <c r="D335" s="13"/>
    </row>
    <row r="336" spans="2:4" ht="13.5" customHeight="1" x14ac:dyDescent="0.2">
      <c r="B336" s="63"/>
      <c r="C336" s="83"/>
      <c r="D336" s="13"/>
    </row>
    <row r="337" spans="2:4" ht="13.5" customHeight="1" x14ac:dyDescent="0.2">
      <c r="B337" s="63"/>
      <c r="C337" s="83"/>
      <c r="D337" s="13"/>
    </row>
    <row r="338" spans="2:4" ht="13.5" customHeight="1" x14ac:dyDescent="0.2">
      <c r="B338" s="85"/>
      <c r="C338" s="83"/>
      <c r="D338" s="13"/>
    </row>
    <row r="339" spans="2:4" ht="13.5" customHeight="1" x14ac:dyDescent="0.2">
      <c r="B339" s="63"/>
      <c r="C339" s="83"/>
      <c r="D339" s="13"/>
    </row>
    <row r="340" spans="2:4" ht="13.5" customHeight="1" x14ac:dyDescent="0.2">
      <c r="B340" s="63"/>
      <c r="C340" s="84"/>
      <c r="D340" s="13"/>
    </row>
    <row r="341" spans="2:4" ht="13.5" customHeight="1" x14ac:dyDescent="0.2">
      <c r="B341" s="64"/>
      <c r="C341" s="83"/>
      <c r="D341" s="13"/>
    </row>
    <row r="342" spans="2:4" ht="13.5" customHeight="1" x14ac:dyDescent="0.2">
      <c r="B342" s="63"/>
      <c r="C342" s="83"/>
      <c r="D342" s="13"/>
    </row>
    <row r="343" spans="2:4" ht="13.5" customHeight="1" x14ac:dyDescent="0.2">
      <c r="B343" s="63"/>
      <c r="C343" s="84"/>
      <c r="D343" s="13"/>
    </row>
    <row r="344" spans="2:4" ht="13.5" customHeight="1" x14ac:dyDescent="0.2">
      <c r="B344" s="64"/>
      <c r="C344" s="84"/>
      <c r="D344" s="13"/>
    </row>
    <row r="345" spans="2:4" ht="13.5" customHeight="1" x14ac:dyDescent="0.2">
      <c r="B345" s="63"/>
      <c r="C345" s="83"/>
      <c r="D345" s="13"/>
    </row>
    <row r="346" spans="2:4" ht="13.5" customHeight="1" x14ac:dyDescent="0.2">
      <c r="B346" s="63"/>
      <c r="C346" s="84"/>
      <c r="D346" s="13"/>
    </row>
    <row r="347" spans="2:4" ht="13.5" customHeight="1" x14ac:dyDescent="0.2">
      <c r="B347" s="64"/>
      <c r="C347" s="84"/>
      <c r="D347" s="13"/>
    </row>
    <row r="348" spans="2:4" ht="13.5" customHeight="1" x14ac:dyDescent="0.2">
      <c r="B348" s="63"/>
      <c r="C348" s="83"/>
      <c r="D348" s="13"/>
    </row>
    <row r="349" spans="2:4" ht="13.5" customHeight="1" x14ac:dyDescent="0.2">
      <c r="B349" s="63"/>
      <c r="C349" s="83"/>
      <c r="D349" s="13"/>
    </row>
    <row r="350" spans="2:4" ht="13.5" customHeight="1" x14ac:dyDescent="0.2">
      <c r="B350" s="63"/>
      <c r="C350" s="82"/>
      <c r="D350" s="13"/>
    </row>
    <row r="351" spans="2:4" ht="13.5" customHeight="1" x14ac:dyDescent="0.2">
      <c r="B351" s="86"/>
      <c r="C351" s="82"/>
      <c r="D351" s="13"/>
    </row>
    <row r="352" spans="2:4" ht="13.5" customHeight="1" x14ac:dyDescent="0.2">
      <c r="B352" s="85"/>
      <c r="C352" s="82"/>
      <c r="D352" s="13"/>
    </row>
    <row r="353" spans="2:4" ht="13.5" customHeight="1" x14ac:dyDescent="0.2">
      <c r="B353" s="87"/>
      <c r="C353" s="82"/>
      <c r="D353" s="13"/>
    </row>
    <row r="354" spans="2:4" ht="13.5" customHeight="1" x14ac:dyDescent="0.2">
      <c r="B354" s="88"/>
      <c r="C354" s="82"/>
      <c r="D354" s="13"/>
    </row>
    <row r="355" spans="2:4" ht="13.5" customHeight="1" x14ac:dyDescent="0.2">
      <c r="B355" s="56"/>
      <c r="C355" s="89"/>
      <c r="D355" s="13"/>
    </row>
    <row r="356" spans="2:4" ht="13.5" customHeight="1" x14ac:dyDescent="0.2">
      <c r="B356" s="56"/>
      <c r="C356" s="90"/>
      <c r="D356" s="13"/>
    </row>
    <row r="357" spans="2:4" ht="13.5" customHeight="1" x14ac:dyDescent="0.2">
      <c r="B357" s="56"/>
      <c r="C357" s="89"/>
      <c r="D357" s="13"/>
    </row>
    <row r="358" spans="2:4" ht="13.5" customHeight="1" x14ac:dyDescent="0.2">
      <c r="C358" s="89"/>
      <c r="D358" s="13"/>
    </row>
    <row r="359" spans="2:4" ht="13.5" customHeight="1" x14ac:dyDescent="0.2">
      <c r="B359" s="56"/>
      <c r="C359" s="90"/>
      <c r="D359" s="13"/>
    </row>
    <row r="360" spans="2:4" ht="13.5" customHeight="1" x14ac:dyDescent="0.2">
      <c r="B360" s="56"/>
      <c r="C360" s="90"/>
      <c r="D360" s="13"/>
    </row>
    <row r="361" spans="2:4" ht="13.5" customHeight="1" x14ac:dyDescent="0.2">
      <c r="B361" s="56"/>
      <c r="C361" s="90"/>
      <c r="D361" s="12"/>
    </row>
    <row r="362" spans="2:4" ht="13.5" customHeight="1" x14ac:dyDescent="0.2">
      <c r="B362" s="27"/>
      <c r="C362" s="92"/>
      <c r="D362" s="12"/>
    </row>
    <row r="363" spans="2:4" ht="13.5" customHeight="1" x14ac:dyDescent="0.2">
      <c r="B363" s="27"/>
      <c r="C363" s="90"/>
      <c r="D363" s="12"/>
    </row>
    <row r="364" spans="2:4" ht="13.5" customHeight="1" x14ac:dyDescent="0.2">
      <c r="C364" s="92"/>
      <c r="D364" s="12"/>
    </row>
    <row r="365" spans="2:4" ht="13.5" customHeight="1" x14ac:dyDescent="0.2">
      <c r="B365" s="56"/>
      <c r="C365" s="89"/>
      <c r="D365" s="12"/>
    </row>
    <row r="366" spans="2:4" ht="13.5" customHeight="1" x14ac:dyDescent="0.2">
      <c r="B366" s="56"/>
      <c r="C366" s="89"/>
      <c r="D366" s="12"/>
    </row>
    <row r="367" spans="2:4" ht="13.5" customHeight="1" x14ac:dyDescent="0.2">
      <c r="B367" s="56"/>
      <c r="C367" s="89"/>
      <c r="D367" s="12"/>
    </row>
    <row r="368" spans="2:4" ht="13.5" customHeight="1" x14ac:dyDescent="0.2">
      <c r="B368" s="56"/>
      <c r="C368" s="89"/>
      <c r="D368" s="12"/>
    </row>
    <row r="369" spans="2:4" ht="13.5" customHeight="1" x14ac:dyDescent="0.2">
      <c r="B369" s="94"/>
      <c r="C369" s="95"/>
      <c r="D369" s="12"/>
    </row>
    <row r="370" spans="2:4" ht="13.5" customHeight="1" x14ac:dyDescent="0.2">
      <c r="D370" s="12"/>
    </row>
    <row r="371" spans="2:4" ht="13.5" customHeight="1" x14ac:dyDescent="0.2">
      <c r="D371" s="12"/>
    </row>
    <row r="372" spans="2:4" ht="13.5" customHeight="1" x14ac:dyDescent="0.2">
      <c r="D372" s="12"/>
    </row>
    <row r="373" spans="2:4" ht="13.5" customHeight="1" x14ac:dyDescent="0.2">
      <c r="D373" s="12"/>
    </row>
    <row r="374" spans="2:4" ht="13.5" customHeight="1" x14ac:dyDescent="0.2">
      <c r="D374" s="12"/>
    </row>
    <row r="375" spans="2:4" x14ac:dyDescent="0.2">
      <c r="D375" s="30"/>
    </row>
  </sheetData>
  <sortState xmlns:xlrd2="http://schemas.microsoft.com/office/spreadsheetml/2017/richdata2" ref="A77:C107">
    <sortCondition ref="A77:A107"/>
    <sortCondition ref="B77:B107"/>
  </sortState>
  <phoneticPr fontId="25" type="noConversion"/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L337"/>
  <sheetViews>
    <sheetView topLeftCell="D159" zoomScale="80" zoomScaleNormal="80" workbookViewId="0">
      <selection activeCell="G244" sqref="G244"/>
    </sheetView>
  </sheetViews>
  <sheetFormatPr defaultColWidth="9" defaultRowHeight="12.75" x14ac:dyDescent="0.2"/>
  <cols>
    <col min="1" max="1" width="14" style="96" customWidth="1"/>
    <col min="2" max="2" width="1.875" style="1" customWidth="1"/>
    <col min="3" max="3" width="95.875" style="1" customWidth="1"/>
    <col min="4" max="4" width="12" style="96" customWidth="1"/>
    <col min="5" max="5" width="12.375" style="18" customWidth="1"/>
    <col min="6" max="6" width="10.75" style="18" customWidth="1"/>
    <col min="7" max="7" width="11.875" style="18" customWidth="1"/>
    <col min="8" max="9" width="10.75" style="18" customWidth="1"/>
    <col min="10" max="10" width="10.875" style="66" customWidth="1"/>
    <col min="11" max="11" width="9" style="1"/>
    <col min="12" max="12" width="10.875" style="40" bestFit="1" customWidth="1"/>
    <col min="13" max="16384" width="9" style="1"/>
  </cols>
  <sheetData>
    <row r="1" spans="1:10" ht="13.5" customHeight="1" thickBot="1" x14ac:dyDescent="0.25">
      <c r="A1" s="1418" t="s">
        <v>845</v>
      </c>
      <c r="B1" s="1418"/>
      <c r="C1" s="1419"/>
      <c r="D1" s="1420" t="s">
        <v>0</v>
      </c>
      <c r="E1" s="1421"/>
      <c r="F1" s="1421"/>
      <c r="G1" s="1422"/>
      <c r="H1" s="1423" t="s">
        <v>1</v>
      </c>
      <c r="I1" s="1423"/>
      <c r="J1" s="1424"/>
    </row>
    <row r="2" spans="1:10" ht="13.5" customHeight="1" thickBot="1" x14ac:dyDescent="0.25">
      <c r="A2" s="2" t="s">
        <v>2</v>
      </c>
      <c r="B2" s="3"/>
      <c r="C2" s="3" t="s">
        <v>3</v>
      </c>
      <c r="D2" s="3" t="s">
        <v>4</v>
      </c>
      <c r="E2" s="4" t="s">
        <v>5</v>
      </c>
      <c r="F2" s="4" t="s">
        <v>6</v>
      </c>
      <c r="G2" s="329" t="s">
        <v>7</v>
      </c>
      <c r="H2" s="6" t="s">
        <v>5</v>
      </c>
      <c r="I2" s="4" t="s">
        <v>6</v>
      </c>
      <c r="J2" s="7" t="s">
        <v>7</v>
      </c>
    </row>
    <row r="3" spans="1:10" ht="13.5" customHeight="1" x14ac:dyDescent="0.2">
      <c r="A3" s="8">
        <v>43344</v>
      </c>
      <c r="B3" s="9"/>
      <c r="C3" s="10" t="s">
        <v>8</v>
      </c>
      <c r="D3" s="11"/>
      <c r="E3" s="330"/>
      <c r="F3" s="331"/>
      <c r="G3" s="332">
        <v>8434.6200000000008</v>
      </c>
      <c r="H3" s="15"/>
      <c r="I3" s="16"/>
      <c r="J3" s="17">
        <v>9060.3799999999992</v>
      </c>
    </row>
    <row r="4" spans="1:10" ht="13.5" customHeight="1" x14ac:dyDescent="0.2">
      <c r="A4" s="19"/>
      <c r="B4" s="20"/>
      <c r="C4" s="21" t="s">
        <v>9</v>
      </c>
      <c r="D4" s="11"/>
      <c r="E4" s="330"/>
      <c r="F4" s="333">
        <v>0</v>
      </c>
      <c r="G4" s="334"/>
      <c r="H4" s="24"/>
      <c r="I4" s="25"/>
      <c r="J4" s="26"/>
    </row>
    <row r="5" spans="1:10" ht="13.5" customHeight="1" x14ac:dyDescent="0.2">
      <c r="A5" s="19"/>
      <c r="B5" s="20"/>
      <c r="C5" s="21" t="s">
        <v>10</v>
      </c>
      <c r="D5" s="11"/>
      <c r="E5" s="330"/>
      <c r="F5" s="333">
        <v>0</v>
      </c>
      <c r="G5" s="334"/>
      <c r="H5" s="24"/>
      <c r="I5" s="25"/>
      <c r="J5" s="26"/>
    </row>
    <row r="6" spans="1:10" ht="13.5" customHeight="1" x14ac:dyDescent="0.2">
      <c r="A6" s="19">
        <v>43346</v>
      </c>
      <c r="B6" s="20"/>
      <c r="C6" s="34" t="s">
        <v>846</v>
      </c>
      <c r="D6" s="11"/>
      <c r="E6" s="330"/>
      <c r="F6" s="333"/>
      <c r="G6" s="334"/>
      <c r="H6" s="24">
        <v>30.48</v>
      </c>
      <c r="I6" s="25"/>
      <c r="J6" s="26"/>
    </row>
    <row r="7" spans="1:10" ht="13.5" customHeight="1" x14ac:dyDescent="0.2">
      <c r="A7" s="19"/>
      <c r="B7" s="20"/>
      <c r="C7" s="34" t="s">
        <v>847</v>
      </c>
      <c r="D7" s="11"/>
      <c r="E7" s="330"/>
      <c r="F7" s="333"/>
      <c r="G7" s="334"/>
      <c r="H7" s="24"/>
      <c r="I7" s="25">
        <v>220</v>
      </c>
      <c r="J7" s="26"/>
    </row>
    <row r="8" spans="1:10" ht="13.5" customHeight="1" x14ac:dyDescent="0.2">
      <c r="A8" s="19"/>
      <c r="B8" s="20"/>
      <c r="C8" s="34" t="s">
        <v>848</v>
      </c>
      <c r="D8" s="11"/>
      <c r="E8" s="330"/>
      <c r="F8" s="333"/>
      <c r="G8" s="334"/>
      <c r="H8" s="24">
        <v>72.8</v>
      </c>
      <c r="I8" s="25"/>
      <c r="J8" s="26"/>
    </row>
    <row r="9" spans="1:10" ht="13.5" customHeight="1" x14ac:dyDescent="0.2">
      <c r="A9" s="19"/>
      <c r="B9" s="20"/>
      <c r="C9" s="34" t="s">
        <v>849</v>
      </c>
      <c r="D9" s="11"/>
      <c r="E9" s="330"/>
      <c r="F9" s="333"/>
      <c r="G9" s="334"/>
      <c r="H9" s="24">
        <v>23.25</v>
      </c>
      <c r="I9" s="25"/>
      <c r="J9" s="26"/>
    </row>
    <row r="10" spans="1:10" ht="13.5" customHeight="1" x14ac:dyDescent="0.2">
      <c r="A10" s="19"/>
      <c r="B10" s="20"/>
      <c r="C10" s="34" t="s">
        <v>850</v>
      </c>
      <c r="D10" s="11"/>
      <c r="E10" s="330"/>
      <c r="F10" s="333"/>
      <c r="G10" s="334"/>
      <c r="H10" s="24">
        <v>13.9</v>
      </c>
      <c r="I10" s="25"/>
      <c r="J10" s="26">
        <v>9139.9500000000007</v>
      </c>
    </row>
    <row r="11" spans="1:10" ht="13.5" customHeight="1" x14ac:dyDescent="0.2">
      <c r="A11" s="19">
        <v>43347</v>
      </c>
      <c r="B11" s="20"/>
      <c r="C11" s="34" t="s">
        <v>851</v>
      </c>
      <c r="D11" s="11"/>
      <c r="E11" s="330"/>
      <c r="F11" s="333"/>
      <c r="G11" s="334"/>
      <c r="H11" s="24">
        <v>10</v>
      </c>
      <c r="I11" s="25"/>
      <c r="J11" s="26"/>
    </row>
    <row r="12" spans="1:10" ht="13.5" customHeight="1" x14ac:dyDescent="0.2">
      <c r="A12" s="19"/>
      <c r="B12" s="20"/>
      <c r="C12" s="34" t="s">
        <v>852</v>
      </c>
      <c r="D12" s="11"/>
      <c r="E12" s="330"/>
      <c r="F12" s="333"/>
      <c r="G12" s="334"/>
      <c r="H12" s="24">
        <v>17.899999999999999</v>
      </c>
      <c r="I12" s="25"/>
      <c r="J12" s="26"/>
    </row>
    <row r="13" spans="1:10" ht="13.5" customHeight="1" x14ac:dyDescent="0.2">
      <c r="A13" s="19"/>
      <c r="B13" s="20"/>
      <c r="C13" s="34" t="s">
        <v>853</v>
      </c>
      <c r="D13" s="11"/>
      <c r="E13" s="330"/>
      <c r="F13" s="333"/>
      <c r="G13" s="334"/>
      <c r="H13" s="24">
        <v>9.3000000000000007</v>
      </c>
      <c r="I13" s="25"/>
      <c r="J13" s="26"/>
    </row>
    <row r="14" spans="1:10" ht="13.5" customHeight="1" x14ac:dyDescent="0.2">
      <c r="A14" s="19"/>
      <c r="B14" s="20"/>
      <c r="C14" s="34" t="s">
        <v>854</v>
      </c>
      <c r="D14" s="11"/>
      <c r="E14" s="330"/>
      <c r="F14" s="333"/>
      <c r="G14" s="334"/>
      <c r="H14" s="24"/>
      <c r="I14" s="25">
        <v>1020</v>
      </c>
      <c r="J14" s="26"/>
    </row>
    <row r="15" spans="1:10" ht="13.5" customHeight="1" x14ac:dyDescent="0.2">
      <c r="A15" s="19"/>
      <c r="B15" s="20"/>
      <c r="C15" s="34" t="s">
        <v>855</v>
      </c>
      <c r="D15" s="11"/>
      <c r="E15" s="330"/>
      <c r="F15" s="333"/>
      <c r="G15" s="334"/>
      <c r="H15" s="24">
        <v>350</v>
      </c>
      <c r="I15" s="25"/>
      <c r="J15" s="26">
        <v>9772.75</v>
      </c>
    </row>
    <row r="16" spans="1:10" ht="13.5" customHeight="1" x14ac:dyDescent="0.2">
      <c r="A16" s="29"/>
      <c r="B16" s="27"/>
      <c r="C16" s="33" t="s">
        <v>856</v>
      </c>
      <c r="D16" s="29" t="s">
        <v>857</v>
      </c>
      <c r="E16" s="282"/>
      <c r="F16" s="282">
        <v>5000</v>
      </c>
      <c r="G16" s="334"/>
      <c r="H16" s="335"/>
      <c r="I16" s="335"/>
      <c r="J16" s="336"/>
    </row>
    <row r="17" spans="1:10" ht="13.5" customHeight="1" x14ac:dyDescent="0.2">
      <c r="A17" s="29"/>
      <c r="B17" s="27"/>
      <c r="C17" s="33" t="s">
        <v>858</v>
      </c>
      <c r="D17" s="29" t="s">
        <v>859</v>
      </c>
      <c r="E17" s="282">
        <v>-600</v>
      </c>
      <c r="F17" s="282"/>
      <c r="G17" s="334">
        <v>12834.62</v>
      </c>
      <c r="H17" s="335"/>
      <c r="I17" s="335"/>
      <c r="J17" s="336"/>
    </row>
    <row r="18" spans="1:10" ht="13.5" customHeight="1" x14ac:dyDescent="0.2">
      <c r="A18" s="19">
        <v>43348</v>
      </c>
      <c r="B18" s="20"/>
      <c r="C18" s="34" t="s">
        <v>860</v>
      </c>
      <c r="D18" s="11"/>
      <c r="E18" s="330"/>
      <c r="F18" s="333"/>
      <c r="G18" s="334"/>
      <c r="H18" s="24"/>
      <c r="I18" s="25">
        <v>1500</v>
      </c>
      <c r="J18" s="26"/>
    </row>
    <row r="19" spans="1:10" ht="13.5" customHeight="1" x14ac:dyDescent="0.2">
      <c r="A19" s="19"/>
      <c r="B19" s="20"/>
      <c r="C19" s="34" t="s">
        <v>861</v>
      </c>
      <c r="D19" s="11"/>
      <c r="E19" s="330"/>
      <c r="F19" s="333"/>
      <c r="G19" s="334"/>
      <c r="H19" s="24">
        <v>9.25</v>
      </c>
      <c r="I19" s="25"/>
      <c r="J19" s="26"/>
    </row>
    <row r="20" spans="1:10" ht="13.5" customHeight="1" x14ac:dyDescent="0.2">
      <c r="A20" s="19"/>
      <c r="B20" s="20"/>
      <c r="C20" s="34" t="s">
        <v>862</v>
      </c>
      <c r="D20" s="11"/>
      <c r="E20" s="330"/>
      <c r="F20" s="333"/>
      <c r="G20" s="334"/>
      <c r="H20" s="24">
        <v>50</v>
      </c>
      <c r="I20" s="25"/>
      <c r="J20" s="26">
        <v>11213.5</v>
      </c>
    </row>
    <row r="21" spans="1:10" ht="13.5" customHeight="1" x14ac:dyDescent="0.2">
      <c r="A21" s="29"/>
      <c r="B21" s="27"/>
      <c r="C21" s="34" t="s">
        <v>53</v>
      </c>
      <c r="D21" s="29" t="s">
        <v>863</v>
      </c>
      <c r="E21" s="282">
        <v>-511.71</v>
      </c>
      <c r="F21" s="282"/>
      <c r="G21" s="334"/>
      <c r="H21" s="335"/>
      <c r="I21" s="335"/>
      <c r="J21" s="336"/>
    </row>
    <row r="22" spans="1:10" ht="13.5" customHeight="1" x14ac:dyDescent="0.2">
      <c r="A22" s="29"/>
      <c r="B22" s="27"/>
      <c r="C22" s="33" t="s">
        <v>864</v>
      </c>
      <c r="D22" s="29" t="s">
        <v>19</v>
      </c>
      <c r="E22" s="282">
        <v>-17</v>
      </c>
      <c r="F22" s="282"/>
      <c r="G22" s="334"/>
      <c r="H22" s="335"/>
      <c r="I22" s="335"/>
      <c r="J22" s="336"/>
    </row>
    <row r="23" spans="1:10" ht="13.5" customHeight="1" x14ac:dyDescent="0.2">
      <c r="A23" s="29"/>
      <c r="B23" s="27"/>
      <c r="C23" s="34" t="s">
        <v>55</v>
      </c>
      <c r="D23" s="29" t="s">
        <v>19</v>
      </c>
      <c r="E23" s="282">
        <v>-400</v>
      </c>
      <c r="F23" s="282"/>
      <c r="G23" s="334"/>
      <c r="H23" s="335"/>
      <c r="I23" s="335"/>
      <c r="J23" s="336"/>
    </row>
    <row r="24" spans="1:10" ht="13.5" customHeight="1" x14ac:dyDescent="0.2">
      <c r="A24" s="29"/>
      <c r="B24" s="27"/>
      <c r="C24" s="34" t="s">
        <v>20</v>
      </c>
      <c r="D24" s="29" t="s">
        <v>19</v>
      </c>
      <c r="E24" s="282"/>
      <c r="F24" s="282">
        <v>0.14000000000000001</v>
      </c>
      <c r="G24" s="334" t="s">
        <v>865</v>
      </c>
      <c r="H24" s="335"/>
      <c r="I24" s="335"/>
      <c r="J24" s="336"/>
    </row>
    <row r="25" spans="1:10" ht="13.5" customHeight="1" x14ac:dyDescent="0.2">
      <c r="A25" s="19">
        <v>43349</v>
      </c>
      <c r="B25" s="20"/>
      <c r="C25" s="34" t="s">
        <v>866</v>
      </c>
      <c r="D25" s="11"/>
      <c r="E25" s="330"/>
      <c r="F25" s="333"/>
      <c r="G25" s="334"/>
      <c r="H25" s="24">
        <v>5000</v>
      </c>
      <c r="I25" s="25"/>
      <c r="J25" s="26">
        <v>6213.5</v>
      </c>
    </row>
    <row r="26" spans="1:10" ht="13.5" customHeight="1" x14ac:dyDescent="0.2">
      <c r="A26" s="29"/>
      <c r="B26" s="27"/>
      <c r="C26" s="33" t="s">
        <v>867</v>
      </c>
      <c r="D26" s="29" t="s">
        <v>868</v>
      </c>
      <c r="E26" s="282">
        <v>-500</v>
      </c>
      <c r="F26" s="282"/>
      <c r="G26" s="334"/>
      <c r="H26" s="335"/>
      <c r="I26" s="335"/>
      <c r="J26" s="336"/>
    </row>
    <row r="27" spans="1:10" ht="13.5" customHeight="1" x14ac:dyDescent="0.2">
      <c r="A27" s="29"/>
      <c r="B27" s="27"/>
      <c r="C27" s="33" t="s">
        <v>869</v>
      </c>
      <c r="D27" s="29" t="s">
        <v>870</v>
      </c>
      <c r="E27" s="282">
        <v>-1500</v>
      </c>
      <c r="F27" s="282"/>
      <c r="G27" s="334"/>
      <c r="H27" s="335"/>
      <c r="I27" s="335"/>
      <c r="J27" s="336"/>
    </row>
    <row r="28" spans="1:10" ht="13.5" customHeight="1" x14ac:dyDescent="0.2">
      <c r="A28" s="29"/>
      <c r="B28" s="27"/>
      <c r="C28" s="34" t="s">
        <v>20</v>
      </c>
      <c r="D28" s="29" t="s">
        <v>19</v>
      </c>
      <c r="E28" s="282"/>
      <c r="F28" s="337">
        <v>0.36</v>
      </c>
      <c r="G28" s="334" t="s">
        <v>871</v>
      </c>
      <c r="H28" s="335"/>
      <c r="I28" s="335"/>
      <c r="J28" s="336"/>
    </row>
    <row r="29" spans="1:10" ht="13.5" customHeight="1" x14ac:dyDescent="0.2">
      <c r="A29" s="19">
        <v>43353</v>
      </c>
      <c r="B29" s="20"/>
      <c r="C29" s="34" t="s">
        <v>701</v>
      </c>
      <c r="D29" s="11"/>
      <c r="E29" s="330"/>
      <c r="F29" s="333"/>
      <c r="G29" s="334"/>
      <c r="H29" s="24">
        <v>8.5</v>
      </c>
      <c r="I29" s="25"/>
      <c r="J29" s="338"/>
    </row>
    <row r="30" spans="1:10" ht="13.5" customHeight="1" x14ac:dyDescent="0.2">
      <c r="A30" s="19"/>
      <c r="B30" s="20"/>
      <c r="C30" s="34" t="s">
        <v>872</v>
      </c>
      <c r="D30" s="11"/>
      <c r="E30" s="330"/>
      <c r="F30" s="333"/>
      <c r="G30" s="334"/>
      <c r="H30" s="24">
        <v>9.8000000000000007</v>
      </c>
      <c r="I30" s="25"/>
      <c r="J30" s="26"/>
    </row>
    <row r="31" spans="1:10" ht="13.5" customHeight="1" x14ac:dyDescent="0.2">
      <c r="A31" s="19"/>
      <c r="B31" s="20"/>
      <c r="C31" s="34" t="s">
        <v>873</v>
      </c>
      <c r="D31" s="11"/>
      <c r="E31" s="330"/>
      <c r="F31" s="333"/>
      <c r="G31" s="334"/>
      <c r="H31" s="24">
        <v>12</v>
      </c>
      <c r="I31" s="25"/>
      <c r="J31" s="26"/>
    </row>
    <row r="32" spans="1:10" ht="13.5" customHeight="1" x14ac:dyDescent="0.2">
      <c r="A32" s="19"/>
      <c r="B32" s="20"/>
      <c r="C32" s="34" t="s">
        <v>874</v>
      </c>
      <c r="D32" s="11"/>
      <c r="E32" s="330"/>
      <c r="F32" s="333"/>
      <c r="G32" s="334"/>
      <c r="H32" s="24">
        <v>5.99</v>
      </c>
      <c r="I32" s="25"/>
      <c r="J32" s="336"/>
    </row>
    <row r="33" spans="1:10" ht="13.5" customHeight="1" x14ac:dyDescent="0.2">
      <c r="A33" s="19"/>
      <c r="B33" s="20"/>
      <c r="C33" s="34" t="s">
        <v>875</v>
      </c>
      <c r="D33" s="11"/>
      <c r="E33" s="330"/>
      <c r="F33" s="333"/>
      <c r="G33" s="334"/>
      <c r="H33" s="24">
        <v>63.05</v>
      </c>
      <c r="I33" s="25"/>
      <c r="J33" s="26"/>
    </row>
    <row r="34" spans="1:10" ht="13.5" customHeight="1" x14ac:dyDescent="0.2">
      <c r="A34" s="19"/>
      <c r="B34" s="20"/>
      <c r="C34" s="34" t="s">
        <v>876</v>
      </c>
      <c r="D34" s="11"/>
      <c r="E34" s="330"/>
      <c r="F34" s="333"/>
      <c r="G34" s="334"/>
      <c r="H34" s="24"/>
      <c r="I34" s="25">
        <v>1975.42</v>
      </c>
      <c r="J34" s="26"/>
    </row>
    <row r="35" spans="1:10" ht="13.5" customHeight="1" x14ac:dyDescent="0.2">
      <c r="A35" s="19"/>
      <c r="B35" s="20"/>
      <c r="C35" s="34" t="s">
        <v>877</v>
      </c>
      <c r="D35" s="11"/>
      <c r="E35" s="330"/>
      <c r="F35" s="333"/>
      <c r="G35" s="334"/>
      <c r="H35" s="24"/>
      <c r="I35" s="25">
        <v>1518.68</v>
      </c>
      <c r="J35" s="26"/>
    </row>
    <row r="36" spans="1:10" ht="13.5" customHeight="1" x14ac:dyDescent="0.2">
      <c r="A36" s="19"/>
      <c r="B36" s="20"/>
      <c r="C36" s="34" t="s">
        <v>878</v>
      </c>
      <c r="D36" s="11"/>
      <c r="E36" s="330"/>
      <c r="F36" s="333"/>
      <c r="G36" s="334"/>
      <c r="H36" s="174">
        <v>942</v>
      </c>
      <c r="I36" s="25"/>
      <c r="J36" s="26"/>
    </row>
    <row r="37" spans="1:10" ht="13.5" customHeight="1" x14ac:dyDescent="0.2">
      <c r="A37" s="19"/>
      <c r="B37" s="20"/>
      <c r="C37" s="34" t="s">
        <v>458</v>
      </c>
      <c r="D37" s="11"/>
      <c r="E37" s="330"/>
      <c r="F37" s="333"/>
      <c r="G37" s="334"/>
      <c r="H37" s="174">
        <v>190</v>
      </c>
      <c r="I37" s="25"/>
      <c r="J37" s="26"/>
    </row>
    <row r="38" spans="1:10" ht="13.5" customHeight="1" x14ac:dyDescent="0.2">
      <c r="A38" s="19"/>
      <c r="B38" s="20"/>
      <c r="C38" s="34" t="s">
        <v>879</v>
      </c>
      <c r="D38" s="11"/>
      <c r="E38" s="12"/>
      <c r="F38" s="22"/>
      <c r="G38" s="23"/>
      <c r="H38" s="24"/>
      <c r="I38" s="25">
        <v>185</v>
      </c>
      <c r="J38" s="26"/>
    </row>
    <row r="39" spans="1:10" ht="13.5" customHeight="1" x14ac:dyDescent="0.2">
      <c r="A39" s="19"/>
      <c r="B39" s="20"/>
      <c r="C39" s="34" t="s">
        <v>701</v>
      </c>
      <c r="D39" s="11"/>
      <c r="E39" s="12"/>
      <c r="F39" s="22"/>
      <c r="G39" s="23"/>
      <c r="H39" s="24">
        <v>11</v>
      </c>
      <c r="I39" s="25"/>
      <c r="J39" s="26"/>
    </row>
    <row r="40" spans="1:10" ht="13.5" customHeight="1" x14ac:dyDescent="0.2">
      <c r="A40" s="19"/>
      <c r="B40" s="20"/>
      <c r="C40" s="34" t="s">
        <v>880</v>
      </c>
      <c r="D40" s="11"/>
      <c r="E40" s="12"/>
      <c r="F40" s="22"/>
      <c r="G40" s="23"/>
      <c r="H40" s="24">
        <v>570</v>
      </c>
      <c r="I40" s="25"/>
      <c r="J40" s="336"/>
    </row>
    <row r="41" spans="1:10" ht="13.5" customHeight="1" x14ac:dyDescent="0.2">
      <c r="A41" s="19"/>
      <c r="B41" s="20"/>
      <c r="C41" s="34" t="s">
        <v>881</v>
      </c>
      <c r="D41" s="11"/>
      <c r="E41" s="12"/>
      <c r="F41" s="22"/>
      <c r="G41" s="23"/>
      <c r="H41" s="24">
        <v>330</v>
      </c>
      <c r="I41" s="25"/>
      <c r="J41" s="26"/>
    </row>
    <row r="42" spans="1:10" ht="13.5" customHeight="1" x14ac:dyDescent="0.2">
      <c r="A42" s="19"/>
      <c r="B42" s="20"/>
      <c r="C42" s="34" t="s">
        <v>882</v>
      </c>
      <c r="D42" s="11"/>
      <c r="E42" s="12"/>
      <c r="F42" s="22"/>
      <c r="G42" s="23"/>
      <c r="H42" s="24">
        <v>23.52</v>
      </c>
      <c r="I42" s="25"/>
      <c r="J42" s="26">
        <v>7726.74</v>
      </c>
    </row>
    <row r="43" spans="1:10" ht="13.5" customHeight="1" x14ac:dyDescent="0.2">
      <c r="A43" s="29"/>
      <c r="B43" s="27"/>
      <c r="C43" s="34" t="s">
        <v>62</v>
      </c>
      <c r="D43" s="29" t="s">
        <v>19</v>
      </c>
      <c r="E43" s="226">
        <v>-441.93</v>
      </c>
      <c r="F43" s="225"/>
      <c r="G43" s="23"/>
      <c r="H43" s="335"/>
      <c r="I43" s="335"/>
      <c r="J43" s="336"/>
    </row>
    <row r="44" spans="1:10" ht="13.5" customHeight="1" x14ac:dyDescent="0.2">
      <c r="A44" s="29"/>
      <c r="B44" s="27"/>
      <c r="C44" s="34" t="s">
        <v>82</v>
      </c>
      <c r="D44" s="29" t="s">
        <v>883</v>
      </c>
      <c r="E44" s="226">
        <v>-337.47</v>
      </c>
      <c r="F44" s="225"/>
      <c r="G44" s="23"/>
      <c r="H44" s="335"/>
      <c r="I44" s="335"/>
      <c r="J44" s="336"/>
    </row>
    <row r="45" spans="1:10" ht="13.5" customHeight="1" x14ac:dyDescent="0.2">
      <c r="A45" s="29"/>
      <c r="B45" s="27"/>
      <c r="C45" s="34" t="s">
        <v>68</v>
      </c>
      <c r="D45" s="29" t="s">
        <v>884</v>
      </c>
      <c r="E45" s="226">
        <v>-129.9</v>
      </c>
      <c r="F45" s="225"/>
      <c r="G45" s="23"/>
      <c r="H45" s="335"/>
      <c r="I45" s="335"/>
      <c r="J45" s="336"/>
    </row>
    <row r="46" spans="1:10" ht="13.5" customHeight="1" x14ac:dyDescent="0.2">
      <c r="A46" s="29"/>
      <c r="B46" s="27"/>
      <c r="C46" s="34" t="s">
        <v>878</v>
      </c>
      <c r="D46" s="29" t="s">
        <v>885</v>
      </c>
      <c r="E46" s="225"/>
      <c r="F46" s="339">
        <v>942</v>
      </c>
      <c r="G46" s="23"/>
      <c r="H46" s="335"/>
      <c r="I46" s="335"/>
      <c r="J46" s="336"/>
    </row>
    <row r="47" spans="1:10" ht="13.5" customHeight="1" x14ac:dyDescent="0.2">
      <c r="A47" s="29"/>
      <c r="B47" s="27"/>
      <c r="C47" s="34" t="s">
        <v>458</v>
      </c>
      <c r="D47" s="29" t="s">
        <v>886</v>
      </c>
      <c r="E47" s="225"/>
      <c r="F47" s="339">
        <v>190</v>
      </c>
      <c r="G47" s="23"/>
      <c r="H47" s="335"/>
      <c r="I47" s="335"/>
      <c r="J47" s="336"/>
    </row>
    <row r="48" spans="1:10" ht="13.5" customHeight="1" x14ac:dyDescent="0.2">
      <c r="A48" s="29"/>
      <c r="B48" s="27"/>
      <c r="C48" s="34" t="s">
        <v>20</v>
      </c>
      <c r="D48" s="29" t="s">
        <v>19</v>
      </c>
      <c r="E48" s="225"/>
      <c r="F48" s="226">
        <v>0.37</v>
      </c>
      <c r="G48" s="23" t="s">
        <v>887</v>
      </c>
      <c r="H48" s="335"/>
      <c r="I48" s="335"/>
      <c r="J48" s="336"/>
    </row>
    <row r="49" spans="1:10" ht="13.5" customHeight="1" x14ac:dyDescent="0.2">
      <c r="A49" s="19">
        <v>43354</v>
      </c>
      <c r="B49" s="20"/>
      <c r="C49" s="34" t="s">
        <v>888</v>
      </c>
      <c r="D49" s="11"/>
      <c r="E49" s="12"/>
      <c r="F49" s="22"/>
      <c r="G49" s="23"/>
      <c r="H49" s="24">
        <v>55.6</v>
      </c>
      <c r="I49" s="25"/>
      <c r="J49" s="26"/>
    </row>
    <row r="50" spans="1:10" ht="13.5" customHeight="1" x14ac:dyDescent="0.2">
      <c r="A50" s="19"/>
      <c r="B50" s="20"/>
      <c r="C50" s="34" t="s">
        <v>889</v>
      </c>
      <c r="D50" s="11"/>
      <c r="E50" s="12"/>
      <c r="F50" s="22"/>
      <c r="G50" s="23"/>
      <c r="H50" s="24">
        <v>43</v>
      </c>
      <c r="I50" s="25"/>
      <c r="J50" s="336"/>
    </row>
    <row r="51" spans="1:10" ht="13.5" customHeight="1" x14ac:dyDescent="0.2">
      <c r="A51" s="46"/>
      <c r="B51" s="46"/>
      <c r="C51" s="34" t="s">
        <v>890</v>
      </c>
      <c r="D51" s="42"/>
      <c r="E51" s="43"/>
      <c r="F51" s="43"/>
      <c r="G51" s="23"/>
      <c r="H51" s="24"/>
      <c r="I51" s="25">
        <v>60</v>
      </c>
      <c r="J51" s="26"/>
    </row>
    <row r="52" spans="1:10" ht="13.5" customHeight="1" x14ac:dyDescent="0.2">
      <c r="A52" s="46"/>
      <c r="B52" s="46"/>
      <c r="C52" s="34" t="s">
        <v>554</v>
      </c>
      <c r="D52" s="42"/>
      <c r="E52" s="43"/>
      <c r="F52" s="43"/>
      <c r="G52" s="23"/>
      <c r="H52" s="24">
        <v>70</v>
      </c>
      <c r="I52" s="25"/>
      <c r="J52" s="26"/>
    </row>
    <row r="53" spans="1:10" ht="13.5" customHeight="1" x14ac:dyDescent="0.2">
      <c r="A53" s="19"/>
      <c r="B53" s="20"/>
      <c r="C53" s="34" t="s">
        <v>891</v>
      </c>
      <c r="D53" s="11"/>
      <c r="E53" s="12"/>
      <c r="F53" s="22"/>
      <c r="G53" s="23"/>
      <c r="H53" s="24">
        <v>150</v>
      </c>
      <c r="I53" s="25"/>
      <c r="J53" s="26"/>
    </row>
    <row r="54" spans="1:10" ht="13.5" customHeight="1" x14ac:dyDescent="0.2">
      <c r="A54" s="19"/>
      <c r="B54" s="20"/>
      <c r="C54" s="34" t="s">
        <v>891</v>
      </c>
      <c r="D54" s="11"/>
      <c r="E54" s="12"/>
      <c r="F54" s="22"/>
      <c r="G54" s="23"/>
      <c r="H54" s="24">
        <v>384</v>
      </c>
      <c r="I54" s="25"/>
      <c r="J54" s="26"/>
    </row>
    <row r="55" spans="1:10" ht="13.5" customHeight="1" x14ac:dyDescent="0.2">
      <c r="A55" s="19"/>
      <c r="B55" s="20"/>
      <c r="C55" s="34" t="s">
        <v>892</v>
      </c>
      <c r="D55" s="11"/>
      <c r="E55" s="12"/>
      <c r="F55" s="22"/>
      <c r="G55" s="23"/>
      <c r="H55" s="24"/>
      <c r="I55" s="25">
        <v>190</v>
      </c>
      <c r="J55" s="336"/>
    </row>
    <row r="56" spans="1:10" ht="13.5" customHeight="1" x14ac:dyDescent="0.2">
      <c r="A56" s="19"/>
      <c r="B56" s="20"/>
      <c r="C56" s="34" t="s">
        <v>893</v>
      </c>
      <c r="D56" s="11"/>
      <c r="E56" s="12"/>
      <c r="F56" s="22"/>
      <c r="G56" s="23"/>
      <c r="H56" s="24">
        <v>100</v>
      </c>
      <c r="I56" s="25"/>
      <c r="J56" s="26">
        <v>7174.14</v>
      </c>
    </row>
    <row r="57" spans="1:10" ht="13.5" customHeight="1" x14ac:dyDescent="0.2">
      <c r="A57" s="29"/>
      <c r="B57" s="27"/>
      <c r="C57" s="33" t="s">
        <v>555</v>
      </c>
      <c r="D57" s="29" t="s">
        <v>19</v>
      </c>
      <c r="E57" s="226">
        <v>-44.61</v>
      </c>
      <c r="F57" s="225"/>
      <c r="G57" s="23"/>
      <c r="H57" s="335"/>
      <c r="I57" s="335"/>
      <c r="J57" s="336"/>
    </row>
    <row r="58" spans="1:10" ht="13.5" customHeight="1" x14ac:dyDescent="0.2">
      <c r="A58" s="29"/>
      <c r="B58" s="27"/>
      <c r="C58" s="33" t="s">
        <v>555</v>
      </c>
      <c r="D58" s="29" t="s">
        <v>19</v>
      </c>
      <c r="E58" s="226">
        <v>-56.73</v>
      </c>
      <c r="F58" s="225"/>
      <c r="G58" s="23"/>
      <c r="H58" s="335"/>
      <c r="I58" s="335"/>
      <c r="J58" s="336"/>
    </row>
    <row r="59" spans="1:10" ht="13.5" customHeight="1" x14ac:dyDescent="0.2">
      <c r="A59" s="29"/>
      <c r="B59" s="27"/>
      <c r="C59" s="34" t="s">
        <v>20</v>
      </c>
      <c r="D59" s="29" t="s">
        <v>19</v>
      </c>
      <c r="E59" s="225"/>
      <c r="F59" s="226">
        <v>0.02</v>
      </c>
      <c r="G59" s="23" t="s">
        <v>894</v>
      </c>
      <c r="H59" s="335"/>
      <c r="I59" s="335"/>
      <c r="J59" s="336"/>
    </row>
    <row r="60" spans="1:10" ht="13.5" customHeight="1" x14ac:dyDescent="0.2">
      <c r="A60" s="19">
        <v>43355</v>
      </c>
      <c r="B60" s="20"/>
      <c r="C60" s="21" t="s">
        <v>895</v>
      </c>
      <c r="D60" s="11"/>
      <c r="E60" s="12"/>
      <c r="F60" s="22"/>
      <c r="G60" s="23"/>
      <c r="H60" s="24"/>
      <c r="I60" s="25">
        <v>554</v>
      </c>
      <c r="J60" s="26"/>
    </row>
    <row r="61" spans="1:10" ht="13.5" customHeight="1" x14ac:dyDescent="0.2">
      <c r="A61" s="19"/>
      <c r="B61" s="20"/>
      <c r="C61" s="21" t="s">
        <v>701</v>
      </c>
      <c r="D61" s="11"/>
      <c r="E61" s="12"/>
      <c r="F61" s="22"/>
      <c r="G61" s="23"/>
      <c r="H61" s="24">
        <v>11</v>
      </c>
      <c r="I61" s="25"/>
      <c r="J61" s="26"/>
    </row>
    <row r="62" spans="1:10" ht="13.5" customHeight="1" x14ac:dyDescent="0.2">
      <c r="A62" s="19"/>
      <c r="B62" s="20"/>
      <c r="C62" s="34" t="s">
        <v>701</v>
      </c>
      <c r="D62" s="11"/>
      <c r="E62" s="12"/>
      <c r="F62" s="22"/>
      <c r="G62" s="23"/>
      <c r="H62" s="24">
        <v>11</v>
      </c>
      <c r="I62" s="25"/>
      <c r="J62" s="26"/>
    </row>
    <row r="63" spans="1:10" ht="13.5" customHeight="1" x14ac:dyDescent="0.2">
      <c r="A63" s="19"/>
      <c r="B63" s="20"/>
      <c r="C63" s="21" t="s">
        <v>701</v>
      </c>
      <c r="D63" s="11"/>
      <c r="E63" s="12"/>
      <c r="F63" s="22"/>
      <c r="G63" s="23"/>
      <c r="H63" s="24">
        <v>11</v>
      </c>
      <c r="I63" s="25"/>
      <c r="J63" s="26"/>
    </row>
    <row r="64" spans="1:10" ht="13.5" customHeight="1" x14ac:dyDescent="0.2">
      <c r="A64" s="19"/>
      <c r="B64" s="20"/>
      <c r="C64" s="21" t="s">
        <v>896</v>
      </c>
      <c r="D64" s="11"/>
      <c r="E64" s="12"/>
      <c r="F64" s="22"/>
      <c r="G64" s="23"/>
      <c r="H64" s="24"/>
      <c r="I64" s="25">
        <v>80</v>
      </c>
      <c r="J64" s="26"/>
    </row>
    <row r="65" spans="1:10" ht="13.5" customHeight="1" x14ac:dyDescent="0.2">
      <c r="A65" s="19"/>
      <c r="B65" s="20"/>
      <c r="C65" s="21" t="s">
        <v>897</v>
      </c>
      <c r="D65" s="11"/>
      <c r="E65" s="12"/>
      <c r="F65" s="22"/>
      <c r="G65" s="23"/>
      <c r="H65" s="24">
        <v>60</v>
      </c>
      <c r="I65" s="25"/>
      <c r="J65" s="26">
        <v>7715.14</v>
      </c>
    </row>
    <row r="66" spans="1:10" ht="13.5" customHeight="1" x14ac:dyDescent="0.2">
      <c r="A66" s="29"/>
      <c r="B66" s="27"/>
      <c r="C66" s="45" t="s">
        <v>898</v>
      </c>
      <c r="D66" s="29" t="s">
        <v>19</v>
      </c>
      <c r="E66" s="226">
        <v>-55.44</v>
      </c>
      <c r="F66" s="225"/>
      <c r="G66" s="23"/>
      <c r="H66" s="335"/>
      <c r="I66" s="335"/>
      <c r="J66" s="336"/>
    </row>
    <row r="67" spans="1:10" ht="13.5" customHeight="1" x14ac:dyDescent="0.2">
      <c r="A67" s="29"/>
      <c r="B67" s="27"/>
      <c r="C67" s="34" t="s">
        <v>20</v>
      </c>
      <c r="D67" s="29" t="s">
        <v>19</v>
      </c>
      <c r="E67" s="225"/>
      <c r="F67" s="226">
        <v>0.01</v>
      </c>
      <c r="G67" s="23" t="s">
        <v>899</v>
      </c>
      <c r="H67" s="335"/>
      <c r="I67" s="335"/>
      <c r="J67" s="336"/>
    </row>
    <row r="68" spans="1:10" ht="13.5" customHeight="1" x14ac:dyDescent="0.2">
      <c r="A68" s="19">
        <v>43356</v>
      </c>
      <c r="B68" s="20"/>
      <c r="C68" s="34" t="s">
        <v>567</v>
      </c>
      <c r="D68" s="11"/>
      <c r="E68" s="12"/>
      <c r="F68" s="22"/>
      <c r="G68" s="23"/>
      <c r="H68" s="174">
        <v>185</v>
      </c>
      <c r="I68" s="25"/>
      <c r="J68" s="26"/>
    </row>
    <row r="69" spans="1:10" ht="13.5" customHeight="1" x14ac:dyDescent="0.2">
      <c r="A69" s="19"/>
      <c r="B69" s="20"/>
      <c r="C69" s="34" t="s">
        <v>900</v>
      </c>
      <c r="D69" s="11"/>
      <c r="E69" s="12"/>
      <c r="F69" s="22"/>
      <c r="G69" s="23"/>
      <c r="H69" s="24">
        <v>200</v>
      </c>
      <c r="I69" s="25"/>
      <c r="J69" s="26"/>
    </row>
    <row r="70" spans="1:10" ht="13.5" customHeight="1" x14ac:dyDescent="0.2">
      <c r="A70" s="19"/>
      <c r="B70" s="20"/>
      <c r="C70" s="34" t="s">
        <v>901</v>
      </c>
      <c r="D70" s="11"/>
      <c r="E70" s="12"/>
      <c r="F70" s="22"/>
      <c r="G70" s="23"/>
      <c r="H70" s="24"/>
      <c r="I70" s="25">
        <v>70</v>
      </c>
      <c r="J70" s="26"/>
    </row>
    <row r="71" spans="1:10" ht="13.5" customHeight="1" x14ac:dyDescent="0.2">
      <c r="A71" s="19"/>
      <c r="B71" s="20"/>
      <c r="C71" s="21" t="s">
        <v>902</v>
      </c>
      <c r="D71" s="11"/>
      <c r="E71" s="12"/>
      <c r="F71" s="22"/>
      <c r="G71" s="23"/>
      <c r="H71" s="24">
        <v>150</v>
      </c>
      <c r="I71" s="25"/>
      <c r="J71" s="26"/>
    </row>
    <row r="72" spans="1:10" ht="13.5" customHeight="1" x14ac:dyDescent="0.2">
      <c r="A72" s="19"/>
      <c r="B72" s="20"/>
      <c r="C72" s="34" t="s">
        <v>903</v>
      </c>
      <c r="D72" s="11"/>
      <c r="E72" s="12"/>
      <c r="F72" s="22"/>
      <c r="G72" s="23"/>
      <c r="H72" s="24">
        <v>150</v>
      </c>
      <c r="I72" s="25"/>
      <c r="J72" s="26"/>
    </row>
    <row r="73" spans="1:10" ht="13.5" customHeight="1" x14ac:dyDescent="0.2">
      <c r="A73" s="19"/>
      <c r="B73" s="20"/>
      <c r="C73" s="34" t="s">
        <v>904</v>
      </c>
      <c r="D73" s="11"/>
      <c r="E73" s="12"/>
      <c r="F73" s="22"/>
      <c r="G73" s="23"/>
      <c r="H73" s="24"/>
      <c r="I73" s="25">
        <v>3500</v>
      </c>
      <c r="J73" s="336">
        <v>10600.14</v>
      </c>
    </row>
    <row r="74" spans="1:10" ht="13.5" customHeight="1" x14ac:dyDescent="0.2">
      <c r="A74" s="29"/>
      <c r="B74" s="27"/>
      <c r="C74" s="33" t="s">
        <v>905</v>
      </c>
      <c r="D74" s="29" t="s">
        <v>906</v>
      </c>
      <c r="E74" s="226">
        <v>-167.63</v>
      </c>
      <c r="F74" s="225"/>
      <c r="G74" s="23"/>
      <c r="H74" s="335"/>
      <c r="I74" s="335"/>
      <c r="J74" s="336"/>
    </row>
    <row r="75" spans="1:10" ht="13.5" customHeight="1" x14ac:dyDescent="0.2">
      <c r="A75" s="29"/>
      <c r="B75" s="27"/>
      <c r="C75" s="34" t="s">
        <v>567</v>
      </c>
      <c r="D75" s="29" t="s">
        <v>907</v>
      </c>
      <c r="E75" s="225"/>
      <c r="F75" s="339">
        <v>185</v>
      </c>
      <c r="G75" s="23"/>
      <c r="H75" s="335"/>
      <c r="I75" s="335"/>
      <c r="J75" s="336"/>
    </row>
    <row r="76" spans="1:10" ht="13.5" customHeight="1" x14ac:dyDescent="0.2">
      <c r="A76" s="29"/>
      <c r="B76" s="27"/>
      <c r="C76" s="34" t="s">
        <v>20</v>
      </c>
      <c r="D76" s="29" t="s">
        <v>19</v>
      </c>
      <c r="E76" s="225"/>
      <c r="F76" s="226">
        <v>0.11</v>
      </c>
      <c r="G76" s="23" t="s">
        <v>908</v>
      </c>
      <c r="H76" s="335"/>
      <c r="I76" s="335"/>
      <c r="J76" s="336"/>
    </row>
    <row r="77" spans="1:10" ht="13.5" customHeight="1" x14ac:dyDescent="0.2">
      <c r="A77" s="19">
        <v>43357</v>
      </c>
      <c r="B77" s="20"/>
      <c r="C77" s="34" t="s">
        <v>855</v>
      </c>
      <c r="D77" s="11"/>
      <c r="E77" s="12"/>
      <c r="F77" s="22"/>
      <c r="G77" s="23"/>
      <c r="H77" s="24">
        <v>350</v>
      </c>
      <c r="I77" s="25"/>
      <c r="J77" s="26"/>
    </row>
    <row r="78" spans="1:10" ht="13.5" customHeight="1" x14ac:dyDescent="0.2">
      <c r="A78" s="19"/>
      <c r="B78" s="20"/>
      <c r="C78" s="34" t="s">
        <v>909</v>
      </c>
      <c r="D78" s="11"/>
      <c r="E78" s="12"/>
      <c r="F78" s="22"/>
      <c r="G78" s="23"/>
      <c r="H78" s="24">
        <v>16.96</v>
      </c>
      <c r="I78" s="25"/>
      <c r="J78" s="26"/>
    </row>
    <row r="79" spans="1:10" ht="13.5" customHeight="1" x14ac:dyDescent="0.2">
      <c r="A79" s="19"/>
      <c r="B79" s="20"/>
      <c r="C79" s="34" t="s">
        <v>910</v>
      </c>
      <c r="D79" s="11"/>
      <c r="E79" s="12"/>
      <c r="F79" s="22"/>
      <c r="G79" s="23"/>
      <c r="H79" s="24">
        <v>11.36</v>
      </c>
      <c r="I79" s="25"/>
      <c r="J79" s="26"/>
    </row>
    <row r="80" spans="1:10" ht="13.5" customHeight="1" x14ac:dyDescent="0.2">
      <c r="A80" s="19"/>
      <c r="B80" s="20"/>
      <c r="C80" s="21" t="s">
        <v>911</v>
      </c>
      <c r="D80" s="11"/>
      <c r="E80" s="12"/>
      <c r="F80" s="22"/>
      <c r="G80" s="23"/>
      <c r="H80" s="24">
        <v>30</v>
      </c>
      <c r="I80" s="25"/>
      <c r="J80" s="26">
        <v>10191.82</v>
      </c>
    </row>
    <row r="81" spans="1:10" ht="13.5" customHeight="1" x14ac:dyDescent="0.2">
      <c r="A81" s="19">
        <v>43360</v>
      </c>
      <c r="B81" s="20"/>
      <c r="C81" s="34" t="s">
        <v>464</v>
      </c>
      <c r="D81" s="11"/>
      <c r="E81" s="12"/>
      <c r="F81" s="22"/>
      <c r="G81" s="23"/>
      <c r="H81" s="174">
        <v>1020</v>
      </c>
      <c r="I81" s="25"/>
      <c r="J81" s="26">
        <v>9171.82</v>
      </c>
    </row>
    <row r="82" spans="1:10" ht="13.5" customHeight="1" x14ac:dyDescent="0.2">
      <c r="A82" s="29"/>
      <c r="B82" s="27"/>
      <c r="C82" s="34" t="s">
        <v>86</v>
      </c>
      <c r="D82" s="29" t="s">
        <v>19</v>
      </c>
      <c r="E82" s="226">
        <v>-72.900000000000006</v>
      </c>
      <c r="F82" s="225"/>
      <c r="G82" s="23"/>
      <c r="H82" s="335"/>
      <c r="I82" s="335"/>
      <c r="J82" s="336"/>
    </row>
    <row r="83" spans="1:10" ht="13.5" customHeight="1" x14ac:dyDescent="0.2">
      <c r="A83" s="29"/>
      <c r="B83" s="27"/>
      <c r="C83" s="34" t="s">
        <v>114</v>
      </c>
      <c r="D83" s="29" t="s">
        <v>912</v>
      </c>
      <c r="E83" s="226">
        <v>-225.2</v>
      </c>
      <c r="F83" s="225"/>
      <c r="G83" s="23"/>
      <c r="H83" s="335"/>
      <c r="I83" s="335"/>
      <c r="J83" s="336"/>
    </row>
    <row r="84" spans="1:10" ht="13.5" customHeight="1" x14ac:dyDescent="0.2">
      <c r="A84" s="29"/>
      <c r="B84" s="27"/>
      <c r="C84" s="34" t="s">
        <v>464</v>
      </c>
      <c r="D84" s="29" t="s">
        <v>913</v>
      </c>
      <c r="E84" s="225"/>
      <c r="F84" s="340">
        <v>1020</v>
      </c>
      <c r="G84" s="23"/>
      <c r="H84" s="335"/>
      <c r="I84" s="335"/>
      <c r="J84" s="336"/>
    </row>
    <row r="85" spans="1:10" ht="13.5" customHeight="1" x14ac:dyDescent="0.2">
      <c r="A85" s="29"/>
      <c r="B85" s="27"/>
      <c r="C85" s="33" t="s">
        <v>864</v>
      </c>
      <c r="D85" s="29" t="s">
        <v>19</v>
      </c>
      <c r="E85" s="226">
        <v>-17</v>
      </c>
      <c r="F85" s="225"/>
      <c r="G85" s="23"/>
      <c r="H85" s="335"/>
      <c r="I85" s="335"/>
      <c r="J85" s="336"/>
    </row>
    <row r="86" spans="1:10" ht="13.5" customHeight="1" x14ac:dyDescent="0.2">
      <c r="A86" s="29"/>
      <c r="B86" s="27"/>
      <c r="C86" s="34" t="s">
        <v>20</v>
      </c>
      <c r="D86" s="29" t="s">
        <v>19</v>
      </c>
      <c r="E86" s="225"/>
      <c r="F86" s="226">
        <v>0.21</v>
      </c>
      <c r="G86" s="23" t="s">
        <v>914</v>
      </c>
      <c r="H86" s="335"/>
      <c r="I86" s="335"/>
      <c r="J86" s="336"/>
    </row>
    <row r="87" spans="1:10" ht="13.5" customHeight="1" x14ac:dyDescent="0.2">
      <c r="A87" s="19">
        <v>43361</v>
      </c>
      <c r="B87" s="20"/>
      <c r="C87" s="34" t="s">
        <v>915</v>
      </c>
      <c r="D87" s="11"/>
      <c r="E87" s="12"/>
      <c r="F87" s="22"/>
      <c r="G87" s="23"/>
      <c r="H87" s="24"/>
      <c r="I87" s="25">
        <v>7500</v>
      </c>
      <c r="J87" s="26"/>
    </row>
    <row r="88" spans="1:10" ht="13.5" customHeight="1" x14ac:dyDescent="0.2">
      <c r="A88" s="19"/>
      <c r="B88" s="20"/>
      <c r="C88" s="34" t="s">
        <v>916</v>
      </c>
      <c r="D88" s="11"/>
      <c r="E88" s="12"/>
      <c r="F88" s="22"/>
      <c r="G88" s="23"/>
      <c r="H88" s="24"/>
      <c r="I88" s="25">
        <v>500</v>
      </c>
      <c r="J88" s="26"/>
    </row>
    <row r="89" spans="1:10" ht="13.5" customHeight="1" x14ac:dyDescent="0.2">
      <c r="A89" s="19"/>
      <c r="B89" s="20"/>
      <c r="C89" s="34" t="s">
        <v>917</v>
      </c>
      <c r="D89" s="11"/>
      <c r="E89" s="12"/>
      <c r="F89" s="22"/>
      <c r="G89" s="23"/>
      <c r="H89" s="24">
        <v>90</v>
      </c>
      <c r="I89" s="25"/>
      <c r="J89" s="26"/>
    </row>
    <row r="90" spans="1:10" ht="13.5" customHeight="1" x14ac:dyDescent="0.2">
      <c r="A90" s="19"/>
      <c r="B90" s="20"/>
      <c r="C90" s="34" t="s">
        <v>918</v>
      </c>
      <c r="D90" s="11"/>
      <c r="E90" s="12"/>
      <c r="F90" s="22"/>
      <c r="G90" s="23"/>
      <c r="H90" s="24">
        <v>41.85</v>
      </c>
      <c r="I90" s="25"/>
      <c r="J90" s="26"/>
    </row>
    <row r="91" spans="1:10" ht="13.5" customHeight="1" x14ac:dyDescent="0.2">
      <c r="A91" s="19"/>
      <c r="B91" s="20"/>
      <c r="C91" s="34" t="s">
        <v>919</v>
      </c>
      <c r="D91" s="11"/>
      <c r="E91" s="12"/>
      <c r="F91" s="22"/>
      <c r="G91" s="23"/>
      <c r="H91" s="24"/>
      <c r="I91" s="25">
        <v>185</v>
      </c>
      <c r="J91" s="26">
        <v>17224.97</v>
      </c>
    </row>
    <row r="92" spans="1:10" ht="13.5" customHeight="1" x14ac:dyDescent="0.2">
      <c r="A92" s="29"/>
      <c r="B92" s="27"/>
      <c r="C92" s="34" t="s">
        <v>920</v>
      </c>
      <c r="D92" s="29" t="s">
        <v>921</v>
      </c>
      <c r="E92" s="225"/>
      <c r="F92" s="226">
        <v>940</v>
      </c>
      <c r="G92" s="23"/>
      <c r="H92" s="335"/>
      <c r="I92" s="335"/>
      <c r="J92" s="336"/>
    </row>
    <row r="93" spans="1:10" ht="13.5" customHeight="1" x14ac:dyDescent="0.2">
      <c r="A93" s="29"/>
      <c r="B93" s="27"/>
      <c r="C93" s="34" t="s">
        <v>922</v>
      </c>
      <c r="D93" s="29" t="s">
        <v>923</v>
      </c>
      <c r="E93" s="225"/>
      <c r="F93" s="225">
        <v>1600</v>
      </c>
      <c r="G93" s="23"/>
      <c r="H93" s="335"/>
      <c r="I93" s="335"/>
      <c r="J93" s="336"/>
    </row>
    <row r="94" spans="1:10" ht="13.5" customHeight="1" x14ac:dyDescent="0.2">
      <c r="A94" s="29"/>
      <c r="B94" s="27"/>
      <c r="C94" s="33" t="s">
        <v>924</v>
      </c>
      <c r="D94" s="29" t="s">
        <v>19</v>
      </c>
      <c r="E94" s="226">
        <v>-416.82</v>
      </c>
      <c r="F94" s="225"/>
      <c r="G94" s="23" t="s">
        <v>925</v>
      </c>
      <c r="H94" s="335"/>
      <c r="I94" s="335"/>
      <c r="J94" s="336"/>
    </row>
    <row r="95" spans="1:10" ht="13.5" customHeight="1" x14ac:dyDescent="0.2">
      <c r="A95" s="19">
        <v>43362</v>
      </c>
      <c r="B95" s="20"/>
      <c r="C95" s="34" t="s">
        <v>926</v>
      </c>
      <c r="D95" s="11"/>
      <c r="E95" s="12"/>
      <c r="F95" s="22"/>
      <c r="G95" s="23"/>
      <c r="H95" s="24">
        <v>24.9</v>
      </c>
      <c r="I95" s="25"/>
      <c r="J95" s="26"/>
    </row>
    <row r="96" spans="1:10" ht="13.5" customHeight="1" x14ac:dyDescent="0.2">
      <c r="A96" s="19"/>
      <c r="B96" s="20"/>
      <c r="C96" s="34" t="s">
        <v>927</v>
      </c>
      <c r="D96" s="11"/>
      <c r="E96" s="12"/>
      <c r="F96" s="22"/>
      <c r="G96" s="23"/>
      <c r="H96" s="24"/>
      <c r="I96" s="25">
        <v>2050</v>
      </c>
      <c r="J96" s="26"/>
    </row>
    <row r="97" spans="1:10" ht="13.5" customHeight="1" x14ac:dyDescent="0.2">
      <c r="A97" s="19"/>
      <c r="B97" s="20"/>
      <c r="C97" s="34" t="s">
        <v>928</v>
      </c>
      <c r="D97" s="11"/>
      <c r="E97" s="12"/>
      <c r="F97" s="22"/>
      <c r="G97" s="23"/>
      <c r="H97" s="24">
        <v>120</v>
      </c>
      <c r="I97" s="25"/>
      <c r="J97" s="26">
        <v>19130.07</v>
      </c>
    </row>
    <row r="98" spans="1:10" ht="13.5" customHeight="1" x14ac:dyDescent="0.2">
      <c r="A98" s="29"/>
      <c r="B98" s="27"/>
      <c r="C98" s="34" t="s">
        <v>210</v>
      </c>
      <c r="D98" s="29" t="s">
        <v>19</v>
      </c>
      <c r="E98" s="225">
        <v>-1150</v>
      </c>
      <c r="F98" s="225"/>
      <c r="G98" s="23"/>
      <c r="H98" s="335"/>
      <c r="I98" s="335"/>
      <c r="J98" s="336"/>
    </row>
    <row r="99" spans="1:10" ht="13.5" customHeight="1" x14ac:dyDescent="0.2">
      <c r="A99" s="29"/>
      <c r="B99" s="27"/>
      <c r="C99" s="34" t="s">
        <v>20</v>
      </c>
      <c r="D99" s="29" t="s">
        <v>19</v>
      </c>
      <c r="E99" s="30"/>
      <c r="F99" s="30">
        <v>0.17</v>
      </c>
      <c r="G99" s="23">
        <v>11668.67</v>
      </c>
      <c r="H99" s="335"/>
      <c r="I99" s="335"/>
      <c r="J99" s="336"/>
    </row>
    <row r="100" spans="1:10" ht="13.5" customHeight="1" x14ac:dyDescent="0.2">
      <c r="A100" s="19">
        <v>43363</v>
      </c>
      <c r="B100" s="20"/>
      <c r="C100" s="34" t="s">
        <v>929</v>
      </c>
      <c r="D100" s="11"/>
      <c r="E100" s="12"/>
      <c r="F100" s="22"/>
      <c r="G100" s="23"/>
      <c r="H100" s="24">
        <v>6</v>
      </c>
      <c r="I100" s="25"/>
      <c r="J100" s="336">
        <v>19124.07</v>
      </c>
    </row>
    <row r="101" spans="1:10" ht="13.5" customHeight="1" x14ac:dyDescent="0.2">
      <c r="A101" s="29"/>
      <c r="B101" s="27"/>
      <c r="C101" s="34" t="s">
        <v>132</v>
      </c>
      <c r="D101" s="29" t="s">
        <v>930</v>
      </c>
      <c r="E101" s="30">
        <v>-449.3</v>
      </c>
      <c r="F101" s="30"/>
      <c r="G101" s="23">
        <v>11219.37</v>
      </c>
      <c r="H101" s="335"/>
      <c r="I101" s="335"/>
      <c r="J101" s="336"/>
    </row>
    <row r="102" spans="1:10" ht="13.5" customHeight="1" x14ac:dyDescent="0.2">
      <c r="A102" s="29"/>
      <c r="B102" s="27"/>
      <c r="C102" s="34" t="s">
        <v>20</v>
      </c>
      <c r="D102" s="29" t="s">
        <v>19</v>
      </c>
      <c r="E102" s="30"/>
      <c r="F102" s="30">
        <v>0.06</v>
      </c>
      <c r="G102" s="23">
        <v>11219.43</v>
      </c>
      <c r="H102" s="335"/>
      <c r="I102" s="335"/>
      <c r="J102" s="336"/>
    </row>
    <row r="103" spans="1:10" ht="13.5" customHeight="1" x14ac:dyDescent="0.2">
      <c r="A103" s="19">
        <v>43364</v>
      </c>
      <c r="B103" s="20"/>
      <c r="C103" s="34" t="s">
        <v>931</v>
      </c>
      <c r="D103" s="11"/>
      <c r="E103" s="12"/>
      <c r="F103" s="22"/>
      <c r="G103" s="23"/>
      <c r="H103" s="24">
        <v>6</v>
      </c>
      <c r="I103" s="25"/>
      <c r="J103" s="26"/>
    </row>
    <row r="104" spans="1:10" ht="13.5" customHeight="1" x14ac:dyDescent="0.2">
      <c r="A104" s="19"/>
      <c r="B104" s="20"/>
      <c r="C104" s="36" t="s">
        <v>932</v>
      </c>
      <c r="D104" s="11"/>
      <c r="E104" s="12"/>
      <c r="F104" s="22"/>
      <c r="G104" s="23"/>
      <c r="H104" s="24">
        <v>7</v>
      </c>
      <c r="I104" s="25"/>
      <c r="J104" s="26"/>
    </row>
    <row r="105" spans="1:10" ht="13.5" customHeight="1" x14ac:dyDescent="0.2">
      <c r="A105" s="19"/>
      <c r="B105" s="20"/>
      <c r="C105" s="36" t="s">
        <v>933</v>
      </c>
      <c r="D105" s="11"/>
      <c r="E105" s="12"/>
      <c r="F105" s="22"/>
      <c r="G105" s="23"/>
      <c r="H105" s="24">
        <v>36.700000000000003</v>
      </c>
      <c r="I105" s="25"/>
      <c r="J105" s="26"/>
    </row>
    <row r="106" spans="1:10" ht="13.5" customHeight="1" x14ac:dyDescent="0.2">
      <c r="A106" s="19"/>
      <c r="B106" s="20"/>
      <c r="C106" s="34" t="s">
        <v>934</v>
      </c>
      <c r="D106" s="11"/>
      <c r="E106" s="12"/>
      <c r="F106" s="22"/>
      <c r="G106" s="23"/>
      <c r="H106" s="24">
        <v>20.25</v>
      </c>
      <c r="I106" s="25"/>
      <c r="J106" s="26"/>
    </row>
    <row r="107" spans="1:10" ht="13.5" customHeight="1" x14ac:dyDescent="0.2">
      <c r="A107" s="19"/>
      <c r="B107" s="20"/>
      <c r="C107" s="34" t="s">
        <v>935</v>
      </c>
      <c r="D107" s="11"/>
      <c r="E107" s="12"/>
      <c r="F107" s="22"/>
      <c r="G107" s="23"/>
      <c r="H107" s="24">
        <v>18.2</v>
      </c>
      <c r="I107" s="25"/>
      <c r="J107" s="26"/>
    </row>
    <row r="108" spans="1:10" ht="13.5" customHeight="1" x14ac:dyDescent="0.2">
      <c r="A108" s="19"/>
      <c r="B108" s="27"/>
      <c r="C108" s="36" t="s">
        <v>36</v>
      </c>
      <c r="D108" s="29"/>
      <c r="E108" s="30"/>
      <c r="F108" s="30"/>
      <c r="G108" s="23"/>
      <c r="H108" s="24">
        <v>350</v>
      </c>
      <c r="I108" s="335"/>
      <c r="J108" s="336"/>
    </row>
    <row r="109" spans="1:10" ht="13.5" customHeight="1" x14ac:dyDescent="0.2">
      <c r="A109" s="29"/>
      <c r="B109" s="27"/>
      <c r="C109" s="36" t="s">
        <v>77</v>
      </c>
      <c r="D109" s="29"/>
      <c r="E109" s="30"/>
      <c r="F109" s="30"/>
      <c r="G109" s="23"/>
      <c r="H109" s="44">
        <v>6000</v>
      </c>
      <c r="I109" s="335"/>
      <c r="J109" s="336"/>
    </row>
    <row r="110" spans="1:10" ht="13.5" customHeight="1" x14ac:dyDescent="0.2">
      <c r="A110" s="29"/>
      <c r="B110" s="27"/>
      <c r="C110" s="33" t="s">
        <v>936</v>
      </c>
      <c r="D110" s="29"/>
      <c r="E110" s="30"/>
      <c r="F110" s="30"/>
      <c r="G110" s="23"/>
      <c r="H110" s="335"/>
      <c r="I110" s="335">
        <v>5000</v>
      </c>
      <c r="J110" s="336">
        <v>17685.919999999998</v>
      </c>
    </row>
    <row r="111" spans="1:10" ht="13.5" customHeight="1" x14ac:dyDescent="0.2">
      <c r="A111" s="29"/>
      <c r="B111" s="27"/>
      <c r="C111" s="34" t="s">
        <v>133</v>
      </c>
      <c r="D111" s="29" t="s">
        <v>366</v>
      </c>
      <c r="E111" s="30">
        <v>-994.92</v>
      </c>
      <c r="F111" s="30"/>
      <c r="G111" s="23">
        <v>10224.51</v>
      </c>
      <c r="H111" s="335"/>
      <c r="I111" s="335"/>
      <c r="J111" s="336"/>
    </row>
    <row r="112" spans="1:10" ht="13.5" customHeight="1" x14ac:dyDescent="0.2">
      <c r="A112" s="29"/>
      <c r="B112" s="27"/>
      <c r="C112" s="34" t="s">
        <v>20</v>
      </c>
      <c r="D112" s="29" t="s">
        <v>19</v>
      </c>
      <c r="E112" s="30"/>
      <c r="F112" s="30">
        <v>0.08</v>
      </c>
      <c r="G112" s="23">
        <v>10224.59</v>
      </c>
      <c r="H112" s="335"/>
      <c r="I112" s="335"/>
      <c r="J112" s="336"/>
    </row>
    <row r="113" spans="1:10" ht="13.5" customHeight="1" x14ac:dyDescent="0.2">
      <c r="A113" s="158">
        <v>43367</v>
      </c>
      <c r="B113" s="27"/>
      <c r="C113" s="33" t="s">
        <v>937</v>
      </c>
      <c r="D113" s="29"/>
      <c r="E113" s="30"/>
      <c r="F113" s="30"/>
      <c r="G113" s="23"/>
      <c r="H113" s="335">
        <v>358</v>
      </c>
      <c r="I113" s="335"/>
      <c r="J113" s="336"/>
    </row>
    <row r="114" spans="1:10" ht="13.5" customHeight="1" x14ac:dyDescent="0.2">
      <c r="A114" s="29"/>
      <c r="B114" s="27"/>
      <c r="C114" s="33" t="s">
        <v>471</v>
      </c>
      <c r="D114" s="29"/>
      <c r="E114" s="30"/>
      <c r="F114" s="30"/>
      <c r="G114" s="23"/>
      <c r="H114" s="341">
        <v>8000</v>
      </c>
      <c r="I114" s="335"/>
      <c r="J114" s="336"/>
    </row>
    <row r="115" spans="1:10" ht="13.5" customHeight="1" x14ac:dyDescent="0.2">
      <c r="A115" s="29"/>
      <c r="B115" s="27"/>
      <c r="C115" s="33" t="s">
        <v>938</v>
      </c>
      <c r="D115" s="29"/>
      <c r="E115" s="30"/>
      <c r="F115" s="30"/>
      <c r="G115" s="23"/>
      <c r="H115" s="335"/>
      <c r="I115" s="335">
        <v>60</v>
      </c>
      <c r="J115" s="336"/>
    </row>
    <row r="116" spans="1:10" ht="13.5" customHeight="1" x14ac:dyDescent="0.2">
      <c r="A116" s="29"/>
      <c r="B116" s="27"/>
      <c r="C116" s="33" t="s">
        <v>939</v>
      </c>
      <c r="D116" s="29"/>
      <c r="E116" s="30"/>
      <c r="F116" s="30"/>
      <c r="G116" s="23"/>
      <c r="H116" s="335"/>
      <c r="I116" s="335">
        <v>60</v>
      </c>
      <c r="J116" s="336"/>
    </row>
    <row r="117" spans="1:10" ht="13.5" customHeight="1" x14ac:dyDescent="0.2">
      <c r="A117" s="29"/>
      <c r="B117" s="27"/>
      <c r="C117" s="33" t="s">
        <v>940</v>
      </c>
      <c r="D117" s="29"/>
      <c r="E117" s="30"/>
      <c r="F117" s="30"/>
      <c r="G117" s="23"/>
      <c r="H117" s="335">
        <v>15.5</v>
      </c>
      <c r="I117" s="335"/>
      <c r="J117" s="336"/>
    </row>
    <row r="118" spans="1:10" ht="13.5" customHeight="1" x14ac:dyDescent="0.2">
      <c r="A118" s="29"/>
      <c r="B118" s="27"/>
      <c r="C118" s="33" t="s">
        <v>25</v>
      </c>
      <c r="D118" s="29"/>
      <c r="E118" s="30"/>
      <c r="F118" s="30"/>
      <c r="G118" s="23"/>
      <c r="H118" s="335">
        <v>50</v>
      </c>
      <c r="I118" s="335"/>
      <c r="J118" s="336"/>
    </row>
    <row r="119" spans="1:10" ht="13.5" customHeight="1" x14ac:dyDescent="0.2">
      <c r="A119" s="29"/>
      <c r="B119" s="27"/>
      <c r="C119" s="33" t="s">
        <v>25</v>
      </c>
      <c r="D119" s="29"/>
      <c r="E119" s="30"/>
      <c r="F119" s="30"/>
      <c r="G119" s="23"/>
      <c r="H119" s="335">
        <v>50</v>
      </c>
      <c r="I119" s="335"/>
      <c r="J119" s="336"/>
    </row>
    <row r="120" spans="1:10" ht="13.5" customHeight="1" x14ac:dyDescent="0.2">
      <c r="A120" s="29"/>
      <c r="B120" s="27"/>
      <c r="C120" s="33" t="s">
        <v>941</v>
      </c>
      <c r="D120" s="29"/>
      <c r="E120" s="30"/>
      <c r="F120" s="30"/>
      <c r="G120" s="23"/>
      <c r="H120" s="335">
        <v>199</v>
      </c>
      <c r="I120" s="335"/>
      <c r="J120" s="336">
        <v>9133.4199999999983</v>
      </c>
    </row>
    <row r="121" spans="1:10" ht="13.5" customHeight="1" x14ac:dyDescent="0.2">
      <c r="A121" s="29"/>
      <c r="B121" s="27"/>
      <c r="C121" s="34" t="s">
        <v>127</v>
      </c>
      <c r="D121" s="29" t="s">
        <v>19</v>
      </c>
      <c r="E121" s="30">
        <v>-28.92</v>
      </c>
      <c r="F121" s="30"/>
      <c r="G121" s="23"/>
      <c r="H121" s="335"/>
      <c r="I121" s="335"/>
      <c r="J121" s="336"/>
    </row>
    <row r="122" spans="1:10" ht="13.5" customHeight="1" x14ac:dyDescent="0.2">
      <c r="A122" s="29"/>
      <c r="B122" s="27"/>
      <c r="C122" s="34" t="s">
        <v>128</v>
      </c>
      <c r="D122" s="29" t="s">
        <v>19</v>
      </c>
      <c r="E122" s="30">
        <v>-35.85</v>
      </c>
      <c r="F122" s="30"/>
      <c r="G122" s="23"/>
      <c r="H122" s="335"/>
      <c r="I122" s="335"/>
      <c r="J122" s="336"/>
    </row>
    <row r="123" spans="1:10" ht="13.5" customHeight="1" x14ac:dyDescent="0.2">
      <c r="A123" s="29"/>
      <c r="B123" s="27"/>
      <c r="C123" s="34" t="s">
        <v>129</v>
      </c>
      <c r="D123" s="29" t="s">
        <v>19</v>
      </c>
      <c r="E123" s="30">
        <v>-48.23</v>
      </c>
      <c r="F123" s="30"/>
      <c r="G123" s="23"/>
      <c r="H123" s="335"/>
      <c r="I123" s="335"/>
      <c r="J123" s="336"/>
    </row>
    <row r="124" spans="1:10" ht="13.5" customHeight="1" x14ac:dyDescent="0.2">
      <c r="A124" s="29"/>
      <c r="B124" s="27"/>
      <c r="C124" s="34" t="s">
        <v>131</v>
      </c>
      <c r="D124" s="29" t="s">
        <v>19</v>
      </c>
      <c r="E124" s="30">
        <v>-125.49</v>
      </c>
      <c r="F124" s="30"/>
      <c r="G124" s="23"/>
      <c r="H124" s="335"/>
      <c r="I124" s="335"/>
      <c r="J124" s="336"/>
    </row>
    <row r="125" spans="1:10" ht="13.5" customHeight="1" x14ac:dyDescent="0.2">
      <c r="A125" s="29"/>
      <c r="B125" s="27"/>
      <c r="C125" s="34" t="s">
        <v>130</v>
      </c>
      <c r="D125" s="29" t="s">
        <v>19</v>
      </c>
      <c r="E125" s="30">
        <v>-150.66</v>
      </c>
      <c r="F125" s="30"/>
      <c r="G125" s="23"/>
      <c r="H125" s="335"/>
      <c r="I125" s="335"/>
      <c r="J125" s="336"/>
    </row>
    <row r="126" spans="1:10" ht="13.5" customHeight="1" x14ac:dyDescent="0.2">
      <c r="A126" s="29"/>
      <c r="B126" s="27"/>
      <c r="C126" s="34" t="s">
        <v>20</v>
      </c>
      <c r="D126" s="29" t="s">
        <v>19</v>
      </c>
      <c r="E126" s="30"/>
      <c r="F126" s="30">
        <v>0.03</v>
      </c>
      <c r="G126" s="23">
        <v>9835.4699999999993</v>
      </c>
      <c r="H126" s="335"/>
      <c r="I126" s="335"/>
      <c r="J126" s="336"/>
    </row>
    <row r="127" spans="1:10" ht="13.5" customHeight="1" x14ac:dyDescent="0.2">
      <c r="A127" s="158">
        <v>43368</v>
      </c>
      <c r="B127" s="27"/>
      <c r="C127" s="33" t="s">
        <v>942</v>
      </c>
      <c r="D127" s="29"/>
      <c r="E127" s="30"/>
      <c r="F127" s="30"/>
      <c r="G127" s="23"/>
      <c r="H127" s="335">
        <v>5.45</v>
      </c>
      <c r="I127" s="335"/>
      <c r="J127" s="336"/>
    </row>
    <row r="128" spans="1:10" ht="13.5" customHeight="1" x14ac:dyDescent="0.2">
      <c r="A128" s="29"/>
      <c r="B128" s="27"/>
      <c r="C128" s="33" t="s">
        <v>943</v>
      </c>
      <c r="D128" s="29"/>
      <c r="E128" s="30"/>
      <c r="F128" s="30"/>
      <c r="G128" s="23"/>
      <c r="H128" s="335">
        <v>3.6</v>
      </c>
      <c r="I128" s="335"/>
      <c r="J128" s="336"/>
    </row>
    <row r="129" spans="1:10" ht="13.5" customHeight="1" x14ac:dyDescent="0.2">
      <c r="A129" s="29"/>
      <c r="B129" s="27"/>
      <c r="C129" s="33" t="s">
        <v>944</v>
      </c>
      <c r="D129" s="29"/>
      <c r="E129" s="30"/>
      <c r="F129" s="30"/>
      <c r="G129" s="23"/>
      <c r="H129" s="335">
        <v>4.95</v>
      </c>
      <c r="I129" s="335"/>
      <c r="J129" s="336"/>
    </row>
    <row r="130" spans="1:10" ht="13.5" customHeight="1" x14ac:dyDescent="0.2">
      <c r="A130" s="29"/>
      <c r="B130" s="27"/>
      <c r="C130" s="33" t="s">
        <v>945</v>
      </c>
      <c r="D130" s="29"/>
      <c r="E130" s="30"/>
      <c r="F130" s="30"/>
      <c r="G130" s="23"/>
      <c r="H130" s="335">
        <v>3.4</v>
      </c>
      <c r="I130" s="335"/>
      <c r="J130" s="336"/>
    </row>
    <row r="131" spans="1:10" ht="13.5" customHeight="1" x14ac:dyDescent="0.2">
      <c r="A131" s="29"/>
      <c r="B131" s="27"/>
      <c r="C131" s="33" t="s">
        <v>946</v>
      </c>
      <c r="D131" s="29"/>
      <c r="E131" s="30"/>
      <c r="F131" s="30"/>
      <c r="G131" s="23"/>
      <c r="H131" s="335">
        <v>5.65</v>
      </c>
      <c r="I131" s="335"/>
      <c r="J131" s="336"/>
    </row>
    <row r="132" spans="1:10" ht="13.5" customHeight="1" x14ac:dyDescent="0.2">
      <c r="A132" s="29"/>
      <c r="B132" s="27"/>
      <c r="C132" s="33" t="s">
        <v>947</v>
      </c>
      <c r="D132" s="29"/>
      <c r="E132" s="30"/>
      <c r="F132" s="30"/>
      <c r="G132" s="23"/>
      <c r="H132" s="335">
        <v>23.2</v>
      </c>
      <c r="I132" s="335"/>
      <c r="J132" s="336"/>
    </row>
    <row r="133" spans="1:10" ht="13.5" customHeight="1" x14ac:dyDescent="0.2">
      <c r="A133" s="29"/>
      <c r="B133" s="27"/>
      <c r="C133" s="33" t="s">
        <v>948</v>
      </c>
      <c r="D133" s="29"/>
      <c r="E133" s="30"/>
      <c r="F133" s="30"/>
      <c r="G133" s="23"/>
      <c r="H133" s="335">
        <v>29.99</v>
      </c>
      <c r="I133" s="335"/>
      <c r="J133" s="336"/>
    </row>
    <row r="134" spans="1:10" ht="13.5" customHeight="1" x14ac:dyDescent="0.2">
      <c r="A134" s="29"/>
      <c r="B134" s="27"/>
      <c r="C134" s="33" t="s">
        <v>949</v>
      </c>
      <c r="D134" s="29"/>
      <c r="E134" s="30"/>
      <c r="F134" s="30"/>
      <c r="G134" s="23"/>
      <c r="H134" s="335">
        <v>10</v>
      </c>
      <c r="I134" s="335"/>
      <c r="J134" s="336"/>
    </row>
    <row r="135" spans="1:10" ht="13.5" customHeight="1" x14ac:dyDescent="0.2">
      <c r="A135" s="29"/>
      <c r="B135" s="27"/>
      <c r="C135" s="33" t="s">
        <v>950</v>
      </c>
      <c r="D135" s="29"/>
      <c r="E135" s="30"/>
      <c r="F135" s="30"/>
      <c r="G135" s="23"/>
      <c r="H135" s="335"/>
      <c r="I135" s="335">
        <v>1327.87</v>
      </c>
      <c r="J135" s="336"/>
    </row>
    <row r="136" spans="1:10" ht="13.5" customHeight="1" x14ac:dyDescent="0.2">
      <c r="A136" s="29"/>
      <c r="B136" s="27"/>
      <c r="C136" s="33" t="s">
        <v>951</v>
      </c>
      <c r="D136" s="29"/>
      <c r="E136" s="30"/>
      <c r="F136" s="30"/>
      <c r="G136" s="23"/>
      <c r="H136" s="335">
        <v>498</v>
      </c>
      <c r="I136" s="335"/>
      <c r="J136" s="336">
        <v>9877.0499999999956</v>
      </c>
    </row>
    <row r="137" spans="1:10" ht="13.5" customHeight="1" x14ac:dyDescent="0.2">
      <c r="A137" s="158">
        <v>43369</v>
      </c>
      <c r="B137" s="27"/>
      <c r="C137" s="33" t="s">
        <v>952</v>
      </c>
      <c r="D137" s="29"/>
      <c r="E137" s="30"/>
      <c r="F137" s="30"/>
      <c r="G137" s="23"/>
      <c r="H137" s="335"/>
      <c r="I137" s="335">
        <v>750</v>
      </c>
      <c r="J137" s="336"/>
    </row>
    <row r="138" spans="1:10" ht="13.5" customHeight="1" x14ac:dyDescent="0.2">
      <c r="A138" s="29"/>
      <c r="B138" s="27"/>
      <c r="C138" s="33" t="s">
        <v>953</v>
      </c>
      <c r="D138" s="29"/>
      <c r="E138" s="30"/>
      <c r="F138" s="30"/>
      <c r="G138" s="23"/>
      <c r="H138" s="335"/>
      <c r="I138" s="335">
        <v>900</v>
      </c>
      <c r="J138" s="336"/>
    </row>
    <row r="139" spans="1:10" ht="13.5" customHeight="1" x14ac:dyDescent="0.2">
      <c r="A139" s="29"/>
      <c r="B139" s="27"/>
      <c r="C139" s="33" t="s">
        <v>846</v>
      </c>
      <c r="D139" s="29"/>
      <c r="E139" s="30"/>
      <c r="F139" s="30"/>
      <c r="G139" s="23"/>
      <c r="H139" s="335">
        <v>65.62</v>
      </c>
      <c r="I139" s="335"/>
      <c r="J139" s="336"/>
    </row>
    <row r="140" spans="1:10" ht="13.5" customHeight="1" x14ac:dyDescent="0.2">
      <c r="A140" s="29"/>
      <c r="B140" s="27"/>
      <c r="C140" s="33" t="s">
        <v>954</v>
      </c>
      <c r="D140" s="29"/>
      <c r="E140" s="30"/>
      <c r="F140" s="30"/>
      <c r="G140" s="23"/>
      <c r="H140" s="335">
        <v>17.68</v>
      </c>
      <c r="I140" s="335"/>
      <c r="J140" s="336"/>
    </row>
    <row r="141" spans="1:10" ht="13.5" customHeight="1" x14ac:dyDescent="0.2">
      <c r="A141" s="29"/>
      <c r="B141" s="27"/>
      <c r="C141" s="33" t="s">
        <v>955</v>
      </c>
      <c r="D141" s="29"/>
      <c r="E141" s="30"/>
      <c r="F141" s="30"/>
      <c r="G141" s="23"/>
      <c r="H141" s="341">
        <v>750</v>
      </c>
      <c r="I141" s="335"/>
      <c r="J141" s="336">
        <v>10693.749999999995</v>
      </c>
    </row>
    <row r="142" spans="1:10" ht="13.5" customHeight="1" x14ac:dyDescent="0.2">
      <c r="A142" s="29"/>
      <c r="B142" s="27"/>
      <c r="C142" s="34" t="s">
        <v>136</v>
      </c>
      <c r="D142" s="29" t="s">
        <v>19</v>
      </c>
      <c r="E142" s="30">
        <v>-37.9</v>
      </c>
      <c r="F142" s="30"/>
      <c r="G142" s="23"/>
      <c r="H142" s="335"/>
      <c r="I142" s="335"/>
      <c r="J142" s="336"/>
    </row>
    <row r="143" spans="1:10" ht="13.5" customHeight="1" x14ac:dyDescent="0.2">
      <c r="A143" s="29"/>
      <c r="B143" s="27"/>
      <c r="C143" s="33" t="s">
        <v>955</v>
      </c>
      <c r="D143" s="29" t="s">
        <v>956</v>
      </c>
      <c r="E143" s="30"/>
      <c r="F143" s="165">
        <v>750</v>
      </c>
      <c r="G143" s="23">
        <v>10547.57</v>
      </c>
      <c r="H143" s="335"/>
      <c r="I143" s="335"/>
      <c r="J143" s="336"/>
    </row>
    <row r="144" spans="1:10" ht="13.5" customHeight="1" x14ac:dyDescent="0.2">
      <c r="A144" s="158">
        <v>43370</v>
      </c>
      <c r="B144" s="27"/>
      <c r="C144" s="33" t="s">
        <v>957</v>
      </c>
      <c r="D144" s="29"/>
      <c r="E144" s="30"/>
      <c r="F144" s="30"/>
      <c r="G144" s="23"/>
      <c r="H144" s="335">
        <v>180</v>
      </c>
      <c r="I144" s="335"/>
      <c r="J144" s="336"/>
    </row>
    <row r="145" spans="1:10" ht="13.5" customHeight="1" x14ac:dyDescent="0.2">
      <c r="A145" s="29"/>
      <c r="B145" s="27"/>
      <c r="C145" s="33" t="s">
        <v>958</v>
      </c>
      <c r="D145" s="29"/>
      <c r="E145" s="30"/>
      <c r="F145" s="30"/>
      <c r="G145" s="23"/>
      <c r="H145" s="335">
        <v>5.3</v>
      </c>
      <c r="I145" s="335"/>
      <c r="J145" s="336"/>
    </row>
    <row r="146" spans="1:10" ht="13.5" customHeight="1" x14ac:dyDescent="0.2">
      <c r="A146" s="29"/>
      <c r="B146" s="27"/>
      <c r="C146" s="33" t="s">
        <v>855</v>
      </c>
      <c r="D146" s="29"/>
      <c r="E146" s="30"/>
      <c r="F146" s="30"/>
      <c r="G146" s="23"/>
      <c r="H146" s="335">
        <v>350</v>
      </c>
      <c r="I146" s="335"/>
      <c r="J146" s="336"/>
    </row>
    <row r="147" spans="1:10" ht="13.5" customHeight="1" x14ac:dyDescent="0.2">
      <c r="A147" s="29"/>
      <c r="B147" s="27"/>
      <c r="C147" s="33" t="s">
        <v>959</v>
      </c>
      <c r="D147" s="29"/>
      <c r="E147" s="30"/>
      <c r="F147" s="30"/>
      <c r="G147" s="23"/>
      <c r="H147" s="335">
        <v>21.5</v>
      </c>
      <c r="I147" s="335"/>
      <c r="J147" s="336"/>
    </row>
    <row r="148" spans="1:10" ht="13.5" customHeight="1" x14ac:dyDescent="0.2">
      <c r="A148" s="29"/>
      <c r="B148" s="27"/>
      <c r="C148" s="33" t="s">
        <v>960</v>
      </c>
      <c r="D148" s="29"/>
      <c r="E148" s="30"/>
      <c r="F148" s="30"/>
      <c r="G148" s="23"/>
      <c r="H148" s="335">
        <v>9.85</v>
      </c>
      <c r="I148" s="335"/>
      <c r="J148" s="336"/>
    </row>
    <row r="149" spans="1:10" ht="13.5" customHeight="1" x14ac:dyDescent="0.2">
      <c r="A149" s="29"/>
      <c r="B149" s="27"/>
      <c r="C149" s="33" t="s">
        <v>961</v>
      </c>
      <c r="D149" s="29"/>
      <c r="E149" s="30"/>
      <c r="F149" s="30"/>
      <c r="G149" s="23"/>
      <c r="H149" s="335">
        <v>177</v>
      </c>
      <c r="I149" s="335"/>
      <c r="J149" s="336"/>
    </row>
    <row r="150" spans="1:10" ht="13.5" customHeight="1" x14ac:dyDescent="0.2">
      <c r="A150" s="29"/>
      <c r="B150" s="27"/>
      <c r="C150" s="33" t="s">
        <v>962</v>
      </c>
      <c r="D150" s="29"/>
      <c r="E150" s="30"/>
      <c r="F150" s="30"/>
      <c r="G150" s="23"/>
      <c r="H150" s="335">
        <v>21</v>
      </c>
      <c r="I150" s="335"/>
      <c r="J150" s="336"/>
    </row>
    <row r="151" spans="1:10" ht="13.5" customHeight="1" x14ac:dyDescent="0.2">
      <c r="A151" s="29"/>
      <c r="B151" s="27"/>
      <c r="C151" s="33" t="s">
        <v>963</v>
      </c>
      <c r="D151" s="29"/>
      <c r="E151" s="30"/>
      <c r="F151" s="30"/>
      <c r="G151" s="23"/>
      <c r="H151" s="335"/>
      <c r="I151" s="335">
        <v>35</v>
      </c>
      <c r="J151" s="336">
        <v>9964.0999999999949</v>
      </c>
    </row>
    <row r="152" spans="1:10" ht="13.5" customHeight="1" x14ac:dyDescent="0.2">
      <c r="A152" s="29"/>
      <c r="B152" s="27"/>
      <c r="C152" s="34" t="s">
        <v>964</v>
      </c>
      <c r="D152" s="29" t="s">
        <v>965</v>
      </c>
      <c r="E152" s="30">
        <v>-79.03</v>
      </c>
      <c r="F152" s="30"/>
      <c r="G152" s="23">
        <v>10468.540000000001</v>
      </c>
      <c r="H152" s="335"/>
      <c r="I152" s="335"/>
      <c r="J152" s="336"/>
    </row>
    <row r="153" spans="1:10" ht="13.5" customHeight="1" x14ac:dyDescent="0.2">
      <c r="A153" s="29"/>
      <c r="B153" s="27"/>
      <c r="C153" s="34" t="s">
        <v>966</v>
      </c>
      <c r="D153" s="29" t="s">
        <v>967</v>
      </c>
      <c r="E153" s="30">
        <v>-315</v>
      </c>
      <c r="F153" s="30"/>
      <c r="G153" s="128">
        <v>10153.540000000001</v>
      </c>
      <c r="H153" s="335"/>
      <c r="I153" s="335"/>
      <c r="J153" s="336"/>
    </row>
    <row r="154" spans="1:10" ht="13.5" customHeight="1" x14ac:dyDescent="0.2">
      <c r="A154" s="158">
        <v>43371</v>
      </c>
      <c r="B154" s="27"/>
      <c r="C154" s="33" t="s">
        <v>670</v>
      </c>
      <c r="D154" s="29"/>
      <c r="E154" s="30"/>
      <c r="F154" s="30"/>
      <c r="G154" s="23"/>
      <c r="H154" s="335">
        <v>129.80000000000001</v>
      </c>
      <c r="I154" s="335"/>
      <c r="J154" s="336"/>
    </row>
    <row r="155" spans="1:10" ht="13.5" customHeight="1" x14ac:dyDescent="0.2">
      <c r="A155" s="29"/>
      <c r="B155" s="27"/>
      <c r="C155" s="33" t="s">
        <v>968</v>
      </c>
      <c r="D155" s="29"/>
      <c r="E155" s="30"/>
      <c r="F155" s="30"/>
      <c r="G155" s="23"/>
      <c r="H155" s="335">
        <v>115</v>
      </c>
      <c r="I155" s="335"/>
      <c r="J155" s="336"/>
    </row>
    <row r="156" spans="1:10" ht="13.5" customHeight="1" x14ac:dyDescent="0.2">
      <c r="A156" s="29"/>
      <c r="B156" s="27"/>
      <c r="C156" s="33" t="s">
        <v>969</v>
      </c>
      <c r="D156" s="29"/>
      <c r="E156" s="30"/>
      <c r="F156" s="30"/>
      <c r="G156" s="23"/>
      <c r="H156" s="335">
        <v>150</v>
      </c>
      <c r="I156" s="335"/>
      <c r="J156" s="336"/>
    </row>
    <row r="157" spans="1:10" ht="13.5" customHeight="1" x14ac:dyDescent="0.2">
      <c r="A157" s="29"/>
      <c r="B157" s="27"/>
      <c r="C157" s="33" t="s">
        <v>970</v>
      </c>
      <c r="D157" s="29"/>
      <c r="E157" s="30"/>
      <c r="F157" s="30"/>
      <c r="G157" s="23"/>
      <c r="H157" s="335">
        <v>72</v>
      </c>
      <c r="I157" s="335"/>
      <c r="J157" s="336"/>
    </row>
    <row r="158" spans="1:10" ht="13.5" customHeight="1" x14ac:dyDescent="0.2">
      <c r="A158" s="29"/>
      <c r="B158" s="27"/>
      <c r="C158" s="33" t="s">
        <v>25</v>
      </c>
      <c r="D158" s="29"/>
      <c r="E158" s="30"/>
      <c r="F158" s="30"/>
      <c r="G158" s="23"/>
      <c r="H158" s="335">
        <v>100</v>
      </c>
      <c r="I158" s="335"/>
      <c r="J158" s="336"/>
    </row>
    <row r="159" spans="1:10" ht="13.5" customHeight="1" x14ac:dyDescent="0.2">
      <c r="A159" s="29"/>
      <c r="B159" s="27"/>
      <c r="C159" s="33" t="s">
        <v>559</v>
      </c>
      <c r="D159" s="29"/>
      <c r="E159" s="30"/>
      <c r="F159" s="30"/>
      <c r="G159" s="23"/>
      <c r="H159" s="335">
        <v>50</v>
      </c>
      <c r="I159" s="335"/>
      <c r="J159" s="336"/>
    </row>
    <row r="160" spans="1:10" ht="13.5" customHeight="1" x14ac:dyDescent="0.2">
      <c r="A160" s="29"/>
      <c r="B160" s="27"/>
      <c r="C160" s="33" t="s">
        <v>52</v>
      </c>
      <c r="D160" s="29"/>
      <c r="E160" s="30"/>
      <c r="F160" s="30"/>
      <c r="G160" s="23"/>
      <c r="H160" s="335">
        <v>450</v>
      </c>
      <c r="I160" s="335"/>
      <c r="J160" s="336"/>
    </row>
    <row r="161" spans="1:10" ht="13.5" customHeight="1" x14ac:dyDescent="0.2">
      <c r="A161" s="29"/>
      <c r="B161" s="27"/>
      <c r="C161" s="33" t="s">
        <v>43</v>
      </c>
      <c r="D161" s="29"/>
      <c r="E161" s="30"/>
      <c r="F161" s="30"/>
      <c r="G161" s="23"/>
      <c r="H161" s="335">
        <v>300</v>
      </c>
      <c r="I161" s="335"/>
      <c r="J161" s="342">
        <v>8597.2999999999956</v>
      </c>
    </row>
    <row r="162" spans="1:10" ht="13.5" customHeight="1" thickBot="1" x14ac:dyDescent="0.25">
      <c r="A162" s="47"/>
      <c r="B162" s="48"/>
      <c r="C162" s="49"/>
      <c r="D162" s="50"/>
      <c r="E162" s="51"/>
      <c r="F162" s="52"/>
      <c r="G162" s="53"/>
      <c r="H162" s="54"/>
      <c r="I162" s="55"/>
      <c r="J162" s="52"/>
    </row>
    <row r="163" spans="1:10" ht="13.5" customHeight="1" thickBot="1" x14ac:dyDescent="0.25">
      <c r="A163" s="2" t="s">
        <v>2</v>
      </c>
      <c r="B163" s="3"/>
      <c r="C163" s="3" t="s">
        <v>481</v>
      </c>
      <c r="D163" s="3" t="s">
        <v>4</v>
      </c>
      <c r="E163" s="4" t="s">
        <v>5</v>
      </c>
      <c r="F163" s="4" t="s">
        <v>6</v>
      </c>
      <c r="G163" s="329" t="s">
        <v>7</v>
      </c>
      <c r="H163" s="1415" t="s">
        <v>482</v>
      </c>
      <c r="I163" s="1416"/>
      <c r="J163" s="1417"/>
    </row>
    <row r="164" spans="1:10" ht="13.5" customHeight="1" x14ac:dyDescent="0.2">
      <c r="A164" s="8">
        <v>43344</v>
      </c>
      <c r="B164" s="56"/>
      <c r="C164" s="10" t="s">
        <v>8</v>
      </c>
      <c r="D164" s="11">
        <v>0</v>
      </c>
      <c r="E164" s="51"/>
      <c r="F164" s="12"/>
      <c r="G164" s="178">
        <v>0</v>
      </c>
      <c r="H164" s="179"/>
      <c r="I164" s="57"/>
      <c r="J164" s="58">
        <v>16627.27</v>
      </c>
    </row>
    <row r="165" spans="1:10" ht="13.5" customHeight="1" x14ac:dyDescent="0.2">
      <c r="A165" s="180" t="s">
        <v>971</v>
      </c>
      <c r="B165" s="56" t="s">
        <v>483</v>
      </c>
      <c r="C165" s="34" t="s">
        <v>180</v>
      </c>
      <c r="D165" s="11" t="s">
        <v>488</v>
      </c>
      <c r="E165" s="181">
        <v>-404.7</v>
      </c>
      <c r="F165" s="12"/>
      <c r="G165" s="182" t="s">
        <v>483</v>
      </c>
      <c r="H165" s="59"/>
      <c r="I165" s="60"/>
      <c r="J165" s="61">
        <v>16627.27</v>
      </c>
    </row>
    <row r="166" spans="1:10" ht="13.5" customHeight="1" x14ac:dyDescent="0.2">
      <c r="A166" s="180"/>
      <c r="B166" s="56" t="s">
        <v>483</v>
      </c>
      <c r="C166" s="34" t="s">
        <v>177</v>
      </c>
      <c r="D166" s="11" t="s">
        <v>488</v>
      </c>
      <c r="E166" s="181">
        <v>-162.27000000000001</v>
      </c>
      <c r="F166" s="12"/>
      <c r="G166" s="182" t="s">
        <v>483</v>
      </c>
      <c r="H166" s="59"/>
      <c r="I166" s="60"/>
      <c r="J166" s="61">
        <v>16627.27</v>
      </c>
    </row>
    <row r="167" spans="1:10" ht="13.5" customHeight="1" x14ac:dyDescent="0.2">
      <c r="A167" s="180"/>
      <c r="B167" s="56" t="s">
        <v>483</v>
      </c>
      <c r="C167" s="36" t="s">
        <v>174</v>
      </c>
      <c r="D167" s="11" t="s">
        <v>488</v>
      </c>
      <c r="E167" s="30"/>
      <c r="F167" s="183">
        <v>566.97</v>
      </c>
      <c r="G167" s="182">
        <v>0</v>
      </c>
      <c r="H167" s="59">
        <v>566.97</v>
      </c>
      <c r="I167" s="60"/>
      <c r="J167" s="61">
        <v>16060.300000000001</v>
      </c>
    </row>
    <row r="168" spans="1:10" ht="13.5" customHeight="1" x14ac:dyDescent="0.2">
      <c r="A168" s="180" t="s">
        <v>972</v>
      </c>
      <c r="B168" s="56" t="s">
        <v>483</v>
      </c>
      <c r="C168" s="33" t="s">
        <v>973</v>
      </c>
      <c r="D168" s="11" t="s">
        <v>974</v>
      </c>
      <c r="E168" s="181">
        <v>-2000</v>
      </c>
      <c r="F168" s="12"/>
      <c r="G168" s="182" t="s">
        <v>483</v>
      </c>
      <c r="H168" s="59"/>
      <c r="I168" s="60"/>
      <c r="J168" s="61">
        <v>16060.300000000001</v>
      </c>
    </row>
    <row r="169" spans="1:10" ht="13.5" customHeight="1" x14ac:dyDescent="0.2">
      <c r="A169" s="180"/>
      <c r="B169" s="56" t="s">
        <v>483</v>
      </c>
      <c r="C169" s="36" t="s">
        <v>174</v>
      </c>
      <c r="D169" s="11" t="s">
        <v>488</v>
      </c>
      <c r="E169" s="30"/>
      <c r="F169" s="183">
        <v>2000</v>
      </c>
      <c r="G169" s="182">
        <v>0</v>
      </c>
      <c r="H169" s="59">
        <v>2000</v>
      </c>
      <c r="I169" s="60"/>
      <c r="J169" s="61">
        <v>14060.300000000001</v>
      </c>
    </row>
    <row r="170" spans="1:10" ht="13.5" customHeight="1" x14ac:dyDescent="0.2">
      <c r="A170" s="180" t="s">
        <v>975</v>
      </c>
      <c r="B170" s="56" t="s">
        <v>483</v>
      </c>
      <c r="C170" s="36" t="s">
        <v>170</v>
      </c>
      <c r="D170" s="11" t="s">
        <v>976</v>
      </c>
      <c r="E170" s="181">
        <v>-150</v>
      </c>
      <c r="F170" s="12"/>
      <c r="G170" s="182" t="s">
        <v>483</v>
      </c>
      <c r="H170" s="59"/>
      <c r="I170" s="60"/>
      <c r="J170" s="61">
        <v>14060.300000000001</v>
      </c>
    </row>
    <row r="171" spans="1:10" ht="13.5" customHeight="1" x14ac:dyDescent="0.2">
      <c r="A171" s="180"/>
      <c r="B171" s="56" t="s">
        <v>483</v>
      </c>
      <c r="C171" s="36" t="s">
        <v>171</v>
      </c>
      <c r="D171" s="11" t="s">
        <v>977</v>
      </c>
      <c r="E171" s="181">
        <v>-554.20000000000005</v>
      </c>
      <c r="F171" s="12"/>
      <c r="G171" s="182" t="s">
        <v>483</v>
      </c>
      <c r="H171" s="59"/>
      <c r="I171" s="60"/>
      <c r="J171" s="61">
        <v>14060.300000000001</v>
      </c>
    </row>
    <row r="172" spans="1:10" ht="13.5" customHeight="1" x14ac:dyDescent="0.2">
      <c r="A172" s="180"/>
      <c r="B172" s="56" t="s">
        <v>483</v>
      </c>
      <c r="C172" s="34" t="s">
        <v>172</v>
      </c>
      <c r="D172" s="11" t="s">
        <v>978</v>
      </c>
      <c r="E172" s="181">
        <v>-585.91</v>
      </c>
      <c r="F172" s="12"/>
      <c r="G172" s="182" t="s">
        <v>483</v>
      </c>
      <c r="H172" s="59"/>
      <c r="I172" s="60"/>
      <c r="J172" s="61">
        <v>14060.300000000001</v>
      </c>
    </row>
    <row r="173" spans="1:10" ht="13.5" customHeight="1" x14ac:dyDescent="0.2">
      <c r="A173" s="180"/>
      <c r="B173" s="56" t="s">
        <v>483</v>
      </c>
      <c r="C173" s="36" t="s">
        <v>174</v>
      </c>
      <c r="D173" s="11" t="s">
        <v>488</v>
      </c>
      <c r="E173" s="30"/>
      <c r="F173" s="183">
        <v>1290.1099999999999</v>
      </c>
      <c r="G173" s="182">
        <v>0</v>
      </c>
      <c r="H173" s="59">
        <v>1290.1099999999999</v>
      </c>
      <c r="I173" s="60"/>
      <c r="J173" s="61">
        <v>12770.19</v>
      </c>
    </row>
    <row r="174" spans="1:10" ht="13.5" customHeight="1" x14ac:dyDescent="0.2">
      <c r="A174" s="180" t="s">
        <v>979</v>
      </c>
      <c r="B174" s="56" t="s">
        <v>483</v>
      </c>
      <c r="C174" s="34" t="s">
        <v>980</v>
      </c>
      <c r="D174" s="11" t="s">
        <v>488</v>
      </c>
      <c r="E174" s="30"/>
      <c r="F174" s="183">
        <v>4731.47</v>
      </c>
      <c r="G174" s="182" t="s">
        <v>483</v>
      </c>
      <c r="H174" s="59"/>
      <c r="I174" s="60"/>
      <c r="J174" s="61">
        <v>12770.19</v>
      </c>
    </row>
    <row r="175" spans="1:10" ht="13.5" customHeight="1" x14ac:dyDescent="0.2">
      <c r="A175" s="180"/>
      <c r="B175" s="56" t="s">
        <v>483</v>
      </c>
      <c r="C175" s="36" t="s">
        <v>189</v>
      </c>
      <c r="D175" s="11" t="s">
        <v>488</v>
      </c>
      <c r="E175" s="181">
        <v>-4731.47</v>
      </c>
      <c r="F175" s="12"/>
      <c r="G175" s="182">
        <v>0</v>
      </c>
      <c r="H175" s="59"/>
      <c r="I175" s="60">
        <v>4731.47</v>
      </c>
      <c r="J175" s="61">
        <v>17501.66</v>
      </c>
    </row>
    <row r="176" spans="1:10" ht="13.5" customHeight="1" x14ac:dyDescent="0.2">
      <c r="A176" s="180" t="s">
        <v>981</v>
      </c>
      <c r="B176" s="56" t="s">
        <v>483</v>
      </c>
      <c r="C176" s="34" t="s">
        <v>982</v>
      </c>
      <c r="D176" s="11" t="s">
        <v>983</v>
      </c>
      <c r="E176" s="181">
        <v>-720.85</v>
      </c>
      <c r="F176" s="12"/>
      <c r="G176" s="182" t="s">
        <v>483</v>
      </c>
      <c r="H176" s="59"/>
      <c r="I176" s="60"/>
      <c r="J176" s="61">
        <v>17501.66</v>
      </c>
    </row>
    <row r="177" spans="1:12" ht="13.5" customHeight="1" x14ac:dyDescent="0.2">
      <c r="A177" s="180"/>
      <c r="B177" s="56" t="s">
        <v>483</v>
      </c>
      <c r="C177" s="36" t="s">
        <v>984</v>
      </c>
      <c r="D177" s="11" t="s">
        <v>985</v>
      </c>
      <c r="E177" s="181">
        <v>-405.68</v>
      </c>
      <c r="F177" s="12"/>
      <c r="G177" s="182" t="s">
        <v>483</v>
      </c>
      <c r="H177" s="59"/>
      <c r="I177" s="60"/>
      <c r="J177" s="61">
        <v>17501.66</v>
      </c>
    </row>
    <row r="178" spans="1:12" ht="13.5" customHeight="1" x14ac:dyDescent="0.2">
      <c r="A178" s="180"/>
      <c r="B178" s="56" t="s">
        <v>483</v>
      </c>
      <c r="C178" s="36" t="s">
        <v>986</v>
      </c>
      <c r="D178" s="11" t="s">
        <v>987</v>
      </c>
      <c r="E178" s="181">
        <v>-405.68</v>
      </c>
      <c r="F178" s="12"/>
      <c r="G178" s="182" t="s">
        <v>483</v>
      </c>
      <c r="H178" s="59"/>
      <c r="I178" s="60"/>
      <c r="J178" s="61">
        <v>17501.66</v>
      </c>
    </row>
    <row r="179" spans="1:12" ht="13.5" customHeight="1" x14ac:dyDescent="0.2">
      <c r="A179" s="180"/>
      <c r="B179" s="56" t="s">
        <v>483</v>
      </c>
      <c r="C179" s="36" t="s">
        <v>174</v>
      </c>
      <c r="D179" s="11" t="s">
        <v>488</v>
      </c>
      <c r="E179" s="30"/>
      <c r="F179" s="183">
        <v>1532.21</v>
      </c>
      <c r="G179" s="182">
        <v>0</v>
      </c>
      <c r="H179" s="59">
        <v>1532.21</v>
      </c>
      <c r="I179" s="60"/>
      <c r="J179" s="61">
        <v>15969.45</v>
      </c>
    </row>
    <row r="180" spans="1:12" ht="13.5" customHeight="1" x14ac:dyDescent="0.2">
      <c r="A180" s="180" t="s">
        <v>988</v>
      </c>
      <c r="B180" s="56" t="s">
        <v>483</v>
      </c>
      <c r="C180" s="36" t="s">
        <v>394</v>
      </c>
      <c r="D180" s="11" t="s">
        <v>768</v>
      </c>
      <c r="E180" s="181">
        <v>-926.75</v>
      </c>
      <c r="F180" s="12"/>
      <c r="G180" s="182" t="s">
        <v>483</v>
      </c>
      <c r="H180" s="59"/>
      <c r="I180" s="60"/>
      <c r="J180" s="61">
        <v>15969.45</v>
      </c>
    </row>
    <row r="181" spans="1:12" ht="13.5" customHeight="1" x14ac:dyDescent="0.2">
      <c r="A181" s="180"/>
      <c r="B181" s="56" t="s">
        <v>483</v>
      </c>
      <c r="C181" s="36" t="s">
        <v>174</v>
      </c>
      <c r="D181" s="11" t="s">
        <v>488</v>
      </c>
      <c r="E181" s="30"/>
      <c r="F181" s="183">
        <v>926.75</v>
      </c>
      <c r="G181" s="182">
        <v>0</v>
      </c>
      <c r="H181" s="59">
        <v>926.75</v>
      </c>
      <c r="I181" s="60"/>
      <c r="J181" s="61">
        <v>15042.7</v>
      </c>
    </row>
    <row r="182" spans="1:12" ht="13.5" customHeight="1" x14ac:dyDescent="0.2">
      <c r="A182" s="180" t="s">
        <v>989</v>
      </c>
      <c r="B182" s="56" t="s">
        <v>483</v>
      </c>
      <c r="C182" s="34" t="s">
        <v>86</v>
      </c>
      <c r="D182" s="11" t="s">
        <v>488</v>
      </c>
      <c r="E182" s="181">
        <v>-78</v>
      </c>
      <c r="F182" s="12"/>
      <c r="G182" s="182" t="s">
        <v>483</v>
      </c>
      <c r="H182" s="59"/>
      <c r="I182" s="60"/>
      <c r="J182" s="61">
        <v>15042.7</v>
      </c>
    </row>
    <row r="183" spans="1:12" ht="13.5" customHeight="1" x14ac:dyDescent="0.2">
      <c r="A183" s="180"/>
      <c r="B183" s="56" t="s">
        <v>483</v>
      </c>
      <c r="C183" s="36" t="s">
        <v>174</v>
      </c>
      <c r="D183" s="11" t="s">
        <v>488</v>
      </c>
      <c r="E183" s="30"/>
      <c r="F183" s="183">
        <v>78</v>
      </c>
      <c r="G183" s="182">
        <v>0</v>
      </c>
      <c r="H183" s="59">
        <v>78</v>
      </c>
      <c r="I183" s="60"/>
      <c r="J183" s="61">
        <v>14964.7</v>
      </c>
    </row>
    <row r="184" spans="1:12" ht="13.5" customHeight="1" x14ac:dyDescent="0.2">
      <c r="A184" s="180" t="s">
        <v>990</v>
      </c>
      <c r="B184" s="56" t="s">
        <v>483</v>
      </c>
      <c r="C184" s="32" t="s">
        <v>199</v>
      </c>
      <c r="D184" s="11" t="s">
        <v>488</v>
      </c>
      <c r="E184" s="181">
        <v>-144.33000000000001</v>
      </c>
      <c r="F184" s="12"/>
      <c r="G184" s="182" t="s">
        <v>483</v>
      </c>
      <c r="H184" s="59"/>
      <c r="I184" s="60"/>
      <c r="J184" s="61">
        <v>14964.7</v>
      </c>
    </row>
    <row r="185" spans="1:12" ht="13.5" customHeight="1" x14ac:dyDescent="0.2">
      <c r="A185" s="180"/>
      <c r="B185" s="56" t="s">
        <v>591</v>
      </c>
      <c r="C185" s="33" t="s">
        <v>471</v>
      </c>
      <c r="D185" s="11" t="s">
        <v>991</v>
      </c>
      <c r="E185" s="181"/>
      <c r="F185" s="168">
        <v>8000</v>
      </c>
      <c r="G185" s="182" t="s">
        <v>483</v>
      </c>
      <c r="H185" s="59"/>
      <c r="I185" s="60"/>
      <c r="J185" s="61">
        <v>14964.7</v>
      </c>
    </row>
    <row r="186" spans="1:12" ht="13.5" customHeight="1" x14ac:dyDescent="0.2">
      <c r="A186" s="180"/>
      <c r="B186" s="56" t="s">
        <v>483</v>
      </c>
      <c r="C186" s="36" t="s">
        <v>992</v>
      </c>
      <c r="D186" s="11" t="s">
        <v>993</v>
      </c>
      <c r="E186" s="181">
        <v>-129.69999999999999</v>
      </c>
      <c r="F186" s="12"/>
      <c r="G186" s="182" t="s">
        <v>483</v>
      </c>
      <c r="H186" s="59"/>
      <c r="I186" s="60"/>
      <c r="J186" s="61">
        <v>14964.7</v>
      </c>
    </row>
    <row r="187" spans="1:12" ht="13.5" customHeight="1" x14ac:dyDescent="0.2">
      <c r="A187" s="180"/>
      <c r="B187" s="56" t="s">
        <v>483</v>
      </c>
      <c r="C187" s="36" t="s">
        <v>174</v>
      </c>
      <c r="D187" s="11" t="s">
        <v>488</v>
      </c>
      <c r="E187" s="30"/>
      <c r="F187" s="183">
        <v>274.02999999999997</v>
      </c>
      <c r="G187" s="182">
        <v>8000</v>
      </c>
      <c r="H187" s="59">
        <v>274.02999999999997</v>
      </c>
      <c r="I187" s="60"/>
      <c r="J187" s="61">
        <v>14690.67</v>
      </c>
    </row>
    <row r="188" spans="1:12" ht="13.5" customHeight="1" x14ac:dyDescent="0.2">
      <c r="A188" s="180" t="s">
        <v>994</v>
      </c>
      <c r="B188" s="56" t="s">
        <v>483</v>
      </c>
      <c r="C188" s="34" t="s">
        <v>194</v>
      </c>
      <c r="D188" s="11" t="s">
        <v>488</v>
      </c>
      <c r="E188" s="181">
        <v>-82.75</v>
      </c>
      <c r="F188" s="12"/>
      <c r="G188" s="182" t="s">
        <v>483</v>
      </c>
      <c r="H188" s="59"/>
      <c r="I188" s="60"/>
      <c r="J188" s="61">
        <v>14690.67</v>
      </c>
    </row>
    <row r="189" spans="1:12" ht="13.5" customHeight="1" x14ac:dyDescent="0.2">
      <c r="A189" s="180"/>
      <c r="B189" s="56" t="s">
        <v>483</v>
      </c>
      <c r="C189" s="34" t="s">
        <v>195</v>
      </c>
      <c r="D189" s="11" t="s">
        <v>488</v>
      </c>
      <c r="E189" s="181">
        <v>-381.94</v>
      </c>
      <c r="F189" s="12"/>
      <c r="G189" s="182" t="s">
        <v>483</v>
      </c>
      <c r="H189" s="59"/>
      <c r="I189" s="60"/>
      <c r="J189" s="61">
        <v>14690.67</v>
      </c>
    </row>
    <row r="190" spans="1:12" ht="13.5" customHeight="1" x14ac:dyDescent="0.2">
      <c r="A190" s="180"/>
      <c r="B190" s="56" t="s">
        <v>483</v>
      </c>
      <c r="C190" s="36" t="s">
        <v>189</v>
      </c>
      <c r="D190" s="11" t="s">
        <v>488</v>
      </c>
      <c r="E190" s="181">
        <v>-7535.31</v>
      </c>
      <c r="F190" s="12"/>
      <c r="G190" s="182">
        <v>0</v>
      </c>
      <c r="H190" s="59"/>
      <c r="I190" s="60">
        <v>7535.31</v>
      </c>
      <c r="J190" s="61">
        <v>22225.98</v>
      </c>
    </row>
    <row r="191" spans="1:12" s="64" customFormat="1" ht="13.5" customHeight="1" x14ac:dyDescent="0.2">
      <c r="A191" s="184" t="s">
        <v>995</v>
      </c>
      <c r="B191" s="63" t="s">
        <v>483</v>
      </c>
      <c r="C191" s="34" t="s">
        <v>86</v>
      </c>
      <c r="D191" s="50" t="s">
        <v>488</v>
      </c>
      <c r="E191" s="181">
        <v>-11.9</v>
      </c>
      <c r="F191" s="13"/>
      <c r="G191" s="53" t="s">
        <v>483</v>
      </c>
      <c r="H191" s="179"/>
      <c r="I191" s="57"/>
      <c r="J191" s="61">
        <v>22225.98</v>
      </c>
      <c r="L191" s="65"/>
    </row>
    <row r="192" spans="1:12" s="64" customFormat="1" ht="13.5" customHeight="1" x14ac:dyDescent="0.2">
      <c r="A192" s="184"/>
      <c r="B192" s="63" t="s">
        <v>483</v>
      </c>
      <c r="C192" s="36" t="s">
        <v>174</v>
      </c>
      <c r="D192" s="50" t="s">
        <v>488</v>
      </c>
      <c r="E192" s="51"/>
      <c r="F192" s="183">
        <v>11.9</v>
      </c>
      <c r="G192" s="228">
        <v>0</v>
      </c>
      <c r="H192" s="179">
        <v>11.9</v>
      </c>
      <c r="I192" s="57"/>
      <c r="J192" s="61">
        <v>22214.079999999998</v>
      </c>
      <c r="L192" s="65"/>
    </row>
    <row r="193" spans="1:12" s="64" customFormat="1" ht="13.5" customHeight="1" x14ac:dyDescent="0.2">
      <c r="A193" s="184"/>
      <c r="B193" s="63"/>
      <c r="C193" s="36" t="s">
        <v>20</v>
      </c>
      <c r="D193" s="50"/>
      <c r="E193" s="51"/>
      <c r="F193" s="13"/>
      <c r="G193" s="53"/>
      <c r="H193" s="179"/>
      <c r="I193" s="57">
        <v>2.8400000000001455</v>
      </c>
      <c r="J193" s="58">
        <v>22216.92</v>
      </c>
      <c r="L193" s="65"/>
    </row>
    <row r="194" spans="1:12" s="64" customFormat="1" ht="13.5" customHeight="1" thickBot="1" x14ac:dyDescent="0.25">
      <c r="A194" s="184"/>
      <c r="B194" s="63"/>
      <c r="C194" s="63"/>
      <c r="D194" s="50"/>
      <c r="E194" s="51"/>
      <c r="F194" s="13"/>
      <c r="G194" s="53"/>
      <c r="H194" s="179"/>
      <c r="I194" s="57"/>
      <c r="J194" s="67"/>
      <c r="L194" s="65"/>
    </row>
    <row r="195" spans="1:12" ht="13.5" customHeight="1" thickBot="1" x14ac:dyDescent="0.25">
      <c r="A195" s="2" t="s">
        <v>2</v>
      </c>
      <c r="B195" s="3"/>
      <c r="C195" s="3" t="s">
        <v>525</v>
      </c>
      <c r="D195" s="3" t="s">
        <v>4</v>
      </c>
      <c r="E195" s="4" t="s">
        <v>5</v>
      </c>
      <c r="F195" s="4" t="s">
        <v>6</v>
      </c>
      <c r="G195" s="329" t="s">
        <v>7</v>
      </c>
      <c r="H195" s="187"/>
      <c r="I195" s="188"/>
      <c r="J195" s="189"/>
    </row>
    <row r="196" spans="1:12" ht="13.5" customHeight="1" x14ac:dyDescent="0.2">
      <c r="A196" s="8">
        <v>43344</v>
      </c>
      <c r="B196" s="56"/>
      <c r="C196" s="10" t="s">
        <v>8</v>
      </c>
      <c r="D196" s="11"/>
      <c r="E196" s="51"/>
      <c r="F196" s="12"/>
      <c r="G196" s="178">
        <v>1042.7299999999998</v>
      </c>
      <c r="H196" s="179"/>
      <c r="I196" s="57"/>
      <c r="J196" s="67"/>
    </row>
    <row r="197" spans="1:12" customFormat="1" ht="13.5" customHeight="1" x14ac:dyDescent="0.2">
      <c r="A197" s="180">
        <v>43711</v>
      </c>
      <c r="B197" s="36"/>
      <c r="C197" s="36" t="s">
        <v>996</v>
      </c>
      <c r="D197" s="42"/>
      <c r="E197" s="343">
        <v>229.19</v>
      </c>
      <c r="F197" s="43"/>
      <c r="G197" s="190">
        <f>G196-E197+F197</f>
        <v>813.53999999999974</v>
      </c>
      <c r="H197" s="197"/>
      <c r="I197" s="57"/>
      <c r="J197" s="198"/>
      <c r="L197" s="40"/>
    </row>
    <row r="198" spans="1:12" customFormat="1" ht="13.5" customHeight="1" x14ac:dyDescent="0.2">
      <c r="A198" s="180"/>
      <c r="B198" s="36"/>
      <c r="C198" s="36" t="s">
        <v>529</v>
      </c>
      <c r="D198" s="42"/>
      <c r="E198" s="196"/>
      <c r="F198" s="199">
        <v>3000</v>
      </c>
      <c r="G198" s="190">
        <f t="shared" ref="G198:G205" si="0">G197-E198+F198</f>
        <v>3813.54</v>
      </c>
      <c r="H198" s="197"/>
      <c r="I198" s="57"/>
      <c r="J198" s="198"/>
      <c r="L198" s="40"/>
    </row>
    <row r="199" spans="1:12" ht="13.5" customHeight="1" x14ac:dyDescent="0.2">
      <c r="A199" s="180"/>
      <c r="B199" s="56"/>
      <c r="C199" s="36" t="s">
        <v>815</v>
      </c>
      <c r="D199" s="11"/>
      <c r="E199" s="181">
        <v>849.06</v>
      </c>
      <c r="F199" s="12"/>
      <c r="G199" s="190">
        <f t="shared" si="0"/>
        <v>2964.48</v>
      </c>
      <c r="H199" s="59"/>
      <c r="I199" s="60"/>
      <c r="J199" s="61"/>
    </row>
    <row r="200" spans="1:12" ht="13.5" customHeight="1" x14ac:dyDescent="0.2">
      <c r="A200" s="180"/>
      <c r="B200" s="56"/>
      <c r="C200" s="36" t="s">
        <v>997</v>
      </c>
      <c r="D200" s="11"/>
      <c r="E200" s="181">
        <v>72.8</v>
      </c>
      <c r="F200" s="12"/>
      <c r="G200" s="190">
        <f t="shared" si="0"/>
        <v>2891.68</v>
      </c>
      <c r="H200" s="59"/>
      <c r="I200" s="60"/>
      <c r="J200" s="61"/>
    </row>
    <row r="201" spans="1:12" ht="13.5" customHeight="1" x14ac:dyDescent="0.2">
      <c r="A201" s="180"/>
      <c r="B201" s="56"/>
      <c r="C201" s="36" t="s">
        <v>997</v>
      </c>
      <c r="D201" s="11"/>
      <c r="E201" s="181">
        <v>23.25</v>
      </c>
      <c r="F201" s="12"/>
      <c r="G201" s="190">
        <f t="shared" si="0"/>
        <v>2868.43</v>
      </c>
      <c r="H201" s="59"/>
      <c r="I201" s="60"/>
      <c r="J201" s="61"/>
    </row>
    <row r="202" spans="1:12" ht="13.5" customHeight="1" x14ac:dyDescent="0.2">
      <c r="A202" s="180">
        <v>43348</v>
      </c>
      <c r="B202" s="56"/>
      <c r="C202" s="34" t="s">
        <v>880</v>
      </c>
      <c r="D202" s="11"/>
      <c r="E202" s="344">
        <v>570</v>
      </c>
      <c r="F202" s="12"/>
      <c r="G202" s="190">
        <f t="shared" si="0"/>
        <v>2298.4299999999998</v>
      </c>
      <c r="H202" s="59"/>
      <c r="I202" s="60"/>
      <c r="J202" s="61"/>
    </row>
    <row r="203" spans="1:12" ht="13.5" customHeight="1" x14ac:dyDescent="0.2">
      <c r="A203" s="180">
        <v>43357</v>
      </c>
      <c r="B203" s="56"/>
      <c r="C203" s="36" t="s">
        <v>998</v>
      </c>
      <c r="D203" s="11"/>
      <c r="E203" s="181">
        <v>312</v>
      </c>
      <c r="F203" s="12"/>
      <c r="G203" s="190">
        <f t="shared" si="0"/>
        <v>1986.4299999999998</v>
      </c>
      <c r="H203" s="59"/>
      <c r="I203" s="60"/>
      <c r="J203" s="61"/>
    </row>
    <row r="204" spans="1:12" s="64" customFormat="1" ht="13.5" customHeight="1" x14ac:dyDescent="0.2">
      <c r="A204" s="184">
        <v>43368</v>
      </c>
      <c r="B204" s="63"/>
      <c r="C204" s="138" t="s">
        <v>999</v>
      </c>
      <c r="D204" s="50"/>
      <c r="E204" s="181">
        <v>358</v>
      </c>
      <c r="F204" s="13"/>
      <c r="G204" s="190">
        <f t="shared" si="0"/>
        <v>1628.4299999999998</v>
      </c>
      <c r="H204" s="179"/>
      <c r="I204" s="57"/>
      <c r="J204" s="67"/>
      <c r="L204" s="65"/>
    </row>
    <row r="205" spans="1:12" s="64" customFormat="1" ht="13.5" customHeight="1" x14ac:dyDescent="0.2">
      <c r="A205" s="184"/>
      <c r="B205" s="63"/>
      <c r="C205" s="138" t="s">
        <v>1000</v>
      </c>
      <c r="D205" s="50"/>
      <c r="E205" s="181">
        <v>498</v>
      </c>
      <c r="F205" s="13"/>
      <c r="G205" s="178">
        <f t="shared" si="0"/>
        <v>1130.4299999999998</v>
      </c>
      <c r="H205" s="179"/>
      <c r="I205" s="57"/>
      <c r="J205" s="67"/>
      <c r="L205" s="65"/>
    </row>
    <row r="206" spans="1:12" s="64" customFormat="1" ht="13.5" customHeight="1" thickBot="1" x14ac:dyDescent="0.25">
      <c r="A206" s="345"/>
      <c r="B206" s="346"/>
      <c r="C206" s="347"/>
      <c r="D206" s="348"/>
      <c r="E206" s="349"/>
      <c r="F206" s="350"/>
      <c r="G206" s="351"/>
      <c r="H206" s="352"/>
      <c r="I206" s="353"/>
      <c r="J206" s="354"/>
      <c r="L206" s="65"/>
    </row>
    <row r="207" spans="1:12" customFormat="1" ht="13.5" customHeight="1" thickBot="1" x14ac:dyDescent="0.25">
      <c r="A207" s="2" t="s">
        <v>2</v>
      </c>
      <c r="B207" s="3"/>
      <c r="C207" s="3" t="s">
        <v>534</v>
      </c>
      <c r="D207" s="191" t="s">
        <v>4</v>
      </c>
      <c r="E207" s="3" t="s">
        <v>5</v>
      </c>
      <c r="F207" s="3" t="s">
        <v>6</v>
      </c>
      <c r="G207" s="5" t="s">
        <v>7</v>
      </c>
      <c r="H207" s="192"/>
      <c r="I207" s="193"/>
      <c r="J207" s="194"/>
    </row>
    <row r="208" spans="1:12" customFormat="1" ht="13.5" customHeight="1" x14ac:dyDescent="0.2">
      <c r="A208" s="8">
        <v>42370</v>
      </c>
      <c r="B208" s="36"/>
      <c r="C208" s="10" t="s">
        <v>8</v>
      </c>
      <c r="D208" s="195"/>
      <c r="E208" s="196"/>
      <c r="F208" s="43"/>
      <c r="G208" s="178">
        <v>0</v>
      </c>
      <c r="H208" s="197"/>
      <c r="I208" s="57"/>
      <c r="J208" s="198"/>
    </row>
    <row r="209" spans="1:12" customFormat="1" ht="13.5" customHeight="1" x14ac:dyDescent="0.2">
      <c r="A209" s="180">
        <v>43284</v>
      </c>
      <c r="B209" s="32"/>
      <c r="C209" s="32" t="s">
        <v>535</v>
      </c>
      <c r="D209" s="195"/>
      <c r="E209" s="196"/>
      <c r="F209" s="199">
        <v>500</v>
      </c>
      <c r="G209" s="190">
        <v>500</v>
      </c>
      <c r="H209" s="197"/>
      <c r="I209" s="57"/>
      <c r="J209" s="198"/>
    </row>
    <row r="210" spans="1:12" customFormat="1" ht="13.5" customHeight="1" x14ac:dyDescent="0.2">
      <c r="A210" s="180">
        <v>43346</v>
      </c>
      <c r="B210" s="36"/>
      <c r="C210" s="32" t="s">
        <v>535</v>
      </c>
      <c r="D210" s="195"/>
      <c r="E210" s="200"/>
      <c r="F210" s="199">
        <v>3000</v>
      </c>
      <c r="G210" s="178">
        <v>3500</v>
      </c>
      <c r="H210" s="68"/>
      <c r="I210" s="60"/>
      <c r="J210" s="69"/>
    </row>
    <row r="211" spans="1:12" customFormat="1" ht="13.5" customHeight="1" x14ac:dyDescent="0.2">
      <c r="A211" s="180"/>
      <c r="B211" s="36"/>
      <c r="C211" s="36"/>
      <c r="D211" s="195"/>
      <c r="E211" s="200"/>
      <c r="F211" s="43"/>
      <c r="G211" s="205"/>
      <c r="H211" s="68"/>
      <c r="I211" s="60"/>
      <c r="J211" s="69"/>
    </row>
    <row r="212" spans="1:12" ht="13.5" customHeight="1" thickBot="1" x14ac:dyDescent="0.25">
      <c r="A212" s="180"/>
      <c r="B212" s="56"/>
      <c r="C212" s="56"/>
      <c r="D212" s="11"/>
      <c r="E212" s="30"/>
      <c r="F212" s="12"/>
      <c r="G212" s="182"/>
      <c r="H212" s="59"/>
      <c r="I212" s="60"/>
      <c r="J212" s="61"/>
    </row>
    <row r="213" spans="1:12" ht="13.5" customHeight="1" thickBot="1" x14ac:dyDescent="0.25">
      <c r="A213" s="2" t="s">
        <v>2</v>
      </c>
      <c r="B213" s="3"/>
      <c r="C213" s="3" t="s">
        <v>536</v>
      </c>
      <c r="D213" s="3"/>
      <c r="E213" s="4"/>
      <c r="F213" s="4"/>
      <c r="G213" s="329" t="s">
        <v>7</v>
      </c>
      <c r="H213" s="6" t="s">
        <v>5</v>
      </c>
      <c r="I213" s="4" t="s">
        <v>6</v>
      </c>
      <c r="J213" s="7" t="s">
        <v>7</v>
      </c>
    </row>
    <row r="214" spans="1:12" ht="13.5" customHeight="1" x14ac:dyDescent="0.2">
      <c r="A214" s="8">
        <v>43344</v>
      </c>
      <c r="B214" s="70"/>
      <c r="C214" s="10" t="s">
        <v>537</v>
      </c>
      <c r="D214" s="201"/>
      <c r="E214" s="67"/>
      <c r="F214" s="67"/>
      <c r="G214" s="178"/>
      <c r="H214" s="179"/>
      <c r="I214" s="57"/>
      <c r="J214" s="58">
        <v>11000</v>
      </c>
    </row>
    <row r="215" spans="1:12" customFormat="1" ht="13.5" customHeight="1" x14ac:dyDescent="0.2">
      <c r="A215" s="180">
        <v>43348</v>
      </c>
      <c r="B215" s="46"/>
      <c r="C215" s="34" t="s">
        <v>1001</v>
      </c>
      <c r="D215" s="202"/>
      <c r="E215" s="69"/>
      <c r="F215" s="69"/>
      <c r="G215" s="203"/>
      <c r="H215" s="355">
        <v>75</v>
      </c>
      <c r="I215" s="71"/>
      <c r="J215" s="69">
        <v>10925</v>
      </c>
      <c r="L215" s="40"/>
    </row>
    <row r="216" spans="1:12" customFormat="1" ht="13.5" customHeight="1" x14ac:dyDescent="0.2">
      <c r="A216" s="180"/>
      <c r="B216" s="46"/>
      <c r="C216" s="34" t="s">
        <v>1002</v>
      </c>
      <c r="D216" s="202"/>
      <c r="E216" s="69"/>
      <c r="F216" s="69"/>
      <c r="G216" s="203"/>
      <c r="H216" s="355">
        <v>5531.51</v>
      </c>
      <c r="I216" s="71"/>
      <c r="J216" s="69">
        <v>5393.49</v>
      </c>
      <c r="L216" s="40"/>
    </row>
    <row r="217" spans="1:12" customFormat="1" ht="13.5" customHeight="1" x14ac:dyDescent="0.2">
      <c r="A217" s="180">
        <v>43349</v>
      </c>
      <c r="B217" s="46"/>
      <c r="C217" s="34" t="s">
        <v>1003</v>
      </c>
      <c r="D217" s="202"/>
      <c r="E217" s="69"/>
      <c r="F217" s="69"/>
      <c r="G217" s="203"/>
      <c r="H217" s="355">
        <v>8.5</v>
      </c>
      <c r="I217" s="71"/>
      <c r="J217" s="69">
        <v>5384.99</v>
      </c>
      <c r="L217" s="40"/>
    </row>
    <row r="218" spans="1:12" customFormat="1" ht="13.5" customHeight="1" x14ac:dyDescent="0.2">
      <c r="A218" s="180"/>
      <c r="B218" s="46"/>
      <c r="C218" s="34" t="s">
        <v>204</v>
      </c>
      <c r="D218" s="202"/>
      <c r="E218" s="69"/>
      <c r="F218" s="69"/>
      <c r="G218" s="203"/>
      <c r="H218" s="355">
        <v>2.9</v>
      </c>
      <c r="I218" s="71"/>
      <c r="J218" s="69">
        <v>5382.09</v>
      </c>
      <c r="L218" s="40"/>
    </row>
    <row r="219" spans="1:12" customFormat="1" ht="13.5" customHeight="1" x14ac:dyDescent="0.2">
      <c r="A219" s="180"/>
      <c r="B219" s="46"/>
      <c r="C219" s="34" t="s">
        <v>205</v>
      </c>
      <c r="D219" s="202"/>
      <c r="E219" s="69"/>
      <c r="F219" s="69"/>
      <c r="G219" s="203"/>
      <c r="H219" s="355">
        <v>15.5</v>
      </c>
      <c r="I219" s="71"/>
      <c r="J219" s="69">
        <v>5366.59</v>
      </c>
      <c r="L219" s="40"/>
    </row>
    <row r="220" spans="1:12" ht="13.5" customHeight="1" x14ac:dyDescent="0.2">
      <c r="A220" s="180"/>
      <c r="B220" s="9"/>
      <c r="C220" s="34" t="s">
        <v>1004</v>
      </c>
      <c r="D220" s="204"/>
      <c r="E220" s="61"/>
      <c r="F220" s="61"/>
      <c r="G220" s="205"/>
      <c r="H220" s="356">
        <v>36.619999999999997</v>
      </c>
      <c r="I220" s="71"/>
      <c r="J220" s="69">
        <v>5329.97</v>
      </c>
    </row>
    <row r="221" spans="1:12" ht="13.5" customHeight="1" x14ac:dyDescent="0.2">
      <c r="A221" s="180"/>
      <c r="B221" s="9"/>
      <c r="C221" s="34" t="s">
        <v>1005</v>
      </c>
      <c r="D221" s="204"/>
      <c r="E221" s="61"/>
      <c r="F221" s="61"/>
      <c r="G221" s="205"/>
      <c r="H221" s="356">
        <v>143.93</v>
      </c>
      <c r="I221" s="71"/>
      <c r="J221" s="69">
        <v>5186.04</v>
      </c>
    </row>
    <row r="222" spans="1:12" ht="13.5" customHeight="1" x14ac:dyDescent="0.2">
      <c r="A222" s="180">
        <v>43351</v>
      </c>
      <c r="B222" s="9"/>
      <c r="C222" s="34" t="s">
        <v>1006</v>
      </c>
      <c r="D222" s="204"/>
      <c r="E222" s="61"/>
      <c r="F222" s="61"/>
      <c r="G222" s="205"/>
      <c r="H222" s="356">
        <v>60</v>
      </c>
      <c r="I222" s="71"/>
      <c r="J222" s="69">
        <v>5126.04</v>
      </c>
    </row>
    <row r="223" spans="1:12" ht="13.5" customHeight="1" x14ac:dyDescent="0.2">
      <c r="A223" s="180">
        <v>43356</v>
      </c>
      <c r="B223" s="9"/>
      <c r="C223" s="34" t="s">
        <v>205</v>
      </c>
      <c r="D223" s="204"/>
      <c r="E223" s="61"/>
      <c r="F223" s="61"/>
      <c r="G223" s="205"/>
      <c r="H223" s="356">
        <v>6.2</v>
      </c>
      <c r="I223" s="71"/>
      <c r="J223" s="69">
        <v>5119.84</v>
      </c>
    </row>
    <row r="224" spans="1:12" ht="13.5" customHeight="1" x14ac:dyDescent="0.2">
      <c r="A224" s="180"/>
      <c r="B224" s="9"/>
      <c r="C224" s="34" t="s">
        <v>1007</v>
      </c>
      <c r="D224" s="204"/>
      <c r="E224" s="61"/>
      <c r="F224" s="61"/>
      <c r="G224" s="205"/>
      <c r="H224" s="356">
        <v>121.5</v>
      </c>
      <c r="I224" s="71"/>
      <c r="J224" s="69">
        <v>4998.34</v>
      </c>
    </row>
    <row r="225" spans="1:11" ht="13.5" customHeight="1" x14ac:dyDescent="0.2">
      <c r="A225" s="180"/>
      <c r="B225" s="9"/>
      <c r="C225" s="34" t="s">
        <v>1008</v>
      </c>
      <c r="D225" s="204"/>
      <c r="E225" s="61"/>
      <c r="F225" s="61"/>
      <c r="G225" s="205"/>
      <c r="H225" s="356">
        <v>135</v>
      </c>
      <c r="I225" s="71"/>
      <c r="J225" s="69">
        <v>4863.34</v>
      </c>
    </row>
    <row r="226" spans="1:11" ht="13.5" customHeight="1" x14ac:dyDescent="0.2">
      <c r="A226" s="180">
        <v>43357</v>
      </c>
      <c r="B226" s="9"/>
      <c r="C226" s="34" t="s">
        <v>205</v>
      </c>
      <c r="D226" s="204"/>
      <c r="E226" s="61"/>
      <c r="F226" s="61"/>
      <c r="G226" s="205"/>
      <c r="H226" s="356">
        <v>7.2</v>
      </c>
      <c r="I226" s="71"/>
      <c r="J226" s="69">
        <v>4856.1400000000003</v>
      </c>
    </row>
    <row r="227" spans="1:11" ht="13.5" customHeight="1" x14ac:dyDescent="0.2">
      <c r="A227" s="180"/>
      <c r="B227" s="9"/>
      <c r="C227" s="34" t="s">
        <v>205</v>
      </c>
      <c r="D227" s="204"/>
      <c r="E227" s="61"/>
      <c r="F227" s="61"/>
      <c r="G227" s="205"/>
      <c r="H227" s="356">
        <v>10</v>
      </c>
      <c r="I227" s="71"/>
      <c r="J227" s="69">
        <v>4846.1400000000003</v>
      </c>
    </row>
    <row r="228" spans="1:11" ht="13.5" customHeight="1" x14ac:dyDescent="0.2">
      <c r="A228" s="180"/>
      <c r="B228" s="46"/>
      <c r="C228" s="34" t="s">
        <v>1004</v>
      </c>
      <c r="D228" s="202"/>
      <c r="E228" s="69"/>
      <c r="F228" s="69"/>
      <c r="G228" s="203"/>
      <c r="H228" s="355">
        <v>11.59</v>
      </c>
      <c r="I228" s="71"/>
      <c r="J228" s="69">
        <v>4834.55</v>
      </c>
    </row>
    <row r="229" spans="1:11" ht="13.5" customHeight="1" x14ac:dyDescent="0.2">
      <c r="A229" s="180"/>
      <c r="B229" s="46"/>
      <c r="C229" s="34" t="s">
        <v>206</v>
      </c>
      <c r="D229" s="202"/>
      <c r="E229" s="69"/>
      <c r="F229" s="69"/>
      <c r="G229" s="203"/>
      <c r="H229" s="355">
        <v>208.64</v>
      </c>
      <c r="I229" s="71"/>
      <c r="J229" s="69">
        <v>4625.91</v>
      </c>
    </row>
    <row r="230" spans="1:11" ht="13.5" customHeight="1" x14ac:dyDescent="0.2">
      <c r="A230" s="180">
        <v>43361</v>
      </c>
      <c r="B230" s="46"/>
      <c r="C230" s="34" t="s">
        <v>1009</v>
      </c>
      <c r="D230" s="202"/>
      <c r="E230" s="69"/>
      <c r="F230" s="69"/>
      <c r="G230" s="203"/>
      <c r="H230" s="355">
        <v>21</v>
      </c>
      <c r="I230" s="71"/>
      <c r="J230" s="69">
        <v>4604.91</v>
      </c>
    </row>
    <row r="231" spans="1:11" ht="13.5" customHeight="1" x14ac:dyDescent="0.2">
      <c r="A231" s="180">
        <v>43365</v>
      </c>
      <c r="B231" s="46"/>
      <c r="C231" s="34" t="s">
        <v>1010</v>
      </c>
      <c r="D231" s="202"/>
      <c r="E231" s="69"/>
      <c r="F231" s="69"/>
      <c r="G231" s="203"/>
      <c r="H231" s="355">
        <v>43.37</v>
      </c>
      <c r="I231" s="71"/>
      <c r="J231" s="69">
        <v>4561.54</v>
      </c>
    </row>
    <row r="232" spans="1:11" ht="13.5" customHeight="1" x14ac:dyDescent="0.2">
      <c r="A232" s="180">
        <v>43367</v>
      </c>
      <c r="B232" s="46"/>
      <c r="C232" s="34" t="s">
        <v>1011</v>
      </c>
      <c r="D232" s="202"/>
      <c r="E232" s="69"/>
      <c r="F232" s="69"/>
      <c r="G232" s="203"/>
      <c r="H232" s="355">
        <v>36.4</v>
      </c>
      <c r="I232" s="71"/>
      <c r="J232" s="69">
        <v>4525.1400000000003</v>
      </c>
    </row>
    <row r="233" spans="1:11" ht="13.5" customHeight="1" x14ac:dyDescent="0.2">
      <c r="A233" s="180"/>
      <c r="B233" s="46"/>
      <c r="C233" s="34" t="s">
        <v>1012</v>
      </c>
      <c r="D233" s="202"/>
      <c r="E233" s="69"/>
      <c r="F233" s="69"/>
      <c r="G233" s="203"/>
      <c r="H233" s="355">
        <v>119</v>
      </c>
      <c r="I233" s="71"/>
      <c r="J233" s="69">
        <v>4406.1400000000003</v>
      </c>
    </row>
    <row r="234" spans="1:11" ht="13.5" customHeight="1" x14ac:dyDescent="0.2">
      <c r="A234" s="180">
        <v>43364</v>
      </c>
      <c r="B234" s="46"/>
      <c r="C234" s="36" t="s">
        <v>77</v>
      </c>
      <c r="D234" s="202"/>
      <c r="E234" s="69"/>
      <c r="F234" s="69"/>
      <c r="G234" s="203"/>
      <c r="H234" s="355"/>
      <c r="I234" s="73">
        <v>6000</v>
      </c>
      <c r="J234" s="69">
        <v>10406.14</v>
      </c>
    </row>
    <row r="235" spans="1:11" ht="13.5" customHeight="1" x14ac:dyDescent="0.2">
      <c r="A235" s="180">
        <v>43370</v>
      </c>
      <c r="B235" s="46"/>
      <c r="C235" s="34" t="s">
        <v>1013</v>
      </c>
      <c r="D235" s="202"/>
      <c r="E235" s="69"/>
      <c r="F235" s="69"/>
      <c r="G235" s="203"/>
      <c r="H235" s="355">
        <v>1200</v>
      </c>
      <c r="I235" s="71"/>
      <c r="J235" s="69">
        <v>9206.14</v>
      </c>
    </row>
    <row r="236" spans="1:11" ht="13.5" customHeight="1" x14ac:dyDescent="0.2">
      <c r="A236" s="180">
        <v>43371</v>
      </c>
      <c r="B236" s="46"/>
      <c r="C236" s="34" t="s">
        <v>1014</v>
      </c>
      <c r="D236" s="202"/>
      <c r="E236" s="69"/>
      <c r="F236" s="69"/>
      <c r="G236" s="203"/>
      <c r="H236" s="355">
        <v>42</v>
      </c>
      <c r="I236" s="71"/>
      <c r="J236" s="69">
        <v>9164.14</v>
      </c>
    </row>
    <row r="237" spans="1:11" ht="13.5" customHeight="1" x14ac:dyDescent="0.2">
      <c r="A237" s="171"/>
      <c r="B237" s="46"/>
      <c r="C237" s="34" t="s">
        <v>1015</v>
      </c>
      <c r="D237" s="202"/>
      <c r="E237" s="69"/>
      <c r="F237" s="69"/>
      <c r="G237" s="203"/>
      <c r="H237" s="355">
        <v>434.83</v>
      </c>
      <c r="I237" s="68"/>
      <c r="J237" s="69">
        <v>8729.31</v>
      </c>
      <c r="K237" s="18"/>
    </row>
    <row r="238" spans="1:11" ht="13.5" customHeight="1" x14ac:dyDescent="0.2">
      <c r="A238" s="171"/>
      <c r="B238" s="46"/>
      <c r="C238" s="34" t="s">
        <v>1016</v>
      </c>
      <c r="D238" s="202"/>
      <c r="E238" s="69"/>
      <c r="F238" s="69"/>
      <c r="G238" s="203"/>
      <c r="H238" s="355">
        <v>469.91</v>
      </c>
      <c r="I238" s="68"/>
      <c r="J238" s="69">
        <v>8259.4</v>
      </c>
      <c r="K238" s="18"/>
    </row>
    <row r="239" spans="1:11" ht="13.5" customHeight="1" x14ac:dyDescent="0.2">
      <c r="A239" s="171"/>
      <c r="B239" s="46"/>
      <c r="C239" s="34" t="s">
        <v>818</v>
      </c>
      <c r="D239" s="202"/>
      <c r="E239" s="69"/>
      <c r="F239" s="69"/>
      <c r="G239" s="203"/>
      <c r="H239" s="355">
        <v>4000</v>
      </c>
      <c r="I239" s="68"/>
      <c r="J239" s="231">
        <v>4259.3999999999996</v>
      </c>
      <c r="K239" s="18"/>
    </row>
    <row r="240" spans="1:11" ht="13.5" customHeight="1" thickBot="1" x14ac:dyDescent="0.25">
      <c r="A240" s="207"/>
      <c r="B240" s="207"/>
      <c r="C240" s="208"/>
      <c r="D240" s="207"/>
      <c r="E240" s="209"/>
      <c r="F240" s="209"/>
      <c r="G240" s="210"/>
      <c r="H240" s="211"/>
      <c r="I240" s="211"/>
      <c r="J240" s="212"/>
    </row>
    <row r="241" spans="1:10" ht="13.5" customHeight="1" thickBot="1" x14ac:dyDescent="0.25">
      <c r="A241" s="213"/>
      <c r="B241" s="214"/>
      <c r="C241" s="215" t="s">
        <v>539</v>
      </c>
      <c r="D241" s="216"/>
      <c r="E241" s="187"/>
      <c r="F241" s="187"/>
      <c r="G241" s="7" t="s">
        <v>7</v>
      </c>
      <c r="H241" s="187"/>
      <c r="I241" s="187"/>
      <c r="J241" s="189"/>
    </row>
    <row r="242" spans="1:10" ht="13.5" customHeight="1" x14ac:dyDescent="0.2">
      <c r="A242" s="74" t="s">
        <v>540</v>
      </c>
      <c r="B242" s="74"/>
      <c r="C242" s="218" t="s">
        <v>541</v>
      </c>
      <c r="D242" s="219"/>
      <c r="E242" s="220"/>
      <c r="F242" s="220"/>
      <c r="G242" s="75">
        <v>22216.92</v>
      </c>
      <c r="H242" s="220"/>
      <c r="I242" s="220"/>
      <c r="J242" s="220"/>
    </row>
    <row r="243" spans="1:10" ht="13.5" customHeight="1" x14ac:dyDescent="0.2">
      <c r="A243" s="221" t="s">
        <v>540</v>
      </c>
      <c r="B243" s="70"/>
      <c r="C243" s="63" t="s">
        <v>542</v>
      </c>
      <c r="D243" s="50"/>
      <c r="E243" s="13"/>
      <c r="F243" s="13"/>
      <c r="G243" s="75">
        <v>7501.95</v>
      </c>
      <c r="H243" s="13"/>
      <c r="I243" s="13"/>
      <c r="J243" s="13"/>
    </row>
    <row r="244" spans="1:10" ht="13.5" customHeight="1" x14ac:dyDescent="0.2">
      <c r="A244" s="70"/>
      <c r="B244" s="70"/>
      <c r="C244" s="222" t="s">
        <v>543</v>
      </c>
      <c r="D244" s="50"/>
      <c r="E244" s="13"/>
      <c r="F244" s="13"/>
      <c r="G244" s="14">
        <v>29718.87</v>
      </c>
      <c r="H244" s="13"/>
      <c r="I244" s="13"/>
      <c r="J244" s="13"/>
    </row>
    <row r="245" spans="1:10" ht="13.5" customHeight="1" x14ac:dyDescent="0.2">
      <c r="A245" s="70"/>
      <c r="B245" s="70"/>
      <c r="C245" s="63"/>
      <c r="D245" s="50"/>
      <c r="E245" s="13"/>
      <c r="F245" s="13"/>
      <c r="G245" s="14"/>
      <c r="H245" s="13"/>
      <c r="I245" s="13"/>
      <c r="J245" s="13"/>
    </row>
    <row r="246" spans="1:10" ht="13.5" customHeight="1" x14ac:dyDescent="0.2">
      <c r="A246" s="70"/>
      <c r="B246" s="70"/>
      <c r="C246" s="222" t="s">
        <v>544</v>
      </c>
      <c r="D246" s="50"/>
      <c r="E246" s="13"/>
      <c r="F246" s="13"/>
      <c r="G246" s="14">
        <v>23010.239999999998</v>
      </c>
      <c r="H246" s="13"/>
      <c r="I246" s="13"/>
      <c r="J246" s="13"/>
    </row>
    <row r="247" spans="1:10" ht="13.5" customHeight="1" x14ac:dyDescent="0.2">
      <c r="A247" s="70"/>
      <c r="B247" s="70"/>
      <c r="C247" s="63"/>
      <c r="D247" s="50"/>
      <c r="E247" s="13"/>
      <c r="F247" s="13"/>
      <c r="G247" s="75"/>
      <c r="H247" s="13"/>
      <c r="I247" s="13"/>
      <c r="J247" s="13"/>
    </row>
    <row r="248" spans="1:10" ht="13.5" customHeight="1" x14ac:dyDescent="0.2">
      <c r="A248" s="76"/>
      <c r="B248" s="76"/>
      <c r="C248" s="222" t="s">
        <v>545</v>
      </c>
      <c r="D248" s="76"/>
      <c r="E248" s="223"/>
      <c r="F248" s="223"/>
      <c r="G248" s="14">
        <v>52729.11</v>
      </c>
      <c r="H248" s="77"/>
      <c r="I248" s="77"/>
      <c r="J248" s="13"/>
    </row>
    <row r="249" spans="1:10" ht="13.5" customHeight="1" x14ac:dyDescent="0.2">
      <c r="A249" s="76"/>
      <c r="B249" s="76"/>
      <c r="C249" s="78"/>
      <c r="D249" s="76"/>
      <c r="E249" s="223"/>
      <c r="F249" s="223"/>
      <c r="G249" s="75"/>
      <c r="H249" s="77"/>
      <c r="I249" s="77"/>
      <c r="J249" s="13"/>
    </row>
    <row r="250" spans="1:10" ht="13.5" customHeight="1" x14ac:dyDescent="0.2">
      <c r="A250" s="79"/>
      <c r="B250" s="79"/>
      <c r="C250" s="78"/>
      <c r="D250" s="76"/>
      <c r="E250" s="223"/>
      <c r="F250" s="223"/>
      <c r="G250" s="75"/>
      <c r="H250" s="77"/>
      <c r="I250" s="77"/>
      <c r="J250" s="13"/>
    </row>
    <row r="251" spans="1:10" ht="13.5" customHeight="1" x14ac:dyDescent="0.2">
      <c r="A251" s="79"/>
      <c r="B251" s="79"/>
      <c r="C251" s="78"/>
      <c r="D251" s="76"/>
      <c r="E251" s="13"/>
      <c r="F251" s="13"/>
      <c r="G251" s="75"/>
      <c r="H251" s="77"/>
      <c r="I251" s="77"/>
      <c r="J251" s="13"/>
    </row>
    <row r="252" spans="1:10" ht="13.5" customHeight="1" x14ac:dyDescent="0.2">
      <c r="A252" s="74"/>
      <c r="B252" s="80"/>
      <c r="C252" s="81"/>
      <c r="D252" s="50"/>
      <c r="E252" s="13"/>
      <c r="F252" s="13"/>
      <c r="G252" s="75"/>
      <c r="H252" s="13"/>
      <c r="I252" s="13"/>
      <c r="J252" s="13"/>
    </row>
    <row r="253" spans="1:10" ht="13.5" customHeight="1" x14ac:dyDescent="0.2">
      <c r="A253" s="79"/>
      <c r="B253" s="79"/>
      <c r="C253" s="78"/>
      <c r="D253" s="76"/>
      <c r="E253" s="13"/>
      <c r="F253" s="13"/>
      <c r="G253" s="75"/>
      <c r="H253" s="77"/>
      <c r="I253" s="77"/>
      <c r="J253" s="13"/>
    </row>
    <row r="254" spans="1:10" ht="13.5" customHeight="1" x14ac:dyDescent="0.2">
      <c r="A254" s="79"/>
      <c r="B254" s="79"/>
      <c r="C254" s="78"/>
      <c r="D254" s="76"/>
      <c r="E254" s="13"/>
      <c r="F254" s="13"/>
      <c r="G254" s="75"/>
      <c r="H254" s="77"/>
      <c r="I254" s="77"/>
      <c r="J254" s="13"/>
    </row>
    <row r="255" spans="1:10" ht="13.5" customHeight="1" x14ac:dyDescent="0.2">
      <c r="A255" s="79"/>
      <c r="B255" s="79"/>
      <c r="C255" s="78"/>
      <c r="D255" s="76"/>
      <c r="E255" s="223"/>
      <c r="F255" s="223"/>
      <c r="G255" s="75"/>
      <c r="H255" s="77"/>
      <c r="I255" s="77"/>
      <c r="J255" s="13"/>
    </row>
    <row r="256" spans="1:10" ht="13.5" customHeight="1" x14ac:dyDescent="0.2">
      <c r="A256" s="79"/>
      <c r="B256" s="79"/>
      <c r="C256" s="78"/>
      <c r="D256" s="76"/>
      <c r="E256" s="223"/>
      <c r="F256" s="223"/>
      <c r="G256" s="75"/>
      <c r="H256" s="77"/>
      <c r="I256" s="77"/>
      <c r="J256" s="13"/>
    </row>
    <row r="257" spans="1:10" ht="13.5" customHeight="1" x14ac:dyDescent="0.2">
      <c r="A257" s="79"/>
      <c r="B257" s="79"/>
      <c r="C257" s="78"/>
      <c r="D257" s="76"/>
      <c r="E257" s="223"/>
      <c r="F257" s="223"/>
      <c r="G257" s="75"/>
      <c r="H257" s="77"/>
      <c r="I257" s="77"/>
      <c r="J257" s="13"/>
    </row>
    <row r="258" spans="1:10" ht="13.5" customHeight="1" x14ac:dyDescent="0.2">
      <c r="A258" s="79"/>
      <c r="B258" s="79"/>
      <c r="C258" s="78"/>
      <c r="D258" s="76"/>
      <c r="E258" s="223"/>
      <c r="F258" s="223"/>
      <c r="G258" s="75"/>
      <c r="H258" s="77"/>
      <c r="I258" s="77"/>
      <c r="J258" s="13"/>
    </row>
    <row r="259" spans="1:10" ht="13.5" customHeight="1" x14ac:dyDescent="0.2">
      <c r="A259" s="79"/>
      <c r="B259" s="79"/>
      <c r="C259" s="78"/>
      <c r="D259" s="76"/>
      <c r="E259" s="223"/>
      <c r="F259" s="223"/>
      <c r="G259" s="75"/>
      <c r="H259" s="77"/>
      <c r="I259" s="77"/>
      <c r="J259" s="13"/>
    </row>
    <row r="260" spans="1:10" ht="13.5" customHeight="1" x14ac:dyDescent="0.2">
      <c r="A260" s="79"/>
      <c r="B260" s="79"/>
      <c r="C260" s="78"/>
      <c r="D260" s="76"/>
      <c r="E260" s="223"/>
      <c r="F260" s="223"/>
      <c r="G260" s="14"/>
      <c r="H260" s="77"/>
      <c r="I260" s="77"/>
      <c r="J260" s="130"/>
    </row>
    <row r="261" spans="1:10" ht="13.5" customHeight="1" x14ac:dyDescent="0.2">
      <c r="A261" s="70"/>
      <c r="B261" s="70"/>
      <c r="C261" s="63"/>
      <c r="D261" s="50"/>
      <c r="E261" s="13"/>
      <c r="F261" s="13"/>
      <c r="G261" s="75"/>
      <c r="H261" s="82"/>
      <c r="I261" s="13"/>
      <c r="J261" s="13"/>
    </row>
    <row r="262" spans="1:10" ht="13.5" customHeight="1" x14ac:dyDescent="0.2">
      <c r="A262" s="70"/>
      <c r="B262" s="70"/>
      <c r="C262" s="63"/>
      <c r="D262" s="50"/>
      <c r="E262" s="13"/>
      <c r="F262" s="13"/>
      <c r="G262" s="75"/>
      <c r="H262" s="82"/>
      <c r="I262" s="13"/>
      <c r="J262" s="13"/>
    </row>
    <row r="263" spans="1:10" ht="13.5" customHeight="1" x14ac:dyDescent="0.2">
      <c r="A263" s="70"/>
      <c r="B263" s="70"/>
      <c r="C263" s="63"/>
      <c r="D263" s="50"/>
      <c r="E263" s="13"/>
      <c r="F263" s="13"/>
      <c r="G263" s="75"/>
      <c r="H263" s="82"/>
      <c r="I263" s="13"/>
      <c r="J263" s="13"/>
    </row>
    <row r="264" spans="1:10" ht="13.5" customHeight="1" x14ac:dyDescent="0.2">
      <c r="A264" s="70"/>
      <c r="B264" s="70"/>
      <c r="C264" s="63"/>
      <c r="D264" s="50"/>
      <c r="E264" s="13"/>
      <c r="F264" s="13"/>
      <c r="G264" s="75"/>
      <c r="H264" s="82"/>
      <c r="I264" s="13"/>
      <c r="J264" s="13"/>
    </row>
    <row r="265" spans="1:10" ht="13.5" customHeight="1" x14ac:dyDescent="0.2">
      <c r="A265" s="70"/>
      <c r="B265" s="70"/>
      <c r="C265" s="63"/>
      <c r="D265" s="50"/>
      <c r="E265" s="13"/>
      <c r="F265" s="13"/>
      <c r="G265" s="75"/>
      <c r="H265" s="82"/>
      <c r="I265" s="13"/>
      <c r="J265" s="13"/>
    </row>
    <row r="266" spans="1:10" ht="13.5" customHeight="1" x14ac:dyDescent="0.2">
      <c r="A266" s="70"/>
      <c r="B266" s="70"/>
      <c r="C266" s="63"/>
      <c r="D266" s="50"/>
      <c r="E266" s="13"/>
      <c r="F266" s="13"/>
      <c r="G266" s="75"/>
      <c r="H266" s="82"/>
      <c r="I266" s="13"/>
      <c r="J266" s="13"/>
    </row>
    <row r="267" spans="1:10" ht="13.5" customHeight="1" x14ac:dyDescent="0.2">
      <c r="A267" s="70"/>
      <c r="B267" s="70"/>
      <c r="C267" s="63"/>
      <c r="D267" s="50"/>
      <c r="E267" s="13"/>
      <c r="F267" s="13"/>
      <c r="G267" s="75"/>
      <c r="H267" s="82"/>
      <c r="I267" s="13"/>
      <c r="J267" s="13"/>
    </row>
    <row r="268" spans="1:10" ht="13.5" customHeight="1" x14ac:dyDescent="0.2">
      <c r="A268" s="70"/>
      <c r="B268" s="70"/>
      <c r="C268" s="63"/>
      <c r="D268" s="50"/>
      <c r="E268" s="13"/>
      <c r="F268" s="13"/>
      <c r="G268" s="75"/>
      <c r="H268" s="82"/>
      <c r="I268" s="13"/>
      <c r="J268" s="13"/>
    </row>
    <row r="269" spans="1:10" ht="13.5" customHeight="1" x14ac:dyDescent="0.2">
      <c r="A269" s="70"/>
      <c r="B269" s="70"/>
      <c r="C269" s="63"/>
      <c r="D269" s="50"/>
      <c r="E269" s="13"/>
      <c r="F269" s="13"/>
      <c r="G269" s="75"/>
      <c r="H269" s="82"/>
      <c r="I269" s="13"/>
      <c r="J269" s="13"/>
    </row>
    <row r="270" spans="1:10" ht="13.5" customHeight="1" x14ac:dyDescent="0.2">
      <c r="A270" s="70"/>
      <c r="B270" s="70"/>
      <c r="C270" s="63"/>
      <c r="D270" s="50"/>
      <c r="E270" s="13"/>
      <c r="F270" s="13"/>
      <c r="G270" s="75"/>
      <c r="H270" s="82"/>
      <c r="I270" s="13"/>
      <c r="J270" s="13"/>
    </row>
    <row r="271" spans="1:10" ht="13.5" customHeight="1" x14ac:dyDescent="0.2">
      <c r="A271" s="70"/>
      <c r="B271" s="70"/>
      <c r="C271" s="63"/>
      <c r="D271" s="50"/>
      <c r="E271" s="13"/>
      <c r="F271" s="13"/>
      <c r="G271" s="75"/>
      <c r="H271" s="82"/>
      <c r="I271" s="13"/>
      <c r="J271" s="13"/>
    </row>
    <row r="272" spans="1:10" ht="13.5" customHeight="1" x14ac:dyDescent="0.2">
      <c r="A272" s="70"/>
      <c r="B272" s="70"/>
      <c r="C272" s="63"/>
      <c r="D272" s="50"/>
      <c r="E272" s="13"/>
      <c r="F272" s="13"/>
      <c r="G272" s="75"/>
      <c r="H272" s="82"/>
      <c r="I272" s="13"/>
      <c r="J272" s="13"/>
    </row>
    <row r="273" spans="1:10" ht="13.5" customHeight="1" x14ac:dyDescent="0.2">
      <c r="A273" s="70"/>
      <c r="B273" s="70"/>
      <c r="C273" s="63"/>
      <c r="D273" s="50"/>
      <c r="E273" s="13"/>
      <c r="F273" s="13"/>
      <c r="G273" s="75"/>
      <c r="H273" s="82"/>
      <c r="I273" s="13"/>
      <c r="J273" s="13"/>
    </row>
    <row r="274" spans="1:10" ht="13.5" customHeight="1" x14ac:dyDescent="0.2">
      <c r="A274" s="70"/>
      <c r="B274" s="70"/>
      <c r="C274" s="63"/>
      <c r="D274" s="50"/>
      <c r="E274" s="13"/>
      <c r="F274" s="13"/>
      <c r="G274" s="75"/>
      <c r="H274" s="82"/>
      <c r="I274" s="13"/>
      <c r="J274" s="13"/>
    </row>
    <row r="275" spans="1:10" ht="13.5" customHeight="1" x14ac:dyDescent="0.2">
      <c r="A275" s="70"/>
      <c r="B275" s="70"/>
      <c r="C275" s="63"/>
      <c r="D275" s="50"/>
      <c r="E275" s="13"/>
      <c r="F275" s="13"/>
      <c r="G275" s="75"/>
      <c r="H275" s="82"/>
      <c r="I275" s="13"/>
      <c r="J275" s="13"/>
    </row>
    <row r="276" spans="1:10" ht="13.5" customHeight="1" x14ac:dyDescent="0.2">
      <c r="A276" s="70"/>
      <c r="B276" s="70"/>
      <c r="C276" s="63"/>
      <c r="D276" s="50"/>
      <c r="E276" s="13"/>
      <c r="F276" s="13"/>
      <c r="G276" s="75"/>
      <c r="H276" s="82"/>
      <c r="I276" s="13"/>
      <c r="J276" s="13"/>
    </row>
    <row r="277" spans="1:10" ht="13.5" customHeight="1" x14ac:dyDescent="0.2">
      <c r="A277" s="70"/>
      <c r="B277" s="70"/>
      <c r="C277" s="63"/>
      <c r="D277" s="50"/>
      <c r="E277" s="13"/>
      <c r="F277" s="13"/>
      <c r="G277" s="75"/>
      <c r="H277" s="82"/>
      <c r="I277" s="13"/>
      <c r="J277" s="13"/>
    </row>
    <row r="278" spans="1:10" ht="13.5" customHeight="1" x14ac:dyDescent="0.2">
      <c r="A278" s="70"/>
      <c r="B278" s="70"/>
      <c r="C278" s="63"/>
      <c r="D278" s="50"/>
      <c r="E278" s="13"/>
      <c r="F278" s="13"/>
      <c r="G278" s="75"/>
      <c r="H278" s="82"/>
      <c r="I278" s="13"/>
      <c r="J278" s="13"/>
    </row>
    <row r="279" spans="1:10" ht="13.5" customHeight="1" x14ac:dyDescent="0.2">
      <c r="A279" s="70"/>
      <c r="B279" s="70"/>
      <c r="C279" s="63"/>
      <c r="D279" s="50"/>
      <c r="E279" s="13"/>
      <c r="F279" s="13"/>
      <c r="G279" s="75"/>
      <c r="H279" s="82"/>
      <c r="I279" s="13"/>
      <c r="J279" s="13"/>
    </row>
    <row r="280" spans="1:10" ht="13.5" customHeight="1" x14ac:dyDescent="0.2">
      <c r="A280" s="70"/>
      <c r="B280" s="70"/>
      <c r="C280" s="63"/>
      <c r="D280" s="50"/>
      <c r="E280" s="13"/>
      <c r="F280" s="13"/>
      <c r="G280" s="75"/>
      <c r="H280" s="82"/>
      <c r="I280" s="13"/>
      <c r="J280" s="13"/>
    </row>
    <row r="281" spans="1:10" ht="13.5" customHeight="1" x14ac:dyDescent="0.2">
      <c r="A281" s="70"/>
      <c r="B281" s="70"/>
      <c r="C281" s="63"/>
      <c r="D281" s="50"/>
      <c r="E281" s="13"/>
      <c r="F281" s="13"/>
      <c r="G281" s="75"/>
      <c r="H281" s="82"/>
      <c r="I281" s="13"/>
      <c r="J281" s="13"/>
    </row>
    <row r="282" spans="1:10" ht="13.5" customHeight="1" x14ac:dyDescent="0.2">
      <c r="A282" s="70"/>
      <c r="B282" s="70"/>
      <c r="C282" s="63"/>
      <c r="D282" s="50"/>
      <c r="E282" s="13"/>
      <c r="F282" s="13"/>
      <c r="G282" s="75"/>
      <c r="H282" s="82"/>
      <c r="I282" s="13"/>
      <c r="J282" s="13"/>
    </row>
    <row r="283" spans="1:10" ht="13.5" customHeight="1" x14ac:dyDescent="0.2">
      <c r="A283" s="70"/>
      <c r="B283" s="70"/>
      <c r="C283" s="63"/>
      <c r="D283" s="50"/>
      <c r="E283" s="13"/>
      <c r="F283" s="13"/>
      <c r="G283" s="75"/>
      <c r="H283" s="82"/>
      <c r="I283" s="13"/>
      <c r="J283" s="13"/>
    </row>
    <row r="284" spans="1:10" ht="13.5" customHeight="1" x14ac:dyDescent="0.2">
      <c r="A284" s="70"/>
      <c r="B284" s="70"/>
      <c r="C284" s="63"/>
      <c r="D284" s="50"/>
      <c r="E284" s="13"/>
      <c r="F284" s="13"/>
      <c r="G284" s="75"/>
      <c r="H284" s="82"/>
      <c r="I284" s="13"/>
      <c r="J284" s="13"/>
    </row>
    <row r="285" spans="1:10" ht="13.5" customHeight="1" x14ac:dyDescent="0.2">
      <c r="A285" s="70"/>
      <c r="B285" s="70"/>
      <c r="C285" s="63"/>
      <c r="D285" s="50"/>
      <c r="E285" s="13"/>
      <c r="F285" s="13"/>
      <c r="G285" s="75"/>
      <c r="H285" s="82"/>
      <c r="I285" s="13"/>
      <c r="J285" s="13"/>
    </row>
    <row r="286" spans="1:10" ht="13.5" customHeight="1" x14ac:dyDescent="0.2">
      <c r="A286" s="70"/>
      <c r="B286" s="70"/>
      <c r="C286" s="63"/>
      <c r="D286" s="50"/>
      <c r="E286" s="13"/>
      <c r="F286" s="13"/>
      <c r="G286" s="75"/>
      <c r="H286" s="82"/>
      <c r="I286" s="13"/>
      <c r="J286" s="13"/>
    </row>
    <row r="287" spans="1:10" ht="13.5" customHeight="1" x14ac:dyDescent="0.2">
      <c r="A287" s="70"/>
      <c r="B287" s="70"/>
      <c r="C287" s="63"/>
      <c r="D287" s="50"/>
      <c r="E287" s="13"/>
      <c r="F287" s="13"/>
      <c r="G287" s="75"/>
      <c r="H287" s="82"/>
      <c r="I287" s="13"/>
      <c r="J287" s="13"/>
    </row>
    <row r="288" spans="1:10" ht="13.5" customHeight="1" x14ac:dyDescent="0.2">
      <c r="A288" s="70"/>
      <c r="B288" s="70"/>
      <c r="C288" s="63"/>
      <c r="D288" s="50"/>
      <c r="E288" s="13"/>
      <c r="F288" s="13"/>
      <c r="G288" s="75"/>
      <c r="H288" s="82"/>
      <c r="I288" s="13"/>
      <c r="J288" s="13"/>
    </row>
    <row r="289" spans="1:10" ht="13.5" customHeight="1" x14ac:dyDescent="0.2">
      <c r="A289" s="70"/>
      <c r="B289" s="70"/>
      <c r="C289" s="63"/>
      <c r="D289" s="50"/>
      <c r="E289" s="13"/>
      <c r="F289" s="13"/>
      <c r="G289" s="75"/>
      <c r="H289" s="82"/>
      <c r="I289" s="13"/>
      <c r="J289" s="13"/>
    </row>
    <row r="290" spans="1:10" ht="13.5" customHeight="1" x14ac:dyDescent="0.2">
      <c r="A290" s="70"/>
      <c r="B290" s="70"/>
      <c r="C290" s="63"/>
      <c r="D290" s="50"/>
      <c r="E290" s="13"/>
      <c r="F290" s="13"/>
      <c r="G290" s="75"/>
      <c r="H290" s="82"/>
      <c r="I290" s="13"/>
      <c r="J290" s="13"/>
    </row>
    <row r="291" spans="1:10" ht="13.5" customHeight="1" x14ac:dyDescent="0.2">
      <c r="A291" s="70"/>
      <c r="B291" s="70"/>
      <c r="C291" s="63"/>
      <c r="D291" s="50"/>
      <c r="E291" s="13"/>
      <c r="F291" s="13"/>
      <c r="G291" s="75"/>
      <c r="H291" s="82"/>
      <c r="I291" s="13"/>
      <c r="J291" s="13"/>
    </row>
    <row r="292" spans="1:10" ht="13.5" customHeight="1" x14ac:dyDescent="0.2">
      <c r="A292" s="70"/>
      <c r="B292" s="70"/>
      <c r="C292" s="63"/>
      <c r="D292" s="50"/>
      <c r="E292" s="13"/>
      <c r="F292" s="13"/>
      <c r="G292" s="75"/>
      <c r="H292" s="82"/>
      <c r="I292" s="13"/>
      <c r="J292" s="13"/>
    </row>
    <row r="293" spans="1:10" ht="13.5" customHeight="1" x14ac:dyDescent="0.2">
      <c r="A293" s="70"/>
      <c r="B293" s="70"/>
      <c r="C293" s="63"/>
      <c r="D293" s="50"/>
      <c r="E293" s="13"/>
      <c r="F293" s="13"/>
      <c r="G293" s="75"/>
      <c r="H293" s="82"/>
      <c r="I293" s="13"/>
      <c r="J293" s="13"/>
    </row>
    <row r="294" spans="1:10" ht="13.5" customHeight="1" x14ac:dyDescent="0.2">
      <c r="A294" s="70"/>
      <c r="B294" s="70"/>
      <c r="C294" s="63"/>
      <c r="D294" s="50"/>
      <c r="E294" s="13"/>
      <c r="F294" s="13"/>
      <c r="G294" s="75"/>
      <c r="H294" s="82"/>
      <c r="I294" s="13"/>
      <c r="J294" s="13"/>
    </row>
    <row r="295" spans="1:10" ht="13.5" customHeight="1" x14ac:dyDescent="0.2">
      <c r="A295" s="70"/>
      <c r="B295" s="70"/>
      <c r="C295" s="63"/>
      <c r="D295" s="50"/>
      <c r="E295" s="13"/>
      <c r="F295" s="13"/>
      <c r="G295" s="75"/>
      <c r="H295" s="82"/>
      <c r="I295" s="13"/>
      <c r="J295" s="13"/>
    </row>
    <row r="296" spans="1:10" ht="13.5" customHeight="1" x14ac:dyDescent="0.2">
      <c r="A296" s="70"/>
      <c r="B296" s="70"/>
      <c r="C296" s="63"/>
      <c r="D296" s="50"/>
      <c r="E296" s="13"/>
      <c r="F296" s="13"/>
      <c r="G296" s="75"/>
      <c r="H296" s="82"/>
      <c r="I296" s="13"/>
      <c r="J296" s="13"/>
    </row>
    <row r="297" spans="1:10" ht="13.5" customHeight="1" x14ac:dyDescent="0.2">
      <c r="A297" s="70"/>
      <c r="B297" s="70"/>
      <c r="C297" s="63"/>
      <c r="D297" s="50"/>
      <c r="E297" s="13"/>
      <c r="F297" s="13"/>
      <c r="G297" s="75"/>
      <c r="H297" s="82"/>
      <c r="I297" s="13"/>
      <c r="J297" s="13"/>
    </row>
    <row r="298" spans="1:10" ht="13.5" customHeight="1" x14ac:dyDescent="0.2">
      <c r="A298" s="70"/>
      <c r="B298" s="70"/>
      <c r="C298" s="63"/>
      <c r="D298" s="50"/>
      <c r="E298" s="13"/>
      <c r="F298" s="13"/>
      <c r="G298" s="75"/>
      <c r="H298" s="82"/>
      <c r="I298" s="13"/>
      <c r="J298" s="13"/>
    </row>
    <row r="299" spans="1:10" ht="13.5" customHeight="1" x14ac:dyDescent="0.2">
      <c r="A299" s="70"/>
      <c r="B299" s="70"/>
      <c r="C299" s="63"/>
      <c r="D299" s="50"/>
      <c r="E299" s="13"/>
      <c r="F299" s="13"/>
      <c r="G299" s="75"/>
      <c r="H299" s="82"/>
      <c r="I299" s="13"/>
      <c r="J299" s="13"/>
    </row>
    <row r="300" spans="1:10" ht="13.5" customHeight="1" x14ac:dyDescent="0.2">
      <c r="A300" s="70"/>
      <c r="B300" s="70"/>
      <c r="C300" s="63"/>
      <c r="D300" s="50"/>
      <c r="E300" s="13"/>
      <c r="F300" s="13"/>
      <c r="G300" s="75"/>
      <c r="H300" s="82"/>
      <c r="I300" s="13"/>
      <c r="J300" s="13"/>
    </row>
    <row r="301" spans="1:10" ht="13.5" customHeight="1" x14ac:dyDescent="0.2">
      <c r="A301" s="70"/>
      <c r="B301" s="70"/>
      <c r="C301" s="63"/>
      <c r="D301" s="50"/>
      <c r="E301" s="13"/>
      <c r="F301" s="13"/>
      <c r="G301" s="75"/>
      <c r="H301" s="83"/>
      <c r="I301" s="13"/>
      <c r="J301" s="13"/>
    </row>
    <row r="302" spans="1:10" ht="13.5" customHeight="1" x14ac:dyDescent="0.2">
      <c r="A302" s="70"/>
      <c r="B302" s="70"/>
      <c r="C302" s="63"/>
      <c r="D302" s="50"/>
      <c r="E302" s="13"/>
      <c r="F302" s="13"/>
      <c r="G302" s="75"/>
      <c r="H302" s="83"/>
      <c r="I302" s="13"/>
      <c r="J302" s="13"/>
    </row>
    <row r="303" spans="1:10" ht="13.5" customHeight="1" x14ac:dyDescent="0.2">
      <c r="A303" s="131"/>
      <c r="B303" s="70"/>
      <c r="C303" s="64"/>
      <c r="D303" s="50"/>
      <c r="E303" s="13"/>
      <c r="F303" s="13"/>
      <c r="G303" s="75"/>
      <c r="H303" s="84"/>
      <c r="I303" s="13"/>
      <c r="J303" s="13"/>
    </row>
    <row r="304" spans="1:10" ht="13.5" customHeight="1" x14ac:dyDescent="0.2">
      <c r="A304" s="70"/>
      <c r="B304" s="70"/>
      <c r="C304" s="63"/>
      <c r="D304" s="50"/>
      <c r="E304" s="13"/>
      <c r="F304" s="13"/>
      <c r="G304" s="75"/>
      <c r="H304" s="83"/>
      <c r="I304" s="13"/>
      <c r="J304" s="13"/>
    </row>
    <row r="305" spans="1:10" ht="13.5" customHeight="1" x14ac:dyDescent="0.2">
      <c r="A305" s="70"/>
      <c r="B305" s="70"/>
      <c r="C305" s="63"/>
      <c r="D305" s="50"/>
      <c r="E305" s="13"/>
      <c r="F305" s="13"/>
      <c r="G305" s="75"/>
      <c r="H305" s="83"/>
      <c r="I305" s="13"/>
      <c r="J305" s="13"/>
    </row>
    <row r="306" spans="1:10" ht="13.5" customHeight="1" x14ac:dyDescent="0.2">
      <c r="A306" s="131"/>
      <c r="B306" s="70"/>
      <c r="C306" s="85"/>
      <c r="D306" s="50"/>
      <c r="E306" s="13"/>
      <c r="F306" s="13"/>
      <c r="G306" s="75"/>
      <c r="H306" s="83"/>
      <c r="I306" s="13"/>
      <c r="J306" s="13"/>
    </row>
    <row r="307" spans="1:10" ht="13.5" customHeight="1" x14ac:dyDescent="0.2">
      <c r="A307" s="131"/>
      <c r="B307" s="70"/>
      <c r="C307" s="63"/>
      <c r="D307" s="50"/>
      <c r="E307" s="13"/>
      <c r="F307" s="13"/>
      <c r="G307" s="75"/>
      <c r="H307" s="83"/>
      <c r="I307" s="13"/>
      <c r="J307" s="13"/>
    </row>
    <row r="308" spans="1:10" ht="13.5" customHeight="1" x14ac:dyDescent="0.2">
      <c r="A308" s="131"/>
      <c r="B308" s="70"/>
      <c r="C308" s="63"/>
      <c r="D308" s="50"/>
      <c r="E308" s="13"/>
      <c r="F308" s="13"/>
      <c r="G308" s="75"/>
      <c r="H308" s="84"/>
      <c r="I308" s="13"/>
      <c r="J308" s="13"/>
    </row>
    <row r="309" spans="1:10" ht="13.5" customHeight="1" x14ac:dyDescent="0.2">
      <c r="A309" s="131"/>
      <c r="B309" s="70"/>
      <c r="C309" s="64"/>
      <c r="D309" s="50"/>
      <c r="E309" s="13"/>
      <c r="F309" s="13"/>
      <c r="G309" s="75"/>
      <c r="H309" s="83"/>
      <c r="I309" s="13"/>
      <c r="J309" s="13"/>
    </row>
    <row r="310" spans="1:10" ht="13.5" customHeight="1" x14ac:dyDescent="0.2">
      <c r="A310" s="70"/>
      <c r="B310" s="70"/>
      <c r="C310" s="63"/>
      <c r="D310" s="50"/>
      <c r="E310" s="13"/>
      <c r="F310" s="13"/>
      <c r="G310" s="75"/>
      <c r="H310" s="83"/>
      <c r="I310" s="13"/>
      <c r="J310" s="13"/>
    </row>
    <row r="311" spans="1:10" ht="13.5" customHeight="1" x14ac:dyDescent="0.2">
      <c r="A311" s="131"/>
      <c r="B311" s="70"/>
      <c r="C311" s="63"/>
      <c r="D311" s="50"/>
      <c r="E311" s="13"/>
      <c r="F311" s="13"/>
      <c r="G311" s="75"/>
      <c r="H311" s="84"/>
      <c r="I311" s="13"/>
      <c r="J311" s="13"/>
    </row>
    <row r="312" spans="1:10" ht="13.5" customHeight="1" x14ac:dyDescent="0.2">
      <c r="A312" s="131"/>
      <c r="B312" s="70"/>
      <c r="C312" s="64"/>
      <c r="D312" s="50"/>
      <c r="E312" s="13"/>
      <c r="F312" s="13"/>
      <c r="G312" s="75"/>
      <c r="H312" s="84"/>
      <c r="I312" s="13"/>
      <c r="J312" s="13"/>
    </row>
    <row r="313" spans="1:10" ht="13.5" customHeight="1" x14ac:dyDescent="0.2">
      <c r="A313" s="70"/>
      <c r="B313" s="70"/>
      <c r="C313" s="63"/>
      <c r="D313" s="50"/>
      <c r="E313" s="13"/>
      <c r="F313" s="13"/>
      <c r="G313" s="75"/>
      <c r="H313" s="83"/>
      <c r="I313" s="13"/>
      <c r="J313" s="13"/>
    </row>
    <row r="314" spans="1:10" ht="13.5" customHeight="1" x14ac:dyDescent="0.2">
      <c r="A314" s="131"/>
      <c r="B314" s="70"/>
      <c r="C314" s="63"/>
      <c r="D314" s="50"/>
      <c r="E314" s="13"/>
      <c r="F314" s="13"/>
      <c r="G314" s="75"/>
      <c r="H314" s="84"/>
      <c r="I314" s="13"/>
      <c r="J314" s="13"/>
    </row>
    <row r="315" spans="1:10" ht="13.5" customHeight="1" x14ac:dyDescent="0.2">
      <c r="A315" s="131"/>
      <c r="B315" s="70"/>
      <c r="C315" s="64"/>
      <c r="D315" s="50"/>
      <c r="E315" s="13"/>
      <c r="F315" s="13"/>
      <c r="G315" s="75"/>
      <c r="H315" s="84"/>
      <c r="I315" s="13"/>
      <c r="J315" s="13"/>
    </row>
    <row r="316" spans="1:10" ht="13.5" customHeight="1" x14ac:dyDescent="0.2">
      <c r="A316" s="70"/>
      <c r="B316" s="70"/>
      <c r="C316" s="63"/>
      <c r="D316" s="50"/>
      <c r="E316" s="13"/>
      <c r="F316" s="13"/>
      <c r="G316" s="75"/>
      <c r="H316" s="83"/>
      <c r="I316" s="13"/>
      <c r="J316" s="13"/>
    </row>
    <row r="317" spans="1:10" ht="13.5" customHeight="1" x14ac:dyDescent="0.2">
      <c r="A317" s="70"/>
      <c r="B317" s="70"/>
      <c r="C317" s="63"/>
      <c r="D317" s="50"/>
      <c r="E317" s="13"/>
      <c r="F317" s="13"/>
      <c r="G317" s="75"/>
      <c r="H317" s="83"/>
      <c r="I317" s="13"/>
      <c r="J317" s="13"/>
    </row>
    <row r="318" spans="1:10" ht="13.5" customHeight="1" x14ac:dyDescent="0.2">
      <c r="A318" s="70"/>
      <c r="B318" s="70"/>
      <c r="C318" s="63"/>
      <c r="D318" s="50"/>
      <c r="E318" s="13"/>
      <c r="F318" s="13"/>
      <c r="G318" s="75"/>
      <c r="H318" s="82"/>
      <c r="I318" s="13"/>
      <c r="J318" s="13"/>
    </row>
    <row r="319" spans="1:10" ht="13.5" customHeight="1" x14ac:dyDescent="0.2">
      <c r="A319" s="131"/>
      <c r="B319" s="70"/>
      <c r="C319" s="86"/>
      <c r="D319" s="50"/>
      <c r="E319" s="13"/>
      <c r="F319" s="13"/>
      <c r="G319" s="75"/>
      <c r="H319" s="82"/>
      <c r="I319" s="13"/>
      <c r="J319" s="13"/>
    </row>
    <row r="320" spans="1:10" ht="13.5" customHeight="1" x14ac:dyDescent="0.2">
      <c r="A320" s="131"/>
      <c r="B320" s="70"/>
      <c r="C320" s="85"/>
      <c r="D320" s="50"/>
      <c r="E320" s="13"/>
      <c r="F320" s="13"/>
      <c r="G320" s="75"/>
      <c r="H320" s="82"/>
      <c r="I320" s="13"/>
      <c r="J320" s="13"/>
    </row>
    <row r="321" spans="1:10" ht="13.5" customHeight="1" x14ac:dyDescent="0.2">
      <c r="A321" s="131"/>
      <c r="B321" s="70"/>
      <c r="C321" s="87"/>
      <c r="D321" s="50"/>
      <c r="E321" s="13"/>
      <c r="F321" s="13"/>
      <c r="G321" s="75"/>
      <c r="H321" s="82"/>
      <c r="I321" s="13"/>
      <c r="J321" s="13"/>
    </row>
    <row r="322" spans="1:10" ht="13.5" customHeight="1" x14ac:dyDescent="0.2">
      <c r="A322" s="131"/>
      <c r="B322" s="70"/>
      <c r="C322" s="88"/>
      <c r="D322" s="50"/>
      <c r="E322" s="13"/>
      <c r="F322" s="13"/>
      <c r="G322" s="75"/>
      <c r="H322" s="82"/>
      <c r="I322" s="13"/>
      <c r="J322" s="13"/>
    </row>
    <row r="323" spans="1:10" ht="13.5" customHeight="1" x14ac:dyDescent="0.2">
      <c r="A323" s="91"/>
      <c r="B323" s="9"/>
      <c r="C323" s="56"/>
      <c r="D323" s="11"/>
      <c r="E323" s="12"/>
      <c r="F323" s="12"/>
      <c r="G323" s="23"/>
      <c r="H323" s="89"/>
      <c r="I323" s="12"/>
      <c r="J323" s="13"/>
    </row>
    <row r="324" spans="1:10" ht="13.5" customHeight="1" x14ac:dyDescent="0.2">
      <c r="A324" s="9"/>
      <c r="B324" s="9"/>
      <c r="C324" s="56"/>
      <c r="D324" s="11"/>
      <c r="E324" s="12"/>
      <c r="F324" s="12"/>
      <c r="G324" s="23"/>
      <c r="H324" s="90"/>
      <c r="I324" s="12"/>
      <c r="J324" s="13"/>
    </row>
    <row r="325" spans="1:10" ht="13.5" customHeight="1" x14ac:dyDescent="0.2">
      <c r="A325" s="9"/>
      <c r="B325" s="9"/>
      <c r="C325" s="56"/>
      <c r="D325" s="11"/>
      <c r="E325" s="12"/>
      <c r="F325" s="12"/>
      <c r="G325" s="23"/>
      <c r="H325" s="89"/>
      <c r="I325" s="12"/>
      <c r="J325" s="13"/>
    </row>
    <row r="326" spans="1:10" ht="13.5" customHeight="1" x14ac:dyDescent="0.2">
      <c r="A326" s="91"/>
      <c r="B326" s="9"/>
      <c r="D326" s="11"/>
      <c r="E326" s="12"/>
      <c r="F326" s="12"/>
      <c r="G326" s="23"/>
      <c r="H326" s="89"/>
      <c r="I326" s="12"/>
      <c r="J326" s="13"/>
    </row>
    <row r="327" spans="1:10" ht="13.5" customHeight="1" x14ac:dyDescent="0.2">
      <c r="A327" s="9"/>
      <c r="B327" s="9"/>
      <c r="C327" s="56"/>
      <c r="D327" s="11"/>
      <c r="E327" s="12"/>
      <c r="F327" s="12"/>
      <c r="G327" s="23"/>
      <c r="H327" s="90"/>
      <c r="I327" s="12"/>
      <c r="J327" s="13"/>
    </row>
    <row r="328" spans="1:10" ht="13.5" customHeight="1" x14ac:dyDescent="0.2">
      <c r="A328" s="9"/>
      <c r="B328" s="9"/>
      <c r="C328" s="56"/>
      <c r="D328" s="11"/>
      <c r="E328" s="12"/>
      <c r="F328" s="12"/>
      <c r="G328" s="23"/>
      <c r="H328" s="90"/>
      <c r="I328" s="12"/>
      <c r="J328" s="13"/>
    </row>
    <row r="329" spans="1:10" ht="13.5" customHeight="1" x14ac:dyDescent="0.2">
      <c r="A329" s="9"/>
      <c r="B329" s="9"/>
      <c r="C329" s="56"/>
      <c r="D329" s="11"/>
      <c r="E329" s="12"/>
      <c r="F329" s="12"/>
      <c r="G329" s="23"/>
      <c r="H329" s="90"/>
      <c r="I329" s="12"/>
      <c r="J329" s="13"/>
    </row>
    <row r="330" spans="1:10" ht="13.5" customHeight="1" x14ac:dyDescent="0.2">
      <c r="A330" s="91"/>
      <c r="B330" s="9"/>
      <c r="C330" s="27"/>
      <c r="D330" s="11"/>
      <c r="E330" s="12"/>
      <c r="F330" s="12"/>
      <c r="G330" s="23"/>
      <c r="H330" s="92"/>
      <c r="I330" s="12"/>
      <c r="J330" s="13"/>
    </row>
    <row r="331" spans="1:10" ht="13.5" customHeight="1" x14ac:dyDescent="0.2">
      <c r="A331" s="91"/>
      <c r="B331" s="9"/>
      <c r="C331" s="27"/>
      <c r="D331" s="11"/>
      <c r="E331" s="12"/>
      <c r="F331" s="12"/>
      <c r="G331" s="23"/>
      <c r="H331" s="90"/>
      <c r="I331" s="12"/>
      <c r="J331" s="13"/>
    </row>
    <row r="332" spans="1:10" ht="13.5" customHeight="1" x14ac:dyDescent="0.2">
      <c r="A332" s="91"/>
      <c r="B332" s="9"/>
      <c r="D332" s="11"/>
      <c r="E332" s="12"/>
      <c r="F332" s="12"/>
      <c r="G332" s="23"/>
      <c r="H332" s="92"/>
      <c r="I332" s="12"/>
      <c r="J332" s="13"/>
    </row>
    <row r="333" spans="1:10" ht="13.5" customHeight="1" x14ac:dyDescent="0.2">
      <c r="A333" s="9"/>
      <c r="B333" s="9"/>
      <c r="C333" s="56"/>
      <c r="D333" s="11"/>
      <c r="E333" s="12"/>
      <c r="F333" s="12"/>
      <c r="G333" s="23"/>
      <c r="H333" s="89"/>
      <c r="I333" s="12"/>
      <c r="J333" s="13"/>
    </row>
    <row r="334" spans="1:10" ht="13.5" customHeight="1" x14ac:dyDescent="0.2">
      <c r="A334" s="9"/>
      <c r="B334" s="9"/>
      <c r="C334" s="56"/>
      <c r="D334" s="11"/>
      <c r="E334" s="12"/>
      <c r="F334" s="12"/>
      <c r="G334" s="23"/>
      <c r="H334" s="89"/>
      <c r="I334" s="12"/>
      <c r="J334" s="13"/>
    </row>
    <row r="335" spans="1:10" ht="13.5" customHeight="1" x14ac:dyDescent="0.2">
      <c r="A335" s="9"/>
      <c r="B335" s="9"/>
      <c r="C335" s="56"/>
      <c r="D335" s="11"/>
      <c r="E335" s="12"/>
      <c r="F335" s="12"/>
      <c r="G335" s="23"/>
      <c r="H335" s="89"/>
      <c r="I335" s="12"/>
      <c r="J335" s="13"/>
    </row>
    <row r="336" spans="1:10" ht="13.5" customHeight="1" x14ac:dyDescent="0.2">
      <c r="A336" s="9"/>
      <c r="B336" s="9"/>
      <c r="C336" s="56"/>
      <c r="D336" s="11"/>
      <c r="E336" s="12"/>
      <c r="F336" s="12"/>
      <c r="G336" s="23"/>
      <c r="H336" s="89"/>
      <c r="I336" s="12"/>
      <c r="J336" s="13"/>
    </row>
    <row r="337" spans="1:10" x14ac:dyDescent="0.2">
      <c r="A337" s="227"/>
      <c r="B337" s="93"/>
      <c r="C337" s="94"/>
      <c r="D337" s="29"/>
      <c r="E337" s="30"/>
      <c r="F337" s="30"/>
      <c r="G337" s="30"/>
      <c r="H337" s="95"/>
      <c r="I337" s="30"/>
      <c r="J337" s="51"/>
    </row>
  </sheetData>
  <mergeCells count="4">
    <mergeCell ref="A1:C1"/>
    <mergeCell ref="D1:G1"/>
    <mergeCell ref="H1:J1"/>
    <mergeCell ref="H163:J163"/>
  </mergeCells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N244"/>
  <sheetViews>
    <sheetView topLeftCell="A190" zoomScale="90" zoomScaleNormal="90" workbookViewId="0">
      <selection activeCell="H203" sqref="H203"/>
    </sheetView>
  </sheetViews>
  <sheetFormatPr defaultColWidth="9" defaultRowHeight="12.75" x14ac:dyDescent="0.2"/>
  <cols>
    <col min="1" max="1" width="10" style="96" customWidth="1"/>
    <col min="2" max="2" width="92.625" style="1" bestFit="1" customWidth="1"/>
    <col min="3" max="4" width="11.125" style="18" bestFit="1" customWidth="1"/>
    <col min="5" max="6" width="10.125" style="1" customWidth="1"/>
    <col min="7" max="7" width="12.25" style="40" customWidth="1"/>
    <col min="8" max="10" width="9" style="1"/>
    <col min="11" max="11" width="10.125" style="1" bestFit="1" customWidth="1"/>
    <col min="12" max="16384" width="9" style="1"/>
  </cols>
  <sheetData>
    <row r="1" spans="1:11" x14ac:dyDescent="0.2">
      <c r="G1" s="97" t="s">
        <v>218</v>
      </c>
      <c r="H1" s="97" t="s">
        <v>219</v>
      </c>
      <c r="I1" s="97" t="s">
        <v>220</v>
      </c>
      <c r="J1" s="97" t="s">
        <v>221</v>
      </c>
      <c r="K1" s="97" t="s">
        <v>222</v>
      </c>
    </row>
    <row r="2" spans="1:11" ht="13.5" customHeight="1" x14ac:dyDescent="0.2">
      <c r="A2" s="137" t="s">
        <v>222</v>
      </c>
      <c r="B2" s="34" t="s">
        <v>854</v>
      </c>
      <c r="C2" s="103"/>
      <c r="D2" s="60">
        <v>940</v>
      </c>
      <c r="G2" s="100">
        <v>1020</v>
      </c>
      <c r="H2" s="101">
        <v>80</v>
      </c>
      <c r="I2" s="102"/>
      <c r="J2" s="103"/>
      <c r="K2" s="104">
        <f t="shared" ref="K2:K15" si="0">G2-H2-I2-J2</f>
        <v>940</v>
      </c>
    </row>
    <row r="3" spans="1:11" ht="13.5" customHeight="1" x14ac:dyDescent="0.2">
      <c r="A3" s="137" t="s">
        <v>222</v>
      </c>
      <c r="B3" s="34" t="s">
        <v>920</v>
      </c>
      <c r="C3" s="335"/>
      <c r="D3" s="366">
        <v>860</v>
      </c>
      <c r="G3" s="100">
        <v>940</v>
      </c>
      <c r="H3" s="101">
        <v>80</v>
      </c>
      <c r="I3" s="102"/>
      <c r="J3" s="103"/>
      <c r="K3" s="104">
        <f t="shared" si="0"/>
        <v>860</v>
      </c>
    </row>
    <row r="4" spans="1:11" ht="13.5" customHeight="1" x14ac:dyDescent="0.2">
      <c r="A4" s="137" t="s">
        <v>222</v>
      </c>
      <c r="B4" s="237" t="s">
        <v>952</v>
      </c>
      <c r="C4" s="359"/>
      <c r="D4" s="364">
        <v>750</v>
      </c>
      <c r="G4" s="100">
        <v>750</v>
      </c>
      <c r="H4" s="101"/>
      <c r="I4" s="102"/>
      <c r="J4" s="103"/>
      <c r="K4" s="104">
        <f t="shared" si="0"/>
        <v>750</v>
      </c>
    </row>
    <row r="5" spans="1:11" ht="13.5" customHeight="1" x14ac:dyDescent="0.2">
      <c r="A5" s="137" t="s">
        <v>222</v>
      </c>
      <c r="B5" s="34" t="s">
        <v>922</v>
      </c>
      <c r="C5" s="359"/>
      <c r="D5" s="367">
        <v>1600</v>
      </c>
      <c r="G5" s="100">
        <v>1600</v>
      </c>
      <c r="H5" s="101"/>
      <c r="I5" s="102"/>
      <c r="J5" s="103"/>
      <c r="K5" s="104">
        <f t="shared" si="0"/>
        <v>1600</v>
      </c>
    </row>
    <row r="6" spans="1:11" ht="13.5" customHeight="1" x14ac:dyDescent="0.2">
      <c r="A6" s="137" t="s">
        <v>222</v>
      </c>
      <c r="B6" s="237" t="s">
        <v>950</v>
      </c>
      <c r="C6" s="359"/>
      <c r="D6" s="364">
        <v>1247.8699999999999</v>
      </c>
      <c r="G6" s="100">
        <v>1327.87</v>
      </c>
      <c r="H6" s="101">
        <v>80</v>
      </c>
      <c r="I6" s="102"/>
      <c r="J6" s="103"/>
      <c r="K6" s="104">
        <f t="shared" si="0"/>
        <v>1247.8699999999999</v>
      </c>
    </row>
    <row r="7" spans="1:11" ht="13.5" customHeight="1" x14ac:dyDescent="0.2">
      <c r="A7" s="137" t="s">
        <v>222</v>
      </c>
      <c r="B7" s="34" t="s">
        <v>877</v>
      </c>
      <c r="C7" s="24"/>
      <c r="D7" s="25">
        <v>1438.68</v>
      </c>
      <c r="G7" s="100">
        <v>1518.68</v>
      </c>
      <c r="H7" s="101">
        <v>80</v>
      </c>
      <c r="I7" s="102"/>
      <c r="J7" s="103"/>
      <c r="K7" s="104">
        <f t="shared" si="0"/>
        <v>1438.68</v>
      </c>
    </row>
    <row r="8" spans="1:11" ht="13.5" customHeight="1" x14ac:dyDescent="0.2">
      <c r="A8" s="137" t="s">
        <v>222</v>
      </c>
      <c r="B8" s="21" t="s">
        <v>9</v>
      </c>
      <c r="C8" s="24"/>
      <c r="D8" s="368">
        <v>900</v>
      </c>
      <c r="G8" s="100">
        <v>0</v>
      </c>
      <c r="H8" s="101"/>
      <c r="I8" s="102"/>
      <c r="J8" s="103"/>
      <c r="K8" s="104">
        <f t="shared" si="0"/>
        <v>0</v>
      </c>
    </row>
    <row r="9" spans="1:11" ht="13.5" customHeight="1" x14ac:dyDescent="0.2">
      <c r="A9" s="137" t="s">
        <v>222</v>
      </c>
      <c r="B9" s="34" t="s">
        <v>10</v>
      </c>
      <c r="C9" s="24"/>
      <c r="D9" s="368">
        <v>320</v>
      </c>
      <c r="G9" s="100"/>
      <c r="H9" s="101"/>
      <c r="I9" s="102"/>
      <c r="J9" s="103"/>
      <c r="K9" s="104"/>
    </row>
    <row r="10" spans="1:11" ht="13.5" customHeight="1" x14ac:dyDescent="0.2">
      <c r="A10" s="137" t="s">
        <v>222</v>
      </c>
      <c r="B10" s="237" t="s">
        <v>1018</v>
      </c>
      <c r="C10" s="359"/>
      <c r="D10" s="367">
        <v>5000</v>
      </c>
      <c r="G10" s="100">
        <v>5000</v>
      </c>
      <c r="H10" s="101"/>
      <c r="I10" s="102"/>
      <c r="J10" s="103"/>
      <c r="K10" s="104">
        <f t="shared" si="0"/>
        <v>5000</v>
      </c>
    </row>
    <row r="11" spans="1:11" ht="13.5" customHeight="1" x14ac:dyDescent="0.2">
      <c r="A11" s="137" t="s">
        <v>222</v>
      </c>
      <c r="B11" s="34" t="s">
        <v>860</v>
      </c>
      <c r="C11" s="24"/>
      <c r="D11" s="25">
        <v>1500</v>
      </c>
      <c r="G11" s="100">
        <v>1500</v>
      </c>
      <c r="H11" s="101"/>
      <c r="I11" s="102"/>
      <c r="J11" s="103"/>
      <c r="K11" s="104">
        <f t="shared" si="0"/>
        <v>1500</v>
      </c>
    </row>
    <row r="12" spans="1:11" ht="13.5" customHeight="1" x14ac:dyDescent="0.2">
      <c r="A12" s="137" t="s">
        <v>222</v>
      </c>
      <c r="B12" s="34" t="s">
        <v>876</v>
      </c>
      <c r="C12" s="24"/>
      <c r="D12" s="25">
        <v>1975.42</v>
      </c>
      <c r="G12" s="100">
        <v>1975.42</v>
      </c>
      <c r="H12" s="101"/>
      <c r="I12" s="102"/>
      <c r="J12" s="103"/>
      <c r="K12" s="104">
        <f t="shared" si="0"/>
        <v>1975.42</v>
      </c>
    </row>
    <row r="13" spans="1:11" ht="13.5" customHeight="1" x14ac:dyDescent="0.2">
      <c r="A13" s="137" t="s">
        <v>222</v>
      </c>
      <c r="B13" s="34" t="s">
        <v>904</v>
      </c>
      <c r="C13" s="24"/>
      <c r="D13" s="25">
        <v>3500</v>
      </c>
      <c r="G13" s="100">
        <v>3500</v>
      </c>
      <c r="H13" s="101"/>
      <c r="I13" s="102"/>
      <c r="J13" s="103"/>
      <c r="K13" s="104">
        <f t="shared" si="0"/>
        <v>3500</v>
      </c>
    </row>
    <row r="14" spans="1:11" ht="13.5" customHeight="1" x14ac:dyDescent="0.2">
      <c r="A14" s="137" t="s">
        <v>222</v>
      </c>
      <c r="B14" s="36" t="s">
        <v>927</v>
      </c>
      <c r="C14" s="24"/>
      <c r="D14" s="60">
        <v>2050</v>
      </c>
      <c r="G14" s="100">
        <v>2050</v>
      </c>
      <c r="H14" s="101"/>
      <c r="I14" s="102"/>
      <c r="J14" s="103"/>
      <c r="K14" s="104">
        <f t="shared" si="0"/>
        <v>2050</v>
      </c>
    </row>
    <row r="15" spans="1:11" ht="13.5" customHeight="1" x14ac:dyDescent="0.2">
      <c r="A15" s="137" t="s">
        <v>222</v>
      </c>
      <c r="B15" s="33" t="s">
        <v>936</v>
      </c>
      <c r="C15" s="359"/>
      <c r="D15" s="335">
        <v>5000</v>
      </c>
      <c r="G15" s="100">
        <v>5000</v>
      </c>
      <c r="H15" s="101"/>
      <c r="I15" s="102"/>
      <c r="J15" s="103"/>
      <c r="K15" s="104">
        <f t="shared" si="0"/>
        <v>5000</v>
      </c>
    </row>
    <row r="16" spans="1:11" ht="13.5" customHeight="1" x14ac:dyDescent="0.2">
      <c r="A16" s="137" t="s">
        <v>222</v>
      </c>
      <c r="B16" s="34" t="s">
        <v>879</v>
      </c>
      <c r="C16" s="24"/>
      <c r="D16" s="369">
        <v>185</v>
      </c>
      <c r="G16" s="1"/>
      <c r="H16" s="107">
        <f>SUM(H2:H15)</f>
        <v>320</v>
      </c>
      <c r="J16" s="107">
        <f>SUM(J2:J15)</f>
        <v>0</v>
      </c>
    </row>
    <row r="17" spans="1:11" ht="13.5" customHeight="1" x14ac:dyDescent="0.2">
      <c r="A17" s="137" t="s">
        <v>222</v>
      </c>
      <c r="B17" s="34" t="s">
        <v>892</v>
      </c>
      <c r="C17" s="24"/>
      <c r="D17" s="369">
        <v>190</v>
      </c>
    </row>
    <row r="18" spans="1:11" ht="13.5" customHeight="1" x14ac:dyDescent="0.2">
      <c r="A18" s="137" t="s">
        <v>222</v>
      </c>
      <c r="B18" s="34" t="s">
        <v>919</v>
      </c>
      <c r="C18" s="24"/>
      <c r="D18" s="369">
        <v>185</v>
      </c>
    </row>
    <row r="19" spans="1:11" ht="13.5" customHeight="1" x14ac:dyDescent="0.2">
      <c r="A19" s="137" t="s">
        <v>222</v>
      </c>
      <c r="B19" s="34" t="s">
        <v>847</v>
      </c>
      <c r="C19" s="24"/>
      <c r="D19" s="108">
        <v>220</v>
      </c>
    </row>
    <row r="20" spans="1:11" ht="13.5" customHeight="1" x14ac:dyDescent="0.2">
      <c r="A20" s="137" t="s">
        <v>222</v>
      </c>
      <c r="B20" s="33" t="s">
        <v>939</v>
      </c>
      <c r="C20" s="359"/>
      <c r="D20" s="370">
        <v>60</v>
      </c>
    </row>
    <row r="21" spans="1:11" ht="13.5" customHeight="1" x14ac:dyDescent="0.2">
      <c r="A21" s="137" t="s">
        <v>222</v>
      </c>
      <c r="B21" s="34" t="s">
        <v>890</v>
      </c>
      <c r="C21" s="24"/>
      <c r="D21" s="108">
        <v>60</v>
      </c>
    </row>
    <row r="22" spans="1:11" ht="13.5" customHeight="1" x14ac:dyDescent="0.2">
      <c r="A22" s="137" t="s">
        <v>222</v>
      </c>
      <c r="B22" s="237" t="s">
        <v>938</v>
      </c>
      <c r="C22" s="359"/>
      <c r="D22" s="370">
        <v>60</v>
      </c>
    </row>
    <row r="23" spans="1:11" ht="13.5" customHeight="1" x14ac:dyDescent="0.2">
      <c r="A23" s="137" t="s">
        <v>222</v>
      </c>
      <c r="B23" s="21" t="s">
        <v>896</v>
      </c>
      <c r="C23" s="24"/>
      <c r="D23" s="369">
        <v>80</v>
      </c>
      <c r="E23" s="18">
        <f>SUM(D16:D23)</f>
        <v>1040</v>
      </c>
      <c r="F23" s="18"/>
    </row>
    <row r="24" spans="1:11" ht="13.5" customHeight="1" x14ac:dyDescent="0.2">
      <c r="A24" s="137"/>
      <c r="B24" s="237"/>
      <c r="C24" s="359"/>
      <c r="D24" s="371">
        <f>SUM(D2:D23)</f>
        <v>28121.97</v>
      </c>
    </row>
    <row r="25" spans="1:11" ht="13.5" customHeight="1" x14ac:dyDescent="0.2">
      <c r="A25" s="137"/>
      <c r="B25" s="237"/>
      <c r="C25" s="359"/>
      <c r="D25" s="364"/>
    </row>
    <row r="26" spans="1:11" ht="13.5" customHeight="1" x14ac:dyDescent="0.2">
      <c r="A26" s="137" t="s">
        <v>222</v>
      </c>
      <c r="B26" s="237" t="s">
        <v>953</v>
      </c>
      <c r="C26" s="359"/>
      <c r="D26" s="364">
        <v>900</v>
      </c>
      <c r="G26" s="100">
        <v>900</v>
      </c>
      <c r="H26" s="109"/>
      <c r="I26" s="109"/>
      <c r="J26" s="109"/>
      <c r="K26" s="104">
        <f>G26-H26-I26-J26</f>
        <v>900</v>
      </c>
    </row>
    <row r="27" spans="1:11" ht="13.5" customHeight="1" x14ac:dyDescent="0.2">
      <c r="A27" s="137" t="s">
        <v>222</v>
      </c>
      <c r="B27" s="36" t="s">
        <v>915</v>
      </c>
      <c r="C27" s="24"/>
      <c r="D27" s="60">
        <v>7500</v>
      </c>
      <c r="G27" s="100">
        <v>7500</v>
      </c>
      <c r="H27" s="109"/>
      <c r="I27" s="109"/>
      <c r="J27" s="109"/>
      <c r="K27" s="104">
        <f>G27-H27-I27-J27</f>
        <v>7500</v>
      </c>
    </row>
    <row r="28" spans="1:11" ht="13.5" customHeight="1" x14ac:dyDescent="0.2">
      <c r="A28" s="137" t="s">
        <v>222</v>
      </c>
      <c r="B28" s="36" t="s">
        <v>916</v>
      </c>
      <c r="C28" s="24"/>
      <c r="D28" s="60">
        <v>500</v>
      </c>
      <c r="G28" s="100">
        <v>500</v>
      </c>
      <c r="H28" s="109"/>
      <c r="I28" s="109"/>
      <c r="J28" s="109"/>
      <c r="K28" s="104">
        <f>G28-H28-I28-J28</f>
        <v>500</v>
      </c>
    </row>
    <row r="29" spans="1:11" ht="13.5" customHeight="1" x14ac:dyDescent="0.2">
      <c r="A29" s="137" t="s">
        <v>222</v>
      </c>
      <c r="B29" s="34" t="s">
        <v>980</v>
      </c>
      <c r="C29" s="110"/>
      <c r="D29" s="372">
        <v>4731.47</v>
      </c>
      <c r="G29" s="100">
        <v>4731.47</v>
      </c>
      <c r="H29" s="109"/>
      <c r="I29" s="109"/>
      <c r="J29" s="109"/>
      <c r="K29" s="104">
        <f>G29-H29-I29-J29</f>
        <v>4731.47</v>
      </c>
    </row>
    <row r="30" spans="1:11" ht="13.5" customHeight="1" x14ac:dyDescent="0.2">
      <c r="A30" s="137"/>
      <c r="B30" s="34"/>
      <c r="C30" s="110"/>
      <c r="D30" s="373">
        <f>SUM(D26:D29)</f>
        <v>13631.470000000001</v>
      </c>
    </row>
    <row r="31" spans="1:11" ht="13.5" customHeight="1" x14ac:dyDescent="0.2">
      <c r="A31" s="137"/>
      <c r="B31" s="34"/>
      <c r="C31" s="110"/>
      <c r="D31" s="368"/>
    </row>
    <row r="32" spans="1:11" ht="13.5" customHeight="1" x14ac:dyDescent="0.2">
      <c r="A32" s="137" t="s">
        <v>223</v>
      </c>
      <c r="B32" s="34" t="s">
        <v>189</v>
      </c>
      <c r="C32" s="110">
        <v>7535.31</v>
      </c>
      <c r="D32" s="25"/>
    </row>
    <row r="33" spans="1:14" ht="13.5" customHeight="1" x14ac:dyDescent="0.2">
      <c r="A33" s="137" t="s">
        <v>223</v>
      </c>
      <c r="B33" s="34" t="s">
        <v>189</v>
      </c>
      <c r="C33" s="110">
        <v>4731.47</v>
      </c>
      <c r="D33" s="25"/>
    </row>
    <row r="34" spans="1:14" ht="13.5" customHeight="1" x14ac:dyDescent="0.2">
      <c r="A34" s="137" t="s">
        <v>223</v>
      </c>
      <c r="B34" s="34" t="s">
        <v>174</v>
      </c>
      <c r="C34" s="111">
        <v>-11.9</v>
      </c>
      <c r="D34" s="374"/>
      <c r="E34" s="64"/>
      <c r="F34" s="64"/>
      <c r="L34" s="64"/>
      <c r="M34" s="64"/>
      <c r="N34" s="64"/>
    </row>
    <row r="35" spans="1:14" ht="13.5" customHeight="1" x14ac:dyDescent="0.2">
      <c r="A35" s="137" t="s">
        <v>223</v>
      </c>
      <c r="B35" s="34" t="s">
        <v>174</v>
      </c>
      <c r="C35" s="111">
        <v>-78</v>
      </c>
      <c r="D35" s="368"/>
    </row>
    <row r="36" spans="1:14" ht="13.5" customHeight="1" x14ac:dyDescent="0.2">
      <c r="A36" s="137" t="s">
        <v>223</v>
      </c>
      <c r="B36" s="34" t="s">
        <v>174</v>
      </c>
      <c r="C36" s="111">
        <v>-274.02999999999997</v>
      </c>
      <c r="D36" s="368"/>
    </row>
    <row r="37" spans="1:14" ht="13.5" customHeight="1" x14ac:dyDescent="0.2">
      <c r="A37" s="137" t="s">
        <v>223</v>
      </c>
      <c r="B37" s="34" t="s">
        <v>174</v>
      </c>
      <c r="C37" s="111">
        <v>-566.97</v>
      </c>
      <c r="D37" s="368"/>
    </row>
    <row r="38" spans="1:14" ht="13.5" customHeight="1" x14ac:dyDescent="0.2">
      <c r="A38" s="137" t="s">
        <v>223</v>
      </c>
      <c r="B38" s="34" t="s">
        <v>174</v>
      </c>
      <c r="C38" s="111">
        <v>-926.75</v>
      </c>
      <c r="D38" s="368"/>
    </row>
    <row r="39" spans="1:14" ht="13.5" customHeight="1" x14ac:dyDescent="0.2">
      <c r="A39" s="137" t="s">
        <v>223</v>
      </c>
      <c r="B39" s="34" t="s">
        <v>174</v>
      </c>
      <c r="C39" s="111">
        <v>-1290.1099999999999</v>
      </c>
      <c r="D39" s="368"/>
    </row>
    <row r="40" spans="1:14" ht="13.5" customHeight="1" x14ac:dyDescent="0.2">
      <c r="A40" s="137" t="s">
        <v>223</v>
      </c>
      <c r="B40" s="34" t="s">
        <v>174</v>
      </c>
      <c r="C40" s="111">
        <v>-1532.21</v>
      </c>
      <c r="D40" s="368"/>
    </row>
    <row r="41" spans="1:14" ht="13.5" customHeight="1" x14ac:dyDescent="0.2">
      <c r="A41" s="137" t="s">
        <v>223</v>
      </c>
      <c r="B41" s="34" t="s">
        <v>174</v>
      </c>
      <c r="C41" s="111">
        <v>-2000</v>
      </c>
      <c r="D41" s="368"/>
    </row>
    <row r="42" spans="1:14" ht="13.5" customHeight="1" x14ac:dyDescent="0.2">
      <c r="A42" s="137"/>
      <c r="B42" s="34"/>
      <c r="C42" s="112">
        <f>SUM(C32:C41)</f>
        <v>5586.81</v>
      </c>
      <c r="D42" s="368"/>
    </row>
    <row r="43" spans="1:14" ht="13.5" customHeight="1" x14ac:dyDescent="0.2">
      <c r="A43" s="137"/>
      <c r="B43" s="34"/>
      <c r="C43" s="111"/>
      <c r="D43" s="368"/>
    </row>
    <row r="44" spans="1:14" ht="13.5" customHeight="1" x14ac:dyDescent="0.2">
      <c r="A44" s="137" t="s">
        <v>224</v>
      </c>
      <c r="B44" s="34" t="s">
        <v>128</v>
      </c>
      <c r="C44" s="110">
        <v>35.85</v>
      </c>
      <c r="D44" s="364"/>
    </row>
    <row r="45" spans="1:14" ht="13.5" customHeight="1" x14ac:dyDescent="0.2">
      <c r="A45" s="137" t="s">
        <v>224</v>
      </c>
      <c r="B45" s="34" t="s">
        <v>62</v>
      </c>
      <c r="C45" s="110">
        <v>441.93</v>
      </c>
      <c r="D45" s="364"/>
    </row>
    <row r="46" spans="1:14" ht="13.5" customHeight="1" x14ac:dyDescent="0.2">
      <c r="A46" s="137" t="s">
        <v>224</v>
      </c>
      <c r="B46" s="34" t="s">
        <v>68</v>
      </c>
      <c r="C46" s="110">
        <v>129.9</v>
      </c>
      <c r="D46" s="335"/>
    </row>
    <row r="47" spans="1:14" ht="13.5" customHeight="1" x14ac:dyDescent="0.2">
      <c r="A47" s="137" t="s">
        <v>224</v>
      </c>
      <c r="B47" s="237" t="s">
        <v>864</v>
      </c>
      <c r="C47" s="110">
        <v>17</v>
      </c>
      <c r="D47" s="335"/>
    </row>
    <row r="48" spans="1:14" ht="13.5" customHeight="1" x14ac:dyDescent="0.2">
      <c r="A48" s="137" t="s">
        <v>224</v>
      </c>
      <c r="B48" s="237" t="s">
        <v>864</v>
      </c>
      <c r="C48" s="110">
        <v>17</v>
      </c>
      <c r="D48" s="335"/>
    </row>
    <row r="49" spans="1:11" ht="13.5" customHeight="1" x14ac:dyDescent="0.2">
      <c r="A49" s="137" t="s">
        <v>224</v>
      </c>
      <c r="B49" s="237" t="s">
        <v>969</v>
      </c>
      <c r="C49" s="110">
        <v>300</v>
      </c>
      <c r="D49" s="335"/>
    </row>
    <row r="50" spans="1:11" ht="13.5" customHeight="1" x14ac:dyDescent="0.2">
      <c r="A50" s="137"/>
      <c r="B50" s="237"/>
      <c r="C50" s="112">
        <f>SUM(C44:C49)</f>
        <v>941.68000000000006</v>
      </c>
      <c r="D50" s="335"/>
    </row>
    <row r="51" spans="1:11" ht="13.5" customHeight="1" x14ac:dyDescent="0.2">
      <c r="A51" s="137"/>
      <c r="B51" s="237"/>
      <c r="C51" s="110"/>
      <c r="D51" s="335"/>
    </row>
    <row r="52" spans="1:11" ht="13.5" customHeight="1" x14ac:dyDescent="0.2">
      <c r="A52" s="137" t="s">
        <v>224</v>
      </c>
      <c r="B52" s="34" t="s">
        <v>903</v>
      </c>
      <c r="C52" s="24">
        <v>150</v>
      </c>
      <c r="D52" s="60"/>
    </row>
    <row r="53" spans="1:11" ht="13.5" customHeight="1" x14ac:dyDescent="0.2">
      <c r="A53" s="137" t="s">
        <v>224</v>
      </c>
      <c r="B53" s="237" t="s">
        <v>968</v>
      </c>
      <c r="C53" s="359">
        <v>115</v>
      </c>
      <c r="D53" s="375">
        <f>SUM(C52:C53)</f>
        <v>265</v>
      </c>
    </row>
    <row r="54" spans="1:11" ht="13.5" customHeight="1" x14ac:dyDescent="0.2">
      <c r="A54" s="137" t="s">
        <v>224</v>
      </c>
      <c r="B54" s="21" t="s">
        <v>902</v>
      </c>
      <c r="C54" s="24">
        <v>150</v>
      </c>
      <c r="D54" s="25"/>
    </row>
    <row r="55" spans="1:11" ht="13.5" customHeight="1" x14ac:dyDescent="0.2">
      <c r="A55" s="137" t="s">
        <v>224</v>
      </c>
      <c r="B55" s="237" t="s">
        <v>969</v>
      </c>
      <c r="C55" s="359">
        <v>150</v>
      </c>
      <c r="D55" s="375">
        <f>SUM(C54:C55)</f>
        <v>300</v>
      </c>
    </row>
    <row r="56" spans="1:11" ht="13.5" customHeight="1" x14ac:dyDescent="0.2">
      <c r="A56" s="137"/>
      <c r="B56" s="34"/>
      <c r="C56" s="110"/>
      <c r="D56" s="25"/>
      <c r="H56"/>
      <c r="I56"/>
      <c r="J56"/>
      <c r="K56"/>
    </row>
    <row r="57" spans="1:11" ht="13.5" customHeight="1" x14ac:dyDescent="0.2">
      <c r="A57" s="137"/>
      <c r="B57" s="34"/>
      <c r="C57" s="110"/>
      <c r="D57" s="25"/>
      <c r="H57"/>
      <c r="I57"/>
      <c r="J57"/>
      <c r="K57"/>
    </row>
    <row r="58" spans="1:11" ht="13.5" customHeight="1" x14ac:dyDescent="0.2">
      <c r="A58" s="137" t="s">
        <v>225</v>
      </c>
      <c r="B58" s="34" t="s">
        <v>982</v>
      </c>
      <c r="C58" s="112">
        <v>720.85</v>
      </c>
      <c r="D58" s="25"/>
    </row>
    <row r="59" spans="1:11" ht="13.5" customHeight="1" x14ac:dyDescent="0.2">
      <c r="A59" s="137"/>
      <c r="B59" s="34"/>
      <c r="C59" s="110"/>
      <c r="D59" s="25"/>
    </row>
    <row r="60" spans="1:11" ht="13.5" customHeight="1" x14ac:dyDescent="0.2">
      <c r="A60" s="137" t="s">
        <v>226</v>
      </c>
      <c r="B60" s="237" t="s">
        <v>555</v>
      </c>
      <c r="C60" s="110">
        <v>44.61</v>
      </c>
      <c r="D60" s="364"/>
    </row>
    <row r="61" spans="1:11" ht="13.5" customHeight="1" x14ac:dyDescent="0.2">
      <c r="A61" s="137" t="s">
        <v>226</v>
      </c>
      <c r="B61" s="33" t="s">
        <v>555</v>
      </c>
      <c r="C61" s="61">
        <v>56.73</v>
      </c>
      <c r="D61" s="335"/>
      <c r="G61" s="34" t="s">
        <v>204</v>
      </c>
      <c r="H61" s="361">
        <v>2.9</v>
      </c>
    </row>
    <row r="62" spans="1:11" ht="13.5" customHeight="1" x14ac:dyDescent="0.2">
      <c r="A62" s="137" t="s">
        <v>226</v>
      </c>
      <c r="B62" s="36" t="s">
        <v>127</v>
      </c>
      <c r="C62" s="61">
        <v>28.92</v>
      </c>
      <c r="D62" s="335"/>
      <c r="G62" s="34" t="s">
        <v>1004</v>
      </c>
      <c r="H62" s="361">
        <v>11.59</v>
      </c>
    </row>
    <row r="63" spans="1:11" ht="13.5" customHeight="1" x14ac:dyDescent="0.2">
      <c r="A63" s="137" t="s">
        <v>226</v>
      </c>
      <c r="B63" s="34" t="s">
        <v>129</v>
      </c>
      <c r="C63" s="61">
        <v>48.23</v>
      </c>
      <c r="D63" s="335"/>
      <c r="G63" s="34" t="s">
        <v>1004</v>
      </c>
      <c r="H63" s="363">
        <v>36.619999999999997</v>
      </c>
    </row>
    <row r="64" spans="1:11" ht="13.5" customHeight="1" x14ac:dyDescent="0.2">
      <c r="A64" s="137" t="s">
        <v>226</v>
      </c>
      <c r="B64" s="34" t="s">
        <v>131</v>
      </c>
      <c r="C64" s="110">
        <v>125.49</v>
      </c>
      <c r="D64" s="364"/>
      <c r="G64" s="34" t="s">
        <v>1006</v>
      </c>
      <c r="H64" s="360">
        <v>60</v>
      </c>
    </row>
    <row r="65" spans="1:14" ht="13.5" customHeight="1" x14ac:dyDescent="0.2">
      <c r="A65" s="137" t="s">
        <v>226</v>
      </c>
      <c r="B65" s="237" t="s">
        <v>954</v>
      </c>
      <c r="C65" s="359">
        <v>17.68</v>
      </c>
      <c r="D65" s="364"/>
      <c r="G65" s="34" t="s">
        <v>205</v>
      </c>
      <c r="H65" s="360">
        <v>6.2</v>
      </c>
      <c r="I65"/>
      <c r="K65"/>
    </row>
    <row r="66" spans="1:14" ht="13.5" customHeight="1" x14ac:dyDescent="0.2">
      <c r="A66" s="137" t="s">
        <v>226</v>
      </c>
      <c r="B66" s="45" t="s">
        <v>898</v>
      </c>
      <c r="C66" s="110">
        <v>55.44</v>
      </c>
      <c r="D66" s="364"/>
      <c r="G66" s="34" t="s">
        <v>205</v>
      </c>
      <c r="H66" s="363">
        <v>7.2</v>
      </c>
    </row>
    <row r="67" spans="1:14" ht="13.5" customHeight="1" x14ac:dyDescent="0.2">
      <c r="A67" s="137" t="s">
        <v>226</v>
      </c>
      <c r="B67" s="34" t="s">
        <v>227</v>
      </c>
      <c r="C67" s="110">
        <f>H71/2</f>
        <v>250.70499999999998</v>
      </c>
      <c r="D67" s="364"/>
      <c r="G67" s="34" t="s">
        <v>205</v>
      </c>
      <c r="H67" s="363">
        <v>10</v>
      </c>
    </row>
    <row r="68" spans="1:14" ht="13.5" customHeight="1" x14ac:dyDescent="0.2">
      <c r="A68" s="137"/>
      <c r="B68" s="34"/>
      <c r="C68" s="112">
        <f>SUM(C60:C67)</f>
        <v>627.80499999999995</v>
      </c>
      <c r="D68" s="364"/>
      <c r="F68" s="18"/>
      <c r="G68" s="34" t="s">
        <v>205</v>
      </c>
      <c r="H68" s="361">
        <v>15.5</v>
      </c>
    </row>
    <row r="69" spans="1:14" ht="13.5" customHeight="1" x14ac:dyDescent="0.2">
      <c r="A69" s="137"/>
      <c r="B69" s="34"/>
      <c r="C69" s="110"/>
      <c r="D69" s="364"/>
      <c r="F69"/>
      <c r="G69" s="34" t="s">
        <v>1011</v>
      </c>
      <c r="H69" s="376">
        <v>36.4</v>
      </c>
      <c r="L69"/>
      <c r="M69"/>
      <c r="N69"/>
    </row>
    <row r="70" spans="1:14" ht="13.5" customHeight="1" x14ac:dyDescent="0.2">
      <c r="A70" s="137" t="s">
        <v>226</v>
      </c>
      <c r="B70" s="138" t="s">
        <v>199</v>
      </c>
      <c r="C70" s="110">
        <v>144.33000000000001</v>
      </c>
      <c r="D70" s="25"/>
      <c r="G70" s="34" t="s">
        <v>966</v>
      </c>
      <c r="H70" s="110">
        <v>315</v>
      </c>
    </row>
    <row r="71" spans="1:14" ht="13.5" customHeight="1" x14ac:dyDescent="0.2">
      <c r="A71" s="137" t="s">
        <v>226</v>
      </c>
      <c r="B71" s="34" t="s">
        <v>180</v>
      </c>
      <c r="C71" s="110">
        <v>404.7</v>
      </c>
      <c r="D71" s="25"/>
      <c r="H71" s="107">
        <f>SUM(H61:H70)</f>
        <v>501.40999999999997</v>
      </c>
    </row>
    <row r="72" spans="1:14" ht="13.5" customHeight="1" x14ac:dyDescent="0.2">
      <c r="A72" s="137" t="s">
        <v>226</v>
      </c>
      <c r="B72" s="33" t="s">
        <v>670</v>
      </c>
      <c r="C72" s="335">
        <v>129.80000000000001</v>
      </c>
      <c r="D72" s="335"/>
    </row>
    <row r="73" spans="1:14" ht="13.5" customHeight="1" x14ac:dyDescent="0.2">
      <c r="A73" s="137" t="s">
        <v>226</v>
      </c>
      <c r="B73" s="34" t="s">
        <v>850</v>
      </c>
      <c r="C73" s="103">
        <v>13.9</v>
      </c>
      <c r="D73" s="60"/>
    </row>
    <row r="74" spans="1:14" ht="13.5" customHeight="1" x14ac:dyDescent="0.2">
      <c r="A74" s="137" t="s">
        <v>226</v>
      </c>
      <c r="B74" s="34" t="s">
        <v>931</v>
      </c>
      <c r="C74" s="24">
        <v>6</v>
      </c>
      <c r="D74" s="25"/>
      <c r="G74" s="141"/>
    </row>
    <row r="75" spans="1:14" ht="13.5" customHeight="1" x14ac:dyDescent="0.2">
      <c r="A75" s="137" t="s">
        <v>226</v>
      </c>
      <c r="B75" s="237" t="s">
        <v>970</v>
      </c>
      <c r="C75" s="359">
        <v>72</v>
      </c>
      <c r="D75" s="364"/>
      <c r="G75" s="377"/>
    </row>
    <row r="76" spans="1:14" ht="13.5" customHeight="1" x14ac:dyDescent="0.2">
      <c r="A76" s="137" t="s">
        <v>226</v>
      </c>
      <c r="B76" s="237" t="s">
        <v>951</v>
      </c>
      <c r="C76" s="359">
        <v>498</v>
      </c>
      <c r="D76" s="364"/>
      <c r="F76"/>
      <c r="G76" s="377"/>
      <c r="L76"/>
      <c r="M76"/>
      <c r="N76"/>
    </row>
    <row r="77" spans="1:14" ht="13.5" customHeight="1" x14ac:dyDescent="0.2">
      <c r="A77" s="137" t="s">
        <v>226</v>
      </c>
      <c r="B77" s="34" t="s">
        <v>893</v>
      </c>
      <c r="C77" s="24">
        <v>100</v>
      </c>
      <c r="D77" s="25"/>
      <c r="G77" s="377"/>
    </row>
    <row r="78" spans="1:14" ht="13.5" customHeight="1" x14ac:dyDescent="0.2">
      <c r="A78" s="137" t="s">
        <v>226</v>
      </c>
      <c r="B78" s="34" t="s">
        <v>932</v>
      </c>
      <c r="C78" s="103">
        <v>7</v>
      </c>
      <c r="D78" s="60"/>
      <c r="G78" s="377"/>
    </row>
    <row r="79" spans="1:14" ht="13.5" customHeight="1" x14ac:dyDescent="0.2">
      <c r="A79" s="137" t="s">
        <v>226</v>
      </c>
      <c r="B79" s="237" t="s">
        <v>905</v>
      </c>
      <c r="C79" s="61">
        <v>167.63</v>
      </c>
      <c r="D79" s="335"/>
      <c r="G79" s="377"/>
    </row>
    <row r="80" spans="1:14" ht="13.5" customHeight="1" x14ac:dyDescent="0.2">
      <c r="A80" s="137" t="s">
        <v>226</v>
      </c>
      <c r="B80" s="33" t="s">
        <v>869</v>
      </c>
      <c r="C80" s="61">
        <v>1500</v>
      </c>
      <c r="D80" s="335"/>
      <c r="G80" s="377"/>
      <c r="H80"/>
      <c r="I80"/>
      <c r="J80"/>
      <c r="K80"/>
    </row>
    <row r="81" spans="1:7" ht="13.5" customHeight="1" x14ac:dyDescent="0.2">
      <c r="A81" s="137" t="s">
        <v>226</v>
      </c>
      <c r="B81" s="237" t="s">
        <v>973</v>
      </c>
      <c r="C81" s="61">
        <v>2000</v>
      </c>
      <c r="D81" s="60"/>
      <c r="G81" s="141"/>
    </row>
    <row r="82" spans="1:7" ht="13.5" customHeight="1" x14ac:dyDescent="0.2">
      <c r="A82" s="137" t="s">
        <v>226</v>
      </c>
      <c r="B82" s="237" t="s">
        <v>228</v>
      </c>
      <c r="C82" s="110">
        <f>H71/2</f>
        <v>250.70499999999998</v>
      </c>
      <c r="D82" s="25"/>
      <c r="G82" s="377"/>
    </row>
    <row r="83" spans="1:7" ht="13.5" customHeight="1" x14ac:dyDescent="0.2">
      <c r="A83" s="137"/>
      <c r="B83" s="237"/>
      <c r="C83" s="112">
        <f>SUM(C70:C82)</f>
        <v>5294.0650000000005</v>
      </c>
      <c r="D83" s="25"/>
      <c r="F83" s="18"/>
      <c r="G83" s="377"/>
    </row>
    <row r="84" spans="1:7" ht="13.5" customHeight="1" x14ac:dyDescent="0.2">
      <c r="A84" s="137"/>
      <c r="B84" s="237"/>
      <c r="C84" s="110"/>
      <c r="D84" s="25"/>
      <c r="G84" s="377"/>
    </row>
    <row r="85" spans="1:7" ht="13.5" customHeight="1" x14ac:dyDescent="0.2">
      <c r="A85" s="137" t="s">
        <v>229</v>
      </c>
      <c r="B85" s="237" t="s">
        <v>1019</v>
      </c>
      <c r="C85" s="110">
        <v>900</v>
      </c>
      <c r="D85" s="25"/>
      <c r="G85" s="377"/>
    </row>
    <row r="86" spans="1:7" ht="13.5" customHeight="1" x14ac:dyDescent="0.2">
      <c r="A86" s="137" t="s">
        <v>229</v>
      </c>
      <c r="B86" s="237" t="s">
        <v>968</v>
      </c>
      <c r="C86" s="110">
        <v>265</v>
      </c>
      <c r="D86" s="25"/>
      <c r="G86" s="377"/>
    </row>
    <row r="87" spans="1:7" ht="13.5" customHeight="1" x14ac:dyDescent="0.2">
      <c r="A87" s="137" t="s">
        <v>229</v>
      </c>
      <c r="B87" s="34" t="s">
        <v>889</v>
      </c>
      <c r="C87" s="24">
        <v>43</v>
      </c>
      <c r="D87" s="25"/>
    </row>
    <row r="88" spans="1:7" ht="13.5" customHeight="1" x14ac:dyDescent="0.2">
      <c r="A88" s="137" t="s">
        <v>229</v>
      </c>
      <c r="B88" s="34" t="s">
        <v>909</v>
      </c>
      <c r="C88" s="24">
        <v>16.96</v>
      </c>
      <c r="D88" s="25"/>
    </row>
    <row r="89" spans="1:7" ht="13.5" customHeight="1" x14ac:dyDescent="0.2">
      <c r="A89" s="137" t="s">
        <v>229</v>
      </c>
      <c r="B89" s="34" t="s">
        <v>882</v>
      </c>
      <c r="C89" s="24">
        <v>23.52</v>
      </c>
      <c r="D89" s="25"/>
    </row>
    <row r="90" spans="1:7" ht="13.5" customHeight="1" x14ac:dyDescent="0.2">
      <c r="A90" s="137" t="s">
        <v>229</v>
      </c>
      <c r="B90" s="34" t="s">
        <v>1013</v>
      </c>
      <c r="C90" s="361">
        <v>1200</v>
      </c>
      <c r="D90" s="25"/>
    </row>
    <row r="91" spans="1:7" ht="13.5" customHeight="1" x14ac:dyDescent="0.2">
      <c r="A91" s="137" t="s">
        <v>229</v>
      </c>
      <c r="B91" s="34" t="s">
        <v>881</v>
      </c>
      <c r="C91" s="24">
        <v>330</v>
      </c>
      <c r="D91" s="25"/>
    </row>
    <row r="92" spans="1:7" ht="13.5" customHeight="1" x14ac:dyDescent="0.2">
      <c r="A92" s="137" t="s">
        <v>229</v>
      </c>
      <c r="B92" s="34" t="s">
        <v>880</v>
      </c>
      <c r="C92" s="103">
        <v>570</v>
      </c>
      <c r="D92" s="60"/>
    </row>
    <row r="93" spans="1:7" ht="13.5" customHeight="1" x14ac:dyDescent="0.2">
      <c r="A93" s="137" t="s">
        <v>229</v>
      </c>
      <c r="B93" s="237" t="s">
        <v>941</v>
      </c>
      <c r="C93" s="335">
        <v>199</v>
      </c>
      <c r="D93" s="335"/>
    </row>
    <row r="94" spans="1:7" ht="13.5" customHeight="1" x14ac:dyDescent="0.2">
      <c r="A94" s="137" t="s">
        <v>229</v>
      </c>
      <c r="B94" s="33" t="s">
        <v>940</v>
      </c>
      <c r="C94" s="335">
        <v>15.5</v>
      </c>
      <c r="D94" s="335"/>
    </row>
    <row r="95" spans="1:7" ht="13.5" customHeight="1" x14ac:dyDescent="0.2">
      <c r="A95" s="137"/>
      <c r="B95" s="237"/>
      <c r="C95" s="378">
        <f>SUM(C85:C94)</f>
        <v>3562.98</v>
      </c>
      <c r="D95" s="379">
        <f>C95/2</f>
        <v>1781.49</v>
      </c>
      <c r="F95" s="18"/>
    </row>
    <row r="96" spans="1:7" ht="13.5" customHeight="1" x14ac:dyDescent="0.2">
      <c r="A96" s="137"/>
      <c r="B96" s="237"/>
      <c r="C96" s="359"/>
      <c r="D96" s="364"/>
    </row>
    <row r="97" spans="1:11" ht="13.5" customHeight="1" x14ac:dyDescent="0.2">
      <c r="A97" s="137" t="s">
        <v>418</v>
      </c>
      <c r="B97" s="34" t="s">
        <v>177</v>
      </c>
      <c r="C97" s="112">
        <v>162.27000000000001</v>
      </c>
      <c r="D97" s="25"/>
    </row>
    <row r="98" spans="1:11" ht="13.5" customHeight="1" x14ac:dyDescent="0.2">
      <c r="A98" s="137" t="s">
        <v>419</v>
      </c>
      <c r="B98" s="34" t="s">
        <v>198</v>
      </c>
      <c r="C98" s="112">
        <v>926.75</v>
      </c>
      <c r="D98" s="25"/>
    </row>
    <row r="99" spans="1:11" ht="13.5" customHeight="1" x14ac:dyDescent="0.2">
      <c r="A99" s="137"/>
      <c r="B99" s="34"/>
      <c r="C99" s="110"/>
      <c r="D99" s="25"/>
    </row>
    <row r="100" spans="1:11" ht="13.5" customHeight="1" x14ac:dyDescent="0.2">
      <c r="A100" s="137"/>
      <c r="B100" s="34"/>
      <c r="C100" s="110"/>
      <c r="D100" s="25"/>
    </row>
    <row r="101" spans="1:11" ht="13.5" customHeight="1" x14ac:dyDescent="0.2">
      <c r="A101" s="137" t="s">
        <v>232</v>
      </c>
      <c r="B101" s="34" t="s">
        <v>986</v>
      </c>
      <c r="C101" s="110">
        <v>405.68</v>
      </c>
      <c r="D101" s="25"/>
    </row>
    <row r="102" spans="1:11" ht="13.5" customHeight="1" x14ac:dyDescent="0.2">
      <c r="A102" s="137" t="s">
        <v>232</v>
      </c>
      <c r="B102" s="237" t="s">
        <v>837</v>
      </c>
      <c r="C102" s="110">
        <f>H114/2</f>
        <v>1251.585</v>
      </c>
      <c r="D102" s="25"/>
    </row>
    <row r="103" spans="1:11" ht="13.5" customHeight="1" x14ac:dyDescent="0.2">
      <c r="A103" s="137"/>
      <c r="B103" s="237"/>
      <c r="C103" s="112">
        <f>SUM(C101:C102)</f>
        <v>1657.2650000000001</v>
      </c>
      <c r="D103" s="25"/>
      <c r="F103" s="18"/>
    </row>
    <row r="104" spans="1:11" ht="13.5" customHeight="1" x14ac:dyDescent="0.2">
      <c r="A104" s="137"/>
      <c r="B104" s="237"/>
      <c r="C104" s="110"/>
      <c r="D104" s="25"/>
      <c r="G104" s="34" t="s">
        <v>1020</v>
      </c>
      <c r="H104" s="24">
        <v>55.6</v>
      </c>
      <c r="I104" s="25"/>
      <c r="J104" s="24"/>
    </row>
    <row r="105" spans="1:11" ht="13.5" customHeight="1" x14ac:dyDescent="0.2">
      <c r="A105" s="137" t="s">
        <v>232</v>
      </c>
      <c r="B105" s="34" t="s">
        <v>984</v>
      </c>
      <c r="C105" s="61">
        <v>405.68</v>
      </c>
      <c r="D105" s="60"/>
      <c r="G105" s="34" t="s">
        <v>1021</v>
      </c>
      <c r="H105" s="103">
        <v>11.36</v>
      </c>
      <c r="I105" s="60"/>
      <c r="J105" s="24"/>
      <c r="K105" s="377"/>
    </row>
    <row r="106" spans="1:11" ht="13.5" customHeight="1" x14ac:dyDescent="0.2">
      <c r="A106" s="137" t="s">
        <v>232</v>
      </c>
      <c r="B106" s="34" t="s">
        <v>891</v>
      </c>
      <c r="C106" s="103">
        <v>150</v>
      </c>
      <c r="D106" s="60"/>
      <c r="G106" s="34" t="s">
        <v>1022</v>
      </c>
      <c r="H106" s="103">
        <v>30.48</v>
      </c>
      <c r="I106" s="335"/>
      <c r="J106" s="359"/>
      <c r="K106" s="377"/>
    </row>
    <row r="107" spans="1:11" ht="13.5" customHeight="1" x14ac:dyDescent="0.2">
      <c r="A107" s="137" t="s">
        <v>232</v>
      </c>
      <c r="B107" s="36" t="s">
        <v>891</v>
      </c>
      <c r="C107" s="103">
        <v>384</v>
      </c>
      <c r="D107" s="335"/>
      <c r="G107" s="237" t="s">
        <v>1022</v>
      </c>
      <c r="H107" s="359">
        <v>65.62</v>
      </c>
      <c r="I107" s="25"/>
      <c r="J107" s="24"/>
      <c r="K107" s="377"/>
    </row>
    <row r="108" spans="1:11" ht="13.5" customHeight="1" x14ac:dyDescent="0.2">
      <c r="A108" s="137" t="s">
        <v>232</v>
      </c>
      <c r="B108" s="33" t="s">
        <v>559</v>
      </c>
      <c r="C108" s="335">
        <v>50</v>
      </c>
      <c r="D108" s="60"/>
      <c r="G108" s="36" t="s">
        <v>855</v>
      </c>
      <c r="H108" s="24">
        <v>350</v>
      </c>
      <c r="I108" s="25"/>
      <c r="J108" s="110"/>
      <c r="K108" s="377"/>
    </row>
    <row r="109" spans="1:11" ht="13.5" customHeight="1" x14ac:dyDescent="0.2">
      <c r="A109" s="137" t="s">
        <v>232</v>
      </c>
      <c r="B109" s="36" t="s">
        <v>554</v>
      </c>
      <c r="C109" s="103">
        <v>70</v>
      </c>
      <c r="D109" s="335"/>
      <c r="G109" s="36" t="s">
        <v>855</v>
      </c>
      <c r="H109" s="24">
        <v>350</v>
      </c>
      <c r="I109" s="364"/>
      <c r="J109" s="61"/>
      <c r="K109" s="377"/>
    </row>
    <row r="110" spans="1:11" ht="13.5" customHeight="1" x14ac:dyDescent="0.2">
      <c r="A110" s="137" t="s">
        <v>232</v>
      </c>
      <c r="B110" s="33" t="s">
        <v>25</v>
      </c>
      <c r="C110" s="335">
        <v>50</v>
      </c>
      <c r="D110" s="335"/>
      <c r="G110" s="237" t="s">
        <v>855</v>
      </c>
      <c r="H110" s="359">
        <v>350</v>
      </c>
      <c r="I110" s="25"/>
      <c r="K110" s="377"/>
    </row>
    <row r="111" spans="1:11" ht="13.5" customHeight="1" x14ac:dyDescent="0.2">
      <c r="A111" s="137" t="s">
        <v>232</v>
      </c>
      <c r="B111" s="33" t="s">
        <v>25</v>
      </c>
      <c r="C111" s="335">
        <v>50</v>
      </c>
      <c r="D111" s="335"/>
      <c r="G111" s="34" t="s">
        <v>171</v>
      </c>
      <c r="H111" s="110">
        <v>554.20000000000005</v>
      </c>
      <c r="I111" s="25"/>
      <c r="K111" s="377"/>
    </row>
    <row r="112" spans="1:11" ht="13.5" customHeight="1" x14ac:dyDescent="0.2">
      <c r="A112" s="137" t="s">
        <v>232</v>
      </c>
      <c r="B112" s="33" t="s">
        <v>25</v>
      </c>
      <c r="C112" s="335">
        <v>100</v>
      </c>
      <c r="D112" s="60"/>
      <c r="G112" s="36" t="s">
        <v>172</v>
      </c>
      <c r="H112" s="110">
        <v>585.91</v>
      </c>
      <c r="I112" s="60"/>
      <c r="K112" s="377"/>
    </row>
    <row r="113" spans="1:11" ht="13.5" customHeight="1" x14ac:dyDescent="0.2">
      <c r="A113" s="137" t="s">
        <v>232</v>
      </c>
      <c r="B113" s="36" t="s">
        <v>36</v>
      </c>
      <c r="C113" s="103">
        <v>350</v>
      </c>
      <c r="D113" s="60"/>
      <c r="G113" s="36" t="s">
        <v>233</v>
      </c>
      <c r="H113" s="61">
        <v>150</v>
      </c>
      <c r="I113" s="335"/>
      <c r="K113" s="377"/>
    </row>
    <row r="114" spans="1:11" ht="13.5" customHeight="1" x14ac:dyDescent="0.2">
      <c r="A114" s="137" t="s">
        <v>232</v>
      </c>
      <c r="B114" s="34" t="s">
        <v>901</v>
      </c>
      <c r="C114" s="103">
        <v>-70</v>
      </c>
      <c r="D114" s="60"/>
      <c r="H114" s="18">
        <f>SUM(H104:H113)</f>
        <v>2503.17</v>
      </c>
      <c r="K114" s="377"/>
    </row>
    <row r="115" spans="1:11" ht="13.5" customHeight="1" x14ac:dyDescent="0.2">
      <c r="A115" s="137" t="s">
        <v>232</v>
      </c>
      <c r="B115" s="21" t="s">
        <v>895</v>
      </c>
      <c r="C115" s="103">
        <v>-554</v>
      </c>
      <c r="D115" s="60"/>
      <c r="K115" s="377"/>
    </row>
    <row r="116" spans="1:11" ht="13.5" customHeight="1" x14ac:dyDescent="0.2">
      <c r="A116" s="137" t="s">
        <v>232</v>
      </c>
      <c r="B116" s="34" t="s">
        <v>862</v>
      </c>
      <c r="C116" s="103">
        <v>50</v>
      </c>
      <c r="D116" s="60"/>
      <c r="K116" s="377"/>
    </row>
    <row r="117" spans="1:11" ht="13.5" customHeight="1" x14ac:dyDescent="0.2">
      <c r="A117" s="137" t="s">
        <v>232</v>
      </c>
      <c r="B117" s="21" t="s">
        <v>897</v>
      </c>
      <c r="C117" s="103">
        <v>60</v>
      </c>
      <c r="D117" s="335"/>
      <c r="K117" s="377"/>
    </row>
    <row r="118" spans="1:11" ht="13.5" customHeight="1" x14ac:dyDescent="0.2">
      <c r="A118" s="137" t="s">
        <v>232</v>
      </c>
      <c r="B118" s="237" t="s">
        <v>43</v>
      </c>
      <c r="C118" s="335">
        <v>300</v>
      </c>
      <c r="D118" s="60"/>
      <c r="K118" s="377"/>
    </row>
    <row r="119" spans="1:11" ht="13.5" customHeight="1" x14ac:dyDescent="0.2">
      <c r="A119" s="137" t="s">
        <v>232</v>
      </c>
      <c r="B119" s="237" t="s">
        <v>52</v>
      </c>
      <c r="C119" s="335">
        <v>450</v>
      </c>
      <c r="D119" s="335"/>
      <c r="K119" s="377"/>
    </row>
    <row r="120" spans="1:11" ht="13.5" customHeight="1" x14ac:dyDescent="0.2">
      <c r="A120" s="137" t="s">
        <v>232</v>
      </c>
      <c r="B120" s="33" t="s">
        <v>957</v>
      </c>
      <c r="C120" s="335">
        <v>180</v>
      </c>
      <c r="D120" s="335"/>
      <c r="K120" s="377"/>
    </row>
    <row r="121" spans="1:11" ht="13.5" customHeight="1" x14ac:dyDescent="0.2">
      <c r="A121" s="137" t="s">
        <v>232</v>
      </c>
      <c r="B121" s="237" t="s">
        <v>838</v>
      </c>
      <c r="C121" s="110">
        <f>H114/2</f>
        <v>1251.585</v>
      </c>
      <c r="D121" s="335"/>
      <c r="K121" s="377"/>
    </row>
    <row r="122" spans="1:11" ht="13.5" customHeight="1" x14ac:dyDescent="0.2">
      <c r="A122" s="137"/>
      <c r="B122" s="33"/>
      <c r="C122" s="380">
        <f>SUM(C105:C121)</f>
        <v>3277.2650000000003</v>
      </c>
      <c r="D122" s="335"/>
      <c r="F122" s="18"/>
      <c r="K122" s="377"/>
    </row>
    <row r="123" spans="1:11" ht="13.5" customHeight="1" x14ac:dyDescent="0.2">
      <c r="A123" s="137"/>
      <c r="B123" s="33"/>
      <c r="C123" s="335"/>
      <c r="D123" s="335"/>
    </row>
    <row r="124" spans="1:11" ht="13.5" customHeight="1" x14ac:dyDescent="0.2">
      <c r="A124" s="137" t="s">
        <v>234</v>
      </c>
      <c r="B124" s="36" t="s">
        <v>851</v>
      </c>
      <c r="C124" s="103">
        <v>10</v>
      </c>
      <c r="D124" s="60"/>
      <c r="I124" s="377"/>
    </row>
    <row r="125" spans="1:11" ht="13.5" customHeight="1" x14ac:dyDescent="0.2">
      <c r="A125" s="137" t="s">
        <v>234</v>
      </c>
      <c r="B125" s="36" t="s">
        <v>701</v>
      </c>
      <c r="C125" s="103">
        <v>8.5</v>
      </c>
      <c r="D125" s="60"/>
      <c r="I125" s="377"/>
    </row>
    <row r="126" spans="1:11" ht="13.5" customHeight="1" x14ac:dyDescent="0.2">
      <c r="A126" s="137" t="s">
        <v>234</v>
      </c>
      <c r="B126" s="36" t="s">
        <v>701</v>
      </c>
      <c r="C126" s="103">
        <v>11</v>
      </c>
      <c r="D126" s="60"/>
      <c r="I126" s="377"/>
    </row>
    <row r="127" spans="1:11" ht="13.5" customHeight="1" x14ac:dyDescent="0.2">
      <c r="A127" s="137" t="s">
        <v>234</v>
      </c>
      <c r="B127" s="56" t="s">
        <v>701</v>
      </c>
      <c r="C127" s="103">
        <v>11</v>
      </c>
      <c r="D127" s="60"/>
      <c r="I127" s="377"/>
    </row>
    <row r="128" spans="1:11" ht="13.5" customHeight="1" x14ac:dyDescent="0.2">
      <c r="A128" s="137" t="s">
        <v>234</v>
      </c>
      <c r="B128" s="36" t="s">
        <v>701</v>
      </c>
      <c r="C128" s="103">
        <v>11</v>
      </c>
      <c r="D128" s="60"/>
      <c r="I128" s="377"/>
    </row>
    <row r="129" spans="1:11" ht="13.5" customHeight="1" x14ac:dyDescent="0.2">
      <c r="A129" s="137" t="s">
        <v>234</v>
      </c>
      <c r="B129" s="56" t="s">
        <v>701</v>
      </c>
      <c r="C129" s="103">
        <v>11</v>
      </c>
      <c r="D129" s="60"/>
      <c r="I129" s="377"/>
    </row>
    <row r="130" spans="1:11" ht="13.5" customHeight="1" x14ac:dyDescent="0.2">
      <c r="A130" s="137" t="s">
        <v>234</v>
      </c>
      <c r="B130" s="36" t="s">
        <v>872</v>
      </c>
      <c r="C130" s="103">
        <v>9.8000000000000007</v>
      </c>
      <c r="D130" s="60"/>
      <c r="G130" s="36" t="s">
        <v>1012</v>
      </c>
      <c r="H130" s="362">
        <v>119</v>
      </c>
      <c r="I130" s="377"/>
    </row>
    <row r="131" spans="1:11" ht="13.5" customHeight="1" x14ac:dyDescent="0.2">
      <c r="A131" s="137" t="s">
        <v>234</v>
      </c>
      <c r="B131" s="36" t="s">
        <v>1003</v>
      </c>
      <c r="C131" s="362">
        <v>8.5</v>
      </c>
      <c r="D131" s="60"/>
      <c r="G131" s="36" t="s">
        <v>992</v>
      </c>
      <c r="H131" s="61">
        <v>129.69999999999999</v>
      </c>
      <c r="I131" s="377"/>
    </row>
    <row r="132" spans="1:11" ht="13.5" customHeight="1" x14ac:dyDescent="0.2">
      <c r="A132" s="137" t="s">
        <v>234</v>
      </c>
      <c r="B132" s="36" t="s">
        <v>1023</v>
      </c>
      <c r="C132" s="362">
        <f>H133/2</f>
        <v>134.85</v>
      </c>
      <c r="D132" s="60"/>
      <c r="G132" s="36" t="s">
        <v>1009</v>
      </c>
      <c r="H132" s="362">
        <v>21</v>
      </c>
      <c r="I132" s="377"/>
    </row>
    <row r="133" spans="1:11" ht="13.5" customHeight="1" x14ac:dyDescent="0.2">
      <c r="A133" s="137"/>
      <c r="B133" s="36"/>
      <c r="C133" s="381">
        <f>SUM(C124:C132)</f>
        <v>215.64999999999998</v>
      </c>
      <c r="D133" s="60"/>
      <c r="F133" s="18"/>
      <c r="H133" s="107">
        <f>SUM(H130:H132)</f>
        <v>269.7</v>
      </c>
      <c r="I133" s="377"/>
    </row>
    <row r="134" spans="1:11" ht="13.5" customHeight="1" x14ac:dyDescent="0.2">
      <c r="A134" s="137"/>
      <c r="B134" s="36"/>
      <c r="C134" s="362"/>
      <c r="D134" s="60"/>
    </row>
    <row r="135" spans="1:11" ht="13.5" customHeight="1" x14ac:dyDescent="0.2">
      <c r="A135" s="137" t="s">
        <v>234</v>
      </c>
      <c r="B135" s="36" t="s">
        <v>1014</v>
      </c>
      <c r="C135" s="362">
        <v>42</v>
      </c>
      <c r="D135" s="60"/>
    </row>
    <row r="136" spans="1:11" ht="13.5" customHeight="1" x14ac:dyDescent="0.2">
      <c r="A136" s="137" t="s">
        <v>234</v>
      </c>
      <c r="B136" s="33" t="s">
        <v>944</v>
      </c>
      <c r="C136" s="335">
        <v>4.95</v>
      </c>
      <c r="D136" s="335"/>
    </row>
    <row r="137" spans="1:11" ht="13.5" customHeight="1" x14ac:dyDescent="0.2">
      <c r="A137" s="137" t="s">
        <v>234</v>
      </c>
      <c r="B137" s="237" t="s">
        <v>959</v>
      </c>
      <c r="C137" s="335">
        <v>21.5</v>
      </c>
      <c r="D137" s="335"/>
    </row>
    <row r="138" spans="1:11" ht="13.5" customHeight="1" x14ac:dyDescent="0.2">
      <c r="A138" s="137" t="s">
        <v>234</v>
      </c>
      <c r="B138" s="36" t="s">
        <v>918</v>
      </c>
      <c r="C138" s="103">
        <v>41.85</v>
      </c>
      <c r="D138" s="60"/>
    </row>
    <row r="139" spans="1:11" ht="13.5" customHeight="1" x14ac:dyDescent="0.2">
      <c r="A139" s="137" t="s">
        <v>234</v>
      </c>
      <c r="B139" s="33" t="s">
        <v>947</v>
      </c>
      <c r="C139" s="335">
        <v>23.2</v>
      </c>
      <c r="D139" s="335"/>
    </row>
    <row r="140" spans="1:11" ht="13.5" customHeight="1" x14ac:dyDescent="0.2">
      <c r="A140" s="137" t="s">
        <v>234</v>
      </c>
      <c r="B140" s="36" t="s">
        <v>874</v>
      </c>
      <c r="C140" s="103">
        <v>5.99</v>
      </c>
      <c r="D140" s="60"/>
    </row>
    <row r="141" spans="1:11" ht="13.5" customHeight="1" x14ac:dyDescent="0.2">
      <c r="A141" s="137" t="s">
        <v>234</v>
      </c>
      <c r="B141" s="36" t="s">
        <v>933</v>
      </c>
      <c r="C141" s="103">
        <v>36.700000000000003</v>
      </c>
      <c r="D141" s="60"/>
    </row>
    <row r="142" spans="1:11" ht="13.5" customHeight="1" x14ac:dyDescent="0.2">
      <c r="A142" s="137" t="s">
        <v>234</v>
      </c>
      <c r="B142" s="56" t="s">
        <v>911</v>
      </c>
      <c r="C142" s="103">
        <v>30</v>
      </c>
      <c r="D142" s="60"/>
    </row>
    <row r="143" spans="1:11" ht="13.5" customHeight="1" x14ac:dyDescent="0.2">
      <c r="A143" s="137" t="s">
        <v>234</v>
      </c>
      <c r="B143" s="33" t="s">
        <v>961</v>
      </c>
      <c r="C143" s="335">
        <v>177</v>
      </c>
      <c r="D143" s="335"/>
      <c r="H143"/>
      <c r="I143"/>
      <c r="J143"/>
      <c r="K143"/>
    </row>
    <row r="144" spans="1:11" ht="13.5" customHeight="1" x14ac:dyDescent="0.2">
      <c r="A144" s="137" t="s">
        <v>234</v>
      </c>
      <c r="B144" s="33" t="s">
        <v>948</v>
      </c>
      <c r="C144" s="335">
        <v>29.99</v>
      </c>
      <c r="D144" s="335"/>
    </row>
    <row r="145" spans="1:14" ht="13.5" customHeight="1" x14ac:dyDescent="0.2">
      <c r="A145" s="137" t="s">
        <v>234</v>
      </c>
      <c r="B145" s="33" t="s">
        <v>960</v>
      </c>
      <c r="C145" s="335">
        <v>9.85</v>
      </c>
      <c r="D145" s="335"/>
    </row>
    <row r="146" spans="1:14" ht="13.5" customHeight="1" x14ac:dyDescent="0.2">
      <c r="A146" s="137" t="s">
        <v>234</v>
      </c>
      <c r="B146" s="34" t="s">
        <v>926</v>
      </c>
      <c r="C146" s="103">
        <v>24.9</v>
      </c>
      <c r="D146" s="60"/>
    </row>
    <row r="147" spans="1:14" ht="13.5" customHeight="1" x14ac:dyDescent="0.2">
      <c r="A147" s="137" t="s">
        <v>234</v>
      </c>
      <c r="B147" s="34" t="s">
        <v>873</v>
      </c>
      <c r="C147" s="103">
        <v>12</v>
      </c>
      <c r="D147" s="60"/>
      <c r="H147" s="40"/>
      <c r="I147" s="40"/>
      <c r="J147" s="40"/>
      <c r="K147" s="40"/>
    </row>
    <row r="148" spans="1:14" ht="13.5" customHeight="1" x14ac:dyDescent="0.2">
      <c r="A148" s="137" t="s">
        <v>234</v>
      </c>
      <c r="B148" s="36" t="s">
        <v>875</v>
      </c>
      <c r="C148" s="103">
        <v>63.05</v>
      </c>
      <c r="D148" s="60"/>
    </row>
    <row r="149" spans="1:14" ht="13.5" customHeight="1" x14ac:dyDescent="0.2">
      <c r="A149" s="137" t="s">
        <v>234</v>
      </c>
      <c r="B149" s="36" t="s">
        <v>917</v>
      </c>
      <c r="C149" s="103">
        <v>90</v>
      </c>
      <c r="D149" s="60"/>
    </row>
    <row r="150" spans="1:14" ht="13.5" customHeight="1" x14ac:dyDescent="0.2">
      <c r="A150" s="137" t="s">
        <v>234</v>
      </c>
      <c r="B150" s="36" t="s">
        <v>861</v>
      </c>
      <c r="C150" s="103">
        <v>9.25</v>
      </c>
      <c r="D150" s="60"/>
    </row>
    <row r="151" spans="1:14" ht="13.5" customHeight="1" x14ac:dyDescent="0.2">
      <c r="A151" s="137" t="s">
        <v>234</v>
      </c>
      <c r="B151" s="36" t="s">
        <v>853</v>
      </c>
      <c r="C151" s="103">
        <v>9.3000000000000007</v>
      </c>
      <c r="D151" s="60"/>
    </row>
    <row r="152" spans="1:14" ht="13.5" customHeight="1" x14ac:dyDescent="0.2">
      <c r="A152" s="137" t="s">
        <v>234</v>
      </c>
      <c r="B152" s="36" t="s">
        <v>928</v>
      </c>
      <c r="C152" s="103">
        <v>120</v>
      </c>
      <c r="D152" s="60"/>
      <c r="E152"/>
      <c r="F152"/>
      <c r="L152"/>
      <c r="M152"/>
      <c r="N152"/>
    </row>
    <row r="153" spans="1:14" ht="13.5" customHeight="1" x14ac:dyDescent="0.2">
      <c r="A153" s="137" t="s">
        <v>234</v>
      </c>
      <c r="B153" s="33" t="s">
        <v>962</v>
      </c>
      <c r="C153" s="335">
        <v>21</v>
      </c>
      <c r="D153" s="335"/>
    </row>
    <row r="154" spans="1:14" ht="13.5" customHeight="1" x14ac:dyDescent="0.2">
      <c r="A154" s="137" t="s">
        <v>234</v>
      </c>
      <c r="B154" s="36" t="s">
        <v>852</v>
      </c>
      <c r="C154" s="103">
        <v>17.899999999999999</v>
      </c>
      <c r="D154" s="60"/>
    </row>
    <row r="155" spans="1:14" ht="13.5" customHeight="1" x14ac:dyDescent="0.2">
      <c r="A155" s="137" t="s">
        <v>234</v>
      </c>
      <c r="B155" s="33" t="s">
        <v>943</v>
      </c>
      <c r="C155" s="335">
        <v>3.6</v>
      </c>
      <c r="D155" s="335"/>
    </row>
    <row r="156" spans="1:14" ht="13.5" customHeight="1" x14ac:dyDescent="0.2">
      <c r="A156" s="137" t="s">
        <v>234</v>
      </c>
      <c r="B156" s="237" t="s">
        <v>945</v>
      </c>
      <c r="C156" s="358">
        <v>3.4</v>
      </c>
      <c r="D156" s="335"/>
      <c r="L156" s="40"/>
      <c r="M156" s="40"/>
      <c r="N156" s="40"/>
    </row>
    <row r="157" spans="1:14" ht="13.5" customHeight="1" x14ac:dyDescent="0.2">
      <c r="A157" s="137" t="s">
        <v>234</v>
      </c>
      <c r="B157" s="34" t="s">
        <v>934</v>
      </c>
      <c r="C157" s="119">
        <v>20.25</v>
      </c>
      <c r="D157" s="60"/>
    </row>
    <row r="158" spans="1:14" ht="13.5" customHeight="1" x14ac:dyDescent="0.2">
      <c r="A158" s="137" t="s">
        <v>234</v>
      </c>
      <c r="B158" s="33" t="s">
        <v>958</v>
      </c>
      <c r="C158" s="358">
        <v>5.3</v>
      </c>
      <c r="D158" s="335"/>
    </row>
    <row r="159" spans="1:14" ht="13.5" customHeight="1" x14ac:dyDescent="0.2">
      <c r="A159" s="137" t="s">
        <v>234</v>
      </c>
      <c r="B159" s="33" t="s">
        <v>937</v>
      </c>
      <c r="C159" s="358">
        <v>358</v>
      </c>
      <c r="D159" s="335"/>
    </row>
    <row r="160" spans="1:14" ht="13.5" customHeight="1" x14ac:dyDescent="0.2">
      <c r="A160" s="137" t="s">
        <v>234</v>
      </c>
      <c r="B160" s="33" t="s">
        <v>942</v>
      </c>
      <c r="C160" s="358">
        <v>5.45</v>
      </c>
      <c r="D160" s="335"/>
    </row>
    <row r="161" spans="1:6" ht="13.5" customHeight="1" x14ac:dyDescent="0.2">
      <c r="A161" s="137" t="s">
        <v>234</v>
      </c>
      <c r="B161" s="33" t="s">
        <v>946</v>
      </c>
      <c r="C161" s="358">
        <v>5.65</v>
      </c>
      <c r="D161" s="335"/>
    </row>
    <row r="162" spans="1:6" ht="13.5" customHeight="1" x14ac:dyDescent="0.2">
      <c r="A162" s="137" t="s">
        <v>234</v>
      </c>
      <c r="B162" s="36" t="s">
        <v>929</v>
      </c>
      <c r="C162" s="119">
        <v>6</v>
      </c>
      <c r="D162" s="60"/>
    </row>
    <row r="163" spans="1:6" ht="13.5" customHeight="1" x14ac:dyDescent="0.2">
      <c r="A163" s="137" t="s">
        <v>234</v>
      </c>
      <c r="B163" s="34" t="s">
        <v>935</v>
      </c>
      <c r="C163" s="119">
        <v>18.2</v>
      </c>
      <c r="D163" s="60"/>
    </row>
    <row r="164" spans="1:6" ht="13.5" customHeight="1" x14ac:dyDescent="0.2">
      <c r="A164" s="137" t="s">
        <v>234</v>
      </c>
      <c r="B164" s="33" t="s">
        <v>949</v>
      </c>
      <c r="C164" s="358">
        <v>10</v>
      </c>
      <c r="D164" s="335"/>
    </row>
    <row r="165" spans="1:6" ht="13.5" customHeight="1" x14ac:dyDescent="0.2">
      <c r="A165" s="137" t="s">
        <v>234</v>
      </c>
      <c r="B165" s="34" t="s">
        <v>1007</v>
      </c>
      <c r="C165" s="356">
        <v>121.5</v>
      </c>
      <c r="D165" s="60"/>
    </row>
    <row r="166" spans="1:6" ht="13.5" customHeight="1" x14ac:dyDescent="0.2">
      <c r="A166" s="137" t="s">
        <v>234</v>
      </c>
      <c r="B166" s="36" t="s">
        <v>848</v>
      </c>
      <c r="C166" s="119">
        <v>72.8</v>
      </c>
      <c r="D166" s="60"/>
    </row>
    <row r="167" spans="1:6" ht="13.5" customHeight="1" x14ac:dyDescent="0.2">
      <c r="A167" s="137" t="s">
        <v>234</v>
      </c>
      <c r="B167" s="34" t="s">
        <v>849</v>
      </c>
      <c r="C167" s="119">
        <v>23.25</v>
      </c>
      <c r="D167" s="60"/>
    </row>
    <row r="168" spans="1:6" ht="13.5" customHeight="1" x14ac:dyDescent="0.2">
      <c r="A168" s="137" t="s">
        <v>234</v>
      </c>
      <c r="B168" s="36" t="s">
        <v>1015</v>
      </c>
      <c r="C168" s="355">
        <v>434.83</v>
      </c>
      <c r="D168" s="69"/>
    </row>
    <row r="169" spans="1:6" ht="13.5" customHeight="1" x14ac:dyDescent="0.2">
      <c r="A169" s="137" t="s">
        <v>234</v>
      </c>
      <c r="B169" s="36" t="s">
        <v>1016</v>
      </c>
      <c r="C169" s="355">
        <v>469.91</v>
      </c>
      <c r="D169" s="69"/>
    </row>
    <row r="170" spans="1:6" ht="13.5" customHeight="1" x14ac:dyDescent="0.2">
      <c r="A170" s="137" t="s">
        <v>234</v>
      </c>
      <c r="B170" s="33" t="s">
        <v>963</v>
      </c>
      <c r="C170" s="358">
        <v>-35</v>
      </c>
      <c r="D170" s="335"/>
    </row>
    <row r="171" spans="1:6" ht="13.5" customHeight="1" x14ac:dyDescent="0.2">
      <c r="A171" s="137" t="s">
        <v>234</v>
      </c>
      <c r="B171" s="33" t="s">
        <v>1024</v>
      </c>
      <c r="C171" s="358">
        <f>H133/2</f>
        <v>134.85</v>
      </c>
      <c r="D171" s="335"/>
    </row>
    <row r="172" spans="1:6" ht="13.5" customHeight="1" x14ac:dyDescent="0.2">
      <c r="A172" s="137"/>
      <c r="B172" s="33"/>
      <c r="C172" s="382">
        <f>SUM(C135:C171)</f>
        <v>2448.42</v>
      </c>
      <c r="D172" s="335"/>
      <c r="F172" s="18"/>
    </row>
    <row r="173" spans="1:6" ht="13.5" customHeight="1" x14ac:dyDescent="0.2">
      <c r="A173" s="137"/>
      <c r="B173" s="33"/>
      <c r="C173" s="358"/>
      <c r="D173" s="335"/>
    </row>
    <row r="174" spans="1:6" ht="13.5" customHeight="1" x14ac:dyDescent="0.2">
      <c r="A174" s="137" t="s">
        <v>235</v>
      </c>
      <c r="B174" s="36" t="s">
        <v>195</v>
      </c>
      <c r="C174" s="59">
        <v>381.94</v>
      </c>
      <c r="D174" s="60"/>
    </row>
    <row r="175" spans="1:6" ht="13.5" customHeight="1" x14ac:dyDescent="0.2">
      <c r="A175" s="137" t="s">
        <v>235</v>
      </c>
      <c r="B175" s="36" t="s">
        <v>194</v>
      </c>
      <c r="C175" s="59">
        <v>82.75</v>
      </c>
      <c r="D175" s="60"/>
    </row>
    <row r="176" spans="1:6" ht="13.5" customHeight="1" x14ac:dyDescent="0.2">
      <c r="A176" s="137"/>
      <c r="B176" s="34"/>
      <c r="C176" s="120">
        <f>SUM(C174:C175)</f>
        <v>464.69</v>
      </c>
      <c r="D176" s="60"/>
    </row>
    <row r="177" spans="1:11" ht="13.5" customHeight="1" x14ac:dyDescent="0.2">
      <c r="A177" s="137"/>
      <c r="B177" s="34"/>
      <c r="C177" s="59"/>
      <c r="D177" s="60"/>
    </row>
    <row r="178" spans="1:11" ht="13.5" customHeight="1" x14ac:dyDescent="0.2">
      <c r="A178" s="137" t="s">
        <v>236</v>
      </c>
      <c r="B178" s="34" t="s">
        <v>1002</v>
      </c>
      <c r="C178" s="355">
        <v>5531.51</v>
      </c>
      <c r="D178" s="60"/>
    </row>
    <row r="179" spans="1:11" ht="13.5" customHeight="1" x14ac:dyDescent="0.2">
      <c r="A179" s="137" t="s">
        <v>236</v>
      </c>
      <c r="B179" s="36" t="s">
        <v>818</v>
      </c>
      <c r="C179" s="355">
        <v>4000</v>
      </c>
      <c r="D179" s="69"/>
    </row>
    <row r="180" spans="1:11" ht="13.5" customHeight="1" x14ac:dyDescent="0.2">
      <c r="A180" s="137" t="s">
        <v>236</v>
      </c>
      <c r="B180" s="36" t="s">
        <v>132</v>
      </c>
      <c r="C180" s="59">
        <v>449.3</v>
      </c>
      <c r="D180" s="335"/>
    </row>
    <row r="181" spans="1:11" ht="13.5" customHeight="1" x14ac:dyDescent="0.2">
      <c r="A181" s="137" t="s">
        <v>236</v>
      </c>
      <c r="B181" s="36" t="s">
        <v>130</v>
      </c>
      <c r="C181" s="59">
        <v>150.66</v>
      </c>
      <c r="D181" s="335"/>
    </row>
    <row r="182" spans="1:11" ht="13.5" customHeight="1" x14ac:dyDescent="0.2">
      <c r="A182" s="137" t="s">
        <v>236</v>
      </c>
      <c r="B182" s="36" t="s">
        <v>53</v>
      </c>
      <c r="C182" s="59">
        <v>511.71</v>
      </c>
      <c r="D182" s="335"/>
    </row>
    <row r="183" spans="1:11" ht="13.5" customHeight="1" x14ac:dyDescent="0.2">
      <c r="A183" s="137" t="s">
        <v>236</v>
      </c>
      <c r="B183" s="34" t="s">
        <v>55</v>
      </c>
      <c r="C183" s="59">
        <v>400</v>
      </c>
      <c r="D183" s="335"/>
    </row>
    <row r="184" spans="1:11" ht="13.5" customHeight="1" x14ac:dyDescent="0.2">
      <c r="A184" s="137" t="s">
        <v>236</v>
      </c>
      <c r="B184" s="34" t="s">
        <v>136</v>
      </c>
      <c r="C184" s="59">
        <v>37.9</v>
      </c>
      <c r="D184" s="335"/>
    </row>
    <row r="185" spans="1:11" ht="13.5" customHeight="1" x14ac:dyDescent="0.2">
      <c r="A185" s="137" t="s">
        <v>236</v>
      </c>
      <c r="B185" s="33" t="s">
        <v>867</v>
      </c>
      <c r="C185" s="59">
        <v>500</v>
      </c>
      <c r="D185" s="335"/>
      <c r="H185" s="40"/>
      <c r="I185" s="40"/>
      <c r="J185" s="40"/>
      <c r="K185" s="40"/>
    </row>
    <row r="186" spans="1:11" ht="13.5" customHeight="1" x14ac:dyDescent="0.2">
      <c r="A186" s="137" t="s">
        <v>236</v>
      </c>
      <c r="B186" s="237" t="s">
        <v>924</v>
      </c>
      <c r="C186" s="59">
        <v>416.82</v>
      </c>
      <c r="D186" s="335"/>
      <c r="H186" s="40"/>
      <c r="I186" s="40"/>
      <c r="J186" s="40"/>
      <c r="K186" s="40"/>
    </row>
    <row r="187" spans="1:11" ht="13.5" customHeight="1" x14ac:dyDescent="0.2">
      <c r="A187" s="137" t="s">
        <v>236</v>
      </c>
      <c r="B187" s="36" t="s">
        <v>133</v>
      </c>
      <c r="C187" s="59">
        <v>994.92</v>
      </c>
      <c r="D187" s="335"/>
    </row>
    <row r="188" spans="1:11" ht="13.5" customHeight="1" x14ac:dyDescent="0.2">
      <c r="A188" s="137" t="s">
        <v>236</v>
      </c>
      <c r="B188" s="34" t="s">
        <v>82</v>
      </c>
      <c r="C188" s="59">
        <v>337.47</v>
      </c>
      <c r="D188" s="358"/>
    </row>
    <row r="189" spans="1:11" ht="13.5" customHeight="1" x14ac:dyDescent="0.2">
      <c r="A189" s="137" t="s">
        <v>236</v>
      </c>
      <c r="B189" s="34" t="s">
        <v>114</v>
      </c>
      <c r="C189" s="59">
        <v>225.2</v>
      </c>
      <c r="D189" s="358"/>
    </row>
    <row r="190" spans="1:11" ht="13.5" customHeight="1" x14ac:dyDescent="0.2">
      <c r="A190" s="137" t="s">
        <v>236</v>
      </c>
      <c r="B190" s="34" t="s">
        <v>210</v>
      </c>
      <c r="C190" s="59">
        <v>1150</v>
      </c>
      <c r="D190" s="358"/>
      <c r="H190"/>
      <c r="I190"/>
      <c r="J190"/>
      <c r="K190"/>
    </row>
    <row r="191" spans="1:11" ht="13.5" customHeight="1" x14ac:dyDescent="0.2">
      <c r="A191" s="137"/>
      <c r="B191" s="34"/>
      <c r="C191" s="123">
        <f>SUM(C178:C190)</f>
        <v>14705.489999999998</v>
      </c>
      <c r="D191" s="358"/>
      <c r="H191"/>
      <c r="I191"/>
      <c r="J191"/>
      <c r="K191"/>
    </row>
    <row r="192" spans="1:11" ht="13.5" customHeight="1" x14ac:dyDescent="0.2">
      <c r="A192" s="137"/>
      <c r="B192" s="34"/>
      <c r="C192" s="59"/>
      <c r="D192" s="358"/>
      <c r="H192"/>
      <c r="I192"/>
      <c r="J192"/>
      <c r="K192"/>
    </row>
    <row r="193" spans="1:14" ht="13.5" customHeight="1" x14ac:dyDescent="0.2">
      <c r="A193" s="137" t="s">
        <v>236</v>
      </c>
      <c r="B193" s="34" t="s">
        <v>964</v>
      </c>
      <c r="C193" s="59">
        <v>79.03</v>
      </c>
      <c r="D193" s="358"/>
      <c r="H193" s="40"/>
      <c r="I193" s="40"/>
      <c r="J193" s="40"/>
      <c r="K193" s="40"/>
    </row>
    <row r="194" spans="1:14" ht="13.5" customHeight="1" x14ac:dyDescent="0.2">
      <c r="A194" s="137" t="s">
        <v>236</v>
      </c>
      <c r="B194" s="34" t="s">
        <v>1010</v>
      </c>
      <c r="C194" s="355">
        <v>43.37</v>
      </c>
      <c r="D194" s="71"/>
    </row>
    <row r="195" spans="1:14" ht="13.5" customHeight="1" x14ac:dyDescent="0.2">
      <c r="A195" s="137" t="s">
        <v>236</v>
      </c>
      <c r="B195" s="34" t="s">
        <v>866</v>
      </c>
      <c r="C195" s="119">
        <v>5000</v>
      </c>
      <c r="D195" s="71"/>
    </row>
    <row r="196" spans="1:14" ht="13.5" customHeight="1" x14ac:dyDescent="0.2">
      <c r="A196" s="137"/>
      <c r="B196" s="34"/>
      <c r="C196" s="383">
        <f>SUM(C193:C195)</f>
        <v>5122.3999999999996</v>
      </c>
      <c r="D196" s="71"/>
    </row>
    <row r="197" spans="1:14" ht="13.5" customHeight="1" x14ac:dyDescent="0.2">
      <c r="A197" s="137"/>
      <c r="B197" s="34"/>
      <c r="C197" s="119"/>
      <c r="D197" s="71"/>
    </row>
    <row r="198" spans="1:14" ht="13.5" customHeight="1" x14ac:dyDescent="0.2">
      <c r="A198" s="137" t="s">
        <v>237</v>
      </c>
      <c r="B198" s="34" t="s">
        <v>900</v>
      </c>
      <c r="C198" s="103">
        <v>200</v>
      </c>
      <c r="D198" s="60"/>
    </row>
    <row r="199" spans="1:14" ht="13.5" customHeight="1" x14ac:dyDescent="0.2">
      <c r="A199" s="137" t="s">
        <v>237</v>
      </c>
      <c r="B199" s="237" t="s">
        <v>858</v>
      </c>
      <c r="C199" s="61">
        <v>600</v>
      </c>
      <c r="D199" s="60"/>
    </row>
    <row r="200" spans="1:14" ht="13.5" customHeight="1" x14ac:dyDescent="0.2">
      <c r="A200" s="137" t="s">
        <v>237</v>
      </c>
      <c r="B200" s="34" t="s">
        <v>1025</v>
      </c>
      <c r="C200" s="355">
        <v>75</v>
      </c>
      <c r="D200" s="71"/>
      <c r="E200" s="18"/>
      <c r="F200" s="18"/>
      <c r="L200" s="40"/>
      <c r="M200" s="40"/>
      <c r="N200" s="40"/>
    </row>
    <row r="201" spans="1:14" ht="13.5" customHeight="1" x14ac:dyDescent="0.2">
      <c r="A201" s="137"/>
      <c r="B201" s="34"/>
      <c r="C201" s="384">
        <f>SUM(C198:C200)</f>
        <v>875</v>
      </c>
      <c r="D201" s="71"/>
      <c r="E201" s="18"/>
      <c r="F201" s="18"/>
      <c r="L201" s="40"/>
      <c r="M201" s="40"/>
      <c r="N201" s="40"/>
    </row>
    <row r="202" spans="1:14" ht="13.5" customHeight="1" x14ac:dyDescent="0.2">
      <c r="A202" s="137"/>
      <c r="B202" s="34"/>
      <c r="C202" s="385"/>
      <c r="D202" s="71"/>
      <c r="E202" s="18"/>
      <c r="F202" s="18"/>
      <c r="L202" s="40"/>
      <c r="M202" s="40"/>
      <c r="N202" s="40"/>
    </row>
    <row r="203" spans="1:14" ht="13.5" customHeight="1" x14ac:dyDescent="0.2">
      <c r="A203" s="137" t="s">
        <v>238</v>
      </c>
      <c r="B203" s="34" t="s">
        <v>20</v>
      </c>
      <c r="C203" s="358">
        <v>-0.03</v>
      </c>
      <c r="D203" s="71"/>
      <c r="E203" s="18"/>
      <c r="F203" s="18"/>
      <c r="L203" s="40"/>
      <c r="M203" s="40"/>
      <c r="N203" s="40"/>
    </row>
    <row r="204" spans="1:14" ht="13.5" customHeight="1" x14ac:dyDescent="0.2">
      <c r="A204" s="137" t="s">
        <v>238</v>
      </c>
      <c r="B204" s="34" t="s">
        <v>20</v>
      </c>
      <c r="C204" s="358">
        <v>-0.06</v>
      </c>
      <c r="D204" s="71"/>
    </row>
    <row r="205" spans="1:14" ht="13.5" customHeight="1" x14ac:dyDescent="0.2">
      <c r="A205" s="137" t="s">
        <v>238</v>
      </c>
      <c r="B205" s="34" t="s">
        <v>20</v>
      </c>
      <c r="C205" s="358">
        <v>-0.08</v>
      </c>
      <c r="D205" s="71"/>
    </row>
    <row r="206" spans="1:14" ht="13.5" customHeight="1" x14ac:dyDescent="0.2">
      <c r="A206" s="137" t="s">
        <v>238</v>
      </c>
      <c r="B206" s="34" t="s">
        <v>20</v>
      </c>
      <c r="C206" s="358">
        <v>-0.14000000000000001</v>
      </c>
      <c r="D206" s="71"/>
    </row>
    <row r="207" spans="1:14" ht="13.5" customHeight="1" x14ac:dyDescent="0.2">
      <c r="A207" s="137" t="s">
        <v>238</v>
      </c>
      <c r="B207" s="34" t="s">
        <v>20</v>
      </c>
      <c r="C207" s="358">
        <v>-0.17</v>
      </c>
      <c r="D207" s="71"/>
      <c r="E207"/>
      <c r="F207"/>
      <c r="L207"/>
      <c r="M207"/>
      <c r="N207"/>
    </row>
    <row r="208" spans="1:14" ht="13.5" customHeight="1" x14ac:dyDescent="0.2">
      <c r="A208" s="137" t="s">
        <v>238</v>
      </c>
      <c r="B208" s="34" t="s">
        <v>20</v>
      </c>
      <c r="C208" s="358">
        <v>-0.01</v>
      </c>
      <c r="D208" s="71"/>
      <c r="E208" s="18"/>
      <c r="F208" s="18"/>
      <c r="L208" s="40"/>
      <c r="M208" s="40"/>
      <c r="N208" s="40"/>
    </row>
    <row r="209" spans="1:14" ht="13.5" customHeight="1" x14ac:dyDescent="0.2">
      <c r="A209" s="137" t="s">
        <v>238</v>
      </c>
      <c r="B209" s="34" t="s">
        <v>20</v>
      </c>
      <c r="C209" s="358">
        <v>-0.02</v>
      </c>
      <c r="D209" s="71"/>
    </row>
    <row r="210" spans="1:14" ht="13.5" customHeight="1" x14ac:dyDescent="0.2">
      <c r="A210" s="137" t="s">
        <v>238</v>
      </c>
      <c r="B210" s="34" t="s">
        <v>20</v>
      </c>
      <c r="C210" s="358">
        <v>-0.11</v>
      </c>
      <c r="D210" s="71"/>
    </row>
    <row r="211" spans="1:14" ht="13.5" customHeight="1" x14ac:dyDescent="0.2">
      <c r="A211" s="137" t="s">
        <v>238</v>
      </c>
      <c r="B211" s="34" t="s">
        <v>20</v>
      </c>
      <c r="C211" s="358">
        <v>-0.21</v>
      </c>
      <c r="D211" s="71"/>
    </row>
    <row r="212" spans="1:14" ht="13.5" customHeight="1" x14ac:dyDescent="0.2">
      <c r="A212" s="137" t="s">
        <v>238</v>
      </c>
      <c r="B212" s="34" t="s">
        <v>20</v>
      </c>
      <c r="C212" s="358">
        <v>-0.36</v>
      </c>
      <c r="D212" s="71"/>
    </row>
    <row r="213" spans="1:14" ht="13.5" customHeight="1" x14ac:dyDescent="0.2">
      <c r="A213" s="386" t="s">
        <v>238</v>
      </c>
      <c r="B213" s="34" t="s">
        <v>20</v>
      </c>
      <c r="C213" s="358">
        <v>-0.37</v>
      </c>
      <c r="D213" s="71"/>
    </row>
    <row r="214" spans="1:14" ht="13.5" customHeight="1" x14ac:dyDescent="0.2">
      <c r="A214" s="137" t="s">
        <v>238</v>
      </c>
      <c r="B214" s="34" t="s">
        <v>20</v>
      </c>
      <c r="C214" s="59">
        <v>78</v>
      </c>
      <c r="D214" s="71"/>
      <c r="H214"/>
      <c r="I214"/>
      <c r="J214"/>
      <c r="K214"/>
    </row>
    <row r="215" spans="1:14" s="64" customFormat="1" ht="13.5" customHeight="1" x14ac:dyDescent="0.2">
      <c r="A215" s="137" t="s">
        <v>238</v>
      </c>
      <c r="B215" s="34" t="s">
        <v>20</v>
      </c>
      <c r="C215" s="59">
        <v>11.9</v>
      </c>
      <c r="D215" s="71"/>
      <c r="E215" s="1"/>
      <c r="F215" s="1"/>
      <c r="G215" s="40"/>
      <c r="H215" s="1"/>
      <c r="I215" s="1"/>
      <c r="J215" s="1"/>
      <c r="K215" s="1"/>
      <c r="L215" s="1"/>
      <c r="M215" s="1"/>
      <c r="N215" s="1"/>
    </row>
    <row r="216" spans="1:14" s="64" customFormat="1" ht="13.5" customHeight="1" x14ac:dyDescent="0.2">
      <c r="A216" s="137" t="s">
        <v>238</v>
      </c>
      <c r="B216" s="34" t="s">
        <v>20</v>
      </c>
      <c r="C216" s="59">
        <v>72.900000000000006</v>
      </c>
      <c r="D216" s="358"/>
      <c r="E216" s="1"/>
      <c r="F216" s="1"/>
      <c r="G216" s="40">
        <f>SUM(C223,C221,C217,C201,C196,C191,C176,C172,C133,C103,C98,C97,C95,C83,C68,C58,C50,C42,D30,D24,C122,)</f>
        <v>88991.64</v>
      </c>
      <c r="H216" s="1"/>
      <c r="I216" s="1"/>
      <c r="J216" s="1"/>
      <c r="K216" s="1"/>
      <c r="L216" s="1"/>
      <c r="M216" s="1"/>
      <c r="N216" s="1"/>
    </row>
    <row r="217" spans="1:14" s="64" customFormat="1" ht="13.5" customHeight="1" x14ac:dyDescent="0.2">
      <c r="A217" s="137"/>
      <c r="B217" s="34"/>
      <c r="C217" s="123">
        <f>SUM(C203:C216)</f>
        <v>161.24</v>
      </c>
      <c r="D217" s="387">
        <f>C217/2</f>
        <v>80.62</v>
      </c>
      <c r="E217" s="1"/>
      <c r="F217" s="18"/>
      <c r="G217" s="40"/>
      <c r="H217" s="1"/>
      <c r="I217" s="1"/>
      <c r="J217" s="1"/>
      <c r="K217" s="1"/>
      <c r="L217" s="1"/>
      <c r="M217" s="1"/>
      <c r="N217" s="1"/>
    </row>
    <row r="218" spans="1:14" s="64" customFormat="1" ht="13.5" customHeight="1" x14ac:dyDescent="0.2">
      <c r="A218" s="137"/>
      <c r="B218" s="34"/>
      <c r="C218" s="59"/>
      <c r="D218" s="358"/>
      <c r="E218" s="1"/>
      <c r="F218" s="1"/>
      <c r="G218" s="40"/>
      <c r="H218" s="1"/>
      <c r="I218" s="1"/>
      <c r="J218" s="1"/>
      <c r="K218" s="1"/>
      <c r="L218" s="1"/>
      <c r="M218" s="1"/>
      <c r="N218" s="1"/>
    </row>
    <row r="219" spans="1:14" customFormat="1" ht="13.5" customHeight="1" x14ac:dyDescent="0.2">
      <c r="A219" s="137" t="s">
        <v>239</v>
      </c>
      <c r="B219" s="34" t="s">
        <v>206</v>
      </c>
      <c r="C219" s="355">
        <v>208.64</v>
      </c>
      <c r="D219" s="71"/>
      <c r="E219" s="1"/>
      <c r="F219" s="1"/>
      <c r="G219" s="40"/>
      <c r="H219" s="1"/>
      <c r="I219" s="1"/>
      <c r="J219" s="1"/>
      <c r="K219" s="1"/>
      <c r="L219" s="1"/>
      <c r="M219" s="1"/>
      <c r="N219" s="1"/>
    </row>
    <row r="220" spans="1:14" customFormat="1" ht="13.5" customHeight="1" x14ac:dyDescent="0.2">
      <c r="A220" s="137" t="s">
        <v>239</v>
      </c>
      <c r="B220" s="34" t="s">
        <v>1005</v>
      </c>
      <c r="C220" s="356">
        <v>143.93</v>
      </c>
      <c r="D220" s="71">
        <f>SUM(C221/2)</f>
        <v>176.285</v>
      </c>
      <c r="E220" s="1"/>
      <c r="F220" s="1"/>
      <c r="G220" s="40"/>
      <c r="H220" s="1"/>
      <c r="I220" s="1"/>
      <c r="J220" s="1"/>
      <c r="K220" s="1"/>
      <c r="L220" s="1"/>
      <c r="M220" s="1"/>
      <c r="N220" s="1"/>
    </row>
    <row r="221" spans="1:14" customFormat="1" ht="13.5" customHeight="1" x14ac:dyDescent="0.2">
      <c r="A221" s="137"/>
      <c r="B221" s="34"/>
      <c r="C221" s="385">
        <f>SUM(C219:C220)</f>
        <v>352.57</v>
      </c>
      <c r="D221" s="73">
        <f>C221/2</f>
        <v>176.285</v>
      </c>
      <c r="E221" s="1"/>
      <c r="F221" s="18"/>
      <c r="G221" s="40"/>
      <c r="H221" s="1"/>
      <c r="I221" s="1"/>
      <c r="J221" s="1"/>
      <c r="K221" s="1"/>
      <c r="L221" s="1"/>
      <c r="M221" s="1"/>
      <c r="N221" s="1"/>
    </row>
    <row r="222" spans="1:14" customFormat="1" ht="13.5" customHeight="1" x14ac:dyDescent="0.2">
      <c r="A222" s="137"/>
      <c r="B222" s="34"/>
      <c r="C222" s="356"/>
      <c r="D222" s="71"/>
      <c r="E222" s="1"/>
      <c r="F222" s="1"/>
      <c r="G222" s="40"/>
      <c r="H222" s="1"/>
      <c r="I222" s="1"/>
      <c r="J222" s="1"/>
      <c r="K222" s="1"/>
      <c r="L222" s="1"/>
      <c r="M222" s="1"/>
      <c r="N222" s="1"/>
    </row>
    <row r="223" spans="1:14" customFormat="1" ht="13.5" customHeight="1" x14ac:dyDescent="0.2">
      <c r="A223" s="137" t="s">
        <v>421</v>
      </c>
      <c r="B223" s="36" t="s">
        <v>1008</v>
      </c>
      <c r="C223" s="384">
        <v>135</v>
      </c>
      <c r="D223" s="71"/>
      <c r="E223" s="1"/>
      <c r="F223" s="1"/>
      <c r="G223" s="40"/>
      <c r="H223" s="1"/>
      <c r="I223" s="1"/>
      <c r="J223" s="1"/>
      <c r="K223" s="1"/>
      <c r="L223" s="1"/>
      <c r="M223" s="1"/>
      <c r="N223" s="1"/>
    </row>
    <row r="224" spans="1:14" customFormat="1" ht="13.5" customHeight="1" x14ac:dyDescent="0.2">
      <c r="A224" s="96"/>
      <c r="B224" s="1"/>
      <c r="C224" s="18"/>
      <c r="D224" s="18"/>
      <c r="E224" s="1"/>
      <c r="F224" s="1"/>
      <c r="G224" s="40"/>
      <c r="H224" s="1"/>
      <c r="I224" s="1"/>
      <c r="J224" s="1"/>
      <c r="K224" s="1"/>
      <c r="L224" s="1"/>
      <c r="M224" s="1"/>
      <c r="N224" s="1"/>
    </row>
    <row r="225" spans="1:14" customFormat="1" ht="13.5" customHeight="1" x14ac:dyDescent="0.2">
      <c r="A225" s="96"/>
      <c r="B225" s="1"/>
      <c r="C225" s="18"/>
      <c r="D225" s="18"/>
      <c r="E225" s="1"/>
      <c r="F225" s="1"/>
      <c r="G225" s="40"/>
      <c r="H225" s="1"/>
      <c r="I225" s="1"/>
      <c r="J225" s="1"/>
      <c r="K225" s="1"/>
      <c r="L225" s="1"/>
      <c r="M225" s="1"/>
      <c r="N225" s="1"/>
    </row>
    <row r="226" spans="1:14" ht="13.5" customHeight="1" x14ac:dyDescent="0.2"/>
    <row r="227" spans="1:14" ht="13.5" customHeight="1" x14ac:dyDescent="0.2">
      <c r="E227"/>
      <c r="F227"/>
      <c r="L227"/>
      <c r="M227"/>
      <c r="N227"/>
    </row>
    <row r="228" spans="1:14" ht="13.5" customHeight="1" x14ac:dyDescent="0.2">
      <c r="G228" s="388">
        <f>SUM(C223,C221,C217,C201,C196,C191,C176,C172,C133,C122,C103,C98,C97,C95,C83,C68,C58,C50,C42,D30,D24)</f>
        <v>88991.64</v>
      </c>
    </row>
    <row r="229" spans="1:14" ht="13.5" customHeight="1" x14ac:dyDescent="0.2"/>
    <row r="230" spans="1:14" ht="13.5" customHeight="1" x14ac:dyDescent="0.2"/>
    <row r="231" spans="1:14" ht="13.5" customHeight="1" x14ac:dyDescent="0.2">
      <c r="G231" s="65"/>
      <c r="H231" s="64"/>
      <c r="I231" s="64"/>
      <c r="J231" s="64"/>
      <c r="K231" s="64"/>
    </row>
    <row r="232" spans="1:14" ht="13.5" customHeight="1" x14ac:dyDescent="0.2"/>
    <row r="233" spans="1:14" ht="13.5" customHeight="1" x14ac:dyDescent="0.2"/>
    <row r="234" spans="1:14" ht="13.5" customHeight="1" x14ac:dyDescent="0.2"/>
    <row r="235" spans="1:14" ht="13.5" customHeight="1" x14ac:dyDescent="0.2"/>
    <row r="236" spans="1:14" ht="13.5" customHeight="1" x14ac:dyDescent="0.2"/>
    <row r="237" spans="1:14" ht="13.5" customHeight="1" x14ac:dyDescent="0.2"/>
    <row r="238" spans="1:14" ht="13.5" customHeight="1" x14ac:dyDescent="0.2"/>
    <row r="239" spans="1:14" ht="13.5" customHeight="1" x14ac:dyDescent="0.2"/>
    <row r="240" spans="1:14" ht="13.5" customHeight="1" x14ac:dyDescent="0.2">
      <c r="E240" s="64"/>
      <c r="F240" s="64"/>
      <c r="L240" s="64"/>
      <c r="M240" s="64"/>
      <c r="N240" s="64"/>
    </row>
    <row r="241" spans="1:14" s="40" customFormat="1" ht="13.5" customHeight="1" x14ac:dyDescent="0.2">
      <c r="A241" s="96"/>
      <c r="B241" s="1"/>
      <c r="C241" s="18"/>
      <c r="D241" s="18"/>
      <c r="E241" s="1"/>
      <c r="F241" s="1"/>
      <c r="H241" s="1"/>
      <c r="I241" s="1"/>
      <c r="J241" s="1"/>
      <c r="K241" s="1"/>
      <c r="L241" s="1"/>
      <c r="M241" s="1"/>
      <c r="N241" s="1"/>
    </row>
    <row r="242" spans="1:14" s="40" customFormat="1" ht="13.5" customHeight="1" x14ac:dyDescent="0.2">
      <c r="A242" s="96"/>
      <c r="B242" s="1"/>
      <c r="C242" s="18"/>
      <c r="D242" s="18"/>
      <c r="E242" s="1"/>
      <c r="F242" s="1"/>
      <c r="H242" s="1"/>
      <c r="I242" s="1"/>
      <c r="J242" s="1"/>
      <c r="K242" s="1"/>
      <c r="L242" s="1"/>
      <c r="M242" s="1"/>
      <c r="N242" s="1"/>
    </row>
    <row r="243" spans="1:14" s="40" customFormat="1" ht="13.5" customHeight="1" x14ac:dyDescent="0.2">
      <c r="A243" s="96"/>
      <c r="B243" s="1"/>
      <c r="C243" s="18"/>
      <c r="D243" s="18"/>
      <c r="E243" s="1"/>
      <c r="F243" s="1"/>
      <c r="H243" s="1"/>
      <c r="I243" s="1"/>
      <c r="J243" s="1"/>
      <c r="K243" s="1"/>
      <c r="L243" s="1"/>
      <c r="M243" s="1"/>
      <c r="N243" s="1"/>
    </row>
    <row r="244" spans="1:14" s="40" customFormat="1" ht="13.5" customHeight="1" x14ac:dyDescent="0.2">
      <c r="A244" s="96"/>
      <c r="B244" s="1"/>
      <c r="C244" s="18"/>
      <c r="D244" s="18"/>
      <c r="E244" s="1"/>
      <c r="F244" s="1"/>
      <c r="H244" s="1"/>
      <c r="I244" s="1"/>
      <c r="J244" s="1"/>
      <c r="K244" s="1"/>
      <c r="L244" s="1"/>
      <c r="M244" s="1"/>
      <c r="N244" s="1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O398"/>
  <sheetViews>
    <sheetView topLeftCell="E305" zoomScale="80" zoomScaleNormal="80" workbookViewId="0">
      <selection activeCell="L301" sqref="L301"/>
    </sheetView>
  </sheetViews>
  <sheetFormatPr defaultColWidth="9" defaultRowHeight="12.75" x14ac:dyDescent="0.2"/>
  <cols>
    <col min="1" max="1" width="14" style="96" customWidth="1"/>
    <col min="2" max="2" width="1.875" style="1" customWidth="1"/>
    <col min="3" max="3" width="65.875" style="1" customWidth="1"/>
    <col min="4" max="4" width="12" style="96" customWidth="1"/>
    <col min="5" max="5" width="12.375" style="18" customWidth="1"/>
    <col min="6" max="6" width="10.75" style="18" customWidth="1"/>
    <col min="7" max="7" width="11.875" style="1" customWidth="1"/>
    <col min="8" max="9" width="10.75" style="18" customWidth="1"/>
    <col min="10" max="10" width="10.875" style="66" customWidth="1"/>
    <col min="11" max="11" width="15.5" style="1" customWidth="1"/>
    <col min="12" max="12" width="10.375" style="1" customWidth="1"/>
    <col min="13" max="13" width="10" style="1" customWidth="1"/>
    <col min="14" max="14" width="9" style="1"/>
    <col min="15" max="15" width="10.875" style="40" bestFit="1" customWidth="1"/>
    <col min="16" max="16384" width="9" style="1"/>
  </cols>
  <sheetData>
    <row r="1" spans="1:12" ht="13.5" customHeight="1" thickBot="1" x14ac:dyDescent="0.25">
      <c r="A1" s="1418" t="s">
        <v>456</v>
      </c>
      <c r="B1" s="1418"/>
      <c r="C1" s="1419"/>
      <c r="D1" s="1420" t="s">
        <v>0</v>
      </c>
      <c r="E1" s="1421"/>
      <c r="F1" s="1421"/>
      <c r="G1" s="1422"/>
      <c r="H1" s="1423" t="s">
        <v>1</v>
      </c>
      <c r="I1" s="1423"/>
      <c r="J1" s="1424"/>
    </row>
    <row r="2" spans="1:12" ht="13.5" customHeight="1" thickBot="1" x14ac:dyDescent="0.25">
      <c r="A2" s="2" t="s">
        <v>2</v>
      </c>
      <c r="B2" s="3"/>
      <c r="C2" s="3" t="s">
        <v>3</v>
      </c>
      <c r="D2" s="3" t="s">
        <v>4</v>
      </c>
      <c r="E2" s="4" t="s">
        <v>5</v>
      </c>
      <c r="F2" s="4" t="s">
        <v>6</v>
      </c>
      <c r="G2" s="5" t="s">
        <v>7</v>
      </c>
      <c r="H2" s="6" t="s">
        <v>5</v>
      </c>
      <c r="I2" s="4" t="s">
        <v>6</v>
      </c>
      <c r="J2" s="7" t="s">
        <v>7</v>
      </c>
    </row>
    <row r="3" spans="1:12" ht="13.5" customHeight="1" x14ac:dyDescent="0.2">
      <c r="A3" s="8">
        <v>43374</v>
      </c>
      <c r="B3" s="9"/>
      <c r="C3" s="10" t="s">
        <v>8</v>
      </c>
      <c r="D3" s="11"/>
      <c r="E3" s="12"/>
      <c r="F3" s="13"/>
      <c r="G3" s="14">
        <v>10153.540000000001</v>
      </c>
      <c r="H3" s="15"/>
      <c r="I3" s="16"/>
      <c r="J3" s="17">
        <v>8597.2999999999956</v>
      </c>
      <c r="K3" s="18"/>
      <c r="L3" s="12"/>
    </row>
    <row r="4" spans="1:12" ht="13.5" customHeight="1" x14ac:dyDescent="0.2">
      <c r="A4" s="19"/>
      <c r="B4" s="20"/>
      <c r="C4" s="21" t="s">
        <v>9</v>
      </c>
      <c r="D4" s="11"/>
      <c r="E4" s="12"/>
      <c r="F4" s="22">
        <v>0</v>
      </c>
      <c r="G4" s="23"/>
      <c r="H4" s="24"/>
      <c r="I4" s="25"/>
      <c r="J4" s="26"/>
      <c r="K4" s="18"/>
      <c r="L4" s="12"/>
    </row>
    <row r="5" spans="1:12" ht="13.5" customHeight="1" x14ac:dyDescent="0.2">
      <c r="A5" s="19"/>
      <c r="B5" s="20"/>
      <c r="C5" s="21" t="s">
        <v>10</v>
      </c>
      <c r="D5" s="11"/>
      <c r="E5" s="12"/>
      <c r="F5" s="22">
        <v>0</v>
      </c>
      <c r="G5" s="23"/>
      <c r="H5" s="24"/>
      <c r="I5" s="25"/>
      <c r="J5" s="26"/>
      <c r="K5" s="18"/>
      <c r="L5" s="12"/>
    </row>
    <row r="6" spans="1:12" ht="13.5" customHeight="1" x14ac:dyDescent="0.2">
      <c r="A6" s="158">
        <v>43374</v>
      </c>
      <c r="B6" s="27"/>
      <c r="C6" s="28" t="s">
        <v>11</v>
      </c>
      <c r="D6" s="29"/>
      <c r="E6" s="30"/>
      <c r="F6" s="30"/>
      <c r="G6" s="23"/>
      <c r="H6" s="31">
        <v>39.799999999999997</v>
      </c>
      <c r="I6" s="31"/>
      <c r="J6" s="159"/>
      <c r="K6" s="18"/>
      <c r="L6" s="12"/>
    </row>
    <row r="7" spans="1:12" ht="13.5" customHeight="1" x14ac:dyDescent="0.2">
      <c r="A7" s="29"/>
      <c r="B7" s="27"/>
      <c r="C7" s="32" t="s">
        <v>12</v>
      </c>
      <c r="D7" s="29"/>
      <c r="E7" s="30"/>
      <c r="F7" s="30"/>
      <c r="G7" s="23"/>
      <c r="H7" s="31"/>
      <c r="I7" s="31">
        <v>220</v>
      </c>
      <c r="J7" s="159"/>
      <c r="K7" s="18"/>
      <c r="L7" s="12"/>
    </row>
    <row r="8" spans="1:12" ht="13.5" customHeight="1" x14ac:dyDescent="0.2">
      <c r="A8" s="29"/>
      <c r="B8" s="27"/>
      <c r="C8" s="33" t="s">
        <v>13</v>
      </c>
      <c r="D8" s="29"/>
      <c r="E8" s="30"/>
      <c r="F8" s="30"/>
      <c r="G8" s="23"/>
      <c r="H8" s="31">
        <v>39</v>
      </c>
      <c r="I8" s="31"/>
      <c r="J8" s="159"/>
      <c r="K8" s="18"/>
      <c r="L8" s="12"/>
    </row>
    <row r="9" spans="1:12" ht="13.5" customHeight="1" x14ac:dyDescent="0.2">
      <c r="A9" s="29"/>
      <c r="B9" s="27"/>
      <c r="C9" s="33" t="s">
        <v>14</v>
      </c>
      <c r="D9" s="29"/>
      <c r="E9" s="30"/>
      <c r="F9" s="30"/>
      <c r="G9" s="23"/>
      <c r="H9" s="31">
        <v>119.9</v>
      </c>
      <c r="I9" s="31"/>
      <c r="J9" s="159"/>
      <c r="K9" s="18"/>
      <c r="L9" s="12"/>
    </row>
    <row r="10" spans="1:12" ht="13.5" customHeight="1" x14ac:dyDescent="0.2">
      <c r="A10" s="29"/>
      <c r="B10" s="27"/>
      <c r="C10" s="33" t="s">
        <v>15</v>
      </c>
      <c r="D10" s="29"/>
      <c r="E10" s="30"/>
      <c r="F10" s="30"/>
      <c r="G10" s="23"/>
      <c r="H10" s="31">
        <v>60.6</v>
      </c>
      <c r="I10" s="31"/>
      <c r="J10" s="159"/>
      <c r="K10" s="18"/>
      <c r="L10" s="12"/>
    </row>
    <row r="11" spans="1:12" ht="13.5" customHeight="1" x14ac:dyDescent="0.2">
      <c r="A11" s="29"/>
      <c r="B11" s="27"/>
      <c r="C11" s="33" t="s">
        <v>16</v>
      </c>
      <c r="D11" s="29"/>
      <c r="E11" s="30"/>
      <c r="F11" s="30"/>
      <c r="G11" s="23"/>
      <c r="H11" s="31">
        <v>26</v>
      </c>
      <c r="I11" s="31"/>
      <c r="J11" s="159"/>
      <c r="K11" s="18"/>
      <c r="L11" s="12"/>
    </row>
    <row r="12" spans="1:12" ht="13.5" customHeight="1" x14ac:dyDescent="0.2">
      <c r="A12" s="29"/>
      <c r="B12" s="27"/>
      <c r="C12" s="32" t="s">
        <v>17</v>
      </c>
      <c r="D12" s="29"/>
      <c r="E12" s="30"/>
      <c r="F12" s="30"/>
      <c r="G12" s="23"/>
      <c r="H12" s="31"/>
      <c r="I12" s="31">
        <v>1360</v>
      </c>
      <c r="J12" s="159">
        <v>9891.9999999999964</v>
      </c>
      <c r="K12" s="18"/>
      <c r="L12" s="12"/>
    </row>
    <row r="13" spans="1:12" ht="13.5" customHeight="1" x14ac:dyDescent="0.2">
      <c r="A13" s="19"/>
      <c r="B13" s="20"/>
      <c r="C13" s="34" t="s">
        <v>18</v>
      </c>
      <c r="D13" s="11" t="s">
        <v>19</v>
      </c>
      <c r="E13" s="12">
        <v>-397.61</v>
      </c>
      <c r="F13" s="22"/>
      <c r="G13" s="23"/>
      <c r="H13" s="24"/>
      <c r="I13" s="25"/>
      <c r="J13" s="26"/>
      <c r="K13" s="18"/>
      <c r="L13" s="12"/>
    </row>
    <row r="14" spans="1:12" ht="13.5" customHeight="1" x14ac:dyDescent="0.2">
      <c r="A14" s="19"/>
      <c r="B14" s="20"/>
      <c r="C14" s="34" t="s">
        <v>20</v>
      </c>
      <c r="D14" s="11" t="s">
        <v>19</v>
      </c>
      <c r="E14" s="12"/>
      <c r="F14" s="22">
        <v>0.06</v>
      </c>
      <c r="G14" s="23">
        <v>9755.99</v>
      </c>
      <c r="H14" s="24"/>
      <c r="I14" s="25"/>
      <c r="J14" s="26"/>
      <c r="K14" s="18"/>
      <c r="L14" s="12"/>
    </row>
    <row r="15" spans="1:12" ht="13.5" customHeight="1" x14ac:dyDescent="0.2">
      <c r="A15" s="160">
        <v>43375</v>
      </c>
      <c r="B15" s="27"/>
      <c r="C15" s="32" t="s">
        <v>21</v>
      </c>
      <c r="D15" s="29"/>
      <c r="E15" s="30"/>
      <c r="F15" s="30"/>
      <c r="G15" s="23"/>
      <c r="H15" s="31">
        <v>68</v>
      </c>
      <c r="I15" s="31"/>
      <c r="J15" s="159"/>
      <c r="K15" s="18"/>
      <c r="L15" s="12"/>
    </row>
    <row r="16" spans="1:12" ht="13.5" customHeight="1" x14ac:dyDescent="0.2">
      <c r="A16" s="29"/>
      <c r="B16" s="27"/>
      <c r="C16" s="32" t="s">
        <v>22</v>
      </c>
      <c r="D16" s="29"/>
      <c r="E16" s="30"/>
      <c r="F16" s="30"/>
      <c r="G16" s="23"/>
      <c r="H16" s="31">
        <v>24</v>
      </c>
      <c r="I16" s="31"/>
      <c r="J16" s="159"/>
      <c r="K16" s="18"/>
      <c r="L16" s="12"/>
    </row>
    <row r="17" spans="1:12" ht="13.5" customHeight="1" x14ac:dyDescent="0.2">
      <c r="A17" s="29"/>
      <c r="B17" s="27"/>
      <c r="C17" s="33" t="s">
        <v>23</v>
      </c>
      <c r="D17" s="29"/>
      <c r="E17" s="30"/>
      <c r="F17" s="30"/>
      <c r="G17" s="23"/>
      <c r="H17" s="31">
        <v>7</v>
      </c>
      <c r="I17" s="31"/>
      <c r="J17" s="159"/>
      <c r="K17" s="18"/>
      <c r="L17" s="12"/>
    </row>
    <row r="18" spans="1:12" ht="13.5" customHeight="1" x14ac:dyDescent="0.2">
      <c r="A18" s="29"/>
      <c r="B18" s="27"/>
      <c r="C18" s="33" t="s">
        <v>24</v>
      </c>
      <c r="D18" s="29"/>
      <c r="E18" s="30"/>
      <c r="F18" s="30"/>
      <c r="G18" s="23"/>
      <c r="H18" s="31">
        <v>11.9</v>
      </c>
      <c r="I18" s="31"/>
      <c r="J18" s="159"/>
      <c r="K18" s="18"/>
      <c r="L18" s="12"/>
    </row>
    <row r="19" spans="1:12" ht="13.5" customHeight="1" x14ac:dyDescent="0.2">
      <c r="A19" s="29"/>
      <c r="B19" s="27"/>
      <c r="C19" s="35" t="s">
        <v>25</v>
      </c>
      <c r="D19" s="29"/>
      <c r="E19" s="30"/>
      <c r="F19" s="30"/>
      <c r="G19" s="23"/>
      <c r="H19" s="31">
        <v>15</v>
      </c>
      <c r="I19" s="31"/>
      <c r="J19" s="159"/>
      <c r="K19" s="18"/>
      <c r="L19" s="12"/>
    </row>
    <row r="20" spans="1:12" ht="13.5" customHeight="1" x14ac:dyDescent="0.2">
      <c r="A20" s="29"/>
      <c r="B20" s="27"/>
      <c r="C20" s="32" t="s">
        <v>26</v>
      </c>
      <c r="D20" s="29"/>
      <c r="E20" s="30"/>
      <c r="F20" s="30"/>
      <c r="G20" s="23"/>
      <c r="H20" s="31"/>
      <c r="I20" s="31">
        <v>1765.74</v>
      </c>
      <c r="J20" s="159">
        <v>11531.839999999997</v>
      </c>
      <c r="K20" s="18"/>
      <c r="L20" s="12"/>
    </row>
    <row r="21" spans="1:12" ht="13.5" customHeight="1" x14ac:dyDescent="0.2">
      <c r="A21" s="158">
        <v>43376</v>
      </c>
      <c r="B21" s="27"/>
      <c r="C21" s="33" t="s">
        <v>27</v>
      </c>
      <c r="D21" s="29"/>
      <c r="E21" s="30"/>
      <c r="F21" s="30"/>
      <c r="G21" s="23"/>
      <c r="H21" s="31">
        <v>100</v>
      </c>
      <c r="I21" s="31"/>
      <c r="J21" s="159"/>
      <c r="K21" s="18"/>
      <c r="L21" s="12"/>
    </row>
    <row r="22" spans="1:12" ht="13.5" customHeight="1" x14ac:dyDescent="0.2">
      <c r="A22" s="29"/>
      <c r="B22" s="27"/>
      <c r="C22" s="33" t="s">
        <v>28</v>
      </c>
      <c r="D22" s="29"/>
      <c r="E22" s="30"/>
      <c r="F22" s="30"/>
      <c r="G22" s="23"/>
      <c r="H22" s="31"/>
      <c r="I22" s="31">
        <v>215</v>
      </c>
      <c r="J22" s="159"/>
      <c r="K22" s="18"/>
      <c r="L22" s="12"/>
    </row>
    <row r="23" spans="1:12" ht="13.5" customHeight="1" x14ac:dyDescent="0.2">
      <c r="A23" s="29"/>
      <c r="B23" s="27"/>
      <c r="C23" s="32" t="s">
        <v>29</v>
      </c>
      <c r="D23" s="29"/>
      <c r="E23" s="30"/>
      <c r="F23" s="30"/>
      <c r="G23" s="23"/>
      <c r="H23" s="31"/>
      <c r="I23" s="31">
        <v>1070</v>
      </c>
      <c r="J23" s="159"/>
      <c r="K23" s="18"/>
      <c r="L23" s="12"/>
    </row>
    <row r="24" spans="1:12" ht="13.5" customHeight="1" x14ac:dyDescent="0.2">
      <c r="A24" s="29"/>
      <c r="B24" s="27"/>
      <c r="C24" s="33" t="s">
        <v>30</v>
      </c>
      <c r="D24" s="29"/>
      <c r="E24" s="30"/>
      <c r="F24" s="30"/>
      <c r="G24" s="23"/>
      <c r="H24" s="31">
        <v>1100</v>
      </c>
      <c r="I24" s="31"/>
      <c r="J24" s="159"/>
      <c r="K24" s="18"/>
      <c r="L24" s="12"/>
    </row>
    <row r="25" spans="1:12" ht="13.5" customHeight="1" x14ac:dyDescent="0.2">
      <c r="A25" s="29"/>
      <c r="B25" s="27"/>
      <c r="C25" s="33" t="s">
        <v>31</v>
      </c>
      <c r="D25" s="29"/>
      <c r="E25" s="30"/>
      <c r="F25" s="30"/>
      <c r="G25" s="23"/>
      <c r="H25" s="31">
        <v>260</v>
      </c>
      <c r="I25" s="31"/>
      <c r="J25" s="159"/>
      <c r="K25" s="18"/>
      <c r="L25" s="12"/>
    </row>
    <row r="26" spans="1:12" ht="13.5" customHeight="1" x14ac:dyDescent="0.2">
      <c r="A26" s="29"/>
      <c r="B26" s="27"/>
      <c r="C26" s="33" t="s">
        <v>32</v>
      </c>
      <c r="D26" s="29"/>
      <c r="E26" s="30"/>
      <c r="F26" s="30"/>
      <c r="G26" s="23"/>
      <c r="H26" s="31">
        <v>122</v>
      </c>
      <c r="I26" s="31"/>
      <c r="J26" s="159"/>
      <c r="K26" s="18"/>
      <c r="L26" s="12"/>
    </row>
    <row r="27" spans="1:12" ht="13.5" customHeight="1" x14ac:dyDescent="0.2">
      <c r="A27" s="29"/>
      <c r="B27" s="27"/>
      <c r="C27" s="33" t="s">
        <v>33</v>
      </c>
      <c r="D27" s="29"/>
      <c r="E27" s="30"/>
      <c r="F27" s="30"/>
      <c r="G27" s="23"/>
      <c r="H27" s="31">
        <v>42</v>
      </c>
      <c r="I27" s="31"/>
      <c r="J27" s="159">
        <v>11192.839999999997</v>
      </c>
      <c r="K27" s="18"/>
      <c r="L27" s="12"/>
    </row>
    <row r="28" spans="1:12" ht="13.5" customHeight="1" x14ac:dyDescent="0.2">
      <c r="A28" s="19"/>
      <c r="B28" s="20"/>
      <c r="C28" s="36" t="s">
        <v>34</v>
      </c>
      <c r="D28" s="11" t="s">
        <v>19</v>
      </c>
      <c r="E28" s="12">
        <v>-39</v>
      </c>
      <c r="F28" s="22"/>
      <c r="G28" s="23"/>
      <c r="H28" s="24"/>
      <c r="I28" s="25"/>
      <c r="J28" s="26"/>
      <c r="K28" s="18"/>
      <c r="L28" s="12"/>
    </row>
    <row r="29" spans="1:12" ht="13.5" customHeight="1" x14ac:dyDescent="0.2">
      <c r="A29" s="19"/>
      <c r="B29" s="20"/>
      <c r="C29" s="34" t="s">
        <v>35</v>
      </c>
      <c r="D29" s="11" t="s">
        <v>19</v>
      </c>
      <c r="E29" s="12">
        <v>-69.45</v>
      </c>
      <c r="F29" s="22"/>
      <c r="G29" s="23"/>
      <c r="H29" s="24"/>
      <c r="I29" s="25"/>
      <c r="J29" s="26"/>
      <c r="K29" s="18"/>
      <c r="L29" s="12"/>
    </row>
    <row r="30" spans="1:12" ht="13.5" customHeight="1" x14ac:dyDescent="0.2">
      <c r="A30" s="19"/>
      <c r="B30" s="20"/>
      <c r="C30" s="34" t="s">
        <v>20</v>
      </c>
      <c r="D30" s="11" t="s">
        <v>19</v>
      </c>
      <c r="E30" s="12"/>
      <c r="F30" s="22">
        <v>0.02</v>
      </c>
      <c r="G30" s="23">
        <v>9647.56</v>
      </c>
      <c r="H30" s="24"/>
      <c r="I30" s="25"/>
      <c r="J30" s="26"/>
      <c r="K30" s="18"/>
      <c r="L30" s="12"/>
    </row>
    <row r="31" spans="1:12" ht="13.5" customHeight="1" x14ac:dyDescent="0.2">
      <c r="A31" s="158">
        <v>43377</v>
      </c>
      <c r="B31" s="27"/>
      <c r="C31" s="32" t="s">
        <v>36</v>
      </c>
      <c r="D31" s="29"/>
      <c r="E31" s="30"/>
      <c r="F31" s="30"/>
      <c r="G31" s="23"/>
      <c r="H31" s="31">
        <v>210</v>
      </c>
      <c r="I31" s="31"/>
      <c r="J31" s="159"/>
      <c r="K31" s="18"/>
      <c r="L31" s="12"/>
    </row>
    <row r="32" spans="1:12" ht="13.5" customHeight="1" x14ac:dyDescent="0.2">
      <c r="A32" s="29"/>
      <c r="B32" s="27"/>
      <c r="C32" s="33" t="s">
        <v>37</v>
      </c>
      <c r="D32" s="29"/>
      <c r="E32" s="30"/>
      <c r="F32" s="30"/>
      <c r="G32" s="23"/>
      <c r="H32" s="31">
        <v>1.7</v>
      </c>
      <c r="I32" s="31"/>
      <c r="J32" s="159"/>
      <c r="K32" s="18"/>
      <c r="L32" s="12"/>
    </row>
    <row r="33" spans="1:12" ht="13.5" customHeight="1" x14ac:dyDescent="0.2">
      <c r="A33" s="29"/>
      <c r="B33" s="27"/>
      <c r="C33" s="33" t="s">
        <v>38</v>
      </c>
      <c r="D33" s="29"/>
      <c r="E33" s="30"/>
      <c r="F33" s="30"/>
      <c r="G33" s="23"/>
      <c r="H33" s="31">
        <v>5000</v>
      </c>
      <c r="I33" s="31"/>
      <c r="J33" s="159"/>
      <c r="K33" s="18"/>
      <c r="L33" s="12"/>
    </row>
    <row r="34" spans="1:12" ht="13.5" customHeight="1" x14ac:dyDescent="0.2">
      <c r="A34" s="29"/>
      <c r="B34" s="27"/>
      <c r="C34" s="33" t="s">
        <v>39</v>
      </c>
      <c r="D34" s="29"/>
      <c r="E34" s="30"/>
      <c r="F34" s="30"/>
      <c r="G34" s="23"/>
      <c r="H34" s="31">
        <v>10.8</v>
      </c>
      <c r="I34" s="31"/>
      <c r="J34" s="159"/>
      <c r="K34" s="18"/>
      <c r="L34" s="12"/>
    </row>
    <row r="35" spans="1:12" ht="13.5" customHeight="1" x14ac:dyDescent="0.2">
      <c r="A35" s="29"/>
      <c r="B35" s="27"/>
      <c r="C35" s="33" t="s">
        <v>40</v>
      </c>
      <c r="D35" s="29"/>
      <c r="E35" s="30"/>
      <c r="F35" s="30"/>
      <c r="G35" s="23"/>
      <c r="H35" s="31">
        <v>54.26</v>
      </c>
      <c r="I35" s="31"/>
      <c r="J35" s="159"/>
      <c r="K35" s="18"/>
      <c r="L35" s="12"/>
    </row>
    <row r="36" spans="1:12" ht="13.5" customHeight="1" x14ac:dyDescent="0.2">
      <c r="A36" s="29"/>
      <c r="B36" s="27"/>
      <c r="C36" s="33" t="s">
        <v>41</v>
      </c>
      <c r="D36" s="29"/>
      <c r="E36" s="30"/>
      <c r="F36" s="30"/>
      <c r="G36" s="23"/>
      <c r="H36" s="31">
        <v>32.299999999999997</v>
      </c>
      <c r="I36" s="31"/>
      <c r="J36" s="159"/>
      <c r="K36" s="18"/>
      <c r="L36" s="12"/>
    </row>
    <row r="37" spans="1:12" ht="13.5" customHeight="1" x14ac:dyDescent="0.2">
      <c r="A37" s="29"/>
      <c r="B37" s="27"/>
      <c r="C37" s="32" t="s">
        <v>42</v>
      </c>
      <c r="D37" s="29"/>
      <c r="E37" s="30"/>
      <c r="F37" s="30"/>
      <c r="G37" s="23"/>
      <c r="H37" s="31"/>
      <c r="I37" s="31">
        <v>5000</v>
      </c>
      <c r="J37" s="159"/>
      <c r="K37" s="18"/>
      <c r="L37" s="12"/>
    </row>
    <row r="38" spans="1:12" ht="13.5" customHeight="1" x14ac:dyDescent="0.2">
      <c r="A38" s="29"/>
      <c r="B38" s="27"/>
      <c r="C38" s="35" t="s">
        <v>25</v>
      </c>
      <c r="D38" s="29"/>
      <c r="E38" s="30"/>
      <c r="F38" s="30"/>
      <c r="G38" s="23"/>
      <c r="H38" s="31">
        <v>50</v>
      </c>
      <c r="I38" s="31"/>
      <c r="J38" s="159"/>
      <c r="K38" s="18"/>
      <c r="L38" s="12"/>
    </row>
    <row r="39" spans="1:12" ht="13.5" customHeight="1" x14ac:dyDescent="0.2">
      <c r="A39" s="29"/>
      <c r="B39" s="27"/>
      <c r="C39" s="37" t="s">
        <v>43</v>
      </c>
      <c r="D39" s="29"/>
      <c r="E39" s="30"/>
      <c r="F39" s="30"/>
      <c r="G39" s="23"/>
      <c r="H39" s="31">
        <v>100</v>
      </c>
      <c r="I39" s="31"/>
      <c r="J39" s="159"/>
      <c r="K39" s="18"/>
      <c r="L39" s="12"/>
    </row>
    <row r="40" spans="1:12" ht="13.5" customHeight="1" x14ac:dyDescent="0.2">
      <c r="A40" s="29"/>
      <c r="B40" s="27"/>
      <c r="C40" s="32" t="s">
        <v>44</v>
      </c>
      <c r="D40" s="29"/>
      <c r="E40" s="30"/>
      <c r="F40" s="30"/>
      <c r="G40" s="23"/>
      <c r="H40" s="31">
        <v>750</v>
      </c>
      <c r="I40" s="31"/>
      <c r="J40" s="159"/>
      <c r="K40" s="18"/>
      <c r="L40" s="12"/>
    </row>
    <row r="41" spans="1:12" ht="13.5" customHeight="1" x14ac:dyDescent="0.2">
      <c r="A41" s="29"/>
      <c r="B41" s="27"/>
      <c r="C41" s="32" t="s">
        <v>45</v>
      </c>
      <c r="D41" s="29"/>
      <c r="E41" s="30"/>
      <c r="F41" s="30"/>
      <c r="G41" s="23"/>
      <c r="H41" s="31">
        <v>150</v>
      </c>
      <c r="I41" s="31"/>
      <c r="J41" s="159"/>
      <c r="K41" s="18"/>
      <c r="L41" s="12"/>
    </row>
    <row r="42" spans="1:12" ht="13.5" customHeight="1" x14ac:dyDescent="0.2">
      <c r="A42" s="29"/>
      <c r="B42" s="27"/>
      <c r="C42" s="33" t="s">
        <v>46</v>
      </c>
      <c r="D42" s="29"/>
      <c r="E42" s="30"/>
      <c r="F42" s="30"/>
      <c r="G42" s="23"/>
      <c r="H42" s="31">
        <v>8.25</v>
      </c>
      <c r="I42" s="31"/>
      <c r="J42" s="159">
        <v>9825.5299999999952</v>
      </c>
      <c r="K42" s="18"/>
      <c r="L42" s="12"/>
    </row>
    <row r="43" spans="1:12" ht="13.5" customHeight="1" x14ac:dyDescent="0.2">
      <c r="A43" s="158">
        <v>43378</v>
      </c>
      <c r="B43" s="27"/>
      <c r="C43" s="32" t="s">
        <v>21</v>
      </c>
      <c r="D43" s="29"/>
      <c r="E43" s="30"/>
      <c r="F43" s="30"/>
      <c r="G43" s="23"/>
      <c r="H43" s="31">
        <v>18.100000000000001</v>
      </c>
      <c r="I43" s="31"/>
      <c r="J43" s="159"/>
      <c r="K43" s="18"/>
      <c r="L43" s="12"/>
    </row>
    <row r="44" spans="1:12" ht="13.5" customHeight="1" x14ac:dyDescent="0.2">
      <c r="A44" s="29"/>
      <c r="B44" s="27"/>
      <c r="C44" s="32" t="s">
        <v>22</v>
      </c>
      <c r="D44" s="29"/>
      <c r="E44" s="30"/>
      <c r="F44" s="30"/>
      <c r="G44" s="23"/>
      <c r="H44" s="31">
        <v>31.2</v>
      </c>
      <c r="I44" s="31"/>
      <c r="J44" s="159"/>
      <c r="K44" s="18"/>
      <c r="L44" s="12"/>
    </row>
    <row r="45" spans="1:12" ht="13.5" customHeight="1" x14ac:dyDescent="0.2">
      <c r="A45" s="29"/>
      <c r="B45" s="27"/>
      <c r="C45" s="28" t="s">
        <v>47</v>
      </c>
      <c r="D45" s="29"/>
      <c r="E45" s="30"/>
      <c r="F45" s="30"/>
      <c r="G45" s="23"/>
      <c r="H45" s="31">
        <v>33.42</v>
      </c>
      <c r="I45" s="31"/>
      <c r="J45" s="159"/>
      <c r="K45" s="18"/>
      <c r="L45" s="12"/>
    </row>
    <row r="46" spans="1:12" ht="13.5" customHeight="1" x14ac:dyDescent="0.2">
      <c r="A46" s="29"/>
      <c r="B46" s="27"/>
      <c r="C46" s="33" t="s">
        <v>48</v>
      </c>
      <c r="D46" s="29"/>
      <c r="E46" s="30"/>
      <c r="F46" s="30"/>
      <c r="G46" s="23"/>
      <c r="H46" s="31">
        <v>4.9800000000000004</v>
      </c>
      <c r="I46" s="31"/>
      <c r="J46" s="159"/>
      <c r="K46" s="18"/>
      <c r="L46" s="12"/>
    </row>
    <row r="47" spans="1:12" ht="13.5" customHeight="1" x14ac:dyDescent="0.2">
      <c r="A47" s="29"/>
      <c r="B47" s="27"/>
      <c r="C47" s="33" t="s">
        <v>49</v>
      </c>
      <c r="D47" s="29"/>
      <c r="E47" s="30"/>
      <c r="F47" s="30"/>
      <c r="G47" s="23"/>
      <c r="H47" s="31">
        <v>13</v>
      </c>
      <c r="I47" s="31"/>
      <c r="J47" s="159"/>
      <c r="K47" s="18"/>
      <c r="L47" s="12"/>
    </row>
    <row r="48" spans="1:12" ht="13.5" customHeight="1" x14ac:dyDescent="0.2">
      <c r="A48" s="29"/>
      <c r="B48" s="27"/>
      <c r="C48" s="33" t="s">
        <v>50</v>
      </c>
      <c r="D48" s="29"/>
      <c r="E48" s="30"/>
      <c r="F48" s="30"/>
      <c r="G48" s="23"/>
      <c r="H48" s="31">
        <v>12</v>
      </c>
      <c r="I48" s="31"/>
      <c r="J48" s="159"/>
      <c r="K48" s="18"/>
      <c r="L48" s="12"/>
    </row>
    <row r="49" spans="1:12" ht="13.5" customHeight="1" x14ac:dyDescent="0.2">
      <c r="A49" s="29"/>
      <c r="B49" s="27"/>
      <c r="C49" s="32" t="s">
        <v>51</v>
      </c>
      <c r="D49" s="29"/>
      <c r="E49" s="30"/>
      <c r="F49" s="30"/>
      <c r="G49" s="23"/>
      <c r="H49" s="31"/>
      <c r="I49" s="31">
        <v>1020</v>
      </c>
      <c r="J49" s="159"/>
      <c r="K49" s="18"/>
      <c r="L49" s="12"/>
    </row>
    <row r="50" spans="1:12" ht="13.5" customHeight="1" x14ac:dyDescent="0.2">
      <c r="A50" s="29"/>
      <c r="B50" s="27"/>
      <c r="C50" s="28" t="s">
        <v>52</v>
      </c>
      <c r="D50" s="29"/>
      <c r="E50" s="30"/>
      <c r="F50" s="30"/>
      <c r="G50" s="23"/>
      <c r="H50" s="31">
        <v>450</v>
      </c>
      <c r="I50" s="31"/>
      <c r="J50" s="159"/>
      <c r="K50" s="18"/>
      <c r="L50" s="12"/>
    </row>
    <row r="51" spans="1:12" ht="13.5" customHeight="1" x14ac:dyDescent="0.2">
      <c r="A51" s="29"/>
      <c r="B51" s="27"/>
      <c r="C51" s="28" t="s">
        <v>43</v>
      </c>
      <c r="D51" s="29"/>
      <c r="E51" s="30"/>
      <c r="F51" s="30"/>
      <c r="G51" s="23"/>
      <c r="H51" s="31">
        <v>300</v>
      </c>
      <c r="I51" s="31"/>
      <c r="J51" s="159">
        <v>9982.8299999999945</v>
      </c>
      <c r="K51" s="18"/>
      <c r="L51" s="12"/>
    </row>
    <row r="52" spans="1:12" ht="13.5" customHeight="1" x14ac:dyDescent="0.2">
      <c r="A52" s="19"/>
      <c r="B52" s="27"/>
      <c r="C52" s="34" t="s">
        <v>53</v>
      </c>
      <c r="D52" s="29" t="s">
        <v>457</v>
      </c>
      <c r="E52" s="30">
        <v>-511.71</v>
      </c>
      <c r="F52" s="30"/>
      <c r="G52" s="23"/>
      <c r="H52" s="38"/>
      <c r="I52" s="38"/>
      <c r="J52" s="39"/>
      <c r="K52" s="18"/>
      <c r="L52" s="12"/>
    </row>
    <row r="53" spans="1:12" ht="13.5" customHeight="1" x14ac:dyDescent="0.2">
      <c r="A53" s="29"/>
      <c r="B53" s="27"/>
      <c r="C53" s="36" t="s">
        <v>54</v>
      </c>
      <c r="D53" s="29" t="s">
        <v>19</v>
      </c>
      <c r="E53" s="30">
        <v>-78.03</v>
      </c>
      <c r="F53" s="30"/>
      <c r="G53" s="23"/>
      <c r="H53" s="38"/>
      <c r="I53" s="38"/>
      <c r="J53" s="39"/>
      <c r="K53" s="18"/>
      <c r="L53" s="12"/>
    </row>
    <row r="54" spans="1:12" ht="13.5" customHeight="1" x14ac:dyDescent="0.2">
      <c r="A54" s="29"/>
      <c r="B54" s="27"/>
      <c r="C54" s="34" t="s">
        <v>55</v>
      </c>
      <c r="D54" s="29" t="s">
        <v>19</v>
      </c>
      <c r="E54" s="30">
        <v>-400</v>
      </c>
      <c r="F54" s="30"/>
      <c r="G54" s="23"/>
      <c r="H54" s="38"/>
      <c r="I54" s="38"/>
      <c r="J54" s="39"/>
      <c r="K54" s="18"/>
      <c r="L54" s="12"/>
    </row>
    <row r="55" spans="1:12" ht="13.5" customHeight="1" x14ac:dyDescent="0.2">
      <c r="A55" s="29"/>
      <c r="B55" s="27"/>
      <c r="C55" s="34" t="s">
        <v>20</v>
      </c>
      <c r="D55" s="29" t="s">
        <v>19</v>
      </c>
      <c r="E55" s="30"/>
      <c r="F55" s="30">
        <v>0.6</v>
      </c>
      <c r="G55" s="23">
        <v>8658.42</v>
      </c>
      <c r="H55" s="38"/>
      <c r="I55" s="38"/>
      <c r="J55" s="39"/>
      <c r="K55" s="18"/>
      <c r="L55" s="12"/>
    </row>
    <row r="56" spans="1:12" ht="13.5" customHeight="1" x14ac:dyDescent="0.2">
      <c r="A56" s="158">
        <v>43381</v>
      </c>
      <c r="B56" s="27"/>
      <c r="C56" s="33" t="s">
        <v>56</v>
      </c>
      <c r="D56" s="29"/>
      <c r="E56" s="30"/>
      <c r="F56" s="30"/>
      <c r="G56" s="23"/>
      <c r="H56" s="31">
        <v>61.3</v>
      </c>
      <c r="I56" s="31"/>
      <c r="J56" s="159"/>
      <c r="K56" s="18"/>
      <c r="L56" s="12"/>
    </row>
    <row r="57" spans="1:12" ht="13.5" customHeight="1" x14ac:dyDescent="0.2">
      <c r="A57" s="29"/>
      <c r="B57" s="27"/>
      <c r="C57" s="33" t="s">
        <v>57</v>
      </c>
      <c r="D57" s="29"/>
      <c r="E57" s="30"/>
      <c r="F57" s="30"/>
      <c r="G57" s="23"/>
      <c r="H57" s="31">
        <v>24.4</v>
      </c>
      <c r="I57" s="31"/>
      <c r="J57" s="159"/>
      <c r="K57" s="18"/>
      <c r="L57" s="12"/>
    </row>
    <row r="58" spans="1:12" ht="13.5" customHeight="1" x14ac:dyDescent="0.2">
      <c r="A58" s="29"/>
      <c r="B58" s="27"/>
      <c r="C58" s="33" t="s">
        <v>58</v>
      </c>
      <c r="D58" s="29"/>
      <c r="E58" s="30"/>
      <c r="F58" s="30"/>
      <c r="G58" s="23"/>
      <c r="H58" s="31">
        <v>4.2</v>
      </c>
      <c r="I58" s="31"/>
      <c r="J58" s="159"/>
      <c r="K58" s="18"/>
      <c r="L58" s="12"/>
    </row>
    <row r="59" spans="1:12" ht="13.5" customHeight="1" x14ac:dyDescent="0.2">
      <c r="A59" s="29"/>
      <c r="B59" s="27"/>
      <c r="C59" s="33" t="s">
        <v>59</v>
      </c>
      <c r="D59" s="29"/>
      <c r="E59" s="30"/>
      <c r="F59" s="30"/>
      <c r="G59" s="23"/>
      <c r="H59" s="31">
        <v>6.43</v>
      </c>
      <c r="I59" s="31"/>
      <c r="J59" s="159"/>
      <c r="K59" s="18"/>
      <c r="L59" s="12"/>
    </row>
    <row r="60" spans="1:12" ht="13.5" customHeight="1" x14ac:dyDescent="0.2">
      <c r="A60" s="29"/>
      <c r="B60" s="27"/>
      <c r="C60" s="33" t="s">
        <v>60</v>
      </c>
      <c r="D60" s="29"/>
      <c r="E60" s="30"/>
      <c r="F60" s="30"/>
      <c r="G60" s="23"/>
      <c r="H60" s="31">
        <v>6.43</v>
      </c>
      <c r="I60" s="31"/>
      <c r="J60" s="159"/>
      <c r="K60" s="18"/>
      <c r="L60" s="12"/>
    </row>
    <row r="61" spans="1:12" ht="13.5" customHeight="1" x14ac:dyDescent="0.2">
      <c r="A61" s="29"/>
      <c r="B61" s="27"/>
      <c r="C61" s="32" t="s">
        <v>458</v>
      </c>
      <c r="D61" s="29"/>
      <c r="E61" s="30"/>
      <c r="F61" s="30"/>
      <c r="G61" s="23"/>
      <c r="H61" s="161">
        <v>190</v>
      </c>
      <c r="I61" s="31"/>
      <c r="J61" s="159"/>
      <c r="K61" s="18"/>
      <c r="L61" s="12"/>
    </row>
    <row r="62" spans="1:12" ht="13.5" customHeight="1" x14ac:dyDescent="0.2">
      <c r="A62" s="29"/>
      <c r="B62" s="27"/>
      <c r="C62" s="32" t="s">
        <v>61</v>
      </c>
      <c r="D62" s="29"/>
      <c r="E62" s="30"/>
      <c r="F62" s="30"/>
      <c r="G62" s="23"/>
      <c r="H62" s="31"/>
      <c r="I62" s="31">
        <v>80</v>
      </c>
      <c r="J62" s="159">
        <v>9770.0699999999943</v>
      </c>
      <c r="K62" s="18"/>
      <c r="L62" s="12"/>
    </row>
    <row r="63" spans="1:12" ht="13.5" customHeight="1" x14ac:dyDescent="0.2">
      <c r="A63" s="29"/>
      <c r="B63" s="27"/>
      <c r="C63" s="34" t="s">
        <v>62</v>
      </c>
      <c r="D63" s="29" t="s">
        <v>19</v>
      </c>
      <c r="E63" s="30">
        <v>-438.84</v>
      </c>
      <c r="F63" s="30"/>
      <c r="G63" s="23"/>
      <c r="H63" s="38"/>
      <c r="I63" s="38"/>
      <c r="J63" s="39"/>
      <c r="K63" s="18"/>
      <c r="L63" s="12"/>
    </row>
    <row r="64" spans="1:12" ht="13.5" customHeight="1" x14ac:dyDescent="0.2">
      <c r="A64" s="19"/>
      <c r="B64" s="20"/>
      <c r="C64" s="32" t="s">
        <v>458</v>
      </c>
      <c r="D64" s="11" t="s">
        <v>459</v>
      </c>
      <c r="E64" s="12"/>
      <c r="F64" s="162">
        <v>190</v>
      </c>
      <c r="G64" s="23"/>
      <c r="H64" s="24"/>
      <c r="I64" s="25"/>
      <c r="J64" s="26"/>
      <c r="K64" s="18"/>
      <c r="L64" s="12"/>
    </row>
    <row r="65" spans="1:15" ht="13.5" customHeight="1" x14ac:dyDescent="0.2">
      <c r="A65" s="19"/>
      <c r="B65" s="20"/>
      <c r="C65" s="34" t="s">
        <v>63</v>
      </c>
      <c r="D65" s="11" t="s">
        <v>460</v>
      </c>
      <c r="E65" s="12"/>
      <c r="F65" s="22">
        <v>940</v>
      </c>
      <c r="G65" s="23">
        <v>9349.58</v>
      </c>
      <c r="H65" s="24"/>
      <c r="I65" s="25"/>
      <c r="J65" s="26"/>
      <c r="K65" s="18"/>
      <c r="L65" s="12"/>
    </row>
    <row r="66" spans="1:15" ht="13.5" customHeight="1" x14ac:dyDescent="0.2">
      <c r="A66" s="158">
        <v>43382</v>
      </c>
      <c r="B66" s="27"/>
      <c r="C66" s="32" t="s">
        <v>64</v>
      </c>
      <c r="D66" s="29"/>
      <c r="E66" s="30"/>
      <c r="F66" s="30"/>
      <c r="G66" s="23"/>
      <c r="H66" s="31"/>
      <c r="I66" s="31">
        <v>1975.42</v>
      </c>
      <c r="J66" s="159"/>
      <c r="K66" s="18"/>
      <c r="L66" s="12"/>
    </row>
    <row r="67" spans="1:15" ht="13.5" customHeight="1" x14ac:dyDescent="0.2">
      <c r="A67" s="29"/>
      <c r="B67" s="27"/>
      <c r="C67" s="33" t="s">
        <v>65</v>
      </c>
      <c r="D67" s="29"/>
      <c r="E67" s="30"/>
      <c r="F67" s="30"/>
      <c r="G67" s="23"/>
      <c r="H67" s="31">
        <v>90</v>
      </c>
      <c r="I67" s="31"/>
      <c r="J67" s="159">
        <v>11655.489999999994</v>
      </c>
      <c r="K67" s="18"/>
      <c r="L67" s="12"/>
    </row>
    <row r="68" spans="1:15" ht="13.5" customHeight="1" x14ac:dyDescent="0.2">
      <c r="A68" s="158">
        <v>43383</v>
      </c>
      <c r="B68" s="27"/>
      <c r="C68" s="33" t="s">
        <v>66</v>
      </c>
      <c r="D68" s="29"/>
      <c r="E68" s="30"/>
      <c r="F68" s="30"/>
      <c r="G68" s="23"/>
      <c r="H68" s="31">
        <v>5</v>
      </c>
      <c r="I68" s="31"/>
      <c r="J68" s="159"/>
      <c r="K68" s="18"/>
      <c r="L68" s="12"/>
    </row>
    <row r="69" spans="1:15" ht="13.5" customHeight="1" x14ac:dyDescent="0.2">
      <c r="A69" s="29"/>
      <c r="B69" s="27"/>
      <c r="C69" s="33" t="s">
        <v>67</v>
      </c>
      <c r="D69" s="29"/>
      <c r="E69" s="30"/>
      <c r="F69" s="30"/>
      <c r="G69" s="23"/>
      <c r="H69" s="31">
        <v>24.9</v>
      </c>
      <c r="I69" s="31"/>
      <c r="J69" s="159">
        <v>11625.589999999995</v>
      </c>
      <c r="K69" s="18"/>
      <c r="L69" s="12"/>
    </row>
    <row r="70" spans="1:15" ht="13.5" customHeight="1" x14ac:dyDescent="0.2">
      <c r="A70" s="19"/>
      <c r="B70" s="20"/>
      <c r="C70" s="34" t="s">
        <v>68</v>
      </c>
      <c r="D70" s="11" t="s">
        <v>461</v>
      </c>
      <c r="E70" s="12">
        <v>-129.9</v>
      </c>
      <c r="F70" s="22"/>
      <c r="G70" s="23">
        <v>9219.68</v>
      </c>
      <c r="H70" s="24"/>
      <c r="I70" s="25"/>
      <c r="J70" s="26"/>
      <c r="K70" s="18"/>
      <c r="L70" s="12"/>
    </row>
    <row r="71" spans="1:15" ht="13.5" customHeight="1" x14ac:dyDescent="0.2">
      <c r="A71" s="19"/>
      <c r="B71" s="27"/>
      <c r="C71" s="34" t="s">
        <v>20</v>
      </c>
      <c r="D71" s="29" t="s">
        <v>19</v>
      </c>
      <c r="E71" s="30"/>
      <c r="F71" s="30">
        <v>0.03</v>
      </c>
      <c r="G71" s="23">
        <v>9219.7099999999991</v>
      </c>
      <c r="H71" s="38"/>
      <c r="I71" s="38"/>
      <c r="J71" s="39"/>
      <c r="K71" s="18"/>
      <c r="L71" s="12"/>
    </row>
    <row r="72" spans="1:15" ht="13.5" customHeight="1" x14ac:dyDescent="0.2">
      <c r="A72" s="158">
        <v>43384</v>
      </c>
      <c r="B72" s="27"/>
      <c r="C72" s="32" t="s">
        <v>69</v>
      </c>
      <c r="D72" s="29"/>
      <c r="E72" s="30"/>
      <c r="F72" s="30"/>
      <c r="G72" s="23"/>
      <c r="H72" s="31"/>
      <c r="I72" s="31">
        <v>190</v>
      </c>
      <c r="J72" s="159"/>
      <c r="K72" s="18"/>
      <c r="L72" s="12"/>
    </row>
    <row r="73" spans="1:15" ht="13.5" customHeight="1" x14ac:dyDescent="0.2">
      <c r="A73" s="29"/>
      <c r="B73" s="27"/>
      <c r="C73" s="32" t="s">
        <v>70</v>
      </c>
      <c r="D73" s="29"/>
      <c r="E73" s="30"/>
      <c r="F73" s="30"/>
      <c r="G73" s="23"/>
      <c r="H73" s="31"/>
      <c r="I73" s="31">
        <v>2050</v>
      </c>
      <c r="J73" s="159"/>
      <c r="K73" s="18"/>
      <c r="L73" s="12"/>
    </row>
    <row r="74" spans="1:15" ht="13.5" customHeight="1" x14ac:dyDescent="0.2">
      <c r="A74" s="29"/>
      <c r="B74" s="27"/>
      <c r="C74" s="32" t="s">
        <v>71</v>
      </c>
      <c r="D74" s="29"/>
      <c r="E74" s="30"/>
      <c r="F74" s="30"/>
      <c r="G74" s="23"/>
      <c r="H74" s="31"/>
      <c r="I74" s="31">
        <v>60</v>
      </c>
      <c r="J74" s="159"/>
      <c r="K74" s="18"/>
      <c r="L74" s="12"/>
    </row>
    <row r="75" spans="1:15" s="169" customFormat="1" ht="13.5" customHeight="1" x14ac:dyDescent="0.2">
      <c r="A75" s="163"/>
      <c r="B75" s="164"/>
      <c r="C75" s="41" t="s">
        <v>72</v>
      </c>
      <c r="D75" s="163"/>
      <c r="E75" s="165"/>
      <c r="F75" s="165"/>
      <c r="G75" s="166"/>
      <c r="H75" s="161"/>
      <c r="I75" s="161">
        <v>185</v>
      </c>
      <c r="J75" s="167"/>
      <c r="K75" s="18"/>
      <c r="L75" s="168"/>
      <c r="O75" s="170"/>
    </row>
    <row r="76" spans="1:15" ht="13.5" customHeight="1" x14ac:dyDescent="0.2">
      <c r="A76" s="29"/>
      <c r="B76" s="27"/>
      <c r="C76" s="33" t="s">
        <v>73</v>
      </c>
      <c r="D76" s="29"/>
      <c r="E76" s="30"/>
      <c r="F76" s="30"/>
      <c r="G76" s="23"/>
      <c r="H76" s="31">
        <v>21.8</v>
      </c>
      <c r="I76" s="31"/>
      <c r="J76" s="159"/>
      <c r="K76" s="18"/>
      <c r="L76" s="12"/>
    </row>
    <row r="77" spans="1:15" ht="13.5" customHeight="1" x14ac:dyDescent="0.2">
      <c r="A77" s="29"/>
      <c r="B77" s="27"/>
      <c r="C77" s="32" t="s">
        <v>74</v>
      </c>
      <c r="D77" s="29"/>
      <c r="E77" s="30"/>
      <c r="F77" s="30"/>
      <c r="G77" s="23"/>
      <c r="H77" s="31">
        <v>150</v>
      </c>
      <c r="I77" s="31"/>
      <c r="J77" s="159"/>
      <c r="K77" s="18"/>
      <c r="L77" s="12"/>
    </row>
    <row r="78" spans="1:15" ht="13.5" customHeight="1" x14ac:dyDescent="0.2">
      <c r="A78" s="29"/>
      <c r="B78" s="27"/>
      <c r="C78" s="32" t="s">
        <v>75</v>
      </c>
      <c r="D78" s="29"/>
      <c r="E78" s="30"/>
      <c r="F78" s="30"/>
      <c r="G78" s="23"/>
      <c r="H78" s="31">
        <v>150</v>
      </c>
      <c r="I78" s="31"/>
      <c r="J78" s="159"/>
      <c r="K78" s="18"/>
      <c r="L78" s="12"/>
    </row>
    <row r="79" spans="1:15" ht="13.5" customHeight="1" x14ac:dyDescent="0.2">
      <c r="A79" s="29"/>
      <c r="B79" s="27"/>
      <c r="C79" s="28" t="s">
        <v>52</v>
      </c>
      <c r="D79" s="29"/>
      <c r="E79" s="30"/>
      <c r="F79" s="30"/>
      <c r="G79" s="23"/>
      <c r="H79" s="31">
        <v>360</v>
      </c>
      <c r="I79" s="31"/>
      <c r="J79" s="159"/>
      <c r="K79" s="18"/>
      <c r="L79" s="12"/>
    </row>
    <row r="80" spans="1:15" ht="13.5" customHeight="1" x14ac:dyDescent="0.2">
      <c r="A80" s="29"/>
      <c r="B80" s="27"/>
      <c r="C80" s="37" t="s">
        <v>43</v>
      </c>
      <c r="D80" s="29"/>
      <c r="E80" s="30"/>
      <c r="F80" s="30"/>
      <c r="G80" s="23"/>
      <c r="H80" s="31">
        <v>140</v>
      </c>
      <c r="I80" s="31"/>
      <c r="J80" s="159"/>
      <c r="K80" s="18"/>
      <c r="L80" s="12"/>
    </row>
    <row r="81" spans="1:12" ht="13.5" customHeight="1" x14ac:dyDescent="0.2">
      <c r="A81" s="29"/>
      <c r="B81" s="27"/>
      <c r="C81" s="33" t="s">
        <v>76</v>
      </c>
      <c r="D81" s="29"/>
      <c r="E81" s="30"/>
      <c r="F81" s="30"/>
      <c r="G81" s="23"/>
      <c r="H81" s="31">
        <v>140</v>
      </c>
      <c r="I81" s="31"/>
      <c r="J81" s="159"/>
      <c r="K81" s="18"/>
      <c r="L81" s="12"/>
    </row>
    <row r="82" spans="1:12" ht="13.5" customHeight="1" x14ac:dyDescent="0.2">
      <c r="A82" s="171"/>
      <c r="B82" s="172"/>
      <c r="C82" s="34" t="s">
        <v>77</v>
      </c>
      <c r="D82" s="42"/>
      <c r="E82" s="43"/>
      <c r="F82" s="173"/>
      <c r="G82" s="23"/>
      <c r="H82" s="44">
        <v>8000</v>
      </c>
      <c r="I82" s="25"/>
      <c r="J82" s="26"/>
      <c r="K82" s="18"/>
      <c r="L82" s="12"/>
    </row>
    <row r="83" spans="1:12" ht="13.5" customHeight="1" x14ac:dyDescent="0.2">
      <c r="A83" s="171"/>
      <c r="B83" s="172"/>
      <c r="C83" s="34" t="s">
        <v>78</v>
      </c>
      <c r="D83" s="42"/>
      <c r="E83" s="43"/>
      <c r="F83" s="173"/>
      <c r="G83" s="23"/>
      <c r="H83" s="24">
        <v>20</v>
      </c>
      <c r="I83" s="25"/>
      <c r="J83" s="26"/>
      <c r="K83" s="18"/>
      <c r="L83" s="12"/>
    </row>
    <row r="84" spans="1:12" ht="13.5" customHeight="1" x14ac:dyDescent="0.2">
      <c r="A84" s="171"/>
      <c r="B84" s="172"/>
      <c r="C84" s="34" t="s">
        <v>79</v>
      </c>
      <c r="D84" s="42"/>
      <c r="E84" s="43"/>
      <c r="F84" s="173"/>
      <c r="G84" s="23"/>
      <c r="H84" s="24">
        <v>30</v>
      </c>
      <c r="I84" s="25"/>
      <c r="J84" s="26">
        <v>5098.7899999999954</v>
      </c>
      <c r="K84" s="18"/>
      <c r="L84" s="12"/>
    </row>
    <row r="85" spans="1:12" ht="13.5" customHeight="1" x14ac:dyDescent="0.2">
      <c r="A85" s="19"/>
      <c r="B85" s="27"/>
      <c r="C85" s="34" t="s">
        <v>80</v>
      </c>
      <c r="D85" s="29" t="s">
        <v>19</v>
      </c>
      <c r="E85" s="30">
        <v>-45.8</v>
      </c>
      <c r="F85" s="30"/>
      <c r="G85" s="23"/>
      <c r="H85" s="38"/>
      <c r="I85" s="38"/>
      <c r="J85" s="39"/>
      <c r="K85" s="18"/>
      <c r="L85" s="12"/>
    </row>
    <row r="86" spans="1:12" ht="13.5" customHeight="1" x14ac:dyDescent="0.2">
      <c r="A86" s="19"/>
      <c r="B86" s="20"/>
      <c r="C86" s="45" t="s">
        <v>462</v>
      </c>
      <c r="D86" s="11" t="s">
        <v>463</v>
      </c>
      <c r="E86" s="12"/>
      <c r="F86" s="162">
        <v>185</v>
      </c>
      <c r="G86" s="23"/>
      <c r="H86" s="24"/>
      <c r="I86" s="25"/>
      <c r="J86" s="26"/>
      <c r="K86" s="18"/>
      <c r="L86" s="12"/>
    </row>
    <row r="87" spans="1:12" ht="13.5" customHeight="1" x14ac:dyDescent="0.2">
      <c r="A87" s="19"/>
      <c r="B87" s="27"/>
      <c r="C87" s="33" t="s">
        <v>81</v>
      </c>
      <c r="D87" s="29" t="s">
        <v>19</v>
      </c>
      <c r="E87" s="30">
        <v>-20.91</v>
      </c>
      <c r="F87" s="30"/>
      <c r="G87" s="23"/>
      <c r="H87" s="38"/>
      <c r="I87" s="38"/>
      <c r="J87" s="39"/>
      <c r="K87" s="18"/>
      <c r="L87" s="12"/>
    </row>
    <row r="88" spans="1:12" ht="13.5" customHeight="1" x14ac:dyDescent="0.2">
      <c r="A88" s="46"/>
      <c r="B88" s="46"/>
      <c r="C88" s="34" t="s">
        <v>82</v>
      </c>
      <c r="D88" s="42" t="s">
        <v>19</v>
      </c>
      <c r="E88" s="43">
        <v>-344.4</v>
      </c>
      <c r="F88" s="43"/>
      <c r="G88" s="23"/>
      <c r="H88" s="24"/>
      <c r="I88" s="25"/>
      <c r="J88" s="26"/>
      <c r="K88" s="18"/>
      <c r="L88" s="12"/>
    </row>
    <row r="89" spans="1:12" ht="13.5" customHeight="1" x14ac:dyDescent="0.2">
      <c r="A89" s="46"/>
      <c r="B89" s="46"/>
      <c r="C89" s="34" t="s">
        <v>20</v>
      </c>
      <c r="D89" s="42" t="s">
        <v>19</v>
      </c>
      <c r="E89" s="43"/>
      <c r="F89" s="43">
        <v>0.42</v>
      </c>
      <c r="G89" s="23">
        <v>8994.02</v>
      </c>
      <c r="H89" s="24"/>
      <c r="I89" s="25"/>
      <c r="J89" s="26"/>
      <c r="K89" s="18"/>
      <c r="L89" s="12"/>
    </row>
    <row r="90" spans="1:12" ht="13.5" customHeight="1" x14ac:dyDescent="0.2">
      <c r="A90" s="171">
        <v>43388</v>
      </c>
      <c r="B90" s="172"/>
      <c r="C90" s="34" t="s">
        <v>83</v>
      </c>
      <c r="D90" s="42"/>
      <c r="E90" s="43"/>
      <c r="F90" s="173"/>
      <c r="G90" s="23"/>
      <c r="H90" s="24"/>
      <c r="I90" s="25">
        <v>100</v>
      </c>
      <c r="J90" s="26"/>
      <c r="K90" s="18"/>
      <c r="L90" s="12"/>
    </row>
    <row r="91" spans="1:12" ht="13.5" customHeight="1" x14ac:dyDescent="0.2">
      <c r="A91" s="171"/>
      <c r="B91" s="172"/>
      <c r="C91" s="34" t="s">
        <v>464</v>
      </c>
      <c r="D91" s="42"/>
      <c r="E91" s="43"/>
      <c r="F91" s="173"/>
      <c r="G91" s="23"/>
      <c r="H91" s="174">
        <v>1020</v>
      </c>
      <c r="I91" s="25"/>
      <c r="J91" s="26"/>
      <c r="K91" s="18"/>
      <c r="L91" s="12"/>
    </row>
    <row r="92" spans="1:12" ht="13.5" customHeight="1" x14ac:dyDescent="0.2">
      <c r="A92" s="171"/>
      <c r="B92" s="172"/>
      <c r="C92" s="34" t="s">
        <v>465</v>
      </c>
      <c r="D92" s="42"/>
      <c r="E92" s="43"/>
      <c r="F92" s="173"/>
      <c r="G92" s="23"/>
      <c r="H92" s="174">
        <v>185</v>
      </c>
      <c r="I92" s="25"/>
      <c r="J92" s="26"/>
      <c r="K92" s="18"/>
      <c r="L92" s="12"/>
    </row>
    <row r="93" spans="1:12" ht="13.5" customHeight="1" x14ac:dyDescent="0.2">
      <c r="A93" s="171"/>
      <c r="B93" s="172"/>
      <c r="C93" s="34" t="s">
        <v>84</v>
      </c>
      <c r="D93" s="42"/>
      <c r="E93" s="43"/>
      <c r="F93" s="173"/>
      <c r="G93" s="23"/>
      <c r="H93" s="24">
        <v>39.619999999999997</v>
      </c>
      <c r="I93" s="25"/>
      <c r="J93" s="26"/>
      <c r="K93" s="18"/>
      <c r="L93" s="12"/>
    </row>
    <row r="94" spans="1:12" ht="13.5" customHeight="1" x14ac:dyDescent="0.2">
      <c r="A94" s="171"/>
      <c r="B94" s="172"/>
      <c r="C94" s="34" t="s">
        <v>85</v>
      </c>
      <c r="D94" s="42"/>
      <c r="E94" s="43"/>
      <c r="F94" s="173"/>
      <c r="G94" s="23"/>
      <c r="H94" s="24">
        <v>2.48</v>
      </c>
      <c r="I94" s="25"/>
      <c r="J94" s="26">
        <v>3951.6899999999955</v>
      </c>
      <c r="K94" s="18"/>
      <c r="L94" s="12"/>
    </row>
    <row r="95" spans="1:12" ht="13.5" customHeight="1" x14ac:dyDescent="0.2">
      <c r="A95" s="171"/>
      <c r="B95" s="172"/>
      <c r="C95" s="34" t="s">
        <v>86</v>
      </c>
      <c r="D95" s="42" t="s">
        <v>19</v>
      </c>
      <c r="E95" s="43">
        <v>-72.900000000000006</v>
      </c>
      <c r="F95" s="173"/>
      <c r="G95" s="23"/>
      <c r="H95" s="24"/>
      <c r="I95" s="25"/>
      <c r="J95" s="26"/>
      <c r="K95" s="18"/>
      <c r="L95" s="12"/>
    </row>
    <row r="96" spans="1:12" ht="13.5" customHeight="1" x14ac:dyDescent="0.2">
      <c r="A96" s="171"/>
      <c r="B96" s="172"/>
      <c r="C96" s="34" t="s">
        <v>87</v>
      </c>
      <c r="D96" s="42" t="s">
        <v>19</v>
      </c>
      <c r="E96" s="43">
        <v>-69.11</v>
      </c>
      <c r="F96" s="173"/>
      <c r="G96" s="23"/>
      <c r="H96" s="24"/>
      <c r="I96" s="25"/>
      <c r="J96" s="26"/>
      <c r="K96" s="18"/>
      <c r="L96" s="12"/>
    </row>
    <row r="97" spans="1:12" ht="13.5" customHeight="1" x14ac:dyDescent="0.2">
      <c r="A97" s="171"/>
      <c r="B97" s="172"/>
      <c r="C97" s="34" t="s">
        <v>88</v>
      </c>
      <c r="D97" s="42" t="s">
        <v>466</v>
      </c>
      <c r="E97" s="43">
        <v>-99.98</v>
      </c>
      <c r="F97" s="173"/>
      <c r="G97" s="23"/>
      <c r="H97" s="24"/>
      <c r="I97" s="25"/>
      <c r="J97" s="26"/>
      <c r="K97" s="18"/>
      <c r="L97" s="12"/>
    </row>
    <row r="98" spans="1:12" ht="13.5" customHeight="1" x14ac:dyDescent="0.2">
      <c r="A98" s="171"/>
      <c r="B98" s="172"/>
      <c r="C98" s="34" t="s">
        <v>464</v>
      </c>
      <c r="D98" s="42" t="s">
        <v>467</v>
      </c>
      <c r="E98" s="43"/>
      <c r="F98" s="175">
        <v>1020</v>
      </c>
      <c r="G98" s="23"/>
      <c r="H98" s="24"/>
      <c r="I98" s="25"/>
      <c r="J98" s="26"/>
      <c r="K98" s="18"/>
      <c r="L98" s="12"/>
    </row>
    <row r="99" spans="1:12" ht="13.5" customHeight="1" x14ac:dyDescent="0.2">
      <c r="A99" s="171"/>
      <c r="B99" s="172"/>
      <c r="C99" s="34" t="s">
        <v>20</v>
      </c>
      <c r="D99" s="42" t="s">
        <v>19</v>
      </c>
      <c r="E99" s="43"/>
      <c r="F99" s="173">
        <v>0.11</v>
      </c>
      <c r="G99" s="23">
        <v>9772.14</v>
      </c>
      <c r="H99" s="24"/>
      <c r="I99" s="25"/>
      <c r="J99" s="26"/>
      <c r="K99" s="18"/>
      <c r="L99" s="12"/>
    </row>
    <row r="100" spans="1:12" ht="13.5" customHeight="1" x14ac:dyDescent="0.2">
      <c r="A100" s="171">
        <v>43389</v>
      </c>
      <c r="B100" s="172"/>
      <c r="C100" s="34" t="s">
        <v>89</v>
      </c>
      <c r="D100" s="42"/>
      <c r="E100" s="43"/>
      <c r="F100" s="173"/>
      <c r="G100" s="23"/>
      <c r="H100" s="24">
        <v>18.5</v>
      </c>
      <c r="I100" s="25"/>
      <c r="J100" s="26"/>
      <c r="K100" s="18"/>
      <c r="L100" s="12"/>
    </row>
    <row r="101" spans="1:12" ht="13.5" customHeight="1" x14ac:dyDescent="0.2">
      <c r="A101" s="171"/>
      <c r="B101" s="172"/>
      <c r="C101" s="34" t="s">
        <v>90</v>
      </c>
      <c r="D101" s="42"/>
      <c r="E101" s="43"/>
      <c r="F101" s="173"/>
      <c r="G101" s="23"/>
      <c r="H101" s="24">
        <v>4</v>
      </c>
      <c r="I101" s="25"/>
      <c r="J101" s="26"/>
      <c r="K101" s="18"/>
      <c r="L101" s="12"/>
    </row>
    <row r="102" spans="1:12" ht="13.5" customHeight="1" x14ac:dyDescent="0.2">
      <c r="A102" s="171"/>
      <c r="B102" s="172"/>
      <c r="C102" s="34" t="s">
        <v>91</v>
      </c>
      <c r="D102" s="42"/>
      <c r="E102" s="43"/>
      <c r="F102" s="173"/>
      <c r="G102" s="23"/>
      <c r="H102" s="24">
        <v>1.7</v>
      </c>
      <c r="I102" s="25"/>
      <c r="J102" s="26"/>
      <c r="K102" s="18"/>
      <c r="L102" s="12"/>
    </row>
    <row r="103" spans="1:12" ht="13.5" customHeight="1" x14ac:dyDescent="0.2">
      <c r="A103" s="171"/>
      <c r="B103" s="172"/>
      <c r="C103" s="34" t="s">
        <v>92</v>
      </c>
      <c r="D103" s="42"/>
      <c r="E103" s="43"/>
      <c r="F103" s="173"/>
      <c r="G103" s="23"/>
      <c r="H103" s="24">
        <v>2</v>
      </c>
      <c r="I103" s="25"/>
      <c r="J103" s="26"/>
      <c r="K103" s="18"/>
      <c r="L103" s="12"/>
    </row>
    <row r="104" spans="1:12" ht="13.5" customHeight="1" x14ac:dyDescent="0.2">
      <c r="A104" s="171"/>
      <c r="B104" s="172"/>
      <c r="C104" s="34" t="s">
        <v>93</v>
      </c>
      <c r="D104" s="42"/>
      <c r="E104" s="43"/>
      <c r="F104" s="173"/>
      <c r="G104" s="23"/>
      <c r="H104" s="24">
        <v>10.5</v>
      </c>
      <c r="I104" s="25"/>
      <c r="J104" s="26"/>
      <c r="K104" s="18"/>
      <c r="L104" s="12"/>
    </row>
    <row r="105" spans="1:12" ht="13.5" customHeight="1" x14ac:dyDescent="0.2">
      <c r="A105" s="171"/>
      <c r="B105" s="172"/>
      <c r="C105" s="34" t="s">
        <v>94</v>
      </c>
      <c r="D105" s="42"/>
      <c r="E105" s="43"/>
      <c r="F105" s="173"/>
      <c r="G105" s="23"/>
      <c r="H105" s="24">
        <v>10.75</v>
      </c>
      <c r="I105" s="25"/>
      <c r="J105" s="26"/>
      <c r="K105" s="18"/>
      <c r="L105" s="12"/>
    </row>
    <row r="106" spans="1:12" ht="13.5" customHeight="1" x14ac:dyDescent="0.2">
      <c r="A106" s="171"/>
      <c r="B106" s="172"/>
      <c r="C106" s="34" t="s">
        <v>95</v>
      </c>
      <c r="D106" s="42"/>
      <c r="E106" s="43"/>
      <c r="F106" s="173"/>
      <c r="G106" s="23"/>
      <c r="H106" s="24">
        <v>3.95</v>
      </c>
      <c r="I106" s="25"/>
      <c r="J106" s="26"/>
      <c r="K106" s="18"/>
      <c r="L106" s="12"/>
    </row>
    <row r="107" spans="1:12" ht="13.5" customHeight="1" x14ac:dyDescent="0.2">
      <c r="A107" s="171"/>
      <c r="B107" s="172"/>
      <c r="C107" s="34" t="s">
        <v>96</v>
      </c>
      <c r="D107" s="42"/>
      <c r="E107" s="43"/>
      <c r="F107" s="173"/>
      <c r="G107" s="23"/>
      <c r="H107" s="24">
        <v>4.8</v>
      </c>
      <c r="I107" s="25"/>
      <c r="J107" s="26"/>
      <c r="K107" s="18"/>
      <c r="L107" s="12"/>
    </row>
    <row r="108" spans="1:12" ht="13.5" customHeight="1" x14ac:dyDescent="0.2">
      <c r="A108" s="171"/>
      <c r="B108" s="172"/>
      <c r="C108" s="34" t="s">
        <v>97</v>
      </c>
      <c r="D108" s="42"/>
      <c r="E108" s="43"/>
      <c r="F108" s="173"/>
      <c r="G108" s="23"/>
      <c r="H108" s="24">
        <v>5.5</v>
      </c>
      <c r="I108" s="25"/>
      <c r="J108" s="26"/>
      <c r="K108" s="18"/>
      <c r="L108" s="12"/>
    </row>
    <row r="109" spans="1:12" ht="13.5" customHeight="1" x14ac:dyDescent="0.2">
      <c r="A109" s="171"/>
      <c r="B109" s="172"/>
      <c r="C109" s="34" t="s">
        <v>98</v>
      </c>
      <c r="D109" s="42"/>
      <c r="E109" s="43"/>
      <c r="F109" s="173"/>
      <c r="G109" s="23"/>
      <c r="H109" s="24">
        <v>6.15</v>
      </c>
      <c r="I109" s="25"/>
      <c r="J109" s="26"/>
      <c r="K109" s="18"/>
      <c r="L109" s="12"/>
    </row>
    <row r="110" spans="1:12" ht="13.5" customHeight="1" x14ac:dyDescent="0.2">
      <c r="A110" s="171"/>
      <c r="B110" s="172"/>
      <c r="C110" s="34" t="s">
        <v>99</v>
      </c>
      <c r="D110" s="42"/>
      <c r="E110" s="43"/>
      <c r="F110" s="173"/>
      <c r="G110" s="23"/>
      <c r="H110" s="24">
        <v>33.25</v>
      </c>
      <c r="I110" s="25"/>
      <c r="J110" s="26"/>
      <c r="K110" s="18"/>
      <c r="L110" s="12"/>
    </row>
    <row r="111" spans="1:12" ht="13.5" customHeight="1" x14ac:dyDescent="0.2">
      <c r="A111" s="171"/>
      <c r="B111" s="172"/>
      <c r="C111" s="34" t="s">
        <v>100</v>
      </c>
      <c r="D111" s="42"/>
      <c r="E111" s="43"/>
      <c r="F111" s="173"/>
      <c r="G111" s="23"/>
      <c r="H111" s="24">
        <v>14.95</v>
      </c>
      <c r="I111" s="25"/>
      <c r="J111" s="26"/>
      <c r="K111" s="18"/>
      <c r="L111" s="12"/>
    </row>
    <row r="112" spans="1:12" ht="13.5" customHeight="1" x14ac:dyDescent="0.2">
      <c r="A112" s="171"/>
      <c r="B112" s="172"/>
      <c r="C112" s="34" t="s">
        <v>101</v>
      </c>
      <c r="D112" s="42"/>
      <c r="E112" s="43"/>
      <c r="F112" s="173"/>
      <c r="G112" s="23"/>
      <c r="H112" s="24"/>
      <c r="I112" s="25">
        <v>3500</v>
      </c>
      <c r="J112" s="26"/>
      <c r="K112" s="18"/>
      <c r="L112" s="12"/>
    </row>
    <row r="113" spans="1:12" ht="13.5" customHeight="1" x14ac:dyDescent="0.2">
      <c r="A113" s="171"/>
      <c r="B113" s="172"/>
      <c r="C113" s="34" t="s">
        <v>102</v>
      </c>
      <c r="D113" s="42"/>
      <c r="E113" s="43"/>
      <c r="F113" s="173"/>
      <c r="G113" s="23"/>
      <c r="H113" s="24"/>
      <c r="I113" s="25">
        <v>7500</v>
      </c>
      <c r="J113" s="26"/>
      <c r="K113" s="18"/>
      <c r="L113" s="12"/>
    </row>
    <row r="114" spans="1:12" ht="13.5" customHeight="1" x14ac:dyDescent="0.2">
      <c r="A114" s="171"/>
      <c r="B114" s="172"/>
      <c r="C114" s="34" t="s">
        <v>103</v>
      </c>
      <c r="D114" s="42"/>
      <c r="E114" s="43"/>
      <c r="F114" s="173"/>
      <c r="G114" s="23"/>
      <c r="H114" s="24"/>
      <c r="I114" s="25">
        <v>500</v>
      </c>
      <c r="J114" s="26">
        <v>15335.639999999996</v>
      </c>
      <c r="K114" s="18"/>
      <c r="L114" s="12"/>
    </row>
    <row r="115" spans="1:12" ht="13.5" customHeight="1" x14ac:dyDescent="0.2">
      <c r="A115" s="171">
        <v>43390</v>
      </c>
      <c r="B115" s="172"/>
      <c r="C115" s="34" t="s">
        <v>104</v>
      </c>
      <c r="D115" s="42"/>
      <c r="E115" s="43"/>
      <c r="F115" s="173"/>
      <c r="G115" s="23"/>
      <c r="H115" s="24">
        <v>39.99</v>
      </c>
      <c r="I115" s="25"/>
      <c r="J115" s="26"/>
      <c r="K115" s="18"/>
      <c r="L115" s="12"/>
    </row>
    <row r="116" spans="1:12" ht="13.5" customHeight="1" x14ac:dyDescent="0.2">
      <c r="A116" s="171"/>
      <c r="B116" s="172"/>
      <c r="C116" s="34" t="s">
        <v>89</v>
      </c>
      <c r="D116" s="42"/>
      <c r="E116" s="43"/>
      <c r="F116" s="173"/>
      <c r="G116" s="23"/>
      <c r="H116" s="24">
        <v>9.25</v>
      </c>
      <c r="I116" s="25"/>
      <c r="J116" s="26"/>
      <c r="K116" s="18"/>
      <c r="L116" s="12"/>
    </row>
    <row r="117" spans="1:12" ht="13.5" customHeight="1" x14ac:dyDescent="0.2">
      <c r="A117" s="171"/>
      <c r="B117" s="172"/>
      <c r="C117" s="34" t="s">
        <v>105</v>
      </c>
      <c r="D117" s="42"/>
      <c r="E117" s="43"/>
      <c r="F117" s="173"/>
      <c r="G117" s="23"/>
      <c r="H117" s="24">
        <v>1600</v>
      </c>
      <c r="I117" s="25"/>
      <c r="J117" s="26"/>
      <c r="K117" s="18"/>
      <c r="L117" s="12"/>
    </row>
    <row r="118" spans="1:12" ht="13.5" customHeight="1" x14ac:dyDescent="0.2">
      <c r="A118" s="171"/>
      <c r="B118" s="172"/>
      <c r="C118" s="34" t="s">
        <v>106</v>
      </c>
      <c r="D118" s="42"/>
      <c r="E118" s="43"/>
      <c r="F118" s="173"/>
      <c r="G118" s="23"/>
      <c r="H118" s="24">
        <v>40</v>
      </c>
      <c r="I118" s="25"/>
      <c r="J118" s="26"/>
      <c r="K118" s="18"/>
      <c r="L118" s="12"/>
    </row>
    <row r="119" spans="1:12" ht="13.5" customHeight="1" x14ac:dyDescent="0.2">
      <c r="A119" s="171"/>
      <c r="B119" s="172"/>
      <c r="C119" s="34" t="s">
        <v>107</v>
      </c>
      <c r="D119" s="42"/>
      <c r="E119" s="43"/>
      <c r="F119" s="173"/>
      <c r="G119" s="23"/>
      <c r="H119" s="24">
        <v>100</v>
      </c>
      <c r="I119" s="25"/>
      <c r="J119" s="26">
        <v>13546.399999999996</v>
      </c>
      <c r="K119" s="18"/>
      <c r="L119" s="12"/>
    </row>
    <row r="120" spans="1:12" ht="13.5" customHeight="1" x14ac:dyDescent="0.2">
      <c r="A120" s="171" t="s">
        <v>468</v>
      </c>
      <c r="B120" s="172"/>
      <c r="C120" s="34" t="s">
        <v>18</v>
      </c>
      <c r="D120" s="42" t="s">
        <v>108</v>
      </c>
      <c r="E120" s="43">
        <v>-368.28</v>
      </c>
      <c r="F120" s="173"/>
      <c r="G120" s="23"/>
      <c r="H120" s="24"/>
      <c r="I120" s="25"/>
      <c r="J120" s="26"/>
      <c r="K120" s="18"/>
      <c r="L120" s="12"/>
    </row>
    <row r="121" spans="1:12" ht="13.5" customHeight="1" x14ac:dyDescent="0.2">
      <c r="A121" s="171"/>
      <c r="B121" s="172"/>
      <c r="C121" s="34" t="s">
        <v>109</v>
      </c>
      <c r="D121" s="42" t="s">
        <v>108</v>
      </c>
      <c r="E121" s="43">
        <v>-93.69</v>
      </c>
      <c r="F121" s="173"/>
      <c r="G121" s="23"/>
      <c r="H121" s="24"/>
      <c r="I121" s="25"/>
      <c r="J121" s="26"/>
      <c r="K121" s="18"/>
      <c r="L121" s="12"/>
    </row>
    <row r="122" spans="1:12" ht="13.5" customHeight="1" x14ac:dyDescent="0.2">
      <c r="A122" s="171"/>
      <c r="B122" s="172"/>
      <c r="C122" s="34" t="s">
        <v>20</v>
      </c>
      <c r="D122" s="42" t="s">
        <v>19</v>
      </c>
      <c r="E122" s="43"/>
      <c r="F122" s="173">
        <v>0.09</v>
      </c>
      <c r="G122" s="23">
        <v>9310.26</v>
      </c>
      <c r="H122" s="24"/>
      <c r="I122" s="25"/>
      <c r="J122" s="26"/>
      <c r="K122" s="18"/>
      <c r="L122" s="12"/>
    </row>
    <row r="123" spans="1:12" ht="13.5" customHeight="1" x14ac:dyDescent="0.2">
      <c r="A123" s="171">
        <v>43391</v>
      </c>
      <c r="B123" s="172"/>
      <c r="C123" s="34" t="s">
        <v>110</v>
      </c>
      <c r="D123" s="42"/>
      <c r="E123" s="43"/>
      <c r="F123" s="173"/>
      <c r="G123" s="23"/>
      <c r="H123" s="24">
        <v>8.98</v>
      </c>
      <c r="I123" s="25"/>
      <c r="J123" s="26"/>
      <c r="K123" s="18"/>
      <c r="L123" s="12"/>
    </row>
    <row r="124" spans="1:12" ht="13.5" customHeight="1" x14ac:dyDescent="0.2">
      <c r="A124" s="171"/>
      <c r="B124" s="172"/>
      <c r="C124" s="34" t="s">
        <v>111</v>
      </c>
      <c r="D124" s="42"/>
      <c r="E124" s="43"/>
      <c r="F124" s="173"/>
      <c r="G124" s="23"/>
      <c r="H124" s="24">
        <v>60</v>
      </c>
      <c r="I124" s="25"/>
      <c r="J124" s="26"/>
      <c r="K124" s="18"/>
      <c r="L124" s="12"/>
    </row>
    <row r="125" spans="1:12" ht="13.5" customHeight="1" x14ac:dyDescent="0.2">
      <c r="A125" s="171"/>
      <c r="B125" s="172"/>
      <c r="C125" s="34" t="s">
        <v>112</v>
      </c>
      <c r="D125" s="42"/>
      <c r="E125" s="43"/>
      <c r="F125" s="173"/>
      <c r="G125" s="23"/>
      <c r="H125" s="24"/>
      <c r="I125" s="25">
        <v>83</v>
      </c>
      <c r="J125" s="26">
        <v>13560.419999999996</v>
      </c>
      <c r="K125" s="18"/>
      <c r="L125" s="12"/>
    </row>
    <row r="126" spans="1:12" ht="13.5" customHeight="1" x14ac:dyDescent="0.2">
      <c r="A126" s="171"/>
      <c r="B126" s="172"/>
      <c r="C126" s="34" t="s">
        <v>113</v>
      </c>
      <c r="D126" s="42" t="s">
        <v>19</v>
      </c>
      <c r="E126" s="43">
        <v>-296</v>
      </c>
      <c r="F126" s="173"/>
      <c r="G126" s="23"/>
      <c r="H126" s="24"/>
      <c r="I126" s="25"/>
      <c r="J126" s="26"/>
      <c r="K126" s="18"/>
      <c r="L126" s="12"/>
    </row>
    <row r="127" spans="1:12" ht="13.5" customHeight="1" x14ac:dyDescent="0.2">
      <c r="A127" s="171"/>
      <c r="B127" s="172"/>
      <c r="C127" s="34" t="s">
        <v>114</v>
      </c>
      <c r="D127" s="42" t="s">
        <v>19</v>
      </c>
      <c r="E127" s="43">
        <v>-222.25</v>
      </c>
      <c r="F127" s="173"/>
      <c r="G127" s="23"/>
      <c r="H127" s="24"/>
      <c r="I127" s="25"/>
      <c r="J127" s="26"/>
      <c r="K127" s="18"/>
      <c r="L127" s="12"/>
    </row>
    <row r="128" spans="1:12" ht="13.5" customHeight="1" x14ac:dyDescent="0.2">
      <c r="A128" s="171"/>
      <c r="B128" s="172"/>
      <c r="C128" s="34" t="s">
        <v>20</v>
      </c>
      <c r="D128" s="42" t="s">
        <v>19</v>
      </c>
      <c r="E128" s="43"/>
      <c r="F128" s="173">
        <v>0.27</v>
      </c>
      <c r="G128" s="23">
        <v>8792.2800000000007</v>
      </c>
      <c r="H128" s="24"/>
      <c r="I128" s="25"/>
      <c r="J128" s="26"/>
      <c r="K128" s="18"/>
      <c r="L128" s="12"/>
    </row>
    <row r="129" spans="1:12" ht="13.5" customHeight="1" x14ac:dyDescent="0.2">
      <c r="A129" s="171">
        <v>43392</v>
      </c>
      <c r="B129" s="172"/>
      <c r="C129" s="34" t="s">
        <v>115</v>
      </c>
      <c r="D129" s="42"/>
      <c r="E129" s="43"/>
      <c r="F129" s="173"/>
      <c r="G129" s="23"/>
      <c r="H129" s="24">
        <v>2.9</v>
      </c>
      <c r="I129" s="25"/>
      <c r="J129" s="26"/>
      <c r="K129" s="18"/>
      <c r="L129" s="12"/>
    </row>
    <row r="130" spans="1:12" ht="13.5" customHeight="1" x14ac:dyDescent="0.2">
      <c r="A130" s="171"/>
      <c r="B130" s="172"/>
      <c r="C130" s="34" t="s">
        <v>116</v>
      </c>
      <c r="D130" s="42"/>
      <c r="E130" s="43"/>
      <c r="F130" s="173"/>
      <c r="G130" s="23"/>
      <c r="H130" s="24">
        <v>10</v>
      </c>
      <c r="I130" s="25"/>
      <c r="J130" s="26"/>
      <c r="K130" s="18"/>
      <c r="L130" s="12"/>
    </row>
    <row r="131" spans="1:12" ht="13.5" customHeight="1" x14ac:dyDescent="0.2">
      <c r="A131" s="171"/>
      <c r="B131" s="172"/>
      <c r="C131" s="34" t="s">
        <v>117</v>
      </c>
      <c r="D131" s="42"/>
      <c r="E131" s="43"/>
      <c r="F131" s="173"/>
      <c r="G131" s="23"/>
      <c r="H131" s="24">
        <v>4</v>
      </c>
      <c r="I131" s="25"/>
      <c r="J131" s="26"/>
      <c r="K131" s="18"/>
      <c r="L131" s="12"/>
    </row>
    <row r="132" spans="1:12" ht="13.5" customHeight="1" x14ac:dyDescent="0.2">
      <c r="A132" s="171"/>
      <c r="B132" s="172"/>
      <c r="C132" s="34" t="s">
        <v>118</v>
      </c>
      <c r="D132" s="42"/>
      <c r="E132" s="43"/>
      <c r="F132" s="173"/>
      <c r="G132" s="23"/>
      <c r="H132" s="24">
        <v>2.5</v>
      </c>
      <c r="I132" s="25"/>
      <c r="J132" s="26"/>
      <c r="K132" s="18"/>
      <c r="L132" s="12"/>
    </row>
    <row r="133" spans="1:12" ht="13.5" customHeight="1" x14ac:dyDescent="0.2">
      <c r="A133" s="171"/>
      <c r="B133" s="172"/>
      <c r="C133" s="34" t="s">
        <v>119</v>
      </c>
      <c r="D133" s="42"/>
      <c r="E133" s="43"/>
      <c r="F133" s="173"/>
      <c r="G133" s="23"/>
      <c r="H133" s="24">
        <v>32.5</v>
      </c>
      <c r="I133" s="25"/>
      <c r="J133" s="26"/>
      <c r="K133" s="18"/>
      <c r="L133" s="12"/>
    </row>
    <row r="134" spans="1:12" ht="13.5" customHeight="1" x14ac:dyDescent="0.2">
      <c r="A134" s="171"/>
      <c r="B134" s="172"/>
      <c r="C134" s="34" t="s">
        <v>120</v>
      </c>
      <c r="D134" s="42"/>
      <c r="E134" s="43"/>
      <c r="F134" s="173"/>
      <c r="G134" s="23"/>
      <c r="H134" s="24">
        <v>18.989999999999998</v>
      </c>
      <c r="I134" s="25"/>
      <c r="J134" s="26"/>
      <c r="K134" s="18"/>
      <c r="L134" s="12"/>
    </row>
    <row r="135" spans="1:12" ht="13.5" customHeight="1" x14ac:dyDescent="0.2">
      <c r="A135" s="171"/>
      <c r="B135" s="172"/>
      <c r="C135" s="34" t="s">
        <v>57</v>
      </c>
      <c r="D135" s="42"/>
      <c r="E135" s="43"/>
      <c r="F135" s="173"/>
      <c r="G135" s="23"/>
      <c r="H135" s="24">
        <v>2.5</v>
      </c>
      <c r="I135" s="25"/>
      <c r="J135" s="26"/>
      <c r="K135" s="18"/>
      <c r="L135" s="12"/>
    </row>
    <row r="136" spans="1:12" ht="13.5" customHeight="1" x14ac:dyDescent="0.2">
      <c r="A136" s="171"/>
      <c r="B136" s="172"/>
      <c r="C136" s="34" t="s">
        <v>121</v>
      </c>
      <c r="D136" s="42"/>
      <c r="E136" s="43"/>
      <c r="F136" s="173"/>
      <c r="G136" s="23"/>
      <c r="H136" s="24">
        <v>26</v>
      </c>
      <c r="I136" s="25"/>
      <c r="J136" s="26"/>
      <c r="K136" s="18"/>
      <c r="L136" s="12"/>
    </row>
    <row r="137" spans="1:12" ht="13.5" customHeight="1" x14ac:dyDescent="0.2">
      <c r="A137" s="171"/>
      <c r="B137" s="172"/>
      <c r="C137" s="34" t="s">
        <v>36</v>
      </c>
      <c r="D137" s="42"/>
      <c r="E137" s="43"/>
      <c r="F137" s="173"/>
      <c r="G137" s="23"/>
      <c r="H137" s="24">
        <v>280</v>
      </c>
      <c r="I137" s="25"/>
      <c r="J137" s="26"/>
      <c r="K137" s="18"/>
      <c r="L137" s="12"/>
    </row>
    <row r="138" spans="1:12" ht="13.5" customHeight="1" x14ac:dyDescent="0.2">
      <c r="A138" s="171"/>
      <c r="B138" s="172"/>
      <c r="C138" s="34" t="s">
        <v>52</v>
      </c>
      <c r="D138" s="42"/>
      <c r="E138" s="43"/>
      <c r="F138" s="173"/>
      <c r="G138" s="23"/>
      <c r="H138" s="24">
        <v>450</v>
      </c>
      <c r="I138" s="25"/>
      <c r="J138" s="26"/>
      <c r="K138" s="18"/>
      <c r="L138" s="12"/>
    </row>
    <row r="139" spans="1:12" ht="13.5" customHeight="1" x14ac:dyDescent="0.2">
      <c r="A139" s="171"/>
      <c r="B139" s="172"/>
      <c r="C139" s="34" t="s">
        <v>122</v>
      </c>
      <c r="D139" s="42"/>
      <c r="E139" s="43"/>
      <c r="F139" s="173"/>
      <c r="G139" s="23"/>
      <c r="H139" s="24"/>
      <c r="I139" s="25">
        <v>1500</v>
      </c>
      <c r="J139" s="26">
        <v>14231.029999999997</v>
      </c>
      <c r="K139" s="18"/>
      <c r="L139" s="12"/>
    </row>
    <row r="140" spans="1:12" ht="13.5" customHeight="1" x14ac:dyDescent="0.2">
      <c r="A140" s="171" t="s">
        <v>469</v>
      </c>
      <c r="B140" s="172"/>
      <c r="C140" s="34" t="s">
        <v>20</v>
      </c>
      <c r="D140" s="42" t="s">
        <v>19</v>
      </c>
      <c r="E140" s="43"/>
      <c r="F140" s="173">
        <v>0.45</v>
      </c>
      <c r="G140" s="23">
        <v>8792.73</v>
      </c>
      <c r="H140" s="24"/>
      <c r="I140" s="25"/>
      <c r="J140" s="26"/>
      <c r="K140" s="18"/>
      <c r="L140" s="12"/>
    </row>
    <row r="141" spans="1:12" ht="13.5" customHeight="1" x14ac:dyDescent="0.2">
      <c r="A141" s="171">
        <v>43395</v>
      </c>
      <c r="B141" s="172"/>
      <c r="C141" s="34" t="s">
        <v>470</v>
      </c>
      <c r="D141" s="42"/>
      <c r="E141" s="43"/>
      <c r="F141" s="173"/>
      <c r="G141" s="23"/>
      <c r="H141" s="174">
        <v>1000</v>
      </c>
      <c r="I141" s="25"/>
      <c r="J141" s="26"/>
      <c r="K141" s="18"/>
      <c r="L141" s="12"/>
    </row>
    <row r="142" spans="1:12" ht="13.5" customHeight="1" x14ac:dyDescent="0.2">
      <c r="A142" s="171"/>
      <c r="B142" s="172"/>
      <c r="C142" s="34" t="s">
        <v>471</v>
      </c>
      <c r="D142" s="42"/>
      <c r="E142" s="43"/>
      <c r="F142" s="173"/>
      <c r="G142" s="23"/>
      <c r="H142" s="174">
        <v>8000</v>
      </c>
      <c r="I142" s="25"/>
      <c r="J142" s="26"/>
      <c r="K142" s="18"/>
      <c r="L142" s="12"/>
    </row>
    <row r="143" spans="1:12" ht="13.5" customHeight="1" x14ac:dyDescent="0.2">
      <c r="A143" s="171"/>
      <c r="B143" s="172"/>
      <c r="C143" s="34" t="s">
        <v>43</v>
      </c>
      <c r="D143" s="42"/>
      <c r="E143" s="43"/>
      <c r="F143" s="173"/>
      <c r="G143" s="23"/>
      <c r="H143" s="24">
        <v>300</v>
      </c>
      <c r="I143" s="25"/>
      <c r="J143" s="26"/>
      <c r="K143" s="18"/>
      <c r="L143" s="12"/>
    </row>
    <row r="144" spans="1:12" ht="13.5" customHeight="1" x14ac:dyDescent="0.2">
      <c r="A144" s="171"/>
      <c r="B144" s="172"/>
      <c r="C144" s="34" t="s">
        <v>123</v>
      </c>
      <c r="D144" s="42"/>
      <c r="E144" s="43"/>
      <c r="F144" s="173"/>
      <c r="G144" s="23"/>
      <c r="H144" s="24"/>
      <c r="I144" s="25">
        <v>185</v>
      </c>
      <c r="J144" s="26"/>
      <c r="K144" s="18"/>
      <c r="L144" s="12"/>
    </row>
    <row r="145" spans="1:12" ht="13.5" customHeight="1" x14ac:dyDescent="0.2">
      <c r="A145" s="171"/>
      <c r="B145" s="172"/>
      <c r="C145" s="34" t="s">
        <v>124</v>
      </c>
      <c r="D145" s="42"/>
      <c r="E145" s="43"/>
      <c r="F145" s="173"/>
      <c r="G145" s="23"/>
      <c r="H145" s="24">
        <v>72</v>
      </c>
      <c r="I145" s="25"/>
      <c r="J145" s="26"/>
      <c r="K145" s="18"/>
      <c r="L145" s="12"/>
    </row>
    <row r="146" spans="1:12" ht="13.5" customHeight="1" x14ac:dyDescent="0.2">
      <c r="A146" s="171"/>
      <c r="B146" s="172"/>
      <c r="C146" s="34" t="s">
        <v>125</v>
      </c>
      <c r="D146" s="42"/>
      <c r="E146" s="43"/>
      <c r="F146" s="173"/>
      <c r="G146" s="23"/>
      <c r="H146" s="24">
        <v>38.39</v>
      </c>
      <c r="I146" s="25"/>
      <c r="J146" s="26"/>
      <c r="K146" s="18"/>
      <c r="L146" s="12"/>
    </row>
    <row r="147" spans="1:12" ht="13.5" customHeight="1" x14ac:dyDescent="0.2">
      <c r="A147" s="171"/>
      <c r="B147" s="172"/>
      <c r="C147" s="34" t="s">
        <v>126</v>
      </c>
      <c r="D147" s="42"/>
      <c r="E147" s="43"/>
      <c r="F147" s="173"/>
      <c r="G147" s="23"/>
      <c r="H147" s="24"/>
      <c r="I147" s="25">
        <v>400</v>
      </c>
      <c r="J147" s="26">
        <v>5405.6399999999967</v>
      </c>
      <c r="K147" s="18"/>
      <c r="L147" s="12"/>
    </row>
    <row r="148" spans="1:12" ht="13.5" customHeight="1" x14ac:dyDescent="0.2">
      <c r="A148" s="171"/>
      <c r="B148" s="172"/>
      <c r="C148" s="34" t="s">
        <v>127</v>
      </c>
      <c r="D148" s="42" t="s">
        <v>19</v>
      </c>
      <c r="E148" s="43">
        <v>-28.29</v>
      </c>
      <c r="F148" s="173"/>
      <c r="G148" s="23"/>
      <c r="H148" s="24"/>
      <c r="I148" s="25"/>
      <c r="J148" s="26"/>
      <c r="K148" s="18"/>
      <c r="L148" s="12"/>
    </row>
    <row r="149" spans="1:12" ht="13.5" customHeight="1" x14ac:dyDescent="0.2">
      <c r="A149" s="171"/>
      <c r="B149" s="172"/>
      <c r="C149" s="34" t="s">
        <v>128</v>
      </c>
      <c r="D149" s="42" t="s">
        <v>19</v>
      </c>
      <c r="E149" s="43">
        <v>-33.36</v>
      </c>
      <c r="F149" s="173"/>
      <c r="G149" s="23"/>
      <c r="H149" s="24"/>
      <c r="I149" s="25"/>
      <c r="J149" s="26"/>
      <c r="K149" s="18"/>
      <c r="L149" s="12"/>
    </row>
    <row r="150" spans="1:12" ht="13.5" customHeight="1" x14ac:dyDescent="0.2">
      <c r="A150" s="171"/>
      <c r="B150" s="172"/>
      <c r="C150" s="34" t="s">
        <v>129</v>
      </c>
      <c r="D150" s="42" t="s">
        <v>19</v>
      </c>
      <c r="E150" s="43">
        <v>-104.58</v>
      </c>
      <c r="F150" s="173"/>
      <c r="G150" s="23"/>
      <c r="H150" s="24"/>
      <c r="I150" s="25"/>
      <c r="J150" s="26"/>
      <c r="K150" s="18"/>
      <c r="L150" s="12"/>
    </row>
    <row r="151" spans="1:12" ht="13.5" customHeight="1" x14ac:dyDescent="0.2">
      <c r="A151" s="171"/>
      <c r="B151" s="172"/>
      <c r="C151" s="34" t="s">
        <v>130</v>
      </c>
      <c r="D151" s="42" t="s">
        <v>19</v>
      </c>
      <c r="E151" s="43">
        <v>-122.37</v>
      </c>
      <c r="F151" s="173"/>
      <c r="G151" s="23"/>
      <c r="H151" s="24"/>
      <c r="I151" s="25"/>
      <c r="J151" s="26"/>
      <c r="K151" s="18"/>
      <c r="L151" s="12"/>
    </row>
    <row r="152" spans="1:12" ht="13.5" customHeight="1" x14ac:dyDescent="0.2">
      <c r="A152" s="171"/>
      <c r="B152" s="172"/>
      <c r="C152" s="34" t="s">
        <v>131</v>
      </c>
      <c r="D152" s="42" t="s">
        <v>19</v>
      </c>
      <c r="E152" s="43">
        <v>-136.54</v>
      </c>
      <c r="F152" s="173"/>
      <c r="G152" s="23"/>
      <c r="H152" s="24"/>
      <c r="I152" s="25"/>
      <c r="J152" s="26"/>
      <c r="K152" s="18"/>
      <c r="L152" s="12"/>
    </row>
    <row r="153" spans="1:12" ht="13.5" customHeight="1" x14ac:dyDescent="0.2">
      <c r="A153" s="171"/>
      <c r="B153" s="172"/>
      <c r="C153" s="34" t="s">
        <v>132</v>
      </c>
      <c r="D153" s="42" t="s">
        <v>472</v>
      </c>
      <c r="E153" s="43">
        <v>-374.38</v>
      </c>
      <c r="F153" s="173"/>
      <c r="G153" s="23"/>
      <c r="H153" s="24"/>
      <c r="I153" s="25"/>
      <c r="J153" s="26"/>
      <c r="K153" s="18"/>
      <c r="L153" s="12"/>
    </row>
    <row r="154" spans="1:12" ht="13.5" customHeight="1" x14ac:dyDescent="0.2">
      <c r="A154" s="171"/>
      <c r="B154" s="172"/>
      <c r="C154" s="34" t="s">
        <v>133</v>
      </c>
      <c r="D154" s="42" t="s">
        <v>473</v>
      </c>
      <c r="E154" s="43">
        <v>-1026.1500000000001</v>
      </c>
      <c r="F154" s="173"/>
      <c r="G154" s="23"/>
      <c r="H154" s="24"/>
      <c r="I154" s="25"/>
      <c r="J154" s="26"/>
      <c r="K154" s="18"/>
      <c r="L154" s="12"/>
    </row>
    <row r="155" spans="1:12" ht="13.5" customHeight="1" x14ac:dyDescent="0.2">
      <c r="A155" s="171"/>
      <c r="B155" s="172"/>
      <c r="C155" s="34" t="s">
        <v>134</v>
      </c>
      <c r="D155" s="42" t="s">
        <v>474</v>
      </c>
      <c r="E155" s="43">
        <v>-151.87</v>
      </c>
      <c r="F155" s="173"/>
      <c r="G155" s="23"/>
      <c r="H155" s="24"/>
      <c r="I155" s="25"/>
      <c r="J155" s="26"/>
      <c r="K155" s="18"/>
      <c r="L155" s="12"/>
    </row>
    <row r="156" spans="1:12" ht="13.5" customHeight="1" x14ac:dyDescent="0.2">
      <c r="A156" s="171"/>
      <c r="B156" s="172"/>
      <c r="C156" s="34" t="s">
        <v>470</v>
      </c>
      <c r="D156" s="42" t="s">
        <v>475</v>
      </c>
      <c r="E156" s="43"/>
      <c r="F156" s="175">
        <v>1000</v>
      </c>
      <c r="G156" s="23"/>
      <c r="H156" s="24"/>
      <c r="I156" s="25"/>
      <c r="J156" s="26"/>
      <c r="K156" s="18"/>
      <c r="L156" s="12"/>
    </row>
    <row r="157" spans="1:12" ht="13.5" customHeight="1" x14ac:dyDescent="0.2">
      <c r="A157" s="171"/>
      <c r="B157" s="172"/>
      <c r="C157" s="34" t="s">
        <v>20</v>
      </c>
      <c r="D157" s="42" t="s">
        <v>19</v>
      </c>
      <c r="E157" s="43"/>
      <c r="F157" s="173">
        <v>0.09</v>
      </c>
      <c r="G157" s="23">
        <v>7815.28</v>
      </c>
      <c r="H157" s="24"/>
      <c r="I157" s="25"/>
      <c r="J157" s="26"/>
      <c r="K157" s="18"/>
      <c r="L157" s="12"/>
    </row>
    <row r="158" spans="1:12" ht="13.5" customHeight="1" x14ac:dyDescent="0.2">
      <c r="A158" s="171">
        <v>43397</v>
      </c>
      <c r="B158" s="172"/>
      <c r="C158" s="45" t="s">
        <v>135</v>
      </c>
      <c r="D158" s="42"/>
      <c r="E158" s="43"/>
      <c r="F158" s="173"/>
      <c r="G158" s="23"/>
      <c r="H158" s="24">
        <v>39.4</v>
      </c>
      <c r="I158" s="25"/>
      <c r="J158" s="26">
        <v>5366.2399999999971</v>
      </c>
      <c r="K158" s="18"/>
      <c r="L158" s="12"/>
    </row>
    <row r="159" spans="1:12" ht="13.5" customHeight="1" x14ac:dyDescent="0.2">
      <c r="A159" s="171" t="s">
        <v>476</v>
      </c>
      <c r="B159" s="172"/>
      <c r="C159" s="34" t="s">
        <v>136</v>
      </c>
      <c r="D159" s="42" t="s">
        <v>19</v>
      </c>
      <c r="E159" s="43">
        <v>-37.9</v>
      </c>
      <c r="F159" s="173"/>
      <c r="G159" s="23"/>
      <c r="H159" s="24"/>
      <c r="I159" s="25"/>
      <c r="J159" s="26"/>
      <c r="K159" s="18"/>
      <c r="L159" s="12"/>
    </row>
    <row r="160" spans="1:12" ht="13.5" customHeight="1" x14ac:dyDescent="0.2">
      <c r="A160" s="171"/>
      <c r="B160" s="172"/>
      <c r="C160" s="34" t="s">
        <v>137</v>
      </c>
      <c r="D160" s="42" t="s">
        <v>477</v>
      </c>
      <c r="E160" s="43"/>
      <c r="F160" s="173">
        <v>30</v>
      </c>
      <c r="G160" s="23">
        <v>7807.38</v>
      </c>
      <c r="H160" s="24"/>
      <c r="I160" s="25"/>
      <c r="J160" s="26"/>
      <c r="K160" s="18"/>
      <c r="L160" s="12"/>
    </row>
    <row r="161" spans="1:12" ht="13.5" customHeight="1" x14ac:dyDescent="0.2">
      <c r="A161" s="171"/>
      <c r="B161" s="172"/>
      <c r="C161" s="34" t="s">
        <v>138</v>
      </c>
      <c r="D161" s="42"/>
      <c r="E161" s="43"/>
      <c r="F161" s="173"/>
      <c r="G161" s="23"/>
      <c r="H161" s="24">
        <v>84</v>
      </c>
      <c r="I161" s="25"/>
      <c r="J161" s="26"/>
      <c r="K161" s="18"/>
      <c r="L161" s="12"/>
    </row>
    <row r="162" spans="1:12" ht="13.5" customHeight="1" x14ac:dyDescent="0.2">
      <c r="A162" s="171"/>
      <c r="B162" s="172"/>
      <c r="C162" s="45" t="s">
        <v>139</v>
      </c>
      <c r="D162" s="42"/>
      <c r="E162" s="43"/>
      <c r="F162" s="173"/>
      <c r="G162" s="23"/>
      <c r="H162" s="24">
        <v>54</v>
      </c>
      <c r="I162" s="25"/>
      <c r="J162" s="26"/>
      <c r="K162" s="18"/>
      <c r="L162" s="12"/>
    </row>
    <row r="163" spans="1:12" ht="13.5" customHeight="1" x14ac:dyDescent="0.2">
      <c r="A163" s="171"/>
      <c r="B163" s="172"/>
      <c r="C163" s="34" t="s">
        <v>140</v>
      </c>
      <c r="D163" s="42"/>
      <c r="E163" s="43"/>
      <c r="F163" s="173"/>
      <c r="G163" s="23"/>
      <c r="H163" s="24">
        <v>110</v>
      </c>
      <c r="I163" s="25"/>
      <c r="J163" s="26"/>
      <c r="K163" s="18"/>
      <c r="L163" s="12"/>
    </row>
    <row r="164" spans="1:12" ht="13.5" customHeight="1" x14ac:dyDescent="0.2">
      <c r="A164" s="171"/>
      <c r="B164" s="172"/>
      <c r="C164" s="34" t="s">
        <v>141</v>
      </c>
      <c r="D164" s="42"/>
      <c r="E164" s="43"/>
      <c r="F164" s="173"/>
      <c r="G164" s="23"/>
      <c r="H164" s="24">
        <v>150</v>
      </c>
      <c r="I164" s="25"/>
      <c r="J164" s="26"/>
      <c r="K164" s="18"/>
      <c r="L164" s="12"/>
    </row>
    <row r="165" spans="1:12" ht="13.5" customHeight="1" x14ac:dyDescent="0.2">
      <c r="A165" s="171"/>
      <c r="B165" s="172"/>
      <c r="C165" s="34" t="s">
        <v>142</v>
      </c>
      <c r="D165" s="42"/>
      <c r="E165" s="43"/>
      <c r="F165" s="173"/>
      <c r="G165" s="23"/>
      <c r="H165" s="24">
        <v>150</v>
      </c>
      <c r="I165" s="25"/>
      <c r="J165" s="26">
        <v>4818.2399999999971</v>
      </c>
      <c r="K165" s="18"/>
      <c r="L165" s="12"/>
    </row>
    <row r="166" spans="1:12" ht="13.5" customHeight="1" x14ac:dyDescent="0.2">
      <c r="A166" s="171">
        <v>43399</v>
      </c>
      <c r="B166" s="172"/>
      <c r="C166" s="34" t="s">
        <v>143</v>
      </c>
      <c r="D166" s="42"/>
      <c r="E166" s="43"/>
      <c r="F166" s="173"/>
      <c r="G166" s="23"/>
      <c r="H166" s="24">
        <v>6.9</v>
      </c>
      <c r="I166" s="25"/>
      <c r="J166" s="26"/>
      <c r="K166" s="18"/>
      <c r="L166" s="12"/>
    </row>
    <row r="167" spans="1:12" ht="13.5" customHeight="1" x14ac:dyDescent="0.2">
      <c r="A167" s="171"/>
      <c r="B167" s="172"/>
      <c r="C167" s="34" t="s">
        <v>144</v>
      </c>
      <c r="D167" s="42"/>
      <c r="E167" s="43"/>
      <c r="F167" s="173"/>
      <c r="G167" s="23"/>
      <c r="H167" s="24">
        <v>13</v>
      </c>
      <c r="I167" s="25"/>
      <c r="J167" s="26"/>
      <c r="K167" s="18"/>
      <c r="L167" s="12"/>
    </row>
    <row r="168" spans="1:12" ht="13.5" customHeight="1" x14ac:dyDescent="0.2">
      <c r="A168" s="171"/>
      <c r="B168" s="172"/>
      <c r="C168" s="34" t="s">
        <v>145</v>
      </c>
      <c r="D168" s="42"/>
      <c r="E168" s="43"/>
      <c r="F168" s="173"/>
      <c r="G168" s="23"/>
      <c r="H168" s="24">
        <v>44.8</v>
      </c>
      <c r="I168" s="25"/>
      <c r="J168" s="26"/>
      <c r="K168" s="18"/>
      <c r="L168" s="12"/>
    </row>
    <row r="169" spans="1:12" ht="13.5" customHeight="1" x14ac:dyDescent="0.2">
      <c r="A169" s="171"/>
      <c r="B169" s="172"/>
      <c r="C169" s="34" t="s">
        <v>96</v>
      </c>
      <c r="D169" s="42"/>
      <c r="E169" s="43"/>
      <c r="F169" s="173"/>
      <c r="G169" s="23"/>
      <c r="H169" s="24">
        <v>4.05</v>
      </c>
      <c r="I169" s="25"/>
      <c r="J169" s="26"/>
      <c r="K169" s="18"/>
      <c r="L169" s="12"/>
    </row>
    <row r="170" spans="1:12" ht="13.5" customHeight="1" x14ac:dyDescent="0.2">
      <c r="A170" s="171"/>
      <c r="B170" s="172"/>
      <c r="C170" s="34" t="s">
        <v>146</v>
      </c>
      <c r="D170" s="42"/>
      <c r="E170" s="43"/>
      <c r="F170" s="173"/>
      <c r="G170" s="23"/>
      <c r="H170" s="24">
        <v>2.1</v>
      </c>
      <c r="I170" s="25"/>
      <c r="J170" s="26"/>
      <c r="K170" s="18"/>
      <c r="L170" s="12"/>
    </row>
    <row r="171" spans="1:12" ht="13.5" customHeight="1" x14ac:dyDescent="0.2">
      <c r="A171" s="171"/>
      <c r="B171" s="172"/>
      <c r="C171" s="34" t="s">
        <v>147</v>
      </c>
      <c r="D171" s="42"/>
      <c r="E171" s="43"/>
      <c r="F171" s="173"/>
      <c r="G171" s="23"/>
      <c r="H171" s="24"/>
      <c r="I171" s="25">
        <v>1360</v>
      </c>
      <c r="J171" s="26"/>
      <c r="K171" s="18"/>
      <c r="L171" s="12"/>
    </row>
    <row r="172" spans="1:12" ht="13.5" customHeight="1" x14ac:dyDescent="0.2">
      <c r="A172" s="171"/>
      <c r="B172" s="172"/>
      <c r="C172" s="34" t="s">
        <v>36</v>
      </c>
      <c r="D172" s="42"/>
      <c r="E172" s="43"/>
      <c r="F172" s="173"/>
      <c r="G172" s="23"/>
      <c r="H172" s="24">
        <v>280</v>
      </c>
      <c r="I172" s="25"/>
      <c r="J172" s="26"/>
      <c r="K172" s="18"/>
      <c r="L172" s="12"/>
    </row>
    <row r="173" spans="1:12" ht="13.5" customHeight="1" x14ac:dyDescent="0.2">
      <c r="A173" s="171"/>
      <c r="B173" s="172"/>
      <c r="C173" s="34" t="s">
        <v>52</v>
      </c>
      <c r="D173" s="42"/>
      <c r="E173" s="43"/>
      <c r="F173" s="173"/>
      <c r="G173" s="23"/>
      <c r="H173" s="24">
        <v>450</v>
      </c>
      <c r="I173" s="25"/>
      <c r="J173" s="26"/>
      <c r="K173" s="18"/>
      <c r="L173" s="12"/>
    </row>
    <row r="174" spans="1:12" ht="13.5" customHeight="1" x14ac:dyDescent="0.2">
      <c r="A174" s="171"/>
      <c r="B174" s="172"/>
      <c r="C174" s="34" t="s">
        <v>43</v>
      </c>
      <c r="D174" s="42"/>
      <c r="E174" s="43"/>
      <c r="F174" s="173"/>
      <c r="G174" s="23"/>
      <c r="H174" s="24">
        <v>240</v>
      </c>
      <c r="I174" s="25"/>
      <c r="J174" s="26"/>
      <c r="K174" s="18"/>
      <c r="L174" s="12"/>
    </row>
    <row r="175" spans="1:12" ht="13.5" customHeight="1" x14ac:dyDescent="0.2">
      <c r="A175" s="171"/>
      <c r="B175" s="172"/>
      <c r="C175" s="34" t="s">
        <v>148</v>
      </c>
      <c r="D175" s="42"/>
      <c r="E175" s="43"/>
      <c r="F175" s="173"/>
      <c r="G175" s="23"/>
      <c r="H175" s="24">
        <v>180</v>
      </c>
      <c r="I175" s="25"/>
      <c r="J175" s="26"/>
      <c r="K175" s="18"/>
      <c r="L175" s="12"/>
    </row>
    <row r="176" spans="1:12" ht="13.5" customHeight="1" x14ac:dyDescent="0.2">
      <c r="A176" s="171"/>
      <c r="B176" s="172"/>
      <c r="C176" s="34" t="s">
        <v>149</v>
      </c>
      <c r="D176" s="42"/>
      <c r="E176" s="43"/>
      <c r="F176" s="173"/>
      <c r="G176" s="23"/>
      <c r="H176" s="24">
        <v>140</v>
      </c>
      <c r="I176" s="25"/>
      <c r="J176" s="26">
        <v>4817.3899999999967</v>
      </c>
      <c r="K176" s="18"/>
      <c r="L176" s="12"/>
    </row>
    <row r="177" spans="1:12" ht="13.5" customHeight="1" x14ac:dyDescent="0.2">
      <c r="A177" s="171">
        <v>43402</v>
      </c>
      <c r="B177" s="172"/>
      <c r="C177" s="34" t="s">
        <v>150</v>
      </c>
      <c r="D177" s="42"/>
      <c r="E177" s="43"/>
      <c r="F177" s="173"/>
      <c r="G177" s="23"/>
      <c r="H177" s="24">
        <v>2.4500000000000002</v>
      </c>
      <c r="I177" s="25"/>
      <c r="J177" s="26"/>
      <c r="K177" s="18"/>
      <c r="L177" s="12"/>
    </row>
    <row r="178" spans="1:12" ht="13.5" customHeight="1" x14ac:dyDescent="0.2">
      <c r="A178" s="171"/>
      <c r="B178" s="172"/>
      <c r="C178" s="34" t="s">
        <v>151</v>
      </c>
      <c r="D178" s="42"/>
      <c r="E178" s="43"/>
      <c r="F178" s="173"/>
      <c r="G178" s="23"/>
      <c r="H178" s="24">
        <v>70.05</v>
      </c>
      <c r="I178" s="25"/>
      <c r="J178" s="26"/>
      <c r="K178" s="18"/>
      <c r="L178" s="12"/>
    </row>
    <row r="179" spans="1:12" ht="13.5" customHeight="1" x14ac:dyDescent="0.2">
      <c r="A179" s="171"/>
      <c r="B179" s="172"/>
      <c r="C179" s="34" t="s">
        <v>152</v>
      </c>
      <c r="D179" s="42"/>
      <c r="E179" s="43"/>
      <c r="F179" s="173"/>
      <c r="G179" s="23"/>
      <c r="H179" s="24">
        <v>18.399999999999999</v>
      </c>
      <c r="I179" s="25"/>
      <c r="J179" s="26"/>
      <c r="K179" s="18"/>
      <c r="L179" s="12"/>
    </row>
    <row r="180" spans="1:12" ht="13.5" customHeight="1" x14ac:dyDescent="0.2">
      <c r="A180" s="171"/>
      <c r="B180" s="172"/>
      <c r="C180" s="34" t="s">
        <v>153</v>
      </c>
      <c r="D180" s="42"/>
      <c r="E180" s="43"/>
      <c r="F180" s="173"/>
      <c r="G180" s="23"/>
      <c r="H180" s="24">
        <v>29.99</v>
      </c>
      <c r="I180" s="25"/>
      <c r="J180" s="26"/>
      <c r="K180" s="18"/>
      <c r="L180" s="12"/>
    </row>
    <row r="181" spans="1:12" ht="13.5" customHeight="1" x14ac:dyDescent="0.2">
      <c r="A181" s="171"/>
      <c r="B181" s="172"/>
      <c r="C181" s="34" t="s">
        <v>154</v>
      </c>
      <c r="D181" s="42"/>
      <c r="E181" s="43"/>
      <c r="F181" s="173"/>
      <c r="G181" s="23"/>
      <c r="H181" s="24">
        <v>26.4</v>
      </c>
      <c r="I181" s="25"/>
      <c r="J181" s="26"/>
      <c r="K181" s="18"/>
      <c r="L181" s="12"/>
    </row>
    <row r="182" spans="1:12" ht="13.5" customHeight="1" x14ac:dyDescent="0.2">
      <c r="A182" s="171"/>
      <c r="B182" s="172"/>
      <c r="C182" s="34" t="s">
        <v>155</v>
      </c>
      <c r="D182" s="42"/>
      <c r="E182" s="43"/>
      <c r="F182" s="173"/>
      <c r="G182" s="23"/>
      <c r="H182" s="24">
        <v>7</v>
      </c>
      <c r="I182" s="25"/>
      <c r="J182" s="26"/>
      <c r="K182" s="18"/>
      <c r="L182" s="12"/>
    </row>
    <row r="183" spans="1:12" ht="13.5" customHeight="1" x14ac:dyDescent="0.2">
      <c r="A183" s="171"/>
      <c r="B183" s="172"/>
      <c r="C183" s="34" t="s">
        <v>156</v>
      </c>
      <c r="D183" s="42"/>
      <c r="E183" s="43"/>
      <c r="F183" s="173"/>
      <c r="G183" s="23"/>
      <c r="H183" s="24">
        <v>84</v>
      </c>
      <c r="I183" s="25"/>
      <c r="J183" s="26"/>
      <c r="K183" s="18"/>
      <c r="L183" s="12"/>
    </row>
    <row r="184" spans="1:12" ht="13.5" customHeight="1" x14ac:dyDescent="0.2">
      <c r="A184" s="171"/>
      <c r="B184" s="172"/>
      <c r="C184" s="34" t="s">
        <v>157</v>
      </c>
      <c r="D184" s="42"/>
      <c r="E184" s="43"/>
      <c r="F184" s="173"/>
      <c r="G184" s="23"/>
      <c r="H184" s="24">
        <v>19.7</v>
      </c>
      <c r="I184" s="25"/>
      <c r="J184" s="26"/>
      <c r="K184" s="18"/>
      <c r="L184" s="12"/>
    </row>
    <row r="185" spans="1:12" ht="13.5" customHeight="1" x14ac:dyDescent="0.2">
      <c r="A185" s="171"/>
      <c r="B185" s="172"/>
      <c r="C185" s="34" t="s">
        <v>470</v>
      </c>
      <c r="D185" s="42"/>
      <c r="E185" s="43"/>
      <c r="F185" s="173"/>
      <c r="G185" s="23"/>
      <c r="H185" s="174">
        <v>1000</v>
      </c>
      <c r="I185" s="25"/>
      <c r="J185" s="26"/>
      <c r="K185" s="18"/>
      <c r="L185" s="12"/>
    </row>
    <row r="186" spans="1:12" ht="13.5" customHeight="1" x14ac:dyDescent="0.2">
      <c r="A186" s="171"/>
      <c r="B186" s="172"/>
      <c r="C186" s="34" t="s">
        <v>158</v>
      </c>
      <c r="D186" s="42"/>
      <c r="E186" s="43"/>
      <c r="F186" s="173"/>
      <c r="G186" s="23"/>
      <c r="H186" s="24"/>
      <c r="I186" s="25">
        <v>900</v>
      </c>
      <c r="J186" s="26"/>
      <c r="K186" s="18"/>
      <c r="L186" s="12"/>
    </row>
    <row r="187" spans="1:12" ht="13.5" customHeight="1" x14ac:dyDescent="0.2">
      <c r="A187" s="171"/>
      <c r="B187" s="172"/>
      <c r="C187" s="34" t="s">
        <v>159</v>
      </c>
      <c r="D187" s="42"/>
      <c r="E187" s="43"/>
      <c r="F187" s="173"/>
      <c r="G187" s="23"/>
      <c r="H187" s="24">
        <v>150</v>
      </c>
      <c r="I187" s="25"/>
      <c r="J187" s="26"/>
      <c r="K187" s="18"/>
      <c r="L187" s="12"/>
    </row>
    <row r="188" spans="1:12" ht="13.5" customHeight="1" x14ac:dyDescent="0.2">
      <c r="A188" s="171"/>
      <c r="B188" s="172"/>
      <c r="C188" s="34" t="s">
        <v>160</v>
      </c>
      <c r="D188" s="42"/>
      <c r="E188" s="43"/>
      <c r="F188" s="173"/>
      <c r="G188" s="23"/>
      <c r="H188" s="24">
        <v>5.36</v>
      </c>
      <c r="I188" s="25"/>
      <c r="J188" s="26">
        <v>4304.0399999999981</v>
      </c>
      <c r="K188" s="18"/>
      <c r="L188" s="12"/>
    </row>
    <row r="189" spans="1:12" ht="13.5" customHeight="1" x14ac:dyDescent="0.2">
      <c r="A189" s="171"/>
      <c r="B189" s="172"/>
      <c r="C189" s="34" t="s">
        <v>161</v>
      </c>
      <c r="D189" s="42" t="s">
        <v>478</v>
      </c>
      <c r="E189" s="43">
        <v>-180</v>
      </c>
      <c r="F189" s="173"/>
      <c r="G189" s="23"/>
      <c r="H189" s="24"/>
      <c r="I189" s="25"/>
      <c r="J189" s="26"/>
      <c r="K189" s="18"/>
      <c r="L189" s="12"/>
    </row>
    <row r="190" spans="1:12" ht="13.5" customHeight="1" x14ac:dyDescent="0.2">
      <c r="A190" s="171"/>
      <c r="B190" s="172"/>
      <c r="C190" s="34" t="s">
        <v>470</v>
      </c>
      <c r="D190" s="42" t="s">
        <v>479</v>
      </c>
      <c r="E190" s="43"/>
      <c r="F190" s="175">
        <v>1000</v>
      </c>
      <c r="G190" s="23"/>
      <c r="H190" s="24"/>
      <c r="I190" s="25"/>
      <c r="J190" s="26"/>
      <c r="K190" s="18"/>
      <c r="L190" s="12"/>
    </row>
    <row r="191" spans="1:12" ht="13.5" customHeight="1" x14ac:dyDescent="0.2">
      <c r="A191" s="171"/>
      <c r="B191" s="172"/>
      <c r="C191" s="34" t="s">
        <v>162</v>
      </c>
      <c r="D191" s="42" t="s">
        <v>480</v>
      </c>
      <c r="E191" s="43">
        <v>-315</v>
      </c>
      <c r="F191" s="173"/>
      <c r="G191" s="176">
        <v>8312.3799999999992</v>
      </c>
      <c r="H191" s="24"/>
      <c r="I191" s="25"/>
      <c r="J191" s="26"/>
      <c r="K191" s="18"/>
      <c r="L191" s="12"/>
    </row>
    <row r="192" spans="1:12" ht="13.5" customHeight="1" x14ac:dyDescent="0.2">
      <c r="A192" s="171">
        <v>43403</v>
      </c>
      <c r="B192" s="172"/>
      <c r="C192" s="34" t="s">
        <v>163</v>
      </c>
      <c r="D192" s="42"/>
      <c r="E192" s="43"/>
      <c r="F192" s="173"/>
      <c r="G192" s="23"/>
      <c r="H192" s="24">
        <v>27</v>
      </c>
      <c r="I192" s="25"/>
      <c r="J192" s="26">
        <v>4277.0399999999981</v>
      </c>
      <c r="K192" s="18"/>
      <c r="L192" s="12"/>
    </row>
    <row r="193" spans="1:12" ht="13.5" customHeight="1" x14ac:dyDescent="0.2">
      <c r="A193" s="171"/>
      <c r="B193" s="172"/>
      <c r="C193" s="34" t="s">
        <v>164</v>
      </c>
      <c r="D193" s="42"/>
      <c r="E193" s="43"/>
      <c r="F193" s="173"/>
      <c r="G193" s="23"/>
      <c r="H193" s="24">
        <v>17.8</v>
      </c>
      <c r="I193" s="25"/>
      <c r="J193" s="26">
        <v>4259.239999999998</v>
      </c>
      <c r="K193" s="18"/>
      <c r="L193" s="12"/>
    </row>
    <row r="194" spans="1:12" ht="13.5" customHeight="1" x14ac:dyDescent="0.2">
      <c r="A194" s="171"/>
      <c r="B194" s="172"/>
      <c r="C194" s="34" t="s">
        <v>165</v>
      </c>
      <c r="D194" s="42"/>
      <c r="E194" s="43"/>
      <c r="F194" s="173"/>
      <c r="G194" s="23"/>
      <c r="H194" s="24">
        <v>7.5</v>
      </c>
      <c r="I194" s="25"/>
      <c r="J194" s="26">
        <v>4251.739999999998</v>
      </c>
      <c r="K194" s="18"/>
      <c r="L194" s="12"/>
    </row>
    <row r="195" spans="1:12" ht="13.5" customHeight="1" x14ac:dyDescent="0.2">
      <c r="A195" s="171"/>
      <c r="B195" s="172"/>
      <c r="C195" s="34" t="s">
        <v>166</v>
      </c>
      <c r="D195" s="42"/>
      <c r="E195" s="43"/>
      <c r="F195" s="173"/>
      <c r="G195" s="23"/>
      <c r="H195" s="24">
        <v>18.75</v>
      </c>
      <c r="I195" s="25"/>
      <c r="J195" s="26">
        <v>4232.989999999998</v>
      </c>
      <c r="K195" s="18"/>
      <c r="L195" s="12"/>
    </row>
    <row r="196" spans="1:12" ht="13.5" customHeight="1" x14ac:dyDescent="0.2">
      <c r="A196" s="171"/>
      <c r="B196" s="172"/>
      <c r="C196" s="34" t="s">
        <v>167</v>
      </c>
      <c r="D196" s="42"/>
      <c r="E196" s="43"/>
      <c r="F196" s="173"/>
      <c r="G196" s="23"/>
      <c r="H196" s="24">
        <v>20</v>
      </c>
      <c r="I196" s="25"/>
      <c r="J196" s="26">
        <v>4212.989999999998</v>
      </c>
      <c r="K196" s="18"/>
      <c r="L196" s="12"/>
    </row>
    <row r="197" spans="1:12" ht="13.5" customHeight="1" x14ac:dyDescent="0.2">
      <c r="A197" s="171"/>
      <c r="B197" s="172"/>
      <c r="C197" s="34" t="s">
        <v>168</v>
      </c>
      <c r="D197" s="42"/>
      <c r="E197" s="43"/>
      <c r="F197" s="173"/>
      <c r="G197" s="23"/>
      <c r="H197" s="24">
        <v>7</v>
      </c>
      <c r="I197" s="25"/>
      <c r="J197" s="26">
        <v>4205.989999999998</v>
      </c>
      <c r="K197" s="18"/>
      <c r="L197" s="12"/>
    </row>
    <row r="198" spans="1:12" ht="13.5" customHeight="1" x14ac:dyDescent="0.2">
      <c r="A198" s="171"/>
      <c r="B198" s="172"/>
      <c r="C198" s="34" t="s">
        <v>169</v>
      </c>
      <c r="D198" s="42"/>
      <c r="E198" s="43"/>
      <c r="F198" s="173"/>
      <c r="G198" s="23"/>
      <c r="H198" s="24">
        <v>40.130000000000003</v>
      </c>
      <c r="I198" s="25"/>
      <c r="J198" s="177">
        <v>4165.8599999999979</v>
      </c>
      <c r="K198" s="18"/>
      <c r="L198" s="12"/>
    </row>
    <row r="199" spans="1:12" ht="13.5" customHeight="1" thickBot="1" x14ac:dyDescent="0.25">
      <c r="A199" s="47"/>
      <c r="B199" s="48"/>
      <c r="C199" s="49"/>
      <c r="D199" s="50"/>
      <c r="E199" s="51">
        <f>SUM(E7:E191)</f>
        <v>-6208.3</v>
      </c>
      <c r="F199" s="52">
        <f>SUM(F157:F161)+SUM(F99:F142)+F89+F65+F71+SUM(F4:F57)</f>
        <v>972.13999999999987</v>
      </c>
      <c r="G199" s="53"/>
      <c r="H199" s="54">
        <f>-(SUM(H187:H198)+SUM(H143:H184)+SUM(H93:H139)+H84+H83+SUM(H62:H81)+SUM(H3:H60))</f>
        <v>-16255.6</v>
      </c>
      <c r="I199" s="55">
        <f>SUM(I3:I186)</f>
        <v>31219.16</v>
      </c>
      <c r="J199" s="52"/>
      <c r="L199" s="12"/>
    </row>
    <row r="200" spans="1:12" ht="13.5" customHeight="1" thickBot="1" x14ac:dyDescent="0.25">
      <c r="A200" s="2" t="s">
        <v>2</v>
      </c>
      <c r="B200" s="3"/>
      <c r="C200" s="3" t="s">
        <v>481</v>
      </c>
      <c r="D200" s="3" t="s">
        <v>4</v>
      </c>
      <c r="E200" s="4" t="s">
        <v>5</v>
      </c>
      <c r="F200" s="4" t="s">
        <v>6</v>
      </c>
      <c r="G200" s="5" t="s">
        <v>7</v>
      </c>
      <c r="H200" s="1415" t="s">
        <v>482</v>
      </c>
      <c r="I200" s="1416"/>
      <c r="J200" s="1417"/>
    </row>
    <row r="201" spans="1:12" ht="13.5" customHeight="1" x14ac:dyDescent="0.2">
      <c r="A201" s="8">
        <v>43374</v>
      </c>
      <c r="B201" s="56"/>
      <c r="C201" s="10" t="s">
        <v>8</v>
      </c>
      <c r="D201" s="11">
        <v>0</v>
      </c>
      <c r="E201" s="51"/>
      <c r="F201" s="12"/>
      <c r="G201" s="178">
        <v>0</v>
      </c>
      <c r="H201" s="179"/>
      <c r="I201" s="57"/>
      <c r="J201" s="58">
        <v>22216.92</v>
      </c>
      <c r="L201" s="51"/>
    </row>
    <row r="202" spans="1:12" ht="13.5" customHeight="1" x14ac:dyDescent="0.2">
      <c r="A202" s="180"/>
      <c r="B202" s="56" t="s">
        <v>483</v>
      </c>
      <c r="C202" s="36" t="s">
        <v>170</v>
      </c>
      <c r="D202" s="11" t="s">
        <v>484</v>
      </c>
      <c r="E202" s="181">
        <v>-150</v>
      </c>
      <c r="F202" s="12"/>
      <c r="G202" s="182" t="s">
        <v>483</v>
      </c>
      <c r="H202" s="59"/>
      <c r="I202" s="60"/>
      <c r="J202" s="61">
        <v>22216.92</v>
      </c>
      <c r="K202" s="18"/>
      <c r="L202" s="30"/>
    </row>
    <row r="203" spans="1:12" ht="13.5" customHeight="1" x14ac:dyDescent="0.2">
      <c r="A203" s="180"/>
      <c r="B203" s="56" t="s">
        <v>483</v>
      </c>
      <c r="C203" s="36" t="s">
        <v>171</v>
      </c>
      <c r="D203" s="11" t="s">
        <v>485</v>
      </c>
      <c r="E203" s="181">
        <v>-554.20000000000005</v>
      </c>
      <c r="F203" s="12"/>
      <c r="G203" s="182" t="s">
        <v>483</v>
      </c>
      <c r="H203" s="59"/>
      <c r="I203" s="60"/>
      <c r="J203" s="61">
        <v>22216.92</v>
      </c>
      <c r="K203" s="18"/>
      <c r="L203" s="30"/>
    </row>
    <row r="204" spans="1:12" ht="13.5" customHeight="1" x14ac:dyDescent="0.2">
      <c r="A204" s="180"/>
      <c r="B204" s="56" t="s">
        <v>483</v>
      </c>
      <c r="C204" s="34" t="s">
        <v>172</v>
      </c>
      <c r="D204" s="11" t="s">
        <v>486</v>
      </c>
      <c r="E204" s="181">
        <v>-585.91</v>
      </c>
      <c r="F204" s="12"/>
      <c r="G204" s="182" t="s">
        <v>483</v>
      </c>
      <c r="H204" s="59"/>
      <c r="I204" s="60"/>
      <c r="J204" s="61">
        <v>22216.92</v>
      </c>
      <c r="K204" s="18"/>
      <c r="L204" s="30"/>
    </row>
    <row r="205" spans="1:12" ht="13.5" customHeight="1" x14ac:dyDescent="0.2">
      <c r="A205" s="180"/>
      <c r="B205" s="56" t="s">
        <v>483</v>
      </c>
      <c r="C205" s="34" t="s">
        <v>173</v>
      </c>
      <c r="D205" s="11" t="s">
        <v>487</v>
      </c>
      <c r="E205" s="181">
        <v>-931.44</v>
      </c>
      <c r="F205" s="12"/>
      <c r="G205" s="182" t="s">
        <v>483</v>
      </c>
      <c r="H205" s="59"/>
      <c r="I205" s="60"/>
      <c r="J205" s="61">
        <v>22216.92</v>
      </c>
      <c r="K205" s="18"/>
      <c r="L205" s="30"/>
    </row>
    <row r="206" spans="1:12" ht="13.5" customHeight="1" x14ac:dyDescent="0.2">
      <c r="A206" s="180"/>
      <c r="B206" s="56" t="s">
        <v>483</v>
      </c>
      <c r="C206" s="36" t="s">
        <v>174</v>
      </c>
      <c r="D206" s="11" t="s">
        <v>488</v>
      </c>
      <c r="E206" s="30"/>
      <c r="F206" s="183">
        <v>2221.5500000000002</v>
      </c>
      <c r="G206" s="182">
        <v>0</v>
      </c>
      <c r="H206" s="59">
        <v>2221.5500000000002</v>
      </c>
      <c r="I206" s="60"/>
      <c r="J206" s="61">
        <v>19995.37</v>
      </c>
      <c r="K206" s="18"/>
      <c r="L206" s="30"/>
    </row>
    <row r="207" spans="1:12" ht="13.5" customHeight="1" x14ac:dyDescent="0.2">
      <c r="A207" s="180" t="s">
        <v>489</v>
      </c>
      <c r="B207" s="56" t="s">
        <v>483</v>
      </c>
      <c r="C207" s="36" t="s">
        <v>175</v>
      </c>
      <c r="D207" s="11" t="s">
        <v>490</v>
      </c>
      <c r="E207" s="181">
        <v>-275.06</v>
      </c>
      <c r="F207" s="12"/>
      <c r="G207" s="182" t="s">
        <v>483</v>
      </c>
      <c r="H207" s="59"/>
      <c r="I207" s="60"/>
      <c r="J207" s="61">
        <v>19995.37</v>
      </c>
      <c r="K207" s="18"/>
      <c r="L207" s="30"/>
    </row>
    <row r="208" spans="1:12" ht="13.5" customHeight="1" x14ac:dyDescent="0.2">
      <c r="A208" s="180"/>
      <c r="B208" s="56" t="s">
        <v>483</v>
      </c>
      <c r="C208" s="36" t="s">
        <v>176</v>
      </c>
      <c r="D208" s="11" t="s">
        <v>491</v>
      </c>
      <c r="E208" s="181">
        <v>-850</v>
      </c>
      <c r="F208" s="12"/>
      <c r="G208" s="182" t="s">
        <v>483</v>
      </c>
      <c r="H208" s="59"/>
      <c r="I208" s="60"/>
      <c r="J208" s="61">
        <v>19995.37</v>
      </c>
      <c r="K208" s="18"/>
      <c r="L208" s="30"/>
    </row>
    <row r="209" spans="1:12" ht="13.5" customHeight="1" x14ac:dyDescent="0.2">
      <c r="A209" s="180"/>
      <c r="B209" s="56" t="s">
        <v>483</v>
      </c>
      <c r="C209" s="36" t="s">
        <v>174</v>
      </c>
      <c r="D209" s="11" t="s">
        <v>488</v>
      </c>
      <c r="E209" s="30"/>
      <c r="F209" s="183">
        <v>1125.06</v>
      </c>
      <c r="G209" s="182">
        <v>0</v>
      </c>
      <c r="H209" s="59">
        <v>1125.06</v>
      </c>
      <c r="I209" s="60"/>
      <c r="J209" s="61">
        <v>18870.309999999998</v>
      </c>
      <c r="K209" s="18"/>
      <c r="L209" s="30"/>
    </row>
    <row r="210" spans="1:12" ht="13.5" customHeight="1" x14ac:dyDescent="0.2">
      <c r="A210" s="180" t="s">
        <v>492</v>
      </c>
      <c r="B210" s="56" t="s">
        <v>483</v>
      </c>
      <c r="C210" s="34" t="s">
        <v>177</v>
      </c>
      <c r="D210" s="11" t="s">
        <v>493</v>
      </c>
      <c r="E210" s="181">
        <v>-162.27000000000001</v>
      </c>
      <c r="F210" s="12"/>
      <c r="G210" s="182" t="s">
        <v>483</v>
      </c>
      <c r="H210" s="59"/>
      <c r="I210" s="60"/>
      <c r="J210" s="61">
        <v>18870.309999999998</v>
      </c>
      <c r="K210" s="18"/>
      <c r="L210" s="30"/>
    </row>
    <row r="211" spans="1:12" ht="13.5" customHeight="1" x14ac:dyDescent="0.2">
      <c r="A211" s="180"/>
      <c r="B211" s="56" t="s">
        <v>483</v>
      </c>
      <c r="C211" s="36" t="s">
        <v>178</v>
      </c>
      <c r="D211" s="11" t="s">
        <v>494</v>
      </c>
      <c r="E211" s="181">
        <v>-105.2</v>
      </c>
      <c r="F211" s="12"/>
      <c r="G211" s="182" t="s">
        <v>483</v>
      </c>
      <c r="H211" s="59"/>
      <c r="I211" s="60"/>
      <c r="J211" s="61">
        <v>18870.309999999998</v>
      </c>
      <c r="K211" s="18"/>
      <c r="L211" s="30"/>
    </row>
    <row r="212" spans="1:12" ht="13.5" customHeight="1" x14ac:dyDescent="0.2">
      <c r="A212" s="180"/>
      <c r="B212" s="56" t="s">
        <v>483</v>
      </c>
      <c r="C212" s="36" t="s">
        <v>178</v>
      </c>
      <c r="D212" s="11" t="s">
        <v>495</v>
      </c>
      <c r="E212" s="181">
        <v>-625.28</v>
      </c>
      <c r="F212" s="12"/>
      <c r="G212" s="182" t="s">
        <v>483</v>
      </c>
      <c r="H212" s="59"/>
      <c r="I212" s="60"/>
      <c r="J212" s="61">
        <v>18870.309999999998</v>
      </c>
      <c r="K212" s="18"/>
      <c r="L212" s="30"/>
    </row>
    <row r="213" spans="1:12" ht="13.5" customHeight="1" x14ac:dyDescent="0.2">
      <c r="A213" s="180" t="s">
        <v>492</v>
      </c>
      <c r="B213" s="56" t="s">
        <v>483</v>
      </c>
      <c r="C213" s="36" t="s">
        <v>179</v>
      </c>
      <c r="D213" s="11" t="s">
        <v>496</v>
      </c>
      <c r="E213" s="181">
        <v>-386.5</v>
      </c>
      <c r="F213" s="12"/>
      <c r="G213" s="182" t="s">
        <v>483</v>
      </c>
      <c r="H213" s="59"/>
      <c r="I213" s="60"/>
      <c r="J213" s="61">
        <v>18870.309999999998</v>
      </c>
      <c r="K213" s="18"/>
      <c r="L213" s="30"/>
    </row>
    <row r="214" spans="1:12" ht="13.5" customHeight="1" x14ac:dyDescent="0.2">
      <c r="A214" s="180"/>
      <c r="B214" s="56" t="s">
        <v>483</v>
      </c>
      <c r="C214" s="36" t="s">
        <v>174</v>
      </c>
      <c r="D214" s="11" t="s">
        <v>488</v>
      </c>
      <c r="E214" s="30"/>
      <c r="F214" s="183">
        <v>1279.25</v>
      </c>
      <c r="G214" s="182">
        <v>0</v>
      </c>
      <c r="H214" s="59">
        <v>1279.25</v>
      </c>
      <c r="I214" s="60"/>
      <c r="J214" s="61">
        <v>17591.059999999998</v>
      </c>
      <c r="K214" s="18"/>
      <c r="L214" s="30"/>
    </row>
    <row r="215" spans="1:12" ht="13.5" customHeight="1" x14ac:dyDescent="0.2">
      <c r="A215" s="180" t="s">
        <v>497</v>
      </c>
      <c r="B215" s="56" t="s">
        <v>483</v>
      </c>
      <c r="C215" s="34" t="s">
        <v>180</v>
      </c>
      <c r="D215" s="11" t="s">
        <v>488</v>
      </c>
      <c r="E215" s="181">
        <v>-277.72000000000003</v>
      </c>
      <c r="F215" s="12"/>
      <c r="G215" s="182" t="s">
        <v>483</v>
      </c>
      <c r="H215" s="59"/>
      <c r="I215" s="60"/>
      <c r="J215" s="61">
        <v>17591.059999999998</v>
      </c>
      <c r="K215" s="18"/>
      <c r="L215" s="30"/>
    </row>
    <row r="216" spans="1:12" ht="13.5" customHeight="1" x14ac:dyDescent="0.2">
      <c r="A216" s="180"/>
      <c r="B216" s="56" t="s">
        <v>483</v>
      </c>
      <c r="C216" s="36" t="s">
        <v>181</v>
      </c>
      <c r="D216" s="11" t="s">
        <v>498</v>
      </c>
      <c r="E216" s="181">
        <v>-142.9</v>
      </c>
      <c r="F216" s="12"/>
      <c r="G216" s="182" t="s">
        <v>483</v>
      </c>
      <c r="H216" s="59"/>
      <c r="I216" s="60"/>
      <c r="J216" s="61">
        <v>17591.059999999998</v>
      </c>
      <c r="K216" s="18"/>
      <c r="L216" s="30"/>
    </row>
    <row r="217" spans="1:12" ht="13.5" customHeight="1" x14ac:dyDescent="0.2">
      <c r="A217" s="180"/>
      <c r="B217" s="56" t="s">
        <v>483</v>
      </c>
      <c r="C217" s="36" t="s">
        <v>182</v>
      </c>
      <c r="D217" s="11" t="s">
        <v>499</v>
      </c>
      <c r="E217" s="181">
        <v>-233.8</v>
      </c>
      <c r="F217" s="12"/>
      <c r="G217" s="182" t="s">
        <v>483</v>
      </c>
      <c r="H217" s="59"/>
      <c r="I217" s="60"/>
      <c r="J217" s="61">
        <v>17591.059999999998</v>
      </c>
      <c r="K217" s="18"/>
      <c r="L217" s="30"/>
    </row>
    <row r="218" spans="1:12" ht="13.5" customHeight="1" x14ac:dyDescent="0.2">
      <c r="A218" s="180"/>
      <c r="B218" s="56" t="s">
        <v>483</v>
      </c>
      <c r="C218" s="36" t="s">
        <v>174</v>
      </c>
      <c r="D218" s="11" t="s">
        <v>488</v>
      </c>
      <c r="E218" s="30"/>
      <c r="F218" s="183">
        <v>654.41999999999996</v>
      </c>
      <c r="G218" s="182">
        <v>0</v>
      </c>
      <c r="H218" s="59">
        <v>654.41999999999996</v>
      </c>
      <c r="I218" s="60"/>
      <c r="J218" s="61">
        <v>16936.64</v>
      </c>
      <c r="K218" s="18"/>
      <c r="L218" s="30"/>
    </row>
    <row r="219" spans="1:12" ht="13.5" customHeight="1" x14ac:dyDescent="0.2">
      <c r="A219" s="180" t="s">
        <v>500</v>
      </c>
      <c r="B219" s="56" t="s">
        <v>483</v>
      </c>
      <c r="C219" s="34" t="s">
        <v>183</v>
      </c>
      <c r="D219" s="11" t="s">
        <v>488</v>
      </c>
      <c r="E219" s="181">
        <v>-552</v>
      </c>
      <c r="F219" s="12"/>
      <c r="G219" s="182" t="s">
        <v>483</v>
      </c>
      <c r="H219" s="59"/>
      <c r="I219" s="60"/>
      <c r="J219" s="61">
        <v>16936.64</v>
      </c>
      <c r="K219" s="18"/>
      <c r="L219" s="30"/>
    </row>
    <row r="220" spans="1:12" ht="13.5" customHeight="1" x14ac:dyDescent="0.2">
      <c r="A220" s="180"/>
      <c r="B220" s="56" t="s">
        <v>483</v>
      </c>
      <c r="C220" s="36" t="s">
        <v>184</v>
      </c>
      <c r="D220" s="11" t="s">
        <v>488</v>
      </c>
      <c r="E220" s="181">
        <v>-1115.1500000000001</v>
      </c>
      <c r="F220" s="12"/>
      <c r="G220" s="182" t="s">
        <v>483</v>
      </c>
      <c r="H220" s="59"/>
      <c r="I220" s="60"/>
      <c r="J220" s="61">
        <v>16936.64</v>
      </c>
      <c r="K220" s="18"/>
      <c r="L220" s="30"/>
    </row>
    <row r="221" spans="1:12" ht="13.5" customHeight="1" x14ac:dyDescent="0.2">
      <c r="A221" s="180"/>
      <c r="B221" s="56" t="s">
        <v>483</v>
      </c>
      <c r="C221" s="36" t="s">
        <v>184</v>
      </c>
      <c r="D221" s="11" t="s">
        <v>488</v>
      </c>
      <c r="E221" s="181">
        <v>-4022.09</v>
      </c>
      <c r="F221" s="12"/>
      <c r="G221" s="182" t="s">
        <v>483</v>
      </c>
      <c r="H221" s="59"/>
      <c r="I221" s="60"/>
      <c r="J221" s="61">
        <v>16936.64</v>
      </c>
      <c r="K221" s="18"/>
      <c r="L221" s="30"/>
    </row>
    <row r="222" spans="1:12" ht="13.5" customHeight="1" x14ac:dyDescent="0.2">
      <c r="A222" s="180"/>
      <c r="B222" s="56" t="s">
        <v>483</v>
      </c>
      <c r="C222" s="36" t="s">
        <v>185</v>
      </c>
      <c r="D222" s="11" t="s">
        <v>488</v>
      </c>
      <c r="E222" s="181">
        <v>-18.29</v>
      </c>
      <c r="F222" s="12"/>
      <c r="G222" s="182">
        <v>-5707.53</v>
      </c>
      <c r="H222" s="59"/>
      <c r="I222" s="60"/>
      <c r="J222" s="61">
        <v>16936.64</v>
      </c>
      <c r="K222" s="18"/>
      <c r="L222" s="30"/>
    </row>
    <row r="223" spans="1:12" ht="13.5" customHeight="1" x14ac:dyDescent="0.2">
      <c r="A223" s="180"/>
      <c r="B223" s="56" t="s">
        <v>483</v>
      </c>
      <c r="C223" s="36" t="s">
        <v>174</v>
      </c>
      <c r="D223" s="11" t="s">
        <v>488</v>
      </c>
      <c r="E223" s="30"/>
      <c r="F223" s="183">
        <v>5707.53</v>
      </c>
      <c r="G223" s="182">
        <v>0</v>
      </c>
      <c r="H223" s="59">
        <v>5707.53</v>
      </c>
      <c r="I223" s="60"/>
      <c r="J223" s="61">
        <v>11229.11</v>
      </c>
      <c r="K223" s="18"/>
      <c r="L223" s="30"/>
    </row>
    <row r="224" spans="1:12" ht="13.5" customHeight="1" x14ac:dyDescent="0.2">
      <c r="A224" s="180" t="s">
        <v>501</v>
      </c>
      <c r="B224" s="56" t="s">
        <v>483</v>
      </c>
      <c r="C224" s="34" t="s">
        <v>186</v>
      </c>
      <c r="D224" s="11" t="s">
        <v>502</v>
      </c>
      <c r="E224" s="181">
        <v>-720.85</v>
      </c>
      <c r="F224" s="12"/>
      <c r="G224" s="182" t="s">
        <v>483</v>
      </c>
      <c r="H224" s="59"/>
      <c r="I224" s="60"/>
      <c r="J224" s="61">
        <v>11229.11</v>
      </c>
      <c r="K224" s="18"/>
      <c r="L224" s="30"/>
    </row>
    <row r="225" spans="1:12" ht="13.5" customHeight="1" x14ac:dyDescent="0.2">
      <c r="A225" s="180"/>
      <c r="B225" s="56" t="s">
        <v>483</v>
      </c>
      <c r="C225" s="36" t="s">
        <v>187</v>
      </c>
      <c r="D225" s="11" t="s">
        <v>503</v>
      </c>
      <c r="E225" s="181">
        <v>-701.3</v>
      </c>
      <c r="F225" s="12"/>
      <c r="G225" s="182" t="s">
        <v>483</v>
      </c>
      <c r="H225" s="59"/>
      <c r="I225" s="60"/>
      <c r="J225" s="61">
        <v>11229.11</v>
      </c>
      <c r="K225" s="18"/>
      <c r="L225" s="30"/>
    </row>
    <row r="226" spans="1:12" ht="13.5" customHeight="1" x14ac:dyDescent="0.2">
      <c r="A226" s="180"/>
      <c r="B226" s="56" t="s">
        <v>483</v>
      </c>
      <c r="C226" s="34" t="s">
        <v>188</v>
      </c>
      <c r="D226" s="11" t="s">
        <v>488</v>
      </c>
      <c r="E226" s="30"/>
      <c r="F226" s="183">
        <v>4731.47</v>
      </c>
      <c r="G226" s="182" t="s">
        <v>483</v>
      </c>
      <c r="H226" s="59"/>
      <c r="I226" s="60"/>
      <c r="J226" s="61">
        <v>11229.11</v>
      </c>
      <c r="K226" s="18"/>
      <c r="L226" s="30"/>
    </row>
    <row r="227" spans="1:12" ht="13.5" customHeight="1" x14ac:dyDescent="0.2">
      <c r="A227" s="180"/>
      <c r="B227" s="56" t="s">
        <v>483</v>
      </c>
      <c r="C227" s="36" t="s">
        <v>189</v>
      </c>
      <c r="D227" s="11" t="s">
        <v>488</v>
      </c>
      <c r="E227" s="181">
        <v>-3309.32</v>
      </c>
      <c r="F227" s="12"/>
      <c r="G227" s="182">
        <v>0</v>
      </c>
      <c r="H227" s="59"/>
      <c r="I227" s="60">
        <v>3309.32</v>
      </c>
      <c r="J227" s="61">
        <v>14538.43</v>
      </c>
      <c r="K227" s="18"/>
      <c r="L227" s="30"/>
    </row>
    <row r="228" spans="1:12" ht="13.5" customHeight="1" x14ac:dyDescent="0.2">
      <c r="A228" s="180" t="s">
        <v>504</v>
      </c>
      <c r="B228" s="56" t="s">
        <v>483</v>
      </c>
      <c r="C228" s="36" t="s">
        <v>190</v>
      </c>
      <c r="D228" s="11" t="s">
        <v>505</v>
      </c>
      <c r="E228" s="181">
        <v>-763.32</v>
      </c>
      <c r="F228" s="12"/>
      <c r="G228" s="182" t="s">
        <v>483</v>
      </c>
      <c r="H228" s="59"/>
      <c r="I228" s="60"/>
      <c r="J228" s="61">
        <v>14538.43</v>
      </c>
      <c r="K228" s="18"/>
      <c r="L228" s="30"/>
    </row>
    <row r="229" spans="1:12" ht="13.5" customHeight="1" x14ac:dyDescent="0.2">
      <c r="A229" s="180"/>
      <c r="B229" s="56" t="s">
        <v>483</v>
      </c>
      <c r="C229" s="36" t="s">
        <v>191</v>
      </c>
      <c r="D229" s="11" t="s">
        <v>506</v>
      </c>
      <c r="E229" s="181">
        <v>-405.68</v>
      </c>
      <c r="F229" s="12"/>
      <c r="G229" s="182" t="s">
        <v>483</v>
      </c>
      <c r="H229" s="59"/>
      <c r="I229" s="60"/>
      <c r="J229" s="61">
        <v>14538.43</v>
      </c>
      <c r="K229" s="18"/>
      <c r="L229" s="30"/>
    </row>
    <row r="230" spans="1:12" ht="13.5" customHeight="1" x14ac:dyDescent="0.2">
      <c r="A230" s="180"/>
      <c r="B230" s="56" t="s">
        <v>483</v>
      </c>
      <c r="C230" s="36" t="s">
        <v>192</v>
      </c>
      <c r="D230" s="11" t="s">
        <v>507</v>
      </c>
      <c r="E230" s="181">
        <v>-405.68</v>
      </c>
      <c r="F230" s="12"/>
      <c r="G230" s="182" t="s">
        <v>483</v>
      </c>
      <c r="H230" s="59"/>
      <c r="I230" s="60"/>
      <c r="J230" s="61">
        <v>14538.43</v>
      </c>
      <c r="K230" s="18"/>
      <c r="L230" s="30"/>
    </row>
    <row r="231" spans="1:12" ht="13.5" customHeight="1" x14ac:dyDescent="0.2">
      <c r="A231" s="180"/>
      <c r="B231" s="56" t="s">
        <v>483</v>
      </c>
      <c r="C231" s="36" t="s">
        <v>174</v>
      </c>
      <c r="D231" s="11" t="s">
        <v>488</v>
      </c>
      <c r="E231" s="30"/>
      <c r="F231" s="183">
        <v>1574.68</v>
      </c>
      <c r="G231" s="182">
        <v>0</v>
      </c>
      <c r="H231" s="59">
        <v>1574.68</v>
      </c>
      <c r="I231" s="60"/>
      <c r="J231" s="61">
        <v>12963.75</v>
      </c>
      <c r="K231" s="18"/>
      <c r="L231" s="30"/>
    </row>
    <row r="232" spans="1:12" ht="13.5" customHeight="1" x14ac:dyDescent="0.2">
      <c r="A232" s="180" t="s">
        <v>508</v>
      </c>
      <c r="B232" s="56" t="s">
        <v>483</v>
      </c>
      <c r="C232" s="36" t="s">
        <v>193</v>
      </c>
      <c r="D232" s="11" t="s">
        <v>488</v>
      </c>
      <c r="E232" s="181">
        <v>-134.5</v>
      </c>
      <c r="F232" s="12"/>
      <c r="G232" s="182" t="s">
        <v>483</v>
      </c>
      <c r="H232" s="59"/>
      <c r="I232" s="60"/>
      <c r="J232" s="61">
        <v>12963.75</v>
      </c>
      <c r="K232" s="18"/>
      <c r="L232" s="30"/>
    </row>
    <row r="233" spans="1:12" ht="13.5" customHeight="1" x14ac:dyDescent="0.2">
      <c r="A233" s="180"/>
      <c r="B233" s="56" t="s">
        <v>483</v>
      </c>
      <c r="C233" s="34" t="s">
        <v>194</v>
      </c>
      <c r="D233" s="11" t="s">
        <v>488</v>
      </c>
      <c r="E233" s="181">
        <v>-82.75</v>
      </c>
      <c r="F233" s="12"/>
      <c r="G233" s="182" t="s">
        <v>483</v>
      </c>
      <c r="H233" s="59"/>
      <c r="I233" s="60"/>
      <c r="J233" s="61">
        <v>12963.75</v>
      </c>
      <c r="K233" s="18"/>
      <c r="L233" s="30"/>
    </row>
    <row r="234" spans="1:12" ht="13.5" customHeight="1" x14ac:dyDescent="0.2">
      <c r="A234" s="180"/>
      <c r="B234" s="56" t="s">
        <v>483</v>
      </c>
      <c r="C234" s="34" t="s">
        <v>195</v>
      </c>
      <c r="D234" s="11" t="s">
        <v>488</v>
      </c>
      <c r="E234" s="181">
        <v>-381.94</v>
      </c>
      <c r="F234" s="12"/>
      <c r="G234" s="182" t="s">
        <v>483</v>
      </c>
      <c r="H234" s="59"/>
      <c r="I234" s="60"/>
      <c r="J234" s="61">
        <v>12963.75</v>
      </c>
      <c r="K234" s="18"/>
      <c r="L234" s="30"/>
    </row>
    <row r="235" spans="1:12" ht="13.5" customHeight="1" x14ac:dyDescent="0.2">
      <c r="A235" s="180"/>
      <c r="B235" s="56" t="s">
        <v>483</v>
      </c>
      <c r="C235" s="62" t="s">
        <v>196</v>
      </c>
      <c r="D235" s="11" t="s">
        <v>488</v>
      </c>
      <c r="E235" s="181">
        <v>-1100</v>
      </c>
      <c r="F235" s="12"/>
      <c r="G235" s="182" t="s">
        <v>483</v>
      </c>
      <c r="H235" s="59"/>
      <c r="I235" s="60"/>
      <c r="J235" s="61">
        <v>12963.75</v>
      </c>
      <c r="K235" s="18"/>
      <c r="L235" s="30"/>
    </row>
    <row r="236" spans="1:12" ht="13.5" customHeight="1" x14ac:dyDescent="0.2">
      <c r="A236" s="180"/>
      <c r="B236" s="56" t="s">
        <v>483</v>
      </c>
      <c r="C236" s="62" t="s">
        <v>197</v>
      </c>
      <c r="D236" s="11" t="s">
        <v>488</v>
      </c>
      <c r="E236" s="181">
        <v>-1833.33</v>
      </c>
      <c r="F236" s="12"/>
      <c r="G236" s="182" t="s">
        <v>483</v>
      </c>
      <c r="H236" s="59"/>
      <c r="I236" s="60"/>
      <c r="J236" s="61">
        <v>12963.75</v>
      </c>
      <c r="K236" s="18"/>
      <c r="L236" s="30"/>
    </row>
    <row r="237" spans="1:12" ht="13.5" customHeight="1" x14ac:dyDescent="0.2">
      <c r="A237" s="180"/>
      <c r="B237" s="56" t="s">
        <v>483</v>
      </c>
      <c r="C237" s="36" t="s">
        <v>174</v>
      </c>
      <c r="D237" s="11" t="s">
        <v>488</v>
      </c>
      <c r="E237" s="30"/>
      <c r="F237" s="183">
        <v>3532.52</v>
      </c>
      <c r="G237" s="182">
        <v>0</v>
      </c>
      <c r="H237" s="59">
        <v>3532.52</v>
      </c>
      <c r="I237" s="60"/>
      <c r="J237" s="61">
        <v>9431.23</v>
      </c>
      <c r="K237" s="18"/>
      <c r="L237" s="30"/>
    </row>
    <row r="238" spans="1:12" ht="13.5" customHeight="1" x14ac:dyDescent="0.2">
      <c r="A238" s="180" t="s">
        <v>509</v>
      </c>
      <c r="B238" s="56" t="s">
        <v>483</v>
      </c>
      <c r="C238" s="36" t="s">
        <v>198</v>
      </c>
      <c r="D238" s="11" t="s">
        <v>510</v>
      </c>
      <c r="E238" s="181">
        <v>-926.75</v>
      </c>
      <c r="F238" s="12"/>
      <c r="G238" s="182" t="s">
        <v>483</v>
      </c>
      <c r="H238" s="59"/>
      <c r="I238" s="60"/>
      <c r="J238" s="61">
        <v>9431.23</v>
      </c>
      <c r="K238" s="18"/>
      <c r="L238" s="30"/>
    </row>
    <row r="239" spans="1:12" ht="13.5" customHeight="1" x14ac:dyDescent="0.2">
      <c r="A239" s="180"/>
      <c r="B239" s="56" t="s">
        <v>483</v>
      </c>
      <c r="C239" s="36" t="s">
        <v>174</v>
      </c>
      <c r="D239" s="11" t="s">
        <v>488</v>
      </c>
      <c r="E239" s="30"/>
      <c r="F239" s="183">
        <v>926.75</v>
      </c>
      <c r="G239" s="182">
        <v>0</v>
      </c>
      <c r="H239" s="59">
        <v>926.75</v>
      </c>
      <c r="I239" s="60"/>
      <c r="J239" s="61">
        <v>8504.48</v>
      </c>
      <c r="K239" s="18"/>
      <c r="L239" s="30"/>
    </row>
    <row r="240" spans="1:12" ht="13.5" customHeight="1" x14ac:dyDescent="0.2">
      <c r="A240" s="180" t="s">
        <v>511</v>
      </c>
      <c r="B240" s="56" t="s">
        <v>483</v>
      </c>
      <c r="C240" s="34" t="s">
        <v>86</v>
      </c>
      <c r="D240" s="11" t="s">
        <v>488</v>
      </c>
      <c r="E240" s="181">
        <v>-78</v>
      </c>
      <c r="F240" s="12"/>
      <c r="G240" s="182" t="s">
        <v>483</v>
      </c>
      <c r="H240" s="59"/>
      <c r="I240" s="60"/>
      <c r="J240" s="61">
        <v>8504.48</v>
      </c>
      <c r="K240" s="18"/>
      <c r="L240" s="30"/>
    </row>
    <row r="241" spans="1:15" ht="13.5" customHeight="1" x14ac:dyDescent="0.2">
      <c r="A241" s="180"/>
      <c r="B241" s="56" t="s">
        <v>483</v>
      </c>
      <c r="C241" s="32" t="s">
        <v>199</v>
      </c>
      <c r="D241" s="11" t="s">
        <v>488</v>
      </c>
      <c r="E241" s="181">
        <v>-173.45</v>
      </c>
      <c r="F241" s="12"/>
      <c r="G241" s="182" t="s">
        <v>483</v>
      </c>
      <c r="H241" s="59"/>
      <c r="I241" s="60"/>
      <c r="J241" s="61">
        <v>8504.48</v>
      </c>
      <c r="K241" s="18"/>
      <c r="L241" s="30"/>
    </row>
    <row r="242" spans="1:15" ht="13.5" customHeight="1" x14ac:dyDescent="0.2">
      <c r="A242" s="180"/>
      <c r="B242" s="56" t="s">
        <v>483</v>
      </c>
      <c r="C242" s="34" t="s">
        <v>471</v>
      </c>
      <c r="D242" s="11" t="s">
        <v>512</v>
      </c>
      <c r="E242" s="181"/>
      <c r="F242" s="168">
        <v>8000</v>
      </c>
      <c r="G242" s="182" t="s">
        <v>483</v>
      </c>
      <c r="H242" s="59"/>
      <c r="I242" s="60"/>
      <c r="J242" s="61">
        <v>8504.48</v>
      </c>
      <c r="K242" s="18"/>
      <c r="L242" s="30"/>
    </row>
    <row r="243" spans="1:15" ht="13.5" customHeight="1" x14ac:dyDescent="0.2">
      <c r="A243" s="180"/>
      <c r="B243" s="56" t="s">
        <v>483</v>
      </c>
      <c r="C243" s="36" t="s">
        <v>200</v>
      </c>
      <c r="D243" s="11" t="s">
        <v>513</v>
      </c>
      <c r="E243" s="181">
        <v>-562.4</v>
      </c>
      <c r="F243" s="12"/>
      <c r="G243" s="182" t="s">
        <v>483</v>
      </c>
      <c r="H243" s="59"/>
      <c r="I243" s="60"/>
      <c r="J243" s="61">
        <v>8504.48</v>
      </c>
      <c r="K243" s="18"/>
      <c r="L243" s="30"/>
    </row>
    <row r="244" spans="1:15" ht="13.5" customHeight="1" x14ac:dyDescent="0.2">
      <c r="A244" s="180"/>
      <c r="B244" s="56" t="s">
        <v>483</v>
      </c>
      <c r="C244" s="36" t="s">
        <v>174</v>
      </c>
      <c r="D244" s="11" t="s">
        <v>488</v>
      </c>
      <c r="E244" s="30"/>
      <c r="F244" s="183">
        <v>813.85</v>
      </c>
      <c r="G244" s="182">
        <v>8000</v>
      </c>
      <c r="H244" s="59">
        <v>813.85</v>
      </c>
      <c r="I244" s="60"/>
      <c r="J244" s="61">
        <v>7690.6299999999992</v>
      </c>
      <c r="K244" s="18"/>
      <c r="L244" s="30"/>
    </row>
    <row r="245" spans="1:15" ht="13.5" customHeight="1" x14ac:dyDescent="0.2">
      <c r="A245" s="180" t="s">
        <v>514</v>
      </c>
      <c r="B245" s="56" t="s">
        <v>483</v>
      </c>
      <c r="C245" s="36" t="s">
        <v>189</v>
      </c>
      <c r="D245" s="11" t="s">
        <v>488</v>
      </c>
      <c r="E245" s="181">
        <v>-8000</v>
      </c>
      <c r="F245" s="12"/>
      <c r="G245" s="182">
        <v>0</v>
      </c>
      <c r="H245" s="59"/>
      <c r="I245" s="60">
        <v>8000</v>
      </c>
      <c r="J245" s="61">
        <v>15690.63</v>
      </c>
      <c r="K245" s="18"/>
      <c r="L245" s="30"/>
    </row>
    <row r="246" spans="1:15" s="64" customFormat="1" ht="13.5" customHeight="1" x14ac:dyDescent="0.2">
      <c r="A246" s="184">
        <v>43397</v>
      </c>
      <c r="B246" s="63" t="s">
        <v>483</v>
      </c>
      <c r="C246" s="34" t="s">
        <v>86</v>
      </c>
      <c r="D246" s="50" t="s">
        <v>488</v>
      </c>
      <c r="E246" s="181">
        <v>-11.9</v>
      </c>
      <c r="F246" s="13"/>
      <c r="G246" s="53" t="s">
        <v>483</v>
      </c>
      <c r="H246" s="179"/>
      <c r="I246" s="57"/>
      <c r="J246" s="61">
        <v>15690.63</v>
      </c>
      <c r="K246" s="18"/>
      <c r="L246" s="51"/>
      <c r="O246" s="65"/>
    </row>
    <row r="247" spans="1:15" s="64" customFormat="1" ht="13.5" customHeight="1" x14ac:dyDescent="0.2">
      <c r="A247" s="184"/>
      <c r="B247" s="63" t="s">
        <v>483</v>
      </c>
      <c r="C247" s="32" t="s">
        <v>201</v>
      </c>
      <c r="D247" s="50" t="s">
        <v>488</v>
      </c>
      <c r="E247" s="181">
        <v>-305.29000000000002</v>
      </c>
      <c r="F247" s="13"/>
      <c r="G247" s="53"/>
      <c r="H247" s="179"/>
      <c r="I247" s="57"/>
      <c r="J247" s="61">
        <v>15690.63</v>
      </c>
      <c r="K247" s="18"/>
      <c r="L247" s="51"/>
      <c r="O247" s="65"/>
    </row>
    <row r="248" spans="1:15" s="64" customFormat="1" ht="13.5" customHeight="1" x14ac:dyDescent="0.2">
      <c r="A248" s="184"/>
      <c r="B248" s="63"/>
      <c r="C248" s="32" t="s">
        <v>174</v>
      </c>
      <c r="D248" s="50"/>
      <c r="E248" s="51"/>
      <c r="F248" s="183">
        <v>317.19</v>
      </c>
      <c r="G248" s="53">
        <v>0</v>
      </c>
      <c r="H248" s="179">
        <v>317.19</v>
      </c>
      <c r="I248" s="57"/>
      <c r="J248" s="61">
        <v>15373.439999999999</v>
      </c>
      <c r="K248" s="18"/>
      <c r="L248" s="51"/>
      <c r="O248" s="65"/>
    </row>
    <row r="249" spans="1:15" s="64" customFormat="1" ht="13.5" customHeight="1" x14ac:dyDescent="0.2">
      <c r="A249" s="184" t="s">
        <v>515</v>
      </c>
      <c r="B249" s="63" t="s">
        <v>483</v>
      </c>
      <c r="C249" s="32" t="s">
        <v>179</v>
      </c>
      <c r="D249" s="50" t="s">
        <v>516</v>
      </c>
      <c r="E249" s="181">
        <v>-147.5</v>
      </c>
      <c r="F249" s="13"/>
      <c r="G249" s="53" t="s">
        <v>483</v>
      </c>
      <c r="H249" s="179"/>
      <c r="I249" s="57"/>
      <c r="J249" s="61">
        <v>15373.439999999999</v>
      </c>
      <c r="K249" s="18"/>
      <c r="L249" s="51"/>
      <c r="O249" s="65"/>
    </row>
    <row r="250" spans="1:15" s="64" customFormat="1" ht="13.5" customHeight="1" x14ac:dyDescent="0.2">
      <c r="A250" s="184"/>
      <c r="B250" s="63" t="s">
        <v>483</v>
      </c>
      <c r="C250" s="32" t="s">
        <v>202</v>
      </c>
      <c r="D250" s="50" t="s">
        <v>517</v>
      </c>
      <c r="E250" s="181">
        <v>-232.1</v>
      </c>
      <c r="F250" s="13"/>
      <c r="G250" s="53" t="s">
        <v>483</v>
      </c>
      <c r="H250" s="179"/>
      <c r="I250" s="57"/>
      <c r="J250" s="61">
        <v>15373.439999999999</v>
      </c>
      <c r="K250" s="18"/>
      <c r="L250" s="51"/>
      <c r="O250" s="65"/>
    </row>
    <row r="251" spans="1:15" s="64" customFormat="1" ht="13.5" customHeight="1" x14ac:dyDescent="0.2">
      <c r="A251" s="184"/>
      <c r="B251" s="63" t="s">
        <v>483</v>
      </c>
      <c r="C251" s="36" t="s">
        <v>174</v>
      </c>
      <c r="D251" s="50" t="s">
        <v>488</v>
      </c>
      <c r="E251" s="51"/>
      <c r="F251" s="183">
        <v>379.6</v>
      </c>
      <c r="G251" s="53">
        <v>0</v>
      </c>
      <c r="H251" s="179">
        <v>379.6</v>
      </c>
      <c r="I251" s="57"/>
      <c r="J251" s="61">
        <v>14993.839999999998</v>
      </c>
      <c r="K251" s="18"/>
      <c r="L251" s="51"/>
      <c r="O251" s="65"/>
    </row>
    <row r="252" spans="1:15" s="64" customFormat="1" ht="13.5" customHeight="1" x14ac:dyDescent="0.2">
      <c r="A252" s="184" t="s">
        <v>518</v>
      </c>
      <c r="B252" s="63" t="s">
        <v>483</v>
      </c>
      <c r="C252" s="32" t="s">
        <v>203</v>
      </c>
      <c r="D252" s="50" t="s">
        <v>519</v>
      </c>
      <c r="E252" s="181">
        <v>-150</v>
      </c>
      <c r="F252" s="13"/>
      <c r="G252" s="53" t="s">
        <v>483</v>
      </c>
      <c r="H252" s="179"/>
      <c r="I252" s="57"/>
      <c r="J252" s="61">
        <v>14993.839999999998</v>
      </c>
      <c r="K252" s="18"/>
      <c r="L252" s="51"/>
      <c r="O252" s="65"/>
    </row>
    <row r="253" spans="1:15" s="64" customFormat="1" ht="13.5" customHeight="1" x14ac:dyDescent="0.2">
      <c r="A253" s="184"/>
      <c r="B253" s="63" t="s">
        <v>483</v>
      </c>
      <c r="C253" s="32" t="s">
        <v>159</v>
      </c>
      <c r="D253" s="50" t="s">
        <v>520</v>
      </c>
      <c r="E253" s="181">
        <v>-750</v>
      </c>
      <c r="F253" s="13"/>
      <c r="G253" s="53" t="s">
        <v>483</v>
      </c>
      <c r="H253" s="179"/>
      <c r="I253" s="57"/>
      <c r="J253" s="61">
        <v>14993.839999999998</v>
      </c>
      <c r="K253" s="18"/>
      <c r="L253" s="51"/>
      <c r="O253" s="65"/>
    </row>
    <row r="254" spans="1:15" s="64" customFormat="1" ht="13.5" customHeight="1" x14ac:dyDescent="0.2">
      <c r="A254" s="184"/>
      <c r="B254" s="63" t="s">
        <v>483</v>
      </c>
      <c r="C254" s="36" t="s">
        <v>174</v>
      </c>
      <c r="D254" s="50" t="s">
        <v>488</v>
      </c>
      <c r="E254" s="51"/>
      <c r="F254" s="183">
        <v>900</v>
      </c>
      <c r="G254" s="53">
        <v>0</v>
      </c>
      <c r="H254" s="179">
        <v>900</v>
      </c>
      <c r="I254" s="57"/>
      <c r="J254" s="61">
        <v>14093.839999999998</v>
      </c>
      <c r="K254" s="18"/>
      <c r="L254" s="51"/>
      <c r="O254" s="65"/>
    </row>
    <row r="255" spans="1:15" s="64" customFormat="1" ht="13.5" customHeight="1" x14ac:dyDescent="0.2">
      <c r="A255" s="184" t="s">
        <v>521</v>
      </c>
      <c r="B255" s="63" t="s">
        <v>483</v>
      </c>
      <c r="C255" s="34" t="s">
        <v>173</v>
      </c>
      <c r="D255" s="50" t="s">
        <v>522</v>
      </c>
      <c r="E255" s="181">
        <v>-968.34</v>
      </c>
      <c r="F255" s="13"/>
      <c r="G255" s="53" t="s">
        <v>483</v>
      </c>
      <c r="H255" s="179"/>
      <c r="I255" s="57"/>
      <c r="J255" s="61">
        <v>14093.839999999998</v>
      </c>
      <c r="K255" s="18"/>
      <c r="L255" s="51"/>
      <c r="O255" s="65"/>
    </row>
    <row r="256" spans="1:15" s="64" customFormat="1" ht="13.5" customHeight="1" x14ac:dyDescent="0.2">
      <c r="A256" s="184"/>
      <c r="B256" s="63" t="s">
        <v>483</v>
      </c>
      <c r="C256" s="32" t="s">
        <v>172</v>
      </c>
      <c r="D256" s="50" t="s">
        <v>523</v>
      </c>
      <c r="E256" s="181">
        <v>-585.91</v>
      </c>
      <c r="F256" s="13"/>
      <c r="G256" s="53" t="s">
        <v>483</v>
      </c>
      <c r="H256" s="179"/>
      <c r="I256" s="57"/>
      <c r="J256" s="61">
        <v>14093.839999999998</v>
      </c>
      <c r="K256" s="18"/>
      <c r="L256" s="51"/>
      <c r="O256" s="65"/>
    </row>
    <row r="257" spans="1:15" s="64" customFormat="1" ht="13.5" customHeight="1" x14ac:dyDescent="0.2">
      <c r="A257" s="184"/>
      <c r="B257" s="63" t="s">
        <v>483</v>
      </c>
      <c r="C257" s="32" t="s">
        <v>171</v>
      </c>
      <c r="D257" s="50" t="s">
        <v>524</v>
      </c>
      <c r="E257" s="181">
        <v>-554.20000000000005</v>
      </c>
      <c r="F257" s="13"/>
      <c r="G257" s="53" t="s">
        <v>483</v>
      </c>
      <c r="H257" s="179"/>
      <c r="I257" s="57"/>
      <c r="J257" s="61">
        <v>14093.839999999998</v>
      </c>
      <c r="K257" s="18"/>
      <c r="L257" s="51"/>
      <c r="O257" s="65"/>
    </row>
    <row r="258" spans="1:15" s="64" customFormat="1" ht="13.5" customHeight="1" x14ac:dyDescent="0.2">
      <c r="A258" s="184"/>
      <c r="B258" s="63" t="s">
        <v>483</v>
      </c>
      <c r="C258" s="36" t="s">
        <v>174</v>
      </c>
      <c r="D258" s="50" t="s">
        <v>488</v>
      </c>
      <c r="E258" s="51"/>
      <c r="F258" s="183">
        <v>2108.4499999999998</v>
      </c>
      <c r="G258" s="185">
        <v>0</v>
      </c>
      <c r="H258" s="179">
        <v>2108.4499999999998</v>
      </c>
      <c r="I258" s="57"/>
      <c r="J258" s="61">
        <v>11985.39</v>
      </c>
      <c r="K258" s="18"/>
      <c r="L258" s="51"/>
      <c r="O258" s="65"/>
    </row>
    <row r="259" spans="1:15" s="64" customFormat="1" ht="13.5" customHeight="1" x14ac:dyDescent="0.2">
      <c r="A259" s="184"/>
      <c r="B259" s="63"/>
      <c r="C259" s="36" t="s">
        <v>20</v>
      </c>
      <c r="D259" s="50"/>
      <c r="E259" s="51"/>
      <c r="F259" s="13"/>
      <c r="G259" s="53"/>
      <c r="H259" s="179"/>
      <c r="I259" s="57">
        <v>3</v>
      </c>
      <c r="J259" s="186">
        <v>11988.39</v>
      </c>
      <c r="K259" s="18"/>
      <c r="L259" s="51"/>
      <c r="N259" s="66"/>
      <c r="O259" s="65"/>
    </row>
    <row r="260" spans="1:15" s="64" customFormat="1" ht="13.5" customHeight="1" thickBot="1" x14ac:dyDescent="0.25">
      <c r="A260" s="184"/>
      <c r="B260" s="63"/>
      <c r="C260" s="63"/>
      <c r="D260" s="50"/>
      <c r="E260" s="51">
        <f>SUM(E202:E257)</f>
        <v>-34272.320000000007</v>
      </c>
      <c r="F260" s="13">
        <f>SUM(F244:F258)+SUM(F205:F239)</f>
        <v>26272.320000000003</v>
      </c>
      <c r="G260" s="53"/>
      <c r="H260" s="179"/>
      <c r="I260" s="57"/>
      <c r="J260" s="67"/>
      <c r="L260" s="51"/>
      <c r="O260" s="65"/>
    </row>
    <row r="261" spans="1:15" ht="13.5" customHeight="1" thickBot="1" x14ac:dyDescent="0.25">
      <c r="A261" s="2" t="s">
        <v>2</v>
      </c>
      <c r="B261" s="3"/>
      <c r="C261" s="3" t="s">
        <v>525</v>
      </c>
      <c r="D261" s="3" t="s">
        <v>4</v>
      </c>
      <c r="E261" s="4" t="s">
        <v>5</v>
      </c>
      <c r="F261" s="4" t="s">
        <v>6</v>
      </c>
      <c r="G261" s="5" t="s">
        <v>7</v>
      </c>
      <c r="H261" s="187"/>
      <c r="I261" s="188"/>
      <c r="J261" s="189"/>
    </row>
    <row r="262" spans="1:15" ht="13.5" customHeight="1" x14ac:dyDescent="0.2">
      <c r="A262" s="8">
        <v>43374</v>
      </c>
      <c r="B262" s="56"/>
      <c r="C262" s="10" t="s">
        <v>8</v>
      </c>
      <c r="D262" s="11"/>
      <c r="E262" s="51"/>
      <c r="F262" s="12"/>
      <c r="G262" s="178">
        <v>1130.4299999999998</v>
      </c>
      <c r="H262" s="179"/>
      <c r="I262" s="57"/>
      <c r="J262" s="67"/>
      <c r="L262" s="51"/>
    </row>
    <row r="263" spans="1:15" ht="13.5" customHeight="1" x14ac:dyDescent="0.2">
      <c r="A263" s="8"/>
      <c r="B263" s="56"/>
      <c r="C263" s="34" t="s">
        <v>526</v>
      </c>
      <c r="D263" s="11"/>
      <c r="E263" s="181">
        <v>468.16999999999985</v>
      </c>
      <c r="F263" s="12"/>
      <c r="G263" s="190">
        <f>G262-E263+F263</f>
        <v>662.26</v>
      </c>
      <c r="H263" s="179"/>
      <c r="I263" s="57"/>
      <c r="J263" s="67"/>
      <c r="L263" s="51"/>
    </row>
    <row r="264" spans="1:15" ht="13.5" customHeight="1" x14ac:dyDescent="0.2">
      <c r="A264" s="180"/>
      <c r="B264" s="56"/>
      <c r="C264" s="32" t="s">
        <v>527</v>
      </c>
      <c r="D264" s="11"/>
      <c r="E264" s="181">
        <v>750</v>
      </c>
      <c r="F264" s="12"/>
      <c r="G264" s="190">
        <f t="shared" ref="G264:G272" si="0">G263-E264+F264</f>
        <v>-87.740000000000009</v>
      </c>
      <c r="H264" s="179"/>
      <c r="I264" s="57"/>
      <c r="J264" s="67"/>
      <c r="L264" s="51"/>
    </row>
    <row r="265" spans="1:15" ht="13.5" customHeight="1" x14ac:dyDescent="0.2">
      <c r="A265" s="180"/>
      <c r="B265" s="56"/>
      <c r="C265" s="32" t="s">
        <v>528</v>
      </c>
      <c r="D265" s="11"/>
      <c r="E265" s="181">
        <v>39</v>
      </c>
      <c r="F265" s="12"/>
      <c r="G265" s="190">
        <f t="shared" si="0"/>
        <v>-126.74000000000001</v>
      </c>
      <c r="H265" s="179"/>
      <c r="I265" s="57"/>
      <c r="J265" s="67"/>
      <c r="L265" s="51"/>
    </row>
    <row r="266" spans="1:15" ht="13.5" customHeight="1" x14ac:dyDescent="0.2">
      <c r="A266" s="180"/>
      <c r="B266" s="56"/>
      <c r="C266" s="36" t="s">
        <v>529</v>
      </c>
      <c r="D266" s="11"/>
      <c r="E266" s="30"/>
      <c r="F266" s="183">
        <v>2000</v>
      </c>
      <c r="G266" s="190">
        <f t="shared" si="0"/>
        <v>1873.26</v>
      </c>
      <c r="H266" s="59"/>
      <c r="I266" s="60"/>
      <c r="J266" s="61"/>
      <c r="L266" s="30"/>
    </row>
    <row r="267" spans="1:15" ht="13.5" customHeight="1" x14ac:dyDescent="0.2">
      <c r="A267" s="180">
        <v>43378</v>
      </c>
      <c r="B267" s="56"/>
      <c r="C267" s="36" t="s">
        <v>530</v>
      </c>
      <c r="D267" s="11"/>
      <c r="E267" s="181">
        <v>849.06</v>
      </c>
      <c r="F267" s="12"/>
      <c r="G267" s="190">
        <f t="shared" si="0"/>
        <v>1024.2</v>
      </c>
      <c r="H267" s="59"/>
      <c r="I267" s="60"/>
      <c r="J267" s="61"/>
      <c r="L267" s="30"/>
    </row>
    <row r="268" spans="1:15" ht="13.5" customHeight="1" x14ac:dyDescent="0.2">
      <c r="A268" s="180">
        <v>43388</v>
      </c>
      <c r="B268" s="56"/>
      <c r="C268" s="36" t="s">
        <v>531</v>
      </c>
      <c r="D268" s="11"/>
      <c r="E268" s="181">
        <v>6.15</v>
      </c>
      <c r="F268" s="12"/>
      <c r="G268" s="190">
        <f t="shared" si="0"/>
        <v>1018.0500000000001</v>
      </c>
      <c r="H268" s="59"/>
      <c r="I268" s="60"/>
      <c r="J268" s="61"/>
      <c r="L268" s="30"/>
    </row>
    <row r="269" spans="1:15" ht="13.5" customHeight="1" x14ac:dyDescent="0.2">
      <c r="A269" s="180"/>
      <c r="B269" s="56"/>
      <c r="C269" s="36" t="s">
        <v>532</v>
      </c>
      <c r="D269" s="11"/>
      <c r="E269" s="181">
        <v>33.25</v>
      </c>
      <c r="F269" s="12"/>
      <c r="G269" s="190">
        <f t="shared" si="0"/>
        <v>984.80000000000007</v>
      </c>
      <c r="H269" s="59"/>
      <c r="I269" s="60"/>
      <c r="J269" s="61"/>
      <c r="L269" s="30"/>
    </row>
    <row r="270" spans="1:15" ht="13.5" customHeight="1" x14ac:dyDescent="0.2">
      <c r="A270" s="180">
        <v>43390</v>
      </c>
      <c r="B270" s="56"/>
      <c r="C270" s="36" t="s">
        <v>531</v>
      </c>
      <c r="D270" s="11"/>
      <c r="E270" s="181">
        <v>26</v>
      </c>
      <c r="F270" s="12"/>
      <c r="G270" s="190">
        <f t="shared" si="0"/>
        <v>958.80000000000007</v>
      </c>
      <c r="H270" s="59"/>
      <c r="I270" s="60"/>
      <c r="J270" s="61"/>
      <c r="L270" s="30"/>
    </row>
    <row r="271" spans="1:15" ht="13.5" customHeight="1" x14ac:dyDescent="0.2">
      <c r="A271" s="180">
        <v>43398</v>
      </c>
      <c r="B271" s="56"/>
      <c r="C271" s="36" t="s">
        <v>533</v>
      </c>
      <c r="D271" s="11"/>
      <c r="E271" s="181">
        <v>110</v>
      </c>
      <c r="F271" s="12"/>
      <c r="G271" s="190">
        <f t="shared" si="0"/>
        <v>848.80000000000007</v>
      </c>
      <c r="H271" s="59"/>
      <c r="I271" s="60"/>
      <c r="J271" s="61"/>
      <c r="L271" s="30"/>
    </row>
    <row r="272" spans="1:15" ht="13.5" customHeight="1" x14ac:dyDescent="0.2">
      <c r="A272" s="180">
        <v>43402</v>
      </c>
      <c r="B272" s="56"/>
      <c r="C272" s="36" t="s">
        <v>531</v>
      </c>
      <c r="D272" s="11"/>
      <c r="E272" s="181">
        <v>20</v>
      </c>
      <c r="F272" s="12"/>
      <c r="G272" s="178">
        <f t="shared" si="0"/>
        <v>828.80000000000007</v>
      </c>
      <c r="H272" s="59"/>
      <c r="I272" s="60"/>
      <c r="J272" s="61"/>
      <c r="L272" s="30"/>
    </row>
    <row r="273" spans="1:15" s="64" customFormat="1" ht="13.5" customHeight="1" thickBot="1" x14ac:dyDescent="0.25">
      <c r="A273" s="184"/>
      <c r="B273" s="63"/>
      <c r="C273" s="63"/>
      <c r="D273" s="50"/>
      <c r="E273" s="51"/>
      <c r="F273" s="13"/>
      <c r="G273" s="53"/>
      <c r="H273" s="179"/>
      <c r="I273" s="57"/>
      <c r="J273" s="67"/>
      <c r="L273" s="51"/>
      <c r="O273" s="65"/>
    </row>
    <row r="274" spans="1:15" customFormat="1" ht="13.5" customHeight="1" thickBot="1" x14ac:dyDescent="0.25">
      <c r="A274" s="2" t="s">
        <v>2</v>
      </c>
      <c r="B274" s="3"/>
      <c r="C274" s="3" t="s">
        <v>534</v>
      </c>
      <c r="D274" s="191" t="s">
        <v>4</v>
      </c>
      <c r="E274" s="4" t="s">
        <v>5</v>
      </c>
      <c r="F274" s="4" t="s">
        <v>6</v>
      </c>
      <c r="G274" s="5" t="s">
        <v>7</v>
      </c>
      <c r="H274" s="192"/>
      <c r="I274" s="193"/>
      <c r="J274" s="194"/>
    </row>
    <row r="275" spans="1:15" customFormat="1" ht="13.5" customHeight="1" x14ac:dyDescent="0.2">
      <c r="A275" s="8">
        <v>42370</v>
      </c>
      <c r="B275" s="36"/>
      <c r="C275" s="10" t="s">
        <v>8</v>
      </c>
      <c r="D275" s="195"/>
      <c r="E275" s="196"/>
      <c r="F275" s="43"/>
      <c r="G275" s="178">
        <v>0</v>
      </c>
      <c r="H275" s="197"/>
      <c r="I275" s="57"/>
      <c r="J275" s="198"/>
      <c r="L275" s="196"/>
    </row>
    <row r="276" spans="1:15" customFormat="1" ht="13.5" customHeight="1" x14ac:dyDescent="0.2">
      <c r="A276" s="180">
        <v>43284</v>
      </c>
      <c r="B276" s="32"/>
      <c r="C276" s="32" t="s">
        <v>535</v>
      </c>
      <c r="D276" s="195"/>
      <c r="E276" s="196"/>
      <c r="F276" s="199">
        <v>500</v>
      </c>
      <c r="G276" s="190">
        <v>500</v>
      </c>
      <c r="H276" s="197"/>
      <c r="I276" s="57"/>
      <c r="J276" s="198"/>
      <c r="L276" s="196"/>
    </row>
    <row r="277" spans="1:15" customFormat="1" ht="13.5" customHeight="1" x14ac:dyDescent="0.2">
      <c r="A277" s="180">
        <v>43346</v>
      </c>
      <c r="B277" s="36"/>
      <c r="C277" s="32" t="s">
        <v>535</v>
      </c>
      <c r="D277" s="195"/>
      <c r="E277" s="200"/>
      <c r="F277" s="199">
        <v>3000</v>
      </c>
      <c r="G277" s="190">
        <v>3500</v>
      </c>
      <c r="H277" s="68"/>
      <c r="I277" s="60"/>
      <c r="J277" s="69"/>
      <c r="L277" s="200"/>
    </row>
    <row r="278" spans="1:15" customFormat="1" ht="13.5" customHeight="1" x14ac:dyDescent="0.2">
      <c r="A278" s="180">
        <v>43374</v>
      </c>
      <c r="B278" s="36"/>
      <c r="C278" s="32" t="s">
        <v>535</v>
      </c>
      <c r="D278" s="195"/>
      <c r="E278" s="200"/>
      <c r="F278" s="199">
        <v>2000</v>
      </c>
      <c r="G278" s="178">
        <v>5500</v>
      </c>
      <c r="H278" s="68"/>
      <c r="I278" s="60"/>
      <c r="J278" s="69"/>
      <c r="L278" s="200"/>
    </row>
    <row r="279" spans="1:15" ht="13.5" customHeight="1" thickBot="1" x14ac:dyDescent="0.25">
      <c r="A279" s="180"/>
      <c r="B279" s="56"/>
      <c r="C279" s="56"/>
      <c r="D279" s="11"/>
      <c r="E279" s="30"/>
      <c r="F279" s="12"/>
      <c r="G279" s="182"/>
      <c r="H279" s="59"/>
      <c r="I279" s="60"/>
      <c r="J279" s="61"/>
      <c r="L279" s="30"/>
    </row>
    <row r="280" spans="1:15" ht="13.5" customHeight="1" thickBot="1" x14ac:dyDescent="0.25">
      <c r="A280" s="2" t="s">
        <v>2</v>
      </c>
      <c r="B280" s="3"/>
      <c r="C280" s="3" t="s">
        <v>536</v>
      </c>
      <c r="D280" s="3"/>
      <c r="E280" s="4"/>
      <c r="F280" s="4"/>
      <c r="G280" s="5" t="s">
        <v>7</v>
      </c>
      <c r="H280" s="6" t="s">
        <v>5</v>
      </c>
      <c r="I280" s="4" t="s">
        <v>6</v>
      </c>
      <c r="J280" s="7" t="s">
        <v>7</v>
      </c>
    </row>
    <row r="281" spans="1:15" ht="13.5" customHeight="1" x14ac:dyDescent="0.2">
      <c r="A281" s="8">
        <v>43344</v>
      </c>
      <c r="B281" s="70"/>
      <c r="C281" s="10" t="s">
        <v>537</v>
      </c>
      <c r="D281" s="201"/>
      <c r="E281" s="67"/>
      <c r="F281" s="67"/>
      <c r="G281" s="178"/>
      <c r="H281" s="179"/>
      <c r="I281" s="57"/>
      <c r="J281" s="58">
        <v>4259.3999999999996</v>
      </c>
      <c r="K281" s="18">
        <v>4259.3999999999996</v>
      </c>
    </row>
    <row r="282" spans="1:15" customFormat="1" ht="13.5" customHeight="1" x14ac:dyDescent="0.2">
      <c r="A282" s="180">
        <v>43347</v>
      </c>
      <c r="B282" s="46"/>
      <c r="C282" s="34" t="s">
        <v>204</v>
      </c>
      <c r="D282" s="202"/>
      <c r="E282" s="69"/>
      <c r="F282" s="69"/>
      <c r="G282" s="203"/>
      <c r="H282" s="68">
        <v>21</v>
      </c>
      <c r="I282" s="71"/>
      <c r="J282" s="69">
        <v>4238.3999999999996</v>
      </c>
      <c r="K282" s="72"/>
      <c r="O282" s="40"/>
    </row>
    <row r="283" spans="1:15" customFormat="1" ht="13.5" customHeight="1" x14ac:dyDescent="0.2">
      <c r="A283" s="180"/>
      <c r="B283" s="46"/>
      <c r="C283" s="34" t="s">
        <v>205</v>
      </c>
      <c r="D283" s="202"/>
      <c r="E283" s="69"/>
      <c r="F283" s="69"/>
      <c r="G283" s="203"/>
      <c r="H283" s="68">
        <v>30</v>
      </c>
      <c r="I283" s="71"/>
      <c r="J283" s="69">
        <v>4208.3999999999996</v>
      </c>
      <c r="K283" s="72"/>
      <c r="O283" s="40"/>
    </row>
    <row r="284" spans="1:15" customFormat="1" ht="13.5" customHeight="1" x14ac:dyDescent="0.2">
      <c r="A284" s="180"/>
      <c r="B284" s="46"/>
      <c r="C284" s="34" t="s">
        <v>206</v>
      </c>
      <c r="D284" s="202"/>
      <c r="E284" s="69"/>
      <c r="F284" s="69"/>
      <c r="G284" s="203"/>
      <c r="H284" s="68">
        <v>307.04000000000002</v>
      </c>
      <c r="I284" s="71"/>
      <c r="J284" s="69">
        <v>3901.3599999999997</v>
      </c>
      <c r="K284" s="72"/>
      <c r="O284" s="40"/>
    </row>
    <row r="285" spans="1:15" customFormat="1" ht="13.5" customHeight="1" x14ac:dyDescent="0.2">
      <c r="A285" s="180">
        <v>43381</v>
      </c>
      <c r="B285" s="46"/>
      <c r="C285" s="34" t="s">
        <v>205</v>
      </c>
      <c r="D285" s="202"/>
      <c r="E285" s="69"/>
      <c r="F285" s="69"/>
      <c r="G285" s="203"/>
      <c r="H285" s="68">
        <v>5</v>
      </c>
      <c r="I285" s="71"/>
      <c r="J285" s="69">
        <v>3896.3599999999997</v>
      </c>
      <c r="K285" s="72"/>
      <c r="O285" s="40"/>
    </row>
    <row r="286" spans="1:15" customFormat="1" ht="13.5" customHeight="1" x14ac:dyDescent="0.2">
      <c r="A286" s="180"/>
      <c r="B286" s="46"/>
      <c r="C286" s="34" t="s">
        <v>206</v>
      </c>
      <c r="D286" s="202"/>
      <c r="E286" s="69"/>
      <c r="F286" s="69"/>
      <c r="G286" s="203"/>
      <c r="H286" s="68">
        <v>150</v>
      </c>
      <c r="I286" s="71"/>
      <c r="J286" s="69">
        <v>3746.3599999999997</v>
      </c>
      <c r="K286" s="72"/>
      <c r="O286" s="40"/>
    </row>
    <row r="287" spans="1:15" customFormat="1" ht="13.5" customHeight="1" x14ac:dyDescent="0.2">
      <c r="A287" s="180"/>
      <c r="B287" s="46"/>
      <c r="C287" s="34" t="s">
        <v>207</v>
      </c>
      <c r="D287" s="202"/>
      <c r="E287" s="69"/>
      <c r="F287" s="69"/>
      <c r="G287" s="203"/>
      <c r="H287" s="68">
        <v>6.24</v>
      </c>
      <c r="I287" s="71"/>
      <c r="J287" s="69">
        <v>3740.12</v>
      </c>
      <c r="K287" s="72"/>
      <c r="O287" s="40"/>
    </row>
    <row r="288" spans="1:15" customFormat="1" ht="13.5" customHeight="1" x14ac:dyDescent="0.2">
      <c r="A288" s="180"/>
      <c r="B288" s="46"/>
      <c r="C288" s="34" t="s">
        <v>208</v>
      </c>
      <c r="D288" s="202"/>
      <c r="E288" s="69"/>
      <c r="F288" s="69"/>
      <c r="G288" s="203"/>
      <c r="H288" s="68">
        <v>85.85</v>
      </c>
      <c r="I288" s="71"/>
      <c r="J288" s="69">
        <v>3654.27</v>
      </c>
      <c r="K288" s="72"/>
      <c r="O288" s="40"/>
    </row>
    <row r="289" spans="1:15" customFormat="1" ht="13.5" customHeight="1" x14ac:dyDescent="0.2">
      <c r="A289" s="180"/>
      <c r="B289" s="46"/>
      <c r="C289" s="34" t="s">
        <v>205</v>
      </c>
      <c r="D289" s="202"/>
      <c r="E289" s="69"/>
      <c r="F289" s="69"/>
      <c r="G289" s="203"/>
      <c r="H289" s="68">
        <v>9.4</v>
      </c>
      <c r="I289" s="71"/>
      <c r="J289" s="69">
        <v>3644.87</v>
      </c>
      <c r="K289" s="72"/>
      <c r="O289" s="40"/>
    </row>
    <row r="290" spans="1:15" customFormat="1" ht="13.5" customHeight="1" x14ac:dyDescent="0.2">
      <c r="A290" s="180"/>
      <c r="B290" s="46"/>
      <c r="C290" s="34" t="s">
        <v>205</v>
      </c>
      <c r="D290" s="202"/>
      <c r="E290" s="69"/>
      <c r="F290" s="69"/>
      <c r="G290" s="203"/>
      <c r="H290" s="68">
        <v>9</v>
      </c>
      <c r="I290" s="71"/>
      <c r="J290" s="69">
        <v>3635.87</v>
      </c>
      <c r="K290" s="72"/>
      <c r="O290" s="40"/>
    </row>
    <row r="291" spans="1:15" customFormat="1" ht="13.5" customHeight="1" x14ac:dyDescent="0.2">
      <c r="A291" s="180"/>
      <c r="B291" s="46"/>
      <c r="C291" s="34" t="s">
        <v>209</v>
      </c>
      <c r="D291" s="202"/>
      <c r="E291" s="69"/>
      <c r="F291" s="69"/>
      <c r="G291" s="203"/>
      <c r="H291" s="68">
        <v>30</v>
      </c>
      <c r="I291" s="71"/>
      <c r="J291" s="69">
        <v>3605.87</v>
      </c>
      <c r="K291" s="72"/>
      <c r="O291" s="40"/>
    </row>
    <row r="292" spans="1:15" ht="13.5" customHeight="1" x14ac:dyDescent="0.2">
      <c r="A292" s="180">
        <v>43382</v>
      </c>
      <c r="B292" s="9"/>
      <c r="C292" s="34" t="s">
        <v>210</v>
      </c>
      <c r="D292" s="204"/>
      <c r="E292" s="61"/>
      <c r="F292" s="61"/>
      <c r="G292" s="205"/>
      <c r="H292" s="59">
        <v>1150</v>
      </c>
      <c r="I292" s="71"/>
      <c r="J292" s="69">
        <v>2455.87</v>
      </c>
      <c r="K292" s="72"/>
    </row>
    <row r="293" spans="1:15" ht="13.5" customHeight="1" x14ac:dyDescent="0.2">
      <c r="A293" s="180"/>
      <c r="B293" s="9"/>
      <c r="C293" s="34" t="s">
        <v>211</v>
      </c>
      <c r="D293" s="204"/>
      <c r="E293" s="61"/>
      <c r="F293" s="61"/>
      <c r="G293" s="205"/>
      <c r="H293" s="59">
        <v>745.05000000000007</v>
      </c>
      <c r="I293" s="71"/>
      <c r="J293" s="69">
        <v>1710.8199999999997</v>
      </c>
      <c r="K293" s="72"/>
    </row>
    <row r="294" spans="1:15" customFormat="1" ht="13.5" customHeight="1" x14ac:dyDescent="0.2">
      <c r="A294" s="180"/>
      <c r="B294" s="46"/>
      <c r="C294" s="34" t="s">
        <v>206</v>
      </c>
      <c r="D294" s="202"/>
      <c r="E294" s="69"/>
      <c r="F294" s="69"/>
      <c r="G294" s="203"/>
      <c r="H294" s="68">
        <v>174.42</v>
      </c>
      <c r="I294" s="71"/>
      <c r="J294" s="69">
        <v>1536.3999999999996</v>
      </c>
      <c r="K294" s="72"/>
      <c r="O294" s="40"/>
    </row>
    <row r="295" spans="1:15" customFormat="1" ht="13.5" customHeight="1" x14ac:dyDescent="0.2">
      <c r="A295" s="180"/>
      <c r="B295" s="46"/>
      <c r="C295" s="34" t="s">
        <v>205</v>
      </c>
      <c r="D295" s="202"/>
      <c r="E295" s="69"/>
      <c r="F295" s="69"/>
      <c r="G295" s="203"/>
      <c r="H295" s="68">
        <v>18.47</v>
      </c>
      <c r="I295" s="71"/>
      <c r="J295" s="69">
        <v>1517.9299999999996</v>
      </c>
      <c r="K295" s="72"/>
      <c r="O295" s="40"/>
    </row>
    <row r="296" spans="1:15" customFormat="1" ht="13.5" customHeight="1" x14ac:dyDescent="0.2">
      <c r="A296" s="180"/>
      <c r="B296" s="46"/>
      <c r="C296" s="34" t="s">
        <v>212</v>
      </c>
      <c r="D296" s="202"/>
      <c r="E296" s="69"/>
      <c r="F296" s="69"/>
      <c r="G296" s="203"/>
      <c r="H296" s="68">
        <v>4</v>
      </c>
      <c r="I296" s="71"/>
      <c r="J296" s="69">
        <v>1513.9299999999996</v>
      </c>
      <c r="K296" s="72"/>
      <c r="O296" s="40"/>
    </row>
    <row r="297" spans="1:15" ht="13.5" customHeight="1" x14ac:dyDescent="0.2">
      <c r="A297" s="180">
        <v>43384</v>
      </c>
      <c r="B297" s="9"/>
      <c r="C297" s="34" t="s">
        <v>538</v>
      </c>
      <c r="D297" s="204"/>
      <c r="E297" s="61"/>
      <c r="F297" s="61"/>
      <c r="G297" s="205"/>
      <c r="H297" s="59"/>
      <c r="I297" s="73">
        <v>8000</v>
      </c>
      <c r="J297" s="69">
        <v>9513.93</v>
      </c>
      <c r="K297" s="72"/>
      <c r="L297" s="18"/>
    </row>
    <row r="298" spans="1:15" ht="13.5" customHeight="1" x14ac:dyDescent="0.2">
      <c r="A298" s="180">
        <v>43386</v>
      </c>
      <c r="B298" s="9"/>
      <c r="C298" s="34" t="s">
        <v>206</v>
      </c>
      <c r="D298" s="204"/>
      <c r="E298" s="61"/>
      <c r="F298" s="61"/>
      <c r="G298" s="205"/>
      <c r="H298" s="59">
        <v>297.48</v>
      </c>
      <c r="I298" s="71"/>
      <c r="J298" s="69">
        <v>9216.4500000000007</v>
      </c>
      <c r="K298" s="72"/>
    </row>
    <row r="299" spans="1:15" ht="13.5" customHeight="1" x14ac:dyDescent="0.2">
      <c r="A299" s="180">
        <v>43391</v>
      </c>
      <c r="B299" s="9"/>
      <c r="C299" s="34" t="s">
        <v>213</v>
      </c>
      <c r="D299" s="204"/>
      <c r="E299" s="61"/>
      <c r="F299" s="61"/>
      <c r="G299" s="205"/>
      <c r="H299" s="59">
        <v>16</v>
      </c>
      <c r="I299" s="71"/>
      <c r="J299" s="69">
        <v>9200.4500000000007</v>
      </c>
      <c r="K299" s="72"/>
    </row>
    <row r="300" spans="1:15" ht="13.5" customHeight="1" x14ac:dyDescent="0.2">
      <c r="A300" s="180"/>
      <c r="B300" s="9"/>
      <c r="C300" s="34" t="s">
        <v>214</v>
      </c>
      <c r="D300" s="204"/>
      <c r="E300" s="61"/>
      <c r="F300" s="61"/>
      <c r="G300" s="205"/>
      <c r="H300" s="59">
        <v>80</v>
      </c>
      <c r="I300" s="71"/>
      <c r="J300" s="69">
        <v>9120.4500000000007</v>
      </c>
      <c r="K300" s="72"/>
    </row>
    <row r="301" spans="1:15" ht="13.5" customHeight="1" x14ac:dyDescent="0.2">
      <c r="A301" s="180">
        <v>43396</v>
      </c>
      <c r="B301" s="9"/>
      <c r="C301" s="34" t="s">
        <v>215</v>
      </c>
      <c r="D301" s="204"/>
      <c r="E301" s="61"/>
      <c r="F301" s="61"/>
      <c r="G301" s="205"/>
      <c r="H301" s="59">
        <v>23.55</v>
      </c>
      <c r="I301" s="71"/>
      <c r="J301" s="69">
        <v>9096.9000000000015</v>
      </c>
      <c r="K301" s="72"/>
    </row>
    <row r="302" spans="1:15" ht="13.5" customHeight="1" x14ac:dyDescent="0.2">
      <c r="A302" s="180">
        <v>43403</v>
      </c>
      <c r="B302" s="9"/>
      <c r="C302" s="34" t="s">
        <v>216</v>
      </c>
      <c r="D302" s="204"/>
      <c r="E302" s="61"/>
      <c r="F302" s="61"/>
      <c r="G302" s="205"/>
      <c r="H302" s="59">
        <v>90</v>
      </c>
      <c r="I302" s="71"/>
      <c r="J302" s="69">
        <v>9006.9000000000015</v>
      </c>
      <c r="K302" s="72"/>
    </row>
    <row r="303" spans="1:15" ht="13.5" customHeight="1" x14ac:dyDescent="0.2">
      <c r="A303" s="180"/>
      <c r="B303" s="9"/>
      <c r="C303" s="34" t="s">
        <v>217</v>
      </c>
      <c r="D303" s="204"/>
      <c r="E303" s="61"/>
      <c r="F303" s="61"/>
      <c r="G303" s="205"/>
      <c r="H303" s="59">
        <v>6.9</v>
      </c>
      <c r="I303" s="71"/>
      <c r="J303" s="206">
        <v>9000.0000000000018</v>
      </c>
      <c r="K303" s="72"/>
    </row>
    <row r="304" spans="1:15" ht="13.5" customHeight="1" thickBot="1" x14ac:dyDescent="0.25">
      <c r="A304" s="207"/>
      <c r="B304" s="207"/>
      <c r="C304" s="208"/>
      <c r="D304" s="207"/>
      <c r="E304" s="209"/>
      <c r="F304" s="209"/>
      <c r="G304" s="210"/>
      <c r="H304" s="211">
        <f>-SUM(H282:H303)</f>
        <v>-3259.4</v>
      </c>
      <c r="I304" s="211">
        <v>0</v>
      </c>
      <c r="J304" s="212"/>
      <c r="M304" s="30">
        <f>SUM(J281,G201,G3,J3)</f>
        <v>23010.239999999998</v>
      </c>
      <c r="N304" s="33" t="s">
        <v>1798</v>
      </c>
    </row>
    <row r="305" spans="1:14" ht="13.5" customHeight="1" thickBot="1" x14ac:dyDescent="0.25">
      <c r="A305" s="213"/>
      <c r="B305" s="214"/>
      <c r="C305" s="215" t="s">
        <v>539</v>
      </c>
      <c r="D305" s="216"/>
      <c r="E305" s="187"/>
      <c r="F305" s="187"/>
      <c r="G305" s="217" t="s">
        <v>7</v>
      </c>
      <c r="H305" s="187"/>
      <c r="I305" s="187"/>
      <c r="J305" s="189"/>
    </row>
    <row r="306" spans="1:14" ht="13.5" customHeight="1" x14ac:dyDescent="0.2">
      <c r="A306" s="74" t="s">
        <v>540</v>
      </c>
      <c r="B306" s="74"/>
      <c r="C306" s="218" t="s">
        <v>541</v>
      </c>
      <c r="D306" s="219"/>
      <c r="E306" s="220"/>
      <c r="F306" s="220"/>
      <c r="G306" s="75">
        <v>11988.47</v>
      </c>
      <c r="H306" s="220"/>
      <c r="I306" s="220"/>
      <c r="J306" s="220"/>
      <c r="M306" s="30">
        <f>J198</f>
        <v>4165.8599999999979</v>
      </c>
      <c r="N306" s="33" t="s">
        <v>1799</v>
      </c>
    </row>
    <row r="307" spans="1:14" ht="13.5" customHeight="1" x14ac:dyDescent="0.2">
      <c r="A307" s="221" t="s">
        <v>540</v>
      </c>
      <c r="B307" s="70"/>
      <c r="C307" s="63" t="s">
        <v>542</v>
      </c>
      <c r="D307" s="50"/>
      <c r="E307" s="13"/>
      <c r="F307" s="13"/>
      <c r="G307" s="75">
        <v>7528.3</v>
      </c>
      <c r="H307" s="13"/>
      <c r="I307" s="13"/>
      <c r="J307" s="13"/>
    </row>
    <row r="308" spans="1:14" ht="13.5" customHeight="1" x14ac:dyDescent="0.2">
      <c r="A308" s="70"/>
      <c r="B308" s="70"/>
      <c r="C308" s="222" t="s">
        <v>543</v>
      </c>
      <c r="D308" s="50"/>
      <c r="E308" s="13"/>
      <c r="F308" s="13"/>
      <c r="G308" s="14">
        <v>19516.77</v>
      </c>
      <c r="H308" s="13"/>
      <c r="I308" s="13"/>
      <c r="J308" s="13"/>
      <c r="M308" s="30">
        <f>SUM(J303,G258,G191)</f>
        <v>17312.38</v>
      </c>
      <c r="N308" s="33" t="s">
        <v>1797</v>
      </c>
    </row>
    <row r="309" spans="1:14" ht="13.5" customHeight="1" x14ac:dyDescent="0.2">
      <c r="A309" s="70"/>
      <c r="B309" s="70"/>
      <c r="C309" s="63"/>
      <c r="D309" s="50"/>
      <c r="E309" s="13"/>
      <c r="F309" s="13"/>
      <c r="G309" s="14"/>
      <c r="H309" s="13"/>
      <c r="I309" s="13"/>
      <c r="J309" s="13"/>
      <c r="L309" s="18"/>
    </row>
    <row r="310" spans="1:14" ht="13.5" customHeight="1" x14ac:dyDescent="0.2">
      <c r="A310" s="70"/>
      <c r="B310" s="70"/>
      <c r="C310" s="222" t="s">
        <v>544</v>
      </c>
      <c r="D310" s="50"/>
      <c r="E310" s="13"/>
      <c r="F310" s="13"/>
      <c r="G310" s="14">
        <v>21478.239999999998</v>
      </c>
      <c r="H310" s="13"/>
      <c r="I310" s="13"/>
      <c r="J310" s="13"/>
      <c r="M310" s="30">
        <f>SUM(I304,H304,F260,E260,E199,F199,H199,I199)</f>
        <v>-1532.0000000000036</v>
      </c>
      <c r="N310" s="33" t="s">
        <v>3517</v>
      </c>
    </row>
    <row r="311" spans="1:14" ht="13.5" customHeight="1" x14ac:dyDescent="0.2">
      <c r="A311" s="70"/>
      <c r="B311" s="70"/>
      <c r="C311" s="63"/>
      <c r="D311" s="50"/>
      <c r="E311" s="13"/>
      <c r="F311" s="13"/>
      <c r="G311" s="75"/>
      <c r="H311" s="13"/>
      <c r="I311" s="13"/>
      <c r="J311" s="13"/>
    </row>
    <row r="312" spans="1:14" ht="13.5" customHeight="1" x14ac:dyDescent="0.2">
      <c r="A312" s="76"/>
      <c r="B312" s="76"/>
      <c r="C312" s="222" t="s">
        <v>545</v>
      </c>
      <c r="D312" s="76"/>
      <c r="E312" s="223"/>
      <c r="F312" s="223"/>
      <c r="G312" s="14">
        <v>40995.009999999995</v>
      </c>
      <c r="H312" s="77"/>
      <c r="I312" s="77"/>
      <c r="J312" s="13"/>
    </row>
    <row r="313" spans="1:14" ht="13.5" customHeight="1" x14ac:dyDescent="0.2">
      <c r="A313" s="76"/>
      <c r="B313" s="76"/>
      <c r="C313" s="78"/>
      <c r="D313" s="76"/>
      <c r="E313" s="223"/>
      <c r="F313" s="223"/>
      <c r="G313" s="75"/>
      <c r="H313" s="77"/>
      <c r="I313" s="77"/>
      <c r="J313" s="13"/>
    </row>
    <row r="314" spans="1:14" ht="13.5" customHeight="1" x14ac:dyDescent="0.2">
      <c r="A314" s="79"/>
      <c r="B314" s="79"/>
      <c r="C314" s="78"/>
      <c r="D314" s="76"/>
      <c r="E314" s="223"/>
      <c r="F314" s="223"/>
      <c r="G314" s="75"/>
      <c r="H314" s="77"/>
      <c r="I314" s="77"/>
      <c r="J314" s="13"/>
      <c r="M314" s="714">
        <f>M304+M310-M306-M308</f>
        <v>0</v>
      </c>
    </row>
    <row r="315" spans="1:14" ht="13.5" customHeight="1" x14ac:dyDescent="0.2">
      <c r="A315" s="79"/>
      <c r="B315" s="79"/>
      <c r="C315" s="78"/>
      <c r="D315" s="76"/>
      <c r="E315" s="13"/>
      <c r="F315" s="13"/>
      <c r="G315" s="75"/>
      <c r="H315" s="77"/>
      <c r="I315" s="77"/>
      <c r="J315" s="13"/>
    </row>
    <row r="316" spans="1:14" ht="13.5" customHeight="1" x14ac:dyDescent="0.2">
      <c r="A316" s="74"/>
      <c r="B316" s="80"/>
      <c r="C316" s="81"/>
      <c r="D316" s="50"/>
      <c r="E316" s="13"/>
      <c r="F316" s="13"/>
      <c r="G316" s="75"/>
      <c r="H316" s="13"/>
      <c r="I316" s="13"/>
      <c r="J316" s="13"/>
    </row>
    <row r="317" spans="1:14" ht="13.5" customHeight="1" x14ac:dyDescent="0.2">
      <c r="A317" s="79"/>
      <c r="B317" s="79"/>
      <c r="C317" s="78"/>
      <c r="D317" s="76"/>
      <c r="E317" s="13"/>
      <c r="F317" s="13"/>
      <c r="G317" s="75"/>
      <c r="H317" s="77"/>
      <c r="I317" s="77"/>
      <c r="J317" s="13"/>
    </row>
    <row r="318" spans="1:14" ht="13.5" customHeight="1" x14ac:dyDescent="0.2">
      <c r="A318" s="79"/>
      <c r="B318" s="79"/>
      <c r="C318" s="78"/>
      <c r="D318" s="76"/>
      <c r="E318" s="13"/>
      <c r="F318" s="13"/>
      <c r="G318" s="75"/>
      <c r="H318" s="77"/>
      <c r="I318" s="77"/>
      <c r="J318" s="13"/>
    </row>
    <row r="319" spans="1:14" ht="13.5" customHeight="1" x14ac:dyDescent="0.2">
      <c r="A319" s="79"/>
      <c r="B319" s="79"/>
      <c r="C319" s="78"/>
      <c r="D319" s="76"/>
      <c r="E319" s="223"/>
      <c r="F319" s="223"/>
      <c r="G319" s="75"/>
      <c r="H319" s="77"/>
      <c r="I319" s="77"/>
      <c r="J319" s="13"/>
    </row>
    <row r="320" spans="1:14" ht="13.5" customHeight="1" x14ac:dyDescent="0.2">
      <c r="A320" s="79"/>
      <c r="B320" s="79"/>
      <c r="C320" s="78"/>
      <c r="D320" s="76"/>
      <c r="E320" s="223"/>
      <c r="F320" s="223"/>
      <c r="G320" s="75"/>
      <c r="H320" s="77"/>
      <c r="I320" s="77"/>
      <c r="J320" s="13"/>
    </row>
    <row r="321" spans="1:12" ht="13.5" customHeight="1" x14ac:dyDescent="0.2">
      <c r="A321" s="79"/>
      <c r="B321" s="79"/>
      <c r="C321" s="78"/>
      <c r="D321" s="76"/>
      <c r="E321" s="223"/>
      <c r="F321" s="223"/>
      <c r="G321" s="75"/>
      <c r="H321" s="77"/>
      <c r="I321" s="77"/>
      <c r="J321" s="13"/>
    </row>
    <row r="322" spans="1:12" ht="13.5" customHeight="1" x14ac:dyDescent="0.2">
      <c r="A322" s="19">
        <v>43328</v>
      </c>
      <c r="B322" s="20"/>
      <c r="C322" s="34" t="s">
        <v>546</v>
      </c>
      <c r="D322" s="11"/>
      <c r="E322" s="12"/>
      <c r="F322" s="22"/>
      <c r="G322" s="23"/>
      <c r="H322" s="224">
        <v>100</v>
      </c>
      <c r="I322" s="25"/>
      <c r="J322" s="39"/>
      <c r="L322" s="12"/>
    </row>
    <row r="323" spans="1:12" ht="13.5" customHeight="1" x14ac:dyDescent="0.2">
      <c r="A323" s="19">
        <v>43332</v>
      </c>
      <c r="B323" s="20"/>
      <c r="C323" s="45" t="s">
        <v>547</v>
      </c>
      <c r="D323" s="11" t="s">
        <v>19</v>
      </c>
      <c r="E323" s="12" t="s">
        <v>548</v>
      </c>
      <c r="F323" s="22" t="s">
        <v>549</v>
      </c>
      <c r="G323" s="23" t="s">
        <v>550</v>
      </c>
      <c r="H323" s="24"/>
      <c r="I323" s="25"/>
      <c r="J323" s="39"/>
      <c r="L323" s="12"/>
    </row>
    <row r="324" spans="1:12" ht="13.5" customHeight="1" x14ac:dyDescent="0.2">
      <c r="A324" s="19">
        <v>43332</v>
      </c>
      <c r="B324" s="20"/>
      <c r="C324" s="45" t="s">
        <v>551</v>
      </c>
      <c r="D324" s="11" t="s">
        <v>19</v>
      </c>
      <c r="E324" s="12" t="s">
        <v>552</v>
      </c>
      <c r="F324" s="22" t="s">
        <v>549</v>
      </c>
      <c r="G324" s="23" t="s">
        <v>553</v>
      </c>
      <c r="H324" s="24"/>
      <c r="I324" s="25"/>
      <c r="J324" s="39"/>
      <c r="L324" s="12"/>
    </row>
    <row r="325" spans="1:12" ht="13.5" customHeight="1" x14ac:dyDescent="0.2">
      <c r="A325" s="19">
        <v>43354</v>
      </c>
      <c r="B325" s="70"/>
      <c r="C325" s="63" t="s">
        <v>554</v>
      </c>
      <c r="D325" s="50"/>
      <c r="E325" s="13"/>
      <c r="F325" s="13"/>
      <c r="G325" s="75"/>
      <c r="H325" s="82">
        <v>70</v>
      </c>
      <c r="I325" s="13"/>
      <c r="J325" s="13"/>
    </row>
    <row r="326" spans="1:12" ht="13.5" customHeight="1" x14ac:dyDescent="0.2">
      <c r="A326" s="19">
        <v>43354</v>
      </c>
      <c r="B326" s="70"/>
      <c r="C326" s="33" t="s">
        <v>555</v>
      </c>
      <c r="D326" s="29" t="s">
        <v>19</v>
      </c>
      <c r="E326" s="225" t="s">
        <v>556</v>
      </c>
      <c r="F326" s="13"/>
      <c r="G326" s="75"/>
      <c r="H326" s="29"/>
      <c r="I326" s="226"/>
      <c r="J326" s="13"/>
    </row>
    <row r="327" spans="1:12" ht="13.5" customHeight="1" x14ac:dyDescent="0.2">
      <c r="A327" s="19">
        <v>43354</v>
      </c>
      <c r="B327" s="70"/>
      <c r="C327" s="33" t="s">
        <v>555</v>
      </c>
      <c r="D327" s="29" t="s">
        <v>19</v>
      </c>
      <c r="E327" s="225" t="s">
        <v>557</v>
      </c>
      <c r="F327" s="13"/>
      <c r="G327" s="75"/>
      <c r="H327" s="29"/>
      <c r="I327" s="226"/>
      <c r="J327" s="13"/>
    </row>
    <row r="328" spans="1:12" ht="13.5" customHeight="1" x14ac:dyDescent="0.2">
      <c r="A328" s="19">
        <v>43355</v>
      </c>
      <c r="B328" s="70"/>
      <c r="C328" s="34" t="s">
        <v>558</v>
      </c>
      <c r="D328" s="11">
        <v>0</v>
      </c>
      <c r="E328" s="12">
        <v>-60.65</v>
      </c>
      <c r="F328" s="13"/>
      <c r="G328" s="75"/>
      <c r="H328" s="82"/>
      <c r="I328" s="13"/>
      <c r="J328" s="13"/>
    </row>
    <row r="329" spans="1:12" ht="13.5" customHeight="1" x14ac:dyDescent="0.2">
      <c r="A329" s="19">
        <v>43367</v>
      </c>
      <c r="B329" s="27"/>
      <c r="C329" s="33" t="s">
        <v>25</v>
      </c>
      <c r="D329" s="29"/>
      <c r="E329" s="30"/>
      <c r="F329" s="30"/>
      <c r="G329" s="23"/>
      <c r="H329" s="38">
        <v>50</v>
      </c>
      <c r="I329" s="38"/>
      <c r="J329" s="39">
        <v>9382.4199999999983</v>
      </c>
      <c r="L329" s="12"/>
    </row>
    <row r="330" spans="1:12" ht="13.5" customHeight="1" x14ac:dyDescent="0.2">
      <c r="A330" s="19">
        <v>43367</v>
      </c>
      <c r="B330" s="27"/>
      <c r="C330" s="33" t="s">
        <v>25</v>
      </c>
      <c r="D330" s="29"/>
      <c r="E330" s="30"/>
      <c r="F330" s="30"/>
      <c r="G330" s="23"/>
      <c r="H330" s="38">
        <v>50</v>
      </c>
      <c r="I330" s="38"/>
      <c r="J330" s="39">
        <v>9332.4199999999983</v>
      </c>
      <c r="L330" s="12"/>
    </row>
    <row r="331" spans="1:12" ht="13.5" customHeight="1" x14ac:dyDescent="0.2">
      <c r="A331" s="19">
        <v>43371</v>
      </c>
      <c r="B331" s="27"/>
      <c r="C331" s="33" t="s">
        <v>25</v>
      </c>
      <c r="D331" s="29"/>
      <c r="E331" s="30"/>
      <c r="F331" s="30"/>
      <c r="G331" s="23"/>
      <c r="H331" s="38">
        <v>100</v>
      </c>
      <c r="I331" s="38"/>
      <c r="J331" s="39">
        <v>9397.2999999999956</v>
      </c>
      <c r="L331" s="12"/>
    </row>
    <row r="332" spans="1:12" ht="13.5" customHeight="1" x14ac:dyDescent="0.2">
      <c r="A332" s="19">
        <v>43371</v>
      </c>
      <c r="B332" s="27"/>
      <c r="C332" s="33" t="s">
        <v>559</v>
      </c>
      <c r="D332" s="29"/>
      <c r="E332" s="30"/>
      <c r="F332" s="30"/>
      <c r="G332" s="23"/>
      <c r="H332" s="38">
        <v>50</v>
      </c>
      <c r="I332" s="38"/>
      <c r="J332" s="39">
        <v>9347.2999999999956</v>
      </c>
      <c r="L332" s="12"/>
    </row>
    <row r="333" spans="1:12" ht="13.5" customHeight="1" x14ac:dyDescent="0.2">
      <c r="A333" s="19"/>
      <c r="B333" s="70"/>
      <c r="C333" s="63"/>
      <c r="D333" s="50"/>
      <c r="E333" s="13"/>
      <c r="F333" s="13"/>
      <c r="G333" s="75"/>
      <c r="H333" s="82"/>
      <c r="I333" s="13"/>
      <c r="J333" s="13"/>
    </row>
    <row r="334" spans="1:12" ht="13.5" customHeight="1" x14ac:dyDescent="0.2">
      <c r="A334" s="19"/>
      <c r="B334" s="70"/>
      <c r="C334" s="63"/>
      <c r="D334" s="50"/>
      <c r="E334" s="13"/>
      <c r="F334" s="13"/>
      <c r="G334" s="75"/>
      <c r="H334" s="82"/>
      <c r="I334" s="13"/>
      <c r="J334" s="13"/>
    </row>
    <row r="335" spans="1:12" ht="13.5" customHeight="1" x14ac:dyDescent="0.2">
      <c r="A335" s="19"/>
      <c r="B335" s="70"/>
      <c r="C335" s="63"/>
      <c r="D335" s="50"/>
      <c r="E335" s="13"/>
      <c r="F335" s="13"/>
      <c r="G335" s="75"/>
      <c r="H335" s="82"/>
      <c r="I335" s="13"/>
      <c r="J335" s="13"/>
    </row>
    <row r="336" spans="1:12" ht="13.5" customHeight="1" x14ac:dyDescent="0.2">
      <c r="A336" s="19"/>
      <c r="B336" s="70"/>
      <c r="C336" s="63"/>
      <c r="D336" s="50"/>
      <c r="E336" s="13"/>
      <c r="F336" s="13"/>
      <c r="G336" s="75"/>
      <c r="H336" s="82"/>
      <c r="I336" s="13"/>
      <c r="J336" s="13"/>
    </row>
    <row r="337" spans="1:10" ht="13.5" customHeight="1" x14ac:dyDescent="0.2">
      <c r="A337" s="19"/>
      <c r="B337" s="70"/>
      <c r="C337" s="63"/>
      <c r="D337" s="50"/>
      <c r="E337" s="13"/>
      <c r="F337" s="13"/>
      <c r="G337" s="75"/>
      <c r="H337" s="82"/>
      <c r="I337" s="13"/>
      <c r="J337" s="13"/>
    </row>
    <row r="338" spans="1:10" ht="13.5" customHeight="1" x14ac:dyDescent="0.2">
      <c r="A338" s="19"/>
      <c r="B338" s="70"/>
      <c r="C338" s="63"/>
      <c r="D338" s="50"/>
      <c r="E338" s="13"/>
      <c r="F338" s="13"/>
      <c r="G338" s="75"/>
      <c r="H338" s="82"/>
      <c r="I338" s="13"/>
      <c r="J338" s="13"/>
    </row>
    <row r="339" spans="1:10" ht="13.5" customHeight="1" x14ac:dyDescent="0.2">
      <c r="A339" s="19"/>
      <c r="B339" s="70"/>
      <c r="C339" s="63"/>
      <c r="D339" s="50"/>
      <c r="E339" s="13"/>
      <c r="F339" s="13"/>
      <c r="G339" s="75"/>
      <c r="H339" s="82"/>
      <c r="I339" s="13"/>
      <c r="J339" s="13"/>
    </row>
    <row r="340" spans="1:10" ht="13.5" customHeight="1" x14ac:dyDescent="0.2">
      <c r="A340" s="19"/>
      <c r="B340" s="70"/>
      <c r="C340" s="63"/>
      <c r="D340" s="50"/>
      <c r="E340" s="13"/>
      <c r="F340" s="13"/>
      <c r="G340" s="75"/>
      <c r="H340" s="82"/>
      <c r="I340" s="13"/>
      <c r="J340" s="13"/>
    </row>
    <row r="341" spans="1:10" ht="13.5" customHeight="1" x14ac:dyDescent="0.2">
      <c r="A341" s="19"/>
      <c r="B341" s="70"/>
      <c r="C341" s="63"/>
      <c r="D341" s="50"/>
      <c r="E341" s="13"/>
      <c r="F341" s="13"/>
      <c r="G341" s="75"/>
      <c r="H341" s="82"/>
      <c r="I341" s="13"/>
      <c r="J341" s="13"/>
    </row>
    <row r="342" spans="1:10" ht="13.5" customHeight="1" x14ac:dyDescent="0.2">
      <c r="A342" s="19"/>
      <c r="B342" s="70"/>
      <c r="C342" s="63"/>
      <c r="D342" s="50"/>
      <c r="E342" s="13"/>
      <c r="F342" s="13"/>
      <c r="G342" s="75"/>
      <c r="H342" s="82"/>
      <c r="I342" s="13"/>
      <c r="J342" s="13"/>
    </row>
    <row r="343" spans="1:10" ht="13.5" customHeight="1" x14ac:dyDescent="0.2">
      <c r="A343" s="19"/>
      <c r="B343" s="70"/>
      <c r="C343" s="63"/>
      <c r="D343" s="50"/>
      <c r="E343" s="13"/>
      <c r="F343" s="13"/>
      <c r="G343" s="75"/>
      <c r="H343" s="82"/>
      <c r="I343" s="13"/>
      <c r="J343" s="13"/>
    </row>
    <row r="344" spans="1:10" ht="13.5" customHeight="1" x14ac:dyDescent="0.2">
      <c r="A344" s="19"/>
      <c r="B344" s="70"/>
      <c r="C344" s="63"/>
      <c r="D344" s="50"/>
      <c r="E344" s="13"/>
      <c r="F344" s="13"/>
      <c r="G344" s="75"/>
      <c r="H344" s="82"/>
      <c r="I344" s="13"/>
      <c r="J344" s="13"/>
    </row>
    <row r="345" spans="1:10" ht="13.5" customHeight="1" x14ac:dyDescent="0.2">
      <c r="A345" s="19"/>
      <c r="B345" s="70"/>
      <c r="C345" s="63"/>
      <c r="D345" s="50"/>
      <c r="E345" s="13"/>
      <c r="F345" s="13"/>
      <c r="G345" s="75"/>
      <c r="H345" s="82"/>
      <c r="I345" s="13"/>
      <c r="J345" s="13"/>
    </row>
    <row r="346" spans="1:10" ht="13.5" customHeight="1" x14ac:dyDescent="0.2">
      <c r="A346" s="19"/>
      <c r="B346" s="70"/>
      <c r="C346" s="63"/>
      <c r="D346" s="50"/>
      <c r="E346" s="13"/>
      <c r="F346" s="13"/>
      <c r="G346" s="75"/>
      <c r="H346" s="82"/>
      <c r="I346" s="13"/>
      <c r="J346" s="13"/>
    </row>
    <row r="347" spans="1:10" ht="13.5" customHeight="1" x14ac:dyDescent="0.2">
      <c r="A347" s="19"/>
      <c r="B347" s="70"/>
      <c r="C347" s="63"/>
      <c r="D347" s="50"/>
      <c r="E347" s="13"/>
      <c r="F347" s="13"/>
      <c r="G347" s="75"/>
      <c r="H347" s="82"/>
      <c r="I347" s="13"/>
      <c r="J347" s="13"/>
    </row>
    <row r="348" spans="1:10" ht="13.5" customHeight="1" x14ac:dyDescent="0.2">
      <c r="A348" s="19"/>
      <c r="B348" s="70"/>
      <c r="C348" s="63"/>
      <c r="D348" s="50"/>
      <c r="E348" s="13"/>
      <c r="F348" s="13"/>
      <c r="G348" s="75"/>
      <c r="H348" s="82"/>
      <c r="I348" s="13"/>
      <c r="J348" s="13"/>
    </row>
    <row r="349" spans="1:10" ht="13.5" customHeight="1" x14ac:dyDescent="0.2">
      <c r="A349" s="19"/>
      <c r="B349" s="70"/>
      <c r="C349" s="63"/>
      <c r="D349" s="50"/>
      <c r="E349" s="13"/>
      <c r="F349" s="13"/>
      <c r="G349" s="75"/>
      <c r="H349" s="82"/>
      <c r="I349" s="13"/>
      <c r="J349" s="13"/>
    </row>
    <row r="350" spans="1:10" ht="13.5" customHeight="1" x14ac:dyDescent="0.2">
      <c r="A350" s="19"/>
      <c r="B350" s="70"/>
      <c r="C350" s="63"/>
      <c r="D350" s="50"/>
      <c r="E350" s="13"/>
      <c r="F350" s="13"/>
      <c r="G350" s="75"/>
      <c r="H350" s="82"/>
      <c r="I350" s="13"/>
      <c r="J350" s="13"/>
    </row>
    <row r="351" spans="1:10" ht="13.5" customHeight="1" x14ac:dyDescent="0.2">
      <c r="A351" s="19"/>
      <c r="B351" s="70"/>
      <c r="C351" s="63"/>
      <c r="D351" s="50"/>
      <c r="E351" s="13"/>
      <c r="F351" s="13"/>
      <c r="G351" s="75"/>
      <c r="H351" s="82"/>
      <c r="I351" s="13"/>
      <c r="J351" s="13"/>
    </row>
    <row r="352" spans="1:10" ht="13.5" customHeight="1" x14ac:dyDescent="0.2">
      <c r="A352" s="19"/>
      <c r="B352" s="70"/>
      <c r="C352" s="63"/>
      <c r="D352" s="50"/>
      <c r="E352" s="13"/>
      <c r="F352" s="13"/>
      <c r="G352" s="75"/>
      <c r="H352" s="82"/>
      <c r="I352" s="13"/>
      <c r="J352" s="13"/>
    </row>
    <row r="353" spans="1:10" ht="13.5" customHeight="1" x14ac:dyDescent="0.2">
      <c r="A353" s="19"/>
      <c r="B353" s="70"/>
      <c r="C353" s="63"/>
      <c r="D353" s="50"/>
      <c r="E353" s="13"/>
      <c r="F353" s="13"/>
      <c r="G353" s="75"/>
      <c r="H353" s="82"/>
      <c r="I353" s="13"/>
      <c r="J353" s="13"/>
    </row>
    <row r="354" spans="1:10" ht="13.5" customHeight="1" x14ac:dyDescent="0.2">
      <c r="A354" s="19"/>
      <c r="B354" s="70"/>
      <c r="C354" s="63"/>
      <c r="D354" s="50"/>
      <c r="E354" s="13"/>
      <c r="F354" s="13"/>
      <c r="G354" s="75"/>
      <c r="H354" s="82"/>
      <c r="I354" s="13"/>
      <c r="J354" s="13"/>
    </row>
    <row r="355" spans="1:10" ht="13.5" customHeight="1" x14ac:dyDescent="0.2">
      <c r="A355" s="19"/>
      <c r="B355" s="70"/>
      <c r="C355" s="63"/>
      <c r="D355" s="50"/>
      <c r="E355" s="13"/>
      <c r="F355" s="13"/>
      <c r="G355" s="75"/>
      <c r="H355" s="82"/>
      <c r="I355" s="13"/>
      <c r="J355" s="13"/>
    </row>
    <row r="356" spans="1:10" ht="13.5" customHeight="1" x14ac:dyDescent="0.2">
      <c r="A356" s="19"/>
      <c r="B356" s="70"/>
      <c r="C356" s="63"/>
      <c r="D356" s="50"/>
      <c r="E356" s="13"/>
      <c r="F356" s="13"/>
      <c r="G356" s="75"/>
      <c r="H356" s="82"/>
      <c r="I356" s="13"/>
      <c r="J356" s="13"/>
    </row>
    <row r="357" spans="1:10" ht="13.5" customHeight="1" x14ac:dyDescent="0.2">
      <c r="A357" s="19"/>
      <c r="B357" s="70"/>
      <c r="C357" s="63"/>
      <c r="D357" s="50"/>
      <c r="E357" s="13"/>
      <c r="F357" s="13"/>
      <c r="G357" s="75"/>
      <c r="H357" s="82"/>
      <c r="I357" s="13"/>
      <c r="J357" s="13"/>
    </row>
    <row r="358" spans="1:10" ht="13.5" customHeight="1" x14ac:dyDescent="0.2">
      <c r="A358" s="19"/>
      <c r="B358" s="70"/>
      <c r="C358" s="63"/>
      <c r="D358" s="50"/>
      <c r="E358" s="13"/>
      <c r="F358" s="13"/>
      <c r="G358" s="75"/>
      <c r="H358" s="82"/>
      <c r="I358" s="13"/>
      <c r="J358" s="13"/>
    </row>
    <row r="359" spans="1:10" ht="13.5" customHeight="1" x14ac:dyDescent="0.2">
      <c r="A359" s="19"/>
      <c r="B359" s="70"/>
      <c r="C359" s="63"/>
      <c r="D359" s="50"/>
      <c r="E359" s="13"/>
      <c r="F359" s="13"/>
      <c r="G359" s="75"/>
      <c r="H359" s="82"/>
      <c r="I359" s="13"/>
      <c r="J359" s="13"/>
    </row>
    <row r="360" spans="1:10" ht="13.5" customHeight="1" x14ac:dyDescent="0.2">
      <c r="A360" s="19"/>
      <c r="B360" s="70"/>
      <c r="C360" s="63"/>
      <c r="D360" s="50"/>
      <c r="E360" s="13"/>
      <c r="F360" s="13"/>
      <c r="G360" s="75"/>
      <c r="H360" s="82"/>
      <c r="I360" s="13"/>
      <c r="J360" s="13"/>
    </row>
    <row r="361" spans="1:10" ht="13.5" customHeight="1" x14ac:dyDescent="0.2">
      <c r="A361" s="19"/>
      <c r="B361" s="70"/>
      <c r="C361" s="63"/>
      <c r="D361" s="50"/>
      <c r="E361" s="13"/>
      <c r="F361" s="13"/>
      <c r="G361" s="75"/>
      <c r="H361" s="82"/>
      <c r="I361" s="13"/>
      <c r="J361" s="13"/>
    </row>
    <row r="362" spans="1:10" ht="13.5" customHeight="1" x14ac:dyDescent="0.2">
      <c r="A362" s="19"/>
      <c r="B362" s="70"/>
      <c r="C362" s="63"/>
      <c r="D362" s="50"/>
      <c r="E362" s="13"/>
      <c r="F362" s="13"/>
      <c r="G362" s="75"/>
      <c r="H362" s="83"/>
      <c r="I362" s="13"/>
      <c r="J362" s="13"/>
    </row>
    <row r="363" spans="1:10" ht="13.5" customHeight="1" x14ac:dyDescent="0.2">
      <c r="A363" s="19"/>
      <c r="B363" s="70"/>
      <c r="C363" s="63"/>
      <c r="D363" s="50"/>
      <c r="E363" s="13"/>
      <c r="F363" s="13"/>
      <c r="G363" s="75"/>
      <c r="H363" s="83"/>
      <c r="I363" s="13"/>
      <c r="J363" s="13"/>
    </row>
    <row r="364" spans="1:10" ht="13.5" customHeight="1" x14ac:dyDescent="0.2">
      <c r="A364" s="19"/>
      <c r="B364" s="70"/>
      <c r="C364" s="64"/>
      <c r="D364" s="50"/>
      <c r="E364" s="13"/>
      <c r="F364" s="13"/>
      <c r="G364" s="75"/>
      <c r="H364" s="84"/>
      <c r="I364" s="13"/>
      <c r="J364" s="13"/>
    </row>
    <row r="365" spans="1:10" ht="13.5" customHeight="1" x14ac:dyDescent="0.2">
      <c r="A365" s="19"/>
      <c r="B365" s="70"/>
      <c r="C365" s="63"/>
      <c r="D365" s="50"/>
      <c r="E365" s="13"/>
      <c r="F365" s="13"/>
      <c r="G365" s="75"/>
      <c r="H365" s="83"/>
      <c r="I365" s="13"/>
      <c r="J365" s="13"/>
    </row>
    <row r="366" spans="1:10" ht="13.5" customHeight="1" x14ac:dyDescent="0.2">
      <c r="A366" s="19"/>
      <c r="B366" s="70"/>
      <c r="C366" s="63"/>
      <c r="D366" s="50"/>
      <c r="E366" s="13"/>
      <c r="F366" s="13"/>
      <c r="G366" s="75"/>
      <c r="H366" s="83"/>
      <c r="I366" s="13"/>
      <c r="J366" s="13"/>
    </row>
    <row r="367" spans="1:10" ht="13.5" customHeight="1" x14ac:dyDescent="0.2">
      <c r="A367" s="19"/>
      <c r="B367" s="70"/>
      <c r="C367" s="85"/>
      <c r="D367" s="50"/>
      <c r="E367" s="13"/>
      <c r="F367" s="13"/>
      <c r="G367" s="75"/>
      <c r="H367" s="83"/>
      <c r="I367" s="13"/>
      <c r="J367" s="13"/>
    </row>
    <row r="368" spans="1:10" ht="13.5" customHeight="1" x14ac:dyDescent="0.2">
      <c r="A368" s="19"/>
      <c r="B368" s="70"/>
      <c r="C368" s="63"/>
      <c r="D368" s="50"/>
      <c r="E368" s="13"/>
      <c r="F368" s="13"/>
      <c r="G368" s="75"/>
      <c r="H368" s="83"/>
      <c r="I368" s="13"/>
      <c r="J368" s="13"/>
    </row>
    <row r="369" spans="1:10" ht="13.5" customHeight="1" x14ac:dyDescent="0.2">
      <c r="A369" s="19"/>
      <c r="B369" s="70"/>
      <c r="C369" s="63"/>
      <c r="D369" s="50"/>
      <c r="E369" s="13"/>
      <c r="F369" s="13"/>
      <c r="G369" s="75"/>
      <c r="H369" s="84"/>
      <c r="I369" s="13"/>
      <c r="J369" s="13"/>
    </row>
    <row r="370" spans="1:10" ht="13.5" customHeight="1" x14ac:dyDescent="0.2">
      <c r="A370" s="19"/>
      <c r="B370" s="70"/>
      <c r="C370" s="64"/>
      <c r="D370" s="50"/>
      <c r="E370" s="13"/>
      <c r="F370" s="13"/>
      <c r="G370" s="75"/>
      <c r="H370" s="83"/>
      <c r="I370" s="13"/>
      <c r="J370" s="13"/>
    </row>
    <row r="371" spans="1:10" ht="13.5" customHeight="1" x14ac:dyDescent="0.2">
      <c r="A371" s="19"/>
      <c r="B371" s="70"/>
      <c r="C371" s="63"/>
      <c r="D371" s="50"/>
      <c r="E371" s="13"/>
      <c r="F371" s="13"/>
      <c r="G371" s="75"/>
      <c r="H371" s="83"/>
      <c r="I371" s="13"/>
      <c r="J371" s="13"/>
    </row>
    <row r="372" spans="1:10" ht="13.5" customHeight="1" x14ac:dyDescent="0.2">
      <c r="A372" s="19"/>
      <c r="B372" s="70"/>
      <c r="C372" s="63"/>
      <c r="D372" s="50"/>
      <c r="E372" s="13"/>
      <c r="F372" s="13"/>
      <c r="G372" s="75"/>
      <c r="H372" s="84"/>
      <c r="I372" s="13"/>
      <c r="J372" s="13"/>
    </row>
    <row r="373" spans="1:10" ht="13.5" customHeight="1" x14ac:dyDescent="0.2">
      <c r="A373" s="19"/>
      <c r="B373" s="70"/>
      <c r="C373" s="64"/>
      <c r="D373" s="50"/>
      <c r="E373" s="13"/>
      <c r="F373" s="13"/>
      <c r="G373" s="75"/>
      <c r="H373" s="84"/>
      <c r="I373" s="13"/>
      <c r="J373" s="13"/>
    </row>
    <row r="374" spans="1:10" ht="13.5" customHeight="1" x14ac:dyDescent="0.2">
      <c r="A374" s="19"/>
      <c r="B374" s="70"/>
      <c r="C374" s="63"/>
      <c r="D374" s="50"/>
      <c r="E374" s="13"/>
      <c r="F374" s="13"/>
      <c r="G374" s="75"/>
      <c r="H374" s="83"/>
      <c r="I374" s="13"/>
      <c r="J374" s="13"/>
    </row>
    <row r="375" spans="1:10" ht="13.5" customHeight="1" x14ac:dyDescent="0.2">
      <c r="A375" s="19"/>
      <c r="B375" s="70"/>
      <c r="C375" s="63"/>
      <c r="D375" s="50"/>
      <c r="E375" s="13"/>
      <c r="F375" s="13"/>
      <c r="G375" s="75"/>
      <c r="H375" s="84"/>
      <c r="I375" s="13"/>
      <c r="J375" s="13"/>
    </row>
    <row r="376" spans="1:10" ht="13.5" customHeight="1" x14ac:dyDescent="0.2">
      <c r="A376" s="19"/>
      <c r="B376" s="70"/>
      <c r="C376" s="64"/>
      <c r="D376" s="50"/>
      <c r="E376" s="13"/>
      <c r="F376" s="13"/>
      <c r="G376" s="75"/>
      <c r="H376" s="84"/>
      <c r="I376" s="13"/>
      <c r="J376" s="13"/>
    </row>
    <row r="377" spans="1:10" ht="13.5" customHeight="1" x14ac:dyDescent="0.2">
      <c r="A377" s="19"/>
      <c r="B377" s="70"/>
      <c r="C377" s="63"/>
      <c r="D377" s="50"/>
      <c r="E377" s="13"/>
      <c r="F377" s="13"/>
      <c r="G377" s="75"/>
      <c r="H377" s="83"/>
      <c r="I377" s="13"/>
      <c r="J377" s="13"/>
    </row>
    <row r="378" spans="1:10" ht="13.5" customHeight="1" x14ac:dyDescent="0.2">
      <c r="A378" s="19"/>
      <c r="B378" s="70"/>
      <c r="C378" s="63"/>
      <c r="D378" s="50"/>
      <c r="E378" s="13"/>
      <c r="F378" s="13"/>
      <c r="G378" s="75"/>
      <c r="H378" s="83"/>
      <c r="I378" s="13"/>
      <c r="J378" s="13"/>
    </row>
    <row r="379" spans="1:10" ht="13.5" customHeight="1" x14ac:dyDescent="0.2">
      <c r="A379" s="19"/>
      <c r="B379" s="70"/>
      <c r="C379" s="63"/>
      <c r="D379" s="50"/>
      <c r="E379" s="13"/>
      <c r="F379" s="13"/>
      <c r="G379" s="75"/>
      <c r="H379" s="82"/>
      <c r="I379" s="13"/>
      <c r="J379" s="13"/>
    </row>
    <row r="380" spans="1:10" ht="13.5" customHeight="1" x14ac:dyDescent="0.2">
      <c r="A380" s="19"/>
      <c r="B380" s="70"/>
      <c r="C380" s="86"/>
      <c r="D380" s="50"/>
      <c r="E380" s="13"/>
      <c r="F380" s="13"/>
      <c r="G380" s="75"/>
      <c r="H380" s="82"/>
      <c r="I380" s="13"/>
      <c r="J380" s="13"/>
    </row>
    <row r="381" spans="1:10" ht="13.5" customHeight="1" x14ac:dyDescent="0.2">
      <c r="A381" s="19"/>
      <c r="B381" s="70"/>
      <c r="C381" s="85"/>
      <c r="D381" s="50"/>
      <c r="E381" s="13"/>
      <c r="F381" s="13"/>
      <c r="G381" s="75"/>
      <c r="H381" s="82"/>
      <c r="I381" s="13"/>
      <c r="J381" s="13"/>
    </row>
    <row r="382" spans="1:10" ht="13.5" customHeight="1" x14ac:dyDescent="0.2">
      <c r="A382" s="19"/>
      <c r="B382" s="70"/>
      <c r="C382" s="87"/>
      <c r="D382" s="50"/>
      <c r="E382" s="13"/>
      <c r="F382" s="13"/>
      <c r="G382" s="75"/>
      <c r="H382" s="82"/>
      <c r="I382" s="13"/>
      <c r="J382" s="13"/>
    </row>
    <row r="383" spans="1:10" ht="13.5" customHeight="1" x14ac:dyDescent="0.2">
      <c r="A383" s="19"/>
      <c r="B383" s="70"/>
      <c r="C383" s="88"/>
      <c r="D383" s="50"/>
      <c r="E383" s="13"/>
      <c r="F383" s="13"/>
      <c r="G383" s="75"/>
      <c r="H383" s="82"/>
      <c r="I383" s="13"/>
      <c r="J383" s="13"/>
    </row>
    <row r="384" spans="1:10" ht="13.5" customHeight="1" x14ac:dyDescent="0.2">
      <c r="A384" s="19"/>
      <c r="B384" s="9"/>
      <c r="C384" s="56"/>
      <c r="D384" s="11"/>
      <c r="E384" s="12"/>
      <c r="F384" s="12"/>
      <c r="G384" s="23"/>
      <c r="H384" s="89"/>
      <c r="I384" s="12"/>
      <c r="J384" s="13"/>
    </row>
    <row r="385" spans="1:10" ht="13.5" customHeight="1" x14ac:dyDescent="0.2">
      <c r="A385" s="19"/>
      <c r="B385" s="9"/>
      <c r="C385" s="56"/>
      <c r="D385" s="11"/>
      <c r="E385" s="12"/>
      <c r="F385" s="12"/>
      <c r="G385" s="23"/>
      <c r="H385" s="90"/>
      <c r="I385" s="12"/>
      <c r="J385" s="13"/>
    </row>
    <row r="386" spans="1:10" ht="13.5" customHeight="1" x14ac:dyDescent="0.2">
      <c r="A386" s="19"/>
      <c r="B386" s="9"/>
      <c r="C386" s="56"/>
      <c r="D386" s="11"/>
      <c r="E386" s="12"/>
      <c r="F386" s="12"/>
      <c r="G386" s="23"/>
      <c r="H386" s="89"/>
      <c r="I386" s="12"/>
      <c r="J386" s="13"/>
    </row>
    <row r="387" spans="1:10" ht="13.5" customHeight="1" x14ac:dyDescent="0.2">
      <c r="A387" s="19"/>
      <c r="B387" s="9"/>
      <c r="D387" s="11"/>
      <c r="E387" s="12"/>
      <c r="F387" s="12"/>
      <c r="G387" s="23"/>
      <c r="H387" s="89"/>
      <c r="I387" s="12"/>
      <c r="J387" s="13"/>
    </row>
    <row r="388" spans="1:10" ht="13.5" customHeight="1" x14ac:dyDescent="0.2">
      <c r="A388" s="19"/>
      <c r="B388" s="9"/>
      <c r="C388" s="56"/>
      <c r="D388" s="11"/>
      <c r="E388" s="12"/>
      <c r="F388" s="12"/>
      <c r="G388" s="23"/>
      <c r="H388" s="90"/>
      <c r="I388" s="12"/>
      <c r="J388" s="13"/>
    </row>
    <row r="389" spans="1:10" ht="13.5" customHeight="1" x14ac:dyDescent="0.2">
      <c r="A389" s="9"/>
      <c r="B389" s="9"/>
      <c r="C389" s="56"/>
      <c r="D389" s="11"/>
      <c r="E389" s="12"/>
      <c r="F389" s="12"/>
      <c r="G389" s="23"/>
      <c r="H389" s="90"/>
      <c r="I389" s="12"/>
      <c r="J389" s="13"/>
    </row>
    <row r="390" spans="1:10" ht="13.5" customHeight="1" x14ac:dyDescent="0.2">
      <c r="A390" s="9"/>
      <c r="B390" s="9"/>
      <c r="C390" s="56"/>
      <c r="D390" s="11"/>
      <c r="E390" s="12"/>
      <c r="F390" s="12"/>
      <c r="G390" s="23"/>
      <c r="H390" s="90"/>
      <c r="I390" s="12"/>
      <c r="J390" s="13"/>
    </row>
    <row r="391" spans="1:10" ht="13.5" customHeight="1" x14ac:dyDescent="0.2">
      <c r="A391" s="91"/>
      <c r="B391" s="9"/>
      <c r="C391" s="27"/>
      <c r="D391" s="11"/>
      <c r="E391" s="12"/>
      <c r="F391" s="12"/>
      <c r="G391" s="23"/>
      <c r="H391" s="92"/>
      <c r="I391" s="12"/>
      <c r="J391" s="13"/>
    </row>
    <row r="392" spans="1:10" ht="13.5" customHeight="1" x14ac:dyDescent="0.2">
      <c r="A392" s="91"/>
      <c r="B392" s="9"/>
      <c r="C392" s="27"/>
      <c r="D392" s="11"/>
      <c r="E392" s="12"/>
      <c r="F392" s="12"/>
      <c r="G392" s="23"/>
      <c r="H392" s="90"/>
      <c r="I392" s="12"/>
      <c r="J392" s="13"/>
    </row>
    <row r="393" spans="1:10" ht="13.5" customHeight="1" x14ac:dyDescent="0.2">
      <c r="A393" s="91"/>
      <c r="B393" s="9"/>
      <c r="D393" s="11"/>
      <c r="E393" s="12"/>
      <c r="F393" s="12"/>
      <c r="G393" s="23"/>
      <c r="H393" s="92"/>
      <c r="I393" s="12"/>
      <c r="J393" s="13"/>
    </row>
    <row r="394" spans="1:10" ht="13.5" customHeight="1" x14ac:dyDescent="0.2">
      <c r="A394" s="9"/>
      <c r="B394" s="9"/>
      <c r="C394" s="56"/>
      <c r="D394" s="11"/>
      <c r="E394" s="12"/>
      <c r="F394" s="12"/>
      <c r="G394" s="23"/>
      <c r="H394" s="89"/>
      <c r="I394" s="12"/>
      <c r="J394" s="13"/>
    </row>
    <row r="395" spans="1:10" ht="13.5" customHeight="1" x14ac:dyDescent="0.2">
      <c r="A395" s="9"/>
      <c r="B395" s="9"/>
      <c r="C395" s="56"/>
      <c r="D395" s="11"/>
      <c r="E395" s="12"/>
      <c r="F395" s="12"/>
      <c r="G395" s="23"/>
      <c r="H395" s="89"/>
      <c r="I395" s="12"/>
      <c r="J395" s="13"/>
    </row>
    <row r="396" spans="1:10" ht="13.5" customHeight="1" x14ac:dyDescent="0.2">
      <c r="A396" s="9"/>
      <c r="B396" s="9"/>
      <c r="C396" s="56"/>
      <c r="D396" s="11"/>
      <c r="E396" s="12"/>
      <c r="F396" s="12"/>
      <c r="G396" s="23"/>
      <c r="H396" s="89"/>
      <c r="I396" s="12"/>
      <c r="J396" s="13"/>
    </row>
    <row r="397" spans="1:10" ht="13.5" customHeight="1" x14ac:dyDescent="0.2">
      <c r="A397" s="9"/>
      <c r="B397" s="9"/>
      <c r="C397" s="56"/>
      <c r="D397" s="11"/>
      <c r="E397" s="12"/>
      <c r="F397" s="12"/>
      <c r="G397" s="23"/>
      <c r="H397" s="89"/>
      <c r="I397" s="12"/>
      <c r="J397" s="13"/>
    </row>
    <row r="398" spans="1:10" x14ac:dyDescent="0.2">
      <c r="A398" s="227"/>
      <c r="B398" s="93"/>
      <c r="C398" s="94"/>
      <c r="D398" s="29"/>
      <c r="E398" s="30"/>
      <c r="F398" s="30"/>
      <c r="G398" s="27"/>
      <c r="H398" s="95"/>
      <c r="I398" s="30"/>
      <c r="J398" s="51"/>
    </row>
  </sheetData>
  <mergeCells count="4">
    <mergeCell ref="A1:C1"/>
    <mergeCell ref="D1:G1"/>
    <mergeCell ref="H1:J1"/>
    <mergeCell ref="H200:J200"/>
  </mergeCells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O393"/>
  <sheetViews>
    <sheetView topLeftCell="A277" zoomScale="80" zoomScaleNormal="80" workbookViewId="0">
      <selection activeCell="F306" sqref="F306"/>
    </sheetView>
  </sheetViews>
  <sheetFormatPr defaultColWidth="9" defaultRowHeight="12.75" x14ac:dyDescent="0.2"/>
  <cols>
    <col min="1" max="1" width="13.625" style="1" customWidth="1"/>
    <col min="2" max="2" width="57.25" style="1" customWidth="1"/>
    <col min="3" max="3" width="12.875" style="18" customWidth="1"/>
    <col min="4" max="4" width="13.75" style="18" customWidth="1"/>
    <col min="5" max="5" width="10.125" style="1" customWidth="1"/>
    <col min="6" max="6" width="18.25" style="1" customWidth="1"/>
    <col min="7" max="7" width="12.625" style="40" customWidth="1"/>
    <col min="8" max="9" width="9" style="1"/>
    <col min="10" max="10" width="11" style="1" customWidth="1"/>
    <col min="11" max="16384" width="9" style="1"/>
  </cols>
  <sheetData>
    <row r="1" spans="1:10" x14ac:dyDescent="0.2">
      <c r="F1" s="97" t="s">
        <v>218</v>
      </c>
      <c r="G1" s="97" t="s">
        <v>219</v>
      </c>
      <c r="H1" s="97" t="s">
        <v>220</v>
      </c>
      <c r="I1" s="97" t="s">
        <v>221</v>
      </c>
      <c r="J1" s="97" t="s">
        <v>222</v>
      </c>
    </row>
    <row r="2" spans="1:10" ht="15" x14ac:dyDescent="0.2">
      <c r="A2" s="126" t="s">
        <v>240</v>
      </c>
      <c r="B2" s="138" t="s">
        <v>51</v>
      </c>
      <c r="C2" s="98"/>
      <c r="D2" s="99">
        <v>940</v>
      </c>
      <c r="F2" s="100">
        <v>1020</v>
      </c>
      <c r="G2" s="101">
        <v>80</v>
      </c>
      <c r="H2" s="102"/>
      <c r="I2" s="103"/>
      <c r="J2" s="104">
        <f>F2-G2-H2-I2</f>
        <v>940</v>
      </c>
    </row>
    <row r="3" spans="1:10" ht="15" x14ac:dyDescent="0.2">
      <c r="A3" s="126" t="s">
        <v>240</v>
      </c>
      <c r="B3" s="34" t="s">
        <v>63</v>
      </c>
      <c r="C3" s="24"/>
      <c r="D3" s="99">
        <v>860</v>
      </c>
      <c r="F3" s="100">
        <v>940</v>
      </c>
      <c r="G3" s="101">
        <v>80</v>
      </c>
      <c r="H3" s="102"/>
      <c r="I3" s="103"/>
      <c r="J3" s="104">
        <f t="shared" ref="J3:J14" si="0">F3-G3-H3-I3</f>
        <v>860</v>
      </c>
    </row>
    <row r="4" spans="1:10" ht="15" x14ac:dyDescent="0.2">
      <c r="A4" s="126" t="s">
        <v>240</v>
      </c>
      <c r="B4" s="32" t="s">
        <v>29</v>
      </c>
      <c r="C4" s="98"/>
      <c r="D4" s="99">
        <v>990</v>
      </c>
      <c r="F4" s="100">
        <v>1070</v>
      </c>
      <c r="G4" s="101">
        <v>80</v>
      </c>
      <c r="H4" s="102"/>
      <c r="I4" s="103"/>
      <c r="J4" s="104">
        <f t="shared" si="0"/>
        <v>990</v>
      </c>
    </row>
    <row r="5" spans="1:10" ht="15" x14ac:dyDescent="0.2">
      <c r="A5" s="126" t="s">
        <v>240</v>
      </c>
      <c r="B5" s="56" t="s">
        <v>9</v>
      </c>
      <c r="C5" s="24"/>
      <c r="D5" s="99">
        <v>900</v>
      </c>
      <c r="F5" s="100">
        <v>0</v>
      </c>
      <c r="G5" s="101"/>
      <c r="H5" s="102"/>
      <c r="I5" s="103"/>
      <c r="J5" s="104">
        <f t="shared" si="0"/>
        <v>0</v>
      </c>
    </row>
    <row r="6" spans="1:10" ht="13.5" customHeight="1" x14ac:dyDescent="0.2">
      <c r="A6" s="126" t="s">
        <v>240</v>
      </c>
      <c r="B6" s="56" t="s">
        <v>10</v>
      </c>
      <c r="C6" s="24"/>
      <c r="D6" s="60">
        <v>240</v>
      </c>
      <c r="F6" s="100">
        <v>0</v>
      </c>
      <c r="G6" s="101"/>
      <c r="H6" s="102"/>
      <c r="I6" s="103"/>
      <c r="J6" s="104">
        <f t="shared" si="0"/>
        <v>0</v>
      </c>
    </row>
    <row r="7" spans="1:10" ht="25.5" x14ac:dyDescent="0.2">
      <c r="A7" s="126" t="s">
        <v>240</v>
      </c>
      <c r="B7" s="36" t="s">
        <v>122</v>
      </c>
      <c r="C7" s="98"/>
      <c r="D7" s="99">
        <v>1500</v>
      </c>
      <c r="F7" s="100">
        <v>1500</v>
      </c>
      <c r="G7" s="101"/>
      <c r="H7" s="102"/>
      <c r="I7" s="103"/>
      <c r="J7" s="104">
        <f t="shared" si="0"/>
        <v>1500</v>
      </c>
    </row>
    <row r="8" spans="1:10" ht="25.5" x14ac:dyDescent="0.2">
      <c r="A8" s="126" t="s">
        <v>240</v>
      </c>
      <c r="B8" s="32" t="s">
        <v>26</v>
      </c>
      <c r="C8" s="98"/>
      <c r="D8" s="99">
        <v>1500</v>
      </c>
      <c r="F8" s="100">
        <v>1765.74</v>
      </c>
      <c r="G8" s="101"/>
      <c r="H8" s="102">
        <v>265.74</v>
      </c>
      <c r="I8" s="103"/>
      <c r="J8" s="104">
        <f t="shared" si="0"/>
        <v>1500</v>
      </c>
    </row>
    <row r="9" spans="1:10" ht="25.5" x14ac:dyDescent="0.2">
      <c r="A9" s="126" t="s">
        <v>240</v>
      </c>
      <c r="B9" s="32" t="s">
        <v>64</v>
      </c>
      <c r="C9" s="98"/>
      <c r="D9" s="99">
        <v>1975.42</v>
      </c>
      <c r="F9" s="100">
        <v>1975.42</v>
      </c>
      <c r="G9" s="101"/>
      <c r="H9" s="102"/>
      <c r="I9" s="103"/>
      <c r="J9" s="104">
        <f t="shared" si="0"/>
        <v>1975.42</v>
      </c>
    </row>
    <row r="10" spans="1:10" ht="15" x14ac:dyDescent="0.2">
      <c r="A10" s="126" t="s">
        <v>240</v>
      </c>
      <c r="B10" s="36" t="s">
        <v>147</v>
      </c>
      <c r="C10" s="98"/>
      <c r="D10" s="99">
        <v>3500</v>
      </c>
      <c r="F10" s="100">
        <v>3500</v>
      </c>
      <c r="G10" s="101"/>
      <c r="H10" s="102"/>
      <c r="I10" s="103"/>
      <c r="J10" s="104">
        <f t="shared" si="0"/>
        <v>3500</v>
      </c>
    </row>
    <row r="11" spans="1:10" ht="15" x14ac:dyDescent="0.2">
      <c r="A11" s="126" t="s">
        <v>240</v>
      </c>
      <c r="B11" s="32" t="s">
        <v>17</v>
      </c>
      <c r="C11" s="98"/>
      <c r="D11" s="99">
        <v>2050</v>
      </c>
      <c r="F11" s="100">
        <v>2050</v>
      </c>
      <c r="G11" s="101"/>
      <c r="H11" s="102"/>
      <c r="I11" s="103"/>
      <c r="J11" s="104">
        <f t="shared" si="0"/>
        <v>2050</v>
      </c>
    </row>
    <row r="12" spans="1:10" ht="15" x14ac:dyDescent="0.2">
      <c r="A12" s="126" t="s">
        <v>240</v>
      </c>
      <c r="B12" s="36" t="s">
        <v>101</v>
      </c>
      <c r="C12" s="98"/>
      <c r="D12" s="99">
        <v>5000</v>
      </c>
      <c r="F12" s="100">
        <v>5000</v>
      </c>
      <c r="G12" s="101"/>
      <c r="H12" s="102"/>
      <c r="I12" s="103"/>
      <c r="J12" s="104">
        <f t="shared" si="0"/>
        <v>5000</v>
      </c>
    </row>
    <row r="13" spans="1:10" ht="25.5" x14ac:dyDescent="0.2">
      <c r="A13" s="126" t="s">
        <v>240</v>
      </c>
      <c r="B13" s="138" t="s">
        <v>70</v>
      </c>
      <c r="C13" s="98"/>
      <c r="D13" s="99">
        <v>1360</v>
      </c>
      <c r="F13" s="100">
        <v>1360</v>
      </c>
      <c r="G13" s="101"/>
      <c r="H13" s="102"/>
      <c r="I13" s="103"/>
      <c r="J13" s="104">
        <f t="shared" si="0"/>
        <v>1360</v>
      </c>
    </row>
    <row r="14" spans="1:10" ht="25.5" x14ac:dyDescent="0.2">
      <c r="A14" s="126" t="s">
        <v>240</v>
      </c>
      <c r="B14" s="138" t="s">
        <v>42</v>
      </c>
      <c r="C14" s="98"/>
      <c r="D14" s="99">
        <v>1360</v>
      </c>
      <c r="F14" s="100">
        <v>1360</v>
      </c>
      <c r="G14" s="101"/>
      <c r="H14" s="102"/>
      <c r="I14" s="103"/>
      <c r="J14" s="104">
        <f t="shared" si="0"/>
        <v>1360</v>
      </c>
    </row>
    <row r="15" spans="1:10" ht="15" x14ac:dyDescent="0.2">
      <c r="A15" s="126" t="s">
        <v>240</v>
      </c>
      <c r="B15" s="32" t="s">
        <v>69</v>
      </c>
      <c r="C15" s="98"/>
      <c r="D15" s="261">
        <v>190</v>
      </c>
      <c r="G15" s="107">
        <f>SUM(G2:G14)</f>
        <v>240</v>
      </c>
      <c r="H15" s="107">
        <f>SUM(H2:H14)</f>
        <v>265.74</v>
      </c>
      <c r="I15" s="107">
        <f>SUM(I2:I14)</f>
        <v>0</v>
      </c>
    </row>
    <row r="16" spans="1:10" ht="13.5" customHeight="1" x14ac:dyDescent="0.2">
      <c r="A16" s="126" t="s">
        <v>240</v>
      </c>
      <c r="B16" s="105" t="s">
        <v>72</v>
      </c>
      <c r="C16" s="106"/>
      <c r="D16" s="265">
        <v>185</v>
      </c>
      <c r="G16" s="107"/>
      <c r="H16" s="107"/>
      <c r="I16" s="107">
        <f>SUM(I3:I15)</f>
        <v>0</v>
      </c>
    </row>
    <row r="17" spans="1:10" ht="15" x14ac:dyDescent="0.2">
      <c r="A17" s="126" t="s">
        <v>240</v>
      </c>
      <c r="B17" s="36" t="s">
        <v>123</v>
      </c>
      <c r="C17" s="98"/>
      <c r="D17" s="261">
        <v>185</v>
      </c>
      <c r="H17" s="64"/>
    </row>
    <row r="18" spans="1:10" ht="15" x14ac:dyDescent="0.2">
      <c r="A18" s="126" t="s">
        <v>240</v>
      </c>
      <c r="B18" s="32" t="s">
        <v>12</v>
      </c>
      <c r="C18" s="98"/>
      <c r="D18" s="261">
        <v>220</v>
      </c>
      <c r="H18" s="64"/>
    </row>
    <row r="19" spans="1:10" ht="15" x14ac:dyDescent="0.2">
      <c r="A19" s="126" t="s">
        <v>240</v>
      </c>
      <c r="B19" s="32" t="s">
        <v>71</v>
      </c>
      <c r="C19" s="98"/>
      <c r="D19" s="261">
        <v>60</v>
      </c>
      <c r="H19" s="64"/>
    </row>
    <row r="20" spans="1:10" ht="15" x14ac:dyDescent="0.2">
      <c r="A20" s="126" t="s">
        <v>240</v>
      </c>
      <c r="B20" s="32" t="s">
        <v>61</v>
      </c>
      <c r="C20" s="98"/>
      <c r="D20" s="261">
        <v>80</v>
      </c>
      <c r="E20" s="262">
        <f>SUM(D15:D20)</f>
        <v>920</v>
      </c>
      <c r="H20" s="64"/>
    </row>
    <row r="21" spans="1:10" ht="15" x14ac:dyDescent="0.2">
      <c r="A21" s="126"/>
      <c r="B21" s="32"/>
      <c r="C21" s="98"/>
      <c r="D21" s="263">
        <f>SUM(D2:D20)</f>
        <v>23095.42</v>
      </c>
      <c r="H21" s="64"/>
    </row>
    <row r="22" spans="1:10" ht="15" x14ac:dyDescent="0.2">
      <c r="A22" s="126"/>
      <c r="B22" s="32"/>
      <c r="C22" s="98"/>
      <c r="D22" s="99"/>
      <c r="H22" s="64"/>
    </row>
    <row r="23" spans="1:10" ht="15" x14ac:dyDescent="0.2">
      <c r="A23" s="126" t="s">
        <v>240</v>
      </c>
      <c r="B23" s="36" t="s">
        <v>158</v>
      </c>
      <c r="C23" s="98"/>
      <c r="D23" s="99">
        <v>900</v>
      </c>
      <c r="F23" s="100">
        <v>900</v>
      </c>
      <c r="G23" s="109"/>
      <c r="H23" s="109"/>
      <c r="I23" s="109"/>
      <c r="J23" s="104">
        <f>F23-G23-H23-I23</f>
        <v>900</v>
      </c>
    </row>
    <row r="24" spans="1:10" ht="25.5" x14ac:dyDescent="0.2">
      <c r="A24" s="126" t="s">
        <v>240</v>
      </c>
      <c r="B24" s="36" t="s">
        <v>102</v>
      </c>
      <c r="C24" s="98"/>
      <c r="D24" s="99">
        <v>7500</v>
      </c>
      <c r="F24" s="100">
        <v>7500</v>
      </c>
      <c r="G24" s="109"/>
      <c r="H24" s="109"/>
      <c r="I24" s="109"/>
      <c r="J24" s="104">
        <f>F24-G24-H24-I24</f>
        <v>7500</v>
      </c>
    </row>
    <row r="25" spans="1:10" ht="15" x14ac:dyDescent="0.2">
      <c r="A25" s="126" t="s">
        <v>240</v>
      </c>
      <c r="B25" s="36" t="s">
        <v>103</v>
      </c>
      <c r="C25" s="98"/>
      <c r="D25" s="99">
        <v>500</v>
      </c>
      <c r="F25" s="100">
        <v>500</v>
      </c>
      <c r="G25" s="109"/>
      <c r="H25" s="109"/>
      <c r="I25" s="109"/>
      <c r="J25" s="104">
        <f>F25-G25-H25-I25</f>
        <v>500</v>
      </c>
    </row>
    <row r="26" spans="1:10" ht="15" x14ac:dyDescent="0.2">
      <c r="A26" s="126" t="s">
        <v>240</v>
      </c>
      <c r="B26" s="36" t="s">
        <v>188</v>
      </c>
      <c r="C26" s="24"/>
      <c r="D26" s="99">
        <v>4731.47</v>
      </c>
      <c r="F26" s="100">
        <v>4731.47</v>
      </c>
      <c r="G26" s="109"/>
      <c r="H26" s="109"/>
      <c r="I26" s="109"/>
      <c r="J26" s="104">
        <f>F26-G26-H26-I26</f>
        <v>4731.47</v>
      </c>
    </row>
    <row r="27" spans="1:10" ht="13.5" customHeight="1" x14ac:dyDescent="0.2">
      <c r="A27" t="s">
        <v>240</v>
      </c>
      <c r="B27" s="36" t="s">
        <v>126</v>
      </c>
      <c r="C27" s="118"/>
      <c r="D27" s="60">
        <v>400</v>
      </c>
      <c r="F27" s="100">
        <v>400</v>
      </c>
      <c r="G27" s="109"/>
      <c r="H27" s="109"/>
      <c r="I27" s="109"/>
      <c r="J27" s="104">
        <f>F27-G27-H27-I27</f>
        <v>400</v>
      </c>
    </row>
    <row r="28" spans="1:10" ht="15" x14ac:dyDescent="0.2">
      <c r="A28" s="126"/>
      <c r="B28" s="36"/>
      <c r="C28" s="260"/>
      <c r="D28" s="263">
        <f>SUM(D23:D27)</f>
        <v>14031.470000000001</v>
      </c>
    </row>
    <row r="29" spans="1:10" ht="15" x14ac:dyDescent="0.2">
      <c r="A29" s="126"/>
      <c r="B29" s="36"/>
      <c r="C29" s="24"/>
      <c r="D29" s="99"/>
    </row>
    <row r="30" spans="1:10" ht="13.5" customHeight="1" x14ac:dyDescent="0.2">
      <c r="A30" s="126" t="s">
        <v>241</v>
      </c>
      <c r="B30" s="36" t="s">
        <v>189</v>
      </c>
      <c r="C30" s="110">
        <v>8000</v>
      </c>
      <c r="D30" s="60"/>
    </row>
    <row r="31" spans="1:10" ht="13.5" customHeight="1" x14ac:dyDescent="0.2">
      <c r="A31" s="126" t="s">
        <v>241</v>
      </c>
      <c r="B31" s="36" t="s">
        <v>189</v>
      </c>
      <c r="C31" s="110">
        <v>3309.32</v>
      </c>
      <c r="D31" s="60"/>
    </row>
    <row r="32" spans="1:10" ht="13.5" customHeight="1" x14ac:dyDescent="0.2">
      <c r="A32" s="126" t="s">
        <v>241</v>
      </c>
      <c r="B32" s="32" t="s">
        <v>174</v>
      </c>
      <c r="C32" s="24">
        <v>-317.19</v>
      </c>
      <c r="D32" s="57"/>
      <c r="E32" s="64"/>
      <c r="F32" s="64"/>
      <c r="G32" s="65"/>
    </row>
    <row r="33" spans="1:9" ht="13.5" customHeight="1" x14ac:dyDescent="0.2">
      <c r="A33" s="126" t="s">
        <v>241</v>
      </c>
      <c r="B33" s="36" t="s">
        <v>174</v>
      </c>
      <c r="C33" s="24">
        <v>-379.6</v>
      </c>
      <c r="D33" s="16"/>
      <c r="E33" s="64"/>
      <c r="F33" s="64"/>
      <c r="G33" s="65"/>
    </row>
    <row r="34" spans="1:9" ht="13.5" customHeight="1" x14ac:dyDescent="0.2">
      <c r="A34" s="126" t="s">
        <v>241</v>
      </c>
      <c r="B34" s="34" t="s">
        <v>174</v>
      </c>
      <c r="C34" s="24">
        <v>-654.41999999999996</v>
      </c>
      <c r="D34" s="25"/>
    </row>
    <row r="35" spans="1:9" ht="13.5" customHeight="1" x14ac:dyDescent="0.2">
      <c r="A35" s="126" t="s">
        <v>241</v>
      </c>
      <c r="B35" s="34" t="s">
        <v>174</v>
      </c>
      <c r="C35" s="24">
        <v>-813.85</v>
      </c>
      <c r="D35" s="25"/>
    </row>
    <row r="36" spans="1:9" ht="13.5" customHeight="1" x14ac:dyDescent="0.2">
      <c r="A36" s="126" t="s">
        <v>241</v>
      </c>
      <c r="B36" s="36" t="s">
        <v>174</v>
      </c>
      <c r="C36" s="24">
        <v>-900</v>
      </c>
      <c r="D36" s="57"/>
      <c r="E36" s="64"/>
      <c r="F36" s="64"/>
      <c r="G36" s="65"/>
    </row>
    <row r="37" spans="1:9" ht="13.5" customHeight="1" x14ac:dyDescent="0.2">
      <c r="A37" s="126" t="s">
        <v>241</v>
      </c>
      <c r="B37" s="36" t="s">
        <v>174</v>
      </c>
      <c r="C37" s="24">
        <v>-926.75</v>
      </c>
      <c r="D37" s="60"/>
    </row>
    <row r="38" spans="1:9" ht="13.5" customHeight="1" x14ac:dyDescent="0.2">
      <c r="A38" s="126" t="s">
        <v>241</v>
      </c>
      <c r="B38" s="36" t="s">
        <v>174</v>
      </c>
      <c r="C38" s="24">
        <v>-1125.06</v>
      </c>
      <c r="D38" s="60"/>
    </row>
    <row r="39" spans="1:9" ht="13.5" customHeight="1" x14ac:dyDescent="0.2">
      <c r="A39" s="126" t="s">
        <v>241</v>
      </c>
      <c r="B39" s="36" t="s">
        <v>174</v>
      </c>
      <c r="C39" s="24">
        <v>-1279.25</v>
      </c>
      <c r="D39" s="60"/>
    </row>
    <row r="40" spans="1:9" ht="13.5" customHeight="1" x14ac:dyDescent="0.2">
      <c r="A40" s="126" t="s">
        <v>241</v>
      </c>
      <c r="B40" s="36" t="s">
        <v>174</v>
      </c>
      <c r="C40" s="24">
        <v>-1574.68</v>
      </c>
      <c r="D40" s="60"/>
    </row>
    <row r="41" spans="1:9" ht="13.5" customHeight="1" x14ac:dyDescent="0.2">
      <c r="A41" s="126" t="s">
        <v>241</v>
      </c>
      <c r="B41" s="36" t="s">
        <v>174</v>
      </c>
      <c r="C41" s="24">
        <v>-2108.4499999999998</v>
      </c>
      <c r="D41" s="57"/>
      <c r="E41" s="64"/>
      <c r="F41" s="64"/>
      <c r="G41" s="65"/>
    </row>
    <row r="42" spans="1:9" ht="13.5" customHeight="1" x14ac:dyDescent="0.2">
      <c r="A42" s="126" t="s">
        <v>241</v>
      </c>
      <c r="B42" s="36" t="s">
        <v>174</v>
      </c>
      <c r="C42" s="24">
        <v>-2221.5500000000002</v>
      </c>
      <c r="D42" s="60"/>
    </row>
    <row r="43" spans="1:9" ht="13.5" customHeight="1" x14ac:dyDescent="0.2">
      <c r="A43" s="126" t="s">
        <v>241</v>
      </c>
      <c r="B43" s="36" t="s">
        <v>174</v>
      </c>
      <c r="C43" s="24">
        <v>-3532.52</v>
      </c>
      <c r="D43" s="60"/>
    </row>
    <row r="44" spans="1:9" ht="13.5" customHeight="1" x14ac:dyDescent="0.2">
      <c r="A44" s="126" t="s">
        <v>241</v>
      </c>
      <c r="B44" s="36" t="s">
        <v>174</v>
      </c>
      <c r="C44" s="24">
        <v>-5707.53</v>
      </c>
      <c r="D44" s="60"/>
      <c r="H44" s="64"/>
    </row>
    <row r="45" spans="1:9" ht="13.5" customHeight="1" x14ac:dyDescent="0.2">
      <c r="A45" s="126"/>
      <c r="B45" s="36"/>
      <c r="C45" s="135">
        <f>SUM(C30:C44)</f>
        <v>-10231.530000000002</v>
      </c>
      <c r="D45" s="60"/>
    </row>
    <row r="46" spans="1:9" ht="13.5" customHeight="1" x14ac:dyDescent="0.2">
      <c r="A46" s="126"/>
      <c r="B46" s="36"/>
      <c r="C46" s="110"/>
      <c r="D46" s="60"/>
    </row>
    <row r="47" spans="1:9" ht="13.5" customHeight="1" x14ac:dyDescent="0.2">
      <c r="A47" s="1" t="s">
        <v>224</v>
      </c>
      <c r="B47" s="34" t="s">
        <v>128</v>
      </c>
      <c r="C47" s="110">
        <v>33.36</v>
      </c>
      <c r="D47" s="60"/>
      <c r="I47" s="64"/>
    </row>
    <row r="48" spans="1:9" ht="13.5" customHeight="1" x14ac:dyDescent="0.2">
      <c r="A48" s="1" t="s">
        <v>224</v>
      </c>
      <c r="B48" s="36" t="s">
        <v>62</v>
      </c>
      <c r="C48" s="110">
        <v>438.84</v>
      </c>
      <c r="D48" s="38"/>
      <c r="I48" s="64"/>
    </row>
    <row r="49" spans="1:9" ht="13.5" customHeight="1" x14ac:dyDescent="0.2">
      <c r="A49" s="1" t="s">
        <v>224</v>
      </c>
      <c r="B49" s="36" t="s">
        <v>68</v>
      </c>
      <c r="C49" s="110">
        <v>129.9</v>
      </c>
      <c r="D49" s="60"/>
      <c r="I49" s="64"/>
    </row>
    <row r="50" spans="1:9" ht="13.5" customHeight="1" x14ac:dyDescent="0.2">
      <c r="B50" s="36" t="s">
        <v>630</v>
      </c>
      <c r="C50" s="110">
        <v>400</v>
      </c>
      <c r="D50" s="60"/>
      <c r="I50" s="64"/>
    </row>
    <row r="51" spans="1:9" ht="13.5" customHeight="1" x14ac:dyDescent="0.2">
      <c r="B51" s="36"/>
      <c r="C51" s="135">
        <f>SUM(C47:C50)</f>
        <v>1002.1</v>
      </c>
      <c r="D51" s="60"/>
      <c r="I51" s="64"/>
    </row>
    <row r="52" spans="1:9" ht="13.5" customHeight="1" x14ac:dyDescent="0.2">
      <c r="B52" s="36"/>
      <c r="C52" s="110"/>
      <c r="D52" s="60"/>
      <c r="I52" s="64"/>
    </row>
    <row r="53" spans="1:9" ht="13.5" customHeight="1" x14ac:dyDescent="0.2">
      <c r="A53" s="1" t="s">
        <v>224</v>
      </c>
      <c r="B53" s="32" t="s">
        <v>74</v>
      </c>
      <c r="C53" s="98">
        <v>150</v>
      </c>
      <c r="D53" s="31"/>
    </row>
    <row r="54" spans="1:9" ht="13.5" customHeight="1" x14ac:dyDescent="0.2">
      <c r="A54" s="1" t="s">
        <v>224</v>
      </c>
      <c r="B54" s="36" t="s">
        <v>141</v>
      </c>
      <c r="C54" s="24">
        <v>150</v>
      </c>
      <c r="D54" s="60"/>
    </row>
    <row r="55" spans="1:9" ht="13.5" customHeight="1" x14ac:dyDescent="0.2">
      <c r="A55" s="1" t="s">
        <v>224</v>
      </c>
      <c r="B55" s="32" t="s">
        <v>75</v>
      </c>
      <c r="C55" s="98">
        <v>150</v>
      </c>
      <c r="D55" s="31"/>
    </row>
    <row r="56" spans="1:9" ht="13.5" customHeight="1" x14ac:dyDescent="0.2">
      <c r="A56" s="1" t="s">
        <v>224</v>
      </c>
      <c r="B56" s="36" t="s">
        <v>142</v>
      </c>
      <c r="C56" s="24">
        <v>150</v>
      </c>
      <c r="D56" s="60">
        <f>C57-D57</f>
        <v>200</v>
      </c>
    </row>
    <row r="57" spans="1:9" ht="13.5" customHeight="1" x14ac:dyDescent="0.2">
      <c r="B57" s="36"/>
      <c r="C57" s="267">
        <f>SUM(C53:C56)</f>
        <v>600</v>
      </c>
      <c r="D57" s="60">
        <f>C57*2/3</f>
        <v>400</v>
      </c>
    </row>
    <row r="58" spans="1:9" ht="13.5" customHeight="1" x14ac:dyDescent="0.2">
      <c r="B58" s="36"/>
      <c r="C58" s="24"/>
      <c r="D58" s="60"/>
    </row>
    <row r="59" spans="1:9" ht="13.5" customHeight="1" x14ac:dyDescent="0.2">
      <c r="A59" t="s">
        <v>225</v>
      </c>
      <c r="B59" s="36" t="s">
        <v>186</v>
      </c>
      <c r="C59" s="135">
        <v>720.85</v>
      </c>
      <c r="D59" s="60"/>
    </row>
    <row r="60" spans="1:9" ht="13.5" customHeight="1" x14ac:dyDescent="0.2">
      <c r="A60"/>
      <c r="B60" s="36"/>
      <c r="C60" s="117"/>
      <c r="D60" s="60"/>
    </row>
    <row r="61" spans="1:9" ht="13.5" customHeight="1" x14ac:dyDescent="0.2">
      <c r="A61"/>
      <c r="B61" s="36"/>
      <c r="C61" s="110"/>
      <c r="D61" s="60"/>
    </row>
    <row r="62" spans="1:9" ht="13.5" customHeight="1" x14ac:dyDescent="0.2">
      <c r="A62" s="126" t="s">
        <v>242</v>
      </c>
      <c r="B62" s="36" t="s">
        <v>80</v>
      </c>
      <c r="C62" s="110">
        <v>45.8</v>
      </c>
      <c r="D62" s="38"/>
    </row>
    <row r="63" spans="1:9" ht="13.5" customHeight="1" x14ac:dyDescent="0.2">
      <c r="A63" s="126" t="s">
        <v>242</v>
      </c>
      <c r="B63" s="36" t="s">
        <v>633</v>
      </c>
      <c r="C63" s="110">
        <v>-265.74</v>
      </c>
      <c r="D63" s="38"/>
    </row>
    <row r="64" spans="1:9" ht="13.5" customHeight="1" x14ac:dyDescent="0.2">
      <c r="A64" s="126" t="s">
        <v>242</v>
      </c>
      <c r="B64" s="36" t="s">
        <v>127</v>
      </c>
      <c r="C64" s="110">
        <v>28.29</v>
      </c>
      <c r="D64" s="60"/>
    </row>
    <row r="65" spans="1:12" ht="13.5" customHeight="1" x14ac:dyDescent="0.2">
      <c r="A65" s="126" t="s">
        <v>242</v>
      </c>
      <c r="B65" s="34" t="s">
        <v>34</v>
      </c>
      <c r="C65" s="110">
        <v>39</v>
      </c>
      <c r="D65" s="60"/>
    </row>
    <row r="66" spans="1:12" ht="13.5" customHeight="1" x14ac:dyDescent="0.2">
      <c r="A66" s="126" t="s">
        <v>242</v>
      </c>
      <c r="B66" s="34" t="s">
        <v>109</v>
      </c>
      <c r="C66" s="110">
        <v>93.69</v>
      </c>
      <c r="D66" s="60"/>
      <c r="I66" s="64"/>
    </row>
    <row r="67" spans="1:12" ht="13.5" customHeight="1" x14ac:dyDescent="0.2">
      <c r="A67" s="126" t="s">
        <v>242</v>
      </c>
      <c r="B67" s="36" t="s">
        <v>35</v>
      </c>
      <c r="C67" s="110">
        <v>69.45</v>
      </c>
      <c r="D67" s="60"/>
    </row>
    <row r="68" spans="1:12" ht="13.5" customHeight="1" x14ac:dyDescent="0.2">
      <c r="A68" s="126" t="s">
        <v>242</v>
      </c>
      <c r="B68" s="36" t="s">
        <v>129</v>
      </c>
      <c r="C68" s="110">
        <v>104.58</v>
      </c>
      <c r="D68" s="60"/>
    </row>
    <row r="69" spans="1:12" ht="13.5" customHeight="1" x14ac:dyDescent="0.2">
      <c r="A69" s="126" t="s">
        <v>242</v>
      </c>
      <c r="B69" s="36" t="s">
        <v>131</v>
      </c>
      <c r="C69" s="110">
        <v>136.54</v>
      </c>
      <c r="D69" s="31"/>
    </row>
    <row r="70" spans="1:12" ht="13.5" customHeight="1" x14ac:dyDescent="0.2">
      <c r="A70" s="126" t="s">
        <v>242</v>
      </c>
      <c r="B70" s="33" t="s">
        <v>56</v>
      </c>
      <c r="C70" s="98">
        <v>61.3</v>
      </c>
      <c r="D70" s="13"/>
    </row>
    <row r="71" spans="1:12" ht="13.5" customHeight="1" x14ac:dyDescent="0.2">
      <c r="A71" s="126" t="s">
        <v>242</v>
      </c>
      <c r="B71" s="36" t="s">
        <v>87</v>
      </c>
      <c r="C71" s="110">
        <v>69.11</v>
      </c>
      <c r="D71" s="60"/>
      <c r="I71" s="64"/>
    </row>
    <row r="72" spans="1:12" customFormat="1" ht="13.5" customHeight="1" x14ac:dyDescent="0.2">
      <c r="A72" s="126" t="s">
        <v>242</v>
      </c>
      <c r="B72" s="34" t="s">
        <v>155</v>
      </c>
      <c r="C72" s="119">
        <v>7</v>
      </c>
      <c r="D72" s="71"/>
      <c r="E72" s="1"/>
      <c r="F72" s="1"/>
      <c r="G72" s="1"/>
      <c r="H72" s="72"/>
      <c r="L72" s="40"/>
    </row>
    <row r="73" spans="1:12" customFormat="1" ht="13.5" customHeight="1" x14ac:dyDescent="0.2">
      <c r="A73" s="126" t="s">
        <v>242</v>
      </c>
      <c r="B73" s="34" t="s">
        <v>161</v>
      </c>
      <c r="C73" s="59">
        <v>180</v>
      </c>
      <c r="D73" s="71"/>
      <c r="E73" s="1"/>
      <c r="F73" s="1"/>
      <c r="G73" s="1"/>
      <c r="H73" s="72"/>
      <c r="L73" s="40"/>
    </row>
    <row r="74" spans="1:12" customFormat="1" ht="13.5" customHeight="1" x14ac:dyDescent="0.2">
      <c r="A74" s="126" t="s">
        <v>242</v>
      </c>
      <c r="B74" s="237" t="s">
        <v>59</v>
      </c>
      <c r="C74" s="118">
        <v>6.43</v>
      </c>
      <c r="D74" s="71"/>
      <c r="E74" s="1"/>
      <c r="F74" s="1"/>
      <c r="G74" s="1"/>
      <c r="H74" s="72"/>
      <c r="L74" s="40"/>
    </row>
    <row r="75" spans="1:12" customFormat="1" ht="13.5" customHeight="1" x14ac:dyDescent="0.2">
      <c r="A75" s="126" t="s">
        <v>242</v>
      </c>
      <c r="B75" s="237" t="s">
        <v>60</v>
      </c>
      <c r="C75" s="118">
        <v>6.43</v>
      </c>
      <c r="D75" s="71"/>
      <c r="E75" s="1"/>
      <c r="F75" s="1"/>
      <c r="G75" s="1"/>
      <c r="H75" s="72"/>
      <c r="L75" s="40"/>
    </row>
    <row r="76" spans="1:12" customFormat="1" ht="13.5" customHeight="1" x14ac:dyDescent="0.2">
      <c r="A76" s="126" t="s">
        <v>242</v>
      </c>
      <c r="B76" s="34" t="s">
        <v>112</v>
      </c>
      <c r="C76" s="118">
        <v>-83</v>
      </c>
      <c r="D76" s="71"/>
      <c r="E76" s="1"/>
      <c r="F76" s="1"/>
      <c r="G76" s="1"/>
      <c r="H76" s="72"/>
      <c r="L76" s="40"/>
    </row>
    <row r="77" spans="1:12" customFormat="1" ht="13.5" customHeight="1" x14ac:dyDescent="0.2">
      <c r="A77" s="126" t="s">
        <v>242</v>
      </c>
      <c r="B77" s="34" t="s">
        <v>215</v>
      </c>
      <c r="C77" s="59">
        <v>23.55</v>
      </c>
      <c r="D77" s="71"/>
      <c r="E77" s="1"/>
      <c r="F77" s="1"/>
      <c r="G77" s="1"/>
      <c r="H77" s="72"/>
      <c r="L77" s="40"/>
    </row>
    <row r="78" spans="1:12" customFormat="1" ht="13.5" customHeight="1" x14ac:dyDescent="0.2">
      <c r="A78" s="126" t="s">
        <v>242</v>
      </c>
      <c r="B78" s="34" t="s">
        <v>624</v>
      </c>
      <c r="C78" s="59">
        <f t="array" ref="C78">SUM(G80:G89/2)</f>
        <v>353.935</v>
      </c>
      <c r="D78" s="71"/>
      <c r="E78" s="1"/>
      <c r="F78" s="1"/>
      <c r="G78" s="1"/>
      <c r="H78" s="72"/>
      <c r="L78" s="40"/>
    </row>
    <row r="79" spans="1:12" customFormat="1" ht="13.5" customHeight="1" x14ac:dyDescent="0.2">
      <c r="A79" s="126"/>
      <c r="B79" s="34"/>
      <c r="C79" s="139">
        <f>SUM(C62:C78)</f>
        <v>876.36499999999978</v>
      </c>
      <c r="D79" s="71"/>
      <c r="E79" s="1"/>
      <c r="F79" s="1"/>
      <c r="G79" s="1"/>
      <c r="H79" s="72"/>
      <c r="L79" s="40"/>
    </row>
    <row r="80" spans="1:12" customFormat="1" ht="13.5" customHeight="1" x14ac:dyDescent="0.2">
      <c r="A80" s="126"/>
      <c r="B80" s="34"/>
      <c r="C80" s="110"/>
      <c r="D80" s="25"/>
      <c r="E80" s="126" t="s">
        <v>242</v>
      </c>
      <c r="F80" s="34" t="s">
        <v>204</v>
      </c>
      <c r="G80" s="68">
        <v>21</v>
      </c>
      <c r="H80" s="72"/>
      <c r="L80" s="40"/>
    </row>
    <row r="81" spans="1:11" customFormat="1" ht="13.5" customHeight="1" x14ac:dyDescent="0.2">
      <c r="A81" s="126"/>
      <c r="B81" s="34"/>
      <c r="C81" s="110"/>
      <c r="D81" s="25"/>
      <c r="E81" s="126" t="s">
        <v>242</v>
      </c>
      <c r="F81" s="34" t="s">
        <v>212</v>
      </c>
      <c r="G81" s="68">
        <v>4</v>
      </c>
      <c r="K81" s="40"/>
    </row>
    <row r="82" spans="1:11" ht="13.5" customHeight="1" x14ac:dyDescent="0.2">
      <c r="A82" s="126" t="s">
        <v>242</v>
      </c>
      <c r="B82" s="138" t="s">
        <v>199</v>
      </c>
      <c r="C82" s="110">
        <v>173.45</v>
      </c>
      <c r="D82" s="25"/>
      <c r="E82" s="126" t="s">
        <v>242</v>
      </c>
      <c r="F82" s="34" t="s">
        <v>205</v>
      </c>
      <c r="G82" s="113">
        <v>5</v>
      </c>
    </row>
    <row r="83" spans="1:11" ht="13.5" customHeight="1" x14ac:dyDescent="0.2">
      <c r="A83" s="126" t="s">
        <v>242</v>
      </c>
      <c r="B83" s="34" t="s">
        <v>180</v>
      </c>
      <c r="C83" s="110">
        <v>277.72000000000003</v>
      </c>
      <c r="D83" s="60"/>
      <c r="E83" s="126" t="s">
        <v>242</v>
      </c>
      <c r="F83" s="34" t="s">
        <v>205</v>
      </c>
      <c r="G83" s="113">
        <v>9</v>
      </c>
    </row>
    <row r="84" spans="1:11" ht="13.5" customHeight="1" x14ac:dyDescent="0.2">
      <c r="A84" s="126" t="s">
        <v>242</v>
      </c>
      <c r="B84" s="62" t="s">
        <v>196</v>
      </c>
      <c r="C84" s="110">
        <v>1100</v>
      </c>
      <c r="D84" s="60"/>
      <c r="E84" s="126" t="s">
        <v>242</v>
      </c>
      <c r="F84" s="36" t="s">
        <v>205</v>
      </c>
      <c r="G84" s="113">
        <v>9.4</v>
      </c>
    </row>
    <row r="85" spans="1:11" ht="13.5" customHeight="1" x14ac:dyDescent="0.2">
      <c r="A85" s="126" t="s">
        <v>242</v>
      </c>
      <c r="B85" s="62" t="s">
        <v>197</v>
      </c>
      <c r="C85" s="110">
        <v>1833.33</v>
      </c>
      <c r="D85" s="60"/>
      <c r="E85" s="126" t="s">
        <v>242</v>
      </c>
      <c r="F85" s="36" t="s">
        <v>205</v>
      </c>
      <c r="G85" s="68">
        <v>18.47</v>
      </c>
    </row>
    <row r="86" spans="1:11" ht="13.5" customHeight="1" x14ac:dyDescent="0.2">
      <c r="A86" s="126" t="s">
        <v>242</v>
      </c>
      <c r="B86" s="36" t="s">
        <v>111</v>
      </c>
      <c r="C86" s="24">
        <v>60</v>
      </c>
      <c r="D86" s="60"/>
      <c r="E86" s="126" t="s">
        <v>242</v>
      </c>
      <c r="F86" s="36" t="s">
        <v>205</v>
      </c>
      <c r="G86" s="113">
        <v>30</v>
      </c>
      <c r="H86" s="64"/>
    </row>
    <row r="87" spans="1:11" ht="13.5" customHeight="1" x14ac:dyDescent="0.2">
      <c r="A87" s="126" t="s">
        <v>242</v>
      </c>
      <c r="B87" s="36" t="s">
        <v>423</v>
      </c>
      <c r="C87" s="24">
        <v>353.94</v>
      </c>
      <c r="D87" s="60"/>
      <c r="E87" s="126" t="s">
        <v>242</v>
      </c>
      <c r="F87" s="36" t="s">
        <v>162</v>
      </c>
      <c r="G87" s="110">
        <v>315</v>
      </c>
    </row>
    <row r="88" spans="1:11" ht="13.5" customHeight="1" x14ac:dyDescent="0.2">
      <c r="A88" s="126"/>
      <c r="B88" s="36"/>
      <c r="C88" s="136">
        <f>SUM(C82:C87)</f>
        <v>3798.44</v>
      </c>
      <c r="D88" s="60"/>
      <c r="E88" s="126"/>
      <c r="F88" s="36"/>
      <c r="G88" s="110"/>
    </row>
    <row r="89" spans="1:11" ht="13.5" customHeight="1" x14ac:dyDescent="0.2">
      <c r="A89" s="126"/>
      <c r="B89" s="36"/>
      <c r="C89" s="24"/>
      <c r="D89" s="60"/>
      <c r="E89" s="126" t="s">
        <v>242</v>
      </c>
      <c r="F89" s="36" t="s">
        <v>113</v>
      </c>
      <c r="G89" s="110">
        <v>296</v>
      </c>
    </row>
    <row r="90" spans="1:11" ht="13.5" customHeight="1" x14ac:dyDescent="0.2">
      <c r="A90" t="s">
        <v>243</v>
      </c>
      <c r="B90" s="36" t="s">
        <v>628</v>
      </c>
      <c r="C90" s="24">
        <v>900</v>
      </c>
      <c r="D90" s="31"/>
    </row>
    <row r="91" spans="1:11" ht="13.5" customHeight="1" x14ac:dyDescent="0.2">
      <c r="A91" t="s">
        <v>243</v>
      </c>
      <c r="B91" s="36" t="s">
        <v>629</v>
      </c>
      <c r="C91" s="110">
        <v>200</v>
      </c>
      <c r="D91" s="31"/>
    </row>
    <row r="92" spans="1:11" ht="13.5" customHeight="1" x14ac:dyDescent="0.2">
      <c r="A92" s="1" t="s">
        <v>243</v>
      </c>
      <c r="B92" s="32" t="s">
        <v>22</v>
      </c>
      <c r="C92" s="98">
        <v>24</v>
      </c>
      <c r="D92" s="31"/>
    </row>
    <row r="93" spans="1:11" ht="13.5" customHeight="1" x14ac:dyDescent="0.2">
      <c r="A93" s="1" t="s">
        <v>243</v>
      </c>
      <c r="B93" s="36" t="s">
        <v>157</v>
      </c>
      <c r="C93" s="24">
        <v>19.7</v>
      </c>
      <c r="D93" s="99"/>
    </row>
    <row r="94" spans="1:11" ht="13.5" customHeight="1" x14ac:dyDescent="0.2">
      <c r="A94" s="1" t="s">
        <v>243</v>
      </c>
      <c r="B94" s="32" t="s">
        <v>22</v>
      </c>
      <c r="C94" s="98">
        <v>31.2</v>
      </c>
      <c r="D94" s="99"/>
    </row>
    <row r="95" spans="1:11" ht="13.5" customHeight="1" x14ac:dyDescent="0.2">
      <c r="A95" s="1" t="s">
        <v>243</v>
      </c>
      <c r="B95" s="34" t="s">
        <v>110</v>
      </c>
      <c r="C95" s="24">
        <v>8.98</v>
      </c>
      <c r="D95" s="99"/>
    </row>
    <row r="96" spans="1:11" ht="13.5" customHeight="1" x14ac:dyDescent="0.2">
      <c r="A96" s="1" t="s">
        <v>243</v>
      </c>
      <c r="B96" s="34" t="s">
        <v>160</v>
      </c>
      <c r="C96" s="24">
        <v>5.36</v>
      </c>
      <c r="D96" s="99"/>
    </row>
    <row r="97" spans="1:9" ht="13.5" customHeight="1" x14ac:dyDescent="0.2">
      <c r="A97" s="1" t="s">
        <v>243</v>
      </c>
      <c r="B97" s="237" t="s">
        <v>46</v>
      </c>
      <c r="C97" s="31">
        <v>8.25</v>
      </c>
      <c r="D97" s="99"/>
    </row>
    <row r="98" spans="1:9" ht="13.5" customHeight="1" x14ac:dyDescent="0.2">
      <c r="A98" s="1" t="s">
        <v>243</v>
      </c>
      <c r="B98" s="34" t="s">
        <v>134</v>
      </c>
      <c r="C98" s="110">
        <v>151.87</v>
      </c>
      <c r="D98" s="99"/>
    </row>
    <row r="99" spans="1:9" ht="13.5" customHeight="1" x14ac:dyDescent="0.2">
      <c r="A99" s="1" t="s">
        <v>243</v>
      </c>
      <c r="B99" s="34" t="s">
        <v>159</v>
      </c>
      <c r="C99" s="24">
        <v>150</v>
      </c>
      <c r="D99" s="99"/>
    </row>
    <row r="100" spans="1:9" ht="13.5" customHeight="1" x14ac:dyDescent="0.2">
      <c r="A100" s="1" t="s">
        <v>243</v>
      </c>
      <c r="B100" s="32" t="s">
        <v>159</v>
      </c>
      <c r="C100" s="59">
        <v>750</v>
      </c>
      <c r="D100" s="99"/>
    </row>
    <row r="101" spans="1:9" ht="13.5" customHeight="1" x14ac:dyDescent="0.2">
      <c r="A101" s="1" t="s">
        <v>243</v>
      </c>
      <c r="B101" s="138" t="s">
        <v>45</v>
      </c>
      <c r="C101" s="98">
        <v>150</v>
      </c>
      <c r="D101" s="99"/>
    </row>
    <row r="102" spans="1:9" ht="13.5" customHeight="1" x14ac:dyDescent="0.2">
      <c r="A102" s="1" t="s">
        <v>243</v>
      </c>
      <c r="B102" s="138" t="s">
        <v>44</v>
      </c>
      <c r="C102" s="98">
        <v>750</v>
      </c>
      <c r="D102" s="99"/>
    </row>
    <row r="103" spans="1:9" ht="13.5" customHeight="1" x14ac:dyDescent="0.2">
      <c r="A103" s="1" t="s">
        <v>243</v>
      </c>
      <c r="B103" s="237" t="s">
        <v>81</v>
      </c>
      <c r="C103" s="110">
        <v>20.91</v>
      </c>
      <c r="D103" s="25"/>
    </row>
    <row r="104" spans="1:9" ht="13.5" customHeight="1" x14ac:dyDescent="0.2">
      <c r="A104" s="1" t="s">
        <v>243</v>
      </c>
      <c r="B104" s="34" t="s">
        <v>88</v>
      </c>
      <c r="C104" s="110">
        <v>99.98</v>
      </c>
      <c r="D104" s="25"/>
    </row>
    <row r="105" spans="1:9" ht="13.5" customHeight="1" x14ac:dyDescent="0.2">
      <c r="A105" s="1" t="s">
        <v>243</v>
      </c>
      <c r="B105" s="34" t="s">
        <v>185</v>
      </c>
      <c r="C105" s="110">
        <v>18.29</v>
      </c>
      <c r="D105" s="25"/>
    </row>
    <row r="106" spans="1:9" ht="13.5" customHeight="1" x14ac:dyDescent="0.2">
      <c r="B106" s="34"/>
      <c r="C106" s="135">
        <f>SUM(C90:C105)</f>
        <v>3288.54</v>
      </c>
      <c r="D106" s="25">
        <f>C106/2</f>
        <v>1644.27</v>
      </c>
    </row>
    <row r="107" spans="1:9" ht="13.5" customHeight="1" x14ac:dyDescent="0.2">
      <c r="B107" s="34"/>
      <c r="C107" s="110"/>
      <c r="D107" s="25"/>
    </row>
    <row r="108" spans="1:9" ht="13.5" customHeight="1" x14ac:dyDescent="0.2">
      <c r="A108" t="s">
        <v>230</v>
      </c>
      <c r="B108" s="34" t="s">
        <v>177</v>
      </c>
      <c r="C108" s="135">
        <v>162.27000000000001</v>
      </c>
      <c r="D108" s="25">
        <f>SUM(C108/2)</f>
        <v>81.135000000000005</v>
      </c>
    </row>
    <row r="109" spans="1:9" ht="13.5" customHeight="1" x14ac:dyDescent="0.2">
      <c r="A109"/>
      <c r="B109" s="34"/>
      <c r="C109" s="110"/>
      <c r="D109" s="25"/>
    </row>
    <row r="110" spans="1:9" ht="13.5" customHeight="1" x14ac:dyDescent="0.2">
      <c r="A110" t="s">
        <v>231</v>
      </c>
      <c r="B110" s="34" t="s">
        <v>198</v>
      </c>
      <c r="C110" s="135">
        <v>926.75</v>
      </c>
      <c r="D110" s="25">
        <f>SUM(C110/2)</f>
        <v>463.375</v>
      </c>
    </row>
    <row r="111" spans="1:9" ht="13.5" customHeight="1" x14ac:dyDescent="0.2">
      <c r="A111"/>
      <c r="B111" s="34"/>
      <c r="C111" s="110"/>
      <c r="D111" s="25"/>
      <c r="I111" s="64"/>
    </row>
    <row r="112" spans="1:9" ht="13.5" customHeight="1" x14ac:dyDescent="0.2">
      <c r="A112" s="1" t="s">
        <v>232</v>
      </c>
      <c r="B112" s="34" t="s">
        <v>192</v>
      </c>
      <c r="C112" s="110">
        <v>405.68</v>
      </c>
      <c r="D112" s="25"/>
      <c r="I112" s="64"/>
    </row>
    <row r="113" spans="1:15" ht="13.5" customHeight="1" x14ac:dyDescent="0.2">
      <c r="A113" s="1" t="s">
        <v>232</v>
      </c>
      <c r="B113" s="34" t="s">
        <v>624</v>
      </c>
      <c r="C113" s="110">
        <f t="array" ref="C113">SUM(G146:G153/2)</f>
        <v>2215</v>
      </c>
      <c r="D113" s="25"/>
    </row>
    <row r="114" spans="1:15" ht="13.5" customHeight="1" x14ac:dyDescent="0.2">
      <c r="B114" s="138"/>
      <c r="C114" s="135">
        <f>SUM(C112:C113)</f>
        <v>2620.6799999999998</v>
      </c>
      <c r="D114" s="16"/>
    </row>
    <row r="115" spans="1:15" ht="13.5" customHeight="1" x14ac:dyDescent="0.2">
      <c r="B115" s="138"/>
      <c r="C115" s="110"/>
      <c r="D115" s="16"/>
    </row>
    <row r="116" spans="1:15" ht="13.5" customHeight="1" x14ac:dyDescent="0.2">
      <c r="A116" s="1" t="s">
        <v>232</v>
      </c>
      <c r="B116" s="237" t="s">
        <v>28</v>
      </c>
      <c r="C116" s="98">
        <v>-215</v>
      </c>
      <c r="D116" s="99"/>
    </row>
    <row r="117" spans="1:15" ht="13.5" customHeight="1" x14ac:dyDescent="0.2">
      <c r="A117" s="1" t="s">
        <v>232</v>
      </c>
      <c r="B117" s="34" t="s">
        <v>190</v>
      </c>
      <c r="C117" s="110">
        <v>763.32</v>
      </c>
      <c r="D117" s="25"/>
    </row>
    <row r="118" spans="1:15" ht="13.5" customHeight="1" x14ac:dyDescent="0.2">
      <c r="A118" s="1" t="s">
        <v>232</v>
      </c>
      <c r="B118" s="34" t="s">
        <v>191</v>
      </c>
      <c r="C118" s="110">
        <v>405.68</v>
      </c>
      <c r="D118" s="25"/>
      <c r="G118" s="1"/>
    </row>
    <row r="119" spans="1:15" ht="13.5" customHeight="1" x14ac:dyDescent="0.2">
      <c r="A119" s="1" t="s">
        <v>232</v>
      </c>
      <c r="B119" s="34" t="s">
        <v>78</v>
      </c>
      <c r="C119" s="24">
        <v>20</v>
      </c>
      <c r="D119" s="25"/>
      <c r="G119" s="1"/>
    </row>
    <row r="120" spans="1:15" ht="13.5" customHeight="1" x14ac:dyDescent="0.2">
      <c r="A120" s="1" t="s">
        <v>232</v>
      </c>
      <c r="B120" s="34" t="s">
        <v>79</v>
      </c>
      <c r="C120" s="24">
        <v>30</v>
      </c>
      <c r="D120" s="25"/>
      <c r="G120" s="1"/>
    </row>
    <row r="121" spans="1:15" ht="13.5" customHeight="1" x14ac:dyDescent="0.2">
      <c r="A121" s="1" t="s">
        <v>232</v>
      </c>
      <c r="B121" s="34" t="s">
        <v>106</v>
      </c>
      <c r="C121" s="24">
        <v>40</v>
      </c>
      <c r="D121" s="25"/>
      <c r="G121" s="1"/>
    </row>
    <row r="122" spans="1:15" ht="13.5" customHeight="1" x14ac:dyDescent="0.2">
      <c r="A122" s="1" t="s">
        <v>232</v>
      </c>
      <c r="B122" s="34" t="s">
        <v>83</v>
      </c>
      <c r="C122" s="98">
        <v>-100</v>
      </c>
      <c r="D122" s="25"/>
      <c r="G122" s="1"/>
    </row>
    <row r="123" spans="1:15" ht="13.5" customHeight="1" x14ac:dyDescent="0.2">
      <c r="A123" s="1" t="s">
        <v>232</v>
      </c>
      <c r="B123" s="237" t="s">
        <v>27</v>
      </c>
      <c r="C123" s="98">
        <v>100</v>
      </c>
      <c r="D123" s="99"/>
      <c r="G123" s="1"/>
    </row>
    <row r="124" spans="1:15" ht="13.5" customHeight="1" x14ac:dyDescent="0.2">
      <c r="A124" s="1" t="s">
        <v>232</v>
      </c>
      <c r="B124" s="34" t="s">
        <v>149</v>
      </c>
      <c r="C124" s="24">
        <v>140</v>
      </c>
      <c r="D124" s="25"/>
      <c r="G124" s="1"/>
    </row>
    <row r="125" spans="1:15" ht="13.5" customHeight="1" x14ac:dyDescent="0.2">
      <c r="A125" s="1" t="s">
        <v>232</v>
      </c>
      <c r="B125" s="34" t="s">
        <v>148</v>
      </c>
      <c r="C125" s="24">
        <v>180</v>
      </c>
      <c r="D125" s="25"/>
      <c r="G125" s="1"/>
    </row>
    <row r="126" spans="1:15" ht="13.5" customHeight="1" x14ac:dyDescent="0.2">
      <c r="A126" s="1" t="s">
        <v>232</v>
      </c>
      <c r="B126" s="138" t="s">
        <v>36</v>
      </c>
      <c r="C126" s="98">
        <v>210</v>
      </c>
      <c r="D126" s="99"/>
      <c r="G126" s="1"/>
    </row>
    <row r="127" spans="1:15" ht="13.5" customHeight="1" x14ac:dyDescent="0.2">
      <c r="A127" t="s">
        <v>232</v>
      </c>
      <c r="B127" s="35" t="s">
        <v>25</v>
      </c>
      <c r="C127" s="31">
        <v>15</v>
      </c>
      <c r="D127" s="99"/>
      <c r="G127" s="1"/>
    </row>
    <row r="128" spans="1:15" ht="13.5" customHeight="1" x14ac:dyDescent="0.2">
      <c r="A128" s="1" t="s">
        <v>232</v>
      </c>
      <c r="B128" s="35" t="s">
        <v>25</v>
      </c>
      <c r="C128" s="31">
        <v>50</v>
      </c>
      <c r="D128" s="29"/>
      <c r="E128" s="30"/>
      <c r="F128" s="30"/>
      <c r="G128" s="23"/>
      <c r="I128" s="31"/>
      <c r="J128" s="159"/>
      <c r="K128" s="18"/>
      <c r="L128" s="12"/>
      <c r="O128" s="40"/>
    </row>
    <row r="129" spans="1:7" ht="13.5" customHeight="1" x14ac:dyDescent="0.2">
      <c r="A129" s="1" t="s">
        <v>232</v>
      </c>
      <c r="B129" s="34" t="s">
        <v>36</v>
      </c>
      <c r="C129" s="24">
        <v>280</v>
      </c>
      <c r="D129" s="25"/>
      <c r="G129" s="1"/>
    </row>
    <row r="130" spans="1:7" ht="13.5" customHeight="1" x14ac:dyDescent="0.2">
      <c r="A130" s="1" t="s">
        <v>232</v>
      </c>
      <c r="B130" s="34" t="s">
        <v>36</v>
      </c>
      <c r="C130" s="24">
        <v>280</v>
      </c>
      <c r="D130" s="25"/>
      <c r="G130" s="1"/>
    </row>
    <row r="131" spans="1:7" ht="13.5" customHeight="1" x14ac:dyDescent="0.2">
      <c r="A131" s="1" t="s">
        <v>232</v>
      </c>
      <c r="B131" s="237" t="s">
        <v>76</v>
      </c>
      <c r="C131" s="98">
        <v>140</v>
      </c>
      <c r="D131" s="99"/>
      <c r="G131" s="1"/>
    </row>
    <row r="132" spans="1:7" ht="13.5" customHeight="1" x14ac:dyDescent="0.2">
      <c r="A132" s="1" t="s">
        <v>232</v>
      </c>
      <c r="B132" s="237" t="s">
        <v>31</v>
      </c>
      <c r="C132" s="98">
        <v>260</v>
      </c>
      <c r="D132" s="99"/>
      <c r="G132" s="1"/>
    </row>
    <row r="133" spans="1:7" ht="13.5" customHeight="1" x14ac:dyDescent="0.2">
      <c r="A133" s="1" t="s">
        <v>232</v>
      </c>
      <c r="B133" s="258" t="s">
        <v>43</v>
      </c>
      <c r="C133" s="98">
        <v>100</v>
      </c>
      <c r="D133" s="99"/>
      <c r="G133" s="1"/>
    </row>
    <row r="134" spans="1:7" ht="13.5" customHeight="1" x14ac:dyDescent="0.2">
      <c r="A134" s="1" t="s">
        <v>232</v>
      </c>
      <c r="B134" s="258" t="s">
        <v>43</v>
      </c>
      <c r="C134" s="98">
        <v>140</v>
      </c>
      <c r="D134" s="99"/>
    </row>
    <row r="135" spans="1:7" ht="13.5" customHeight="1" x14ac:dyDescent="0.2">
      <c r="A135" s="1" t="s">
        <v>232</v>
      </c>
      <c r="B135" s="34" t="s">
        <v>43</v>
      </c>
      <c r="C135" s="24">
        <v>240</v>
      </c>
      <c r="D135" s="25"/>
    </row>
    <row r="136" spans="1:7" ht="13.5" customHeight="1" x14ac:dyDescent="0.2">
      <c r="A136" s="1" t="s">
        <v>232</v>
      </c>
      <c r="B136" s="257" t="s">
        <v>43</v>
      </c>
      <c r="C136" s="98">
        <v>300</v>
      </c>
      <c r="D136" s="99"/>
    </row>
    <row r="137" spans="1:7" ht="13.5" customHeight="1" x14ac:dyDescent="0.2">
      <c r="A137" s="1" t="s">
        <v>232</v>
      </c>
      <c r="B137" s="34" t="s">
        <v>43</v>
      </c>
      <c r="C137" s="24">
        <v>300</v>
      </c>
      <c r="D137" s="25"/>
    </row>
    <row r="138" spans="1:7" ht="13.5" customHeight="1" x14ac:dyDescent="0.2">
      <c r="A138" s="1" t="s">
        <v>232</v>
      </c>
      <c r="B138" s="257" t="s">
        <v>52</v>
      </c>
      <c r="C138" s="98">
        <v>360</v>
      </c>
      <c r="D138" s="99"/>
    </row>
    <row r="139" spans="1:7" ht="13.5" customHeight="1" x14ac:dyDescent="0.2">
      <c r="A139" s="1" t="s">
        <v>232</v>
      </c>
      <c r="B139" s="257" t="s">
        <v>52</v>
      </c>
      <c r="C139" s="98">
        <v>450</v>
      </c>
      <c r="D139" s="99"/>
    </row>
    <row r="140" spans="1:7" ht="13.5" customHeight="1" x14ac:dyDescent="0.2">
      <c r="A140" s="1" t="s">
        <v>232</v>
      </c>
      <c r="B140" s="34" t="s">
        <v>169</v>
      </c>
      <c r="C140" s="24">
        <v>40.130000000000003</v>
      </c>
      <c r="D140" s="99"/>
    </row>
    <row r="141" spans="1:7" ht="13.5" customHeight="1" x14ac:dyDescent="0.2">
      <c r="A141" s="1" t="s">
        <v>232</v>
      </c>
      <c r="B141" s="257" t="s">
        <v>47</v>
      </c>
      <c r="C141" s="98">
        <v>33.42</v>
      </c>
      <c r="D141" s="25"/>
    </row>
    <row r="142" spans="1:7" ht="13.5" customHeight="1" x14ac:dyDescent="0.2">
      <c r="A142" s="1" t="s">
        <v>232</v>
      </c>
      <c r="B142" s="34" t="s">
        <v>84</v>
      </c>
      <c r="C142" s="24">
        <v>39.619999999999997</v>
      </c>
      <c r="D142" s="25"/>
    </row>
    <row r="143" spans="1:7" ht="13.5" customHeight="1" x14ac:dyDescent="0.2">
      <c r="A143" s="1" t="s">
        <v>232</v>
      </c>
      <c r="B143" s="34" t="s">
        <v>125</v>
      </c>
      <c r="C143" s="24">
        <v>38.39</v>
      </c>
      <c r="D143" s="99"/>
    </row>
    <row r="144" spans="1:7" ht="13.5" customHeight="1" x14ac:dyDescent="0.2">
      <c r="A144" s="1" t="s">
        <v>232</v>
      </c>
      <c r="B144" s="257" t="s">
        <v>11</v>
      </c>
      <c r="C144" s="98">
        <v>39.799999999999997</v>
      </c>
      <c r="D144" s="25"/>
    </row>
    <row r="145" spans="1:8" ht="13.5" customHeight="1" x14ac:dyDescent="0.2">
      <c r="A145" s="1" t="s">
        <v>232</v>
      </c>
      <c r="B145" s="34" t="s">
        <v>85</v>
      </c>
      <c r="C145" s="24">
        <v>2.48</v>
      </c>
      <c r="D145" s="25"/>
    </row>
    <row r="146" spans="1:8" ht="13.5" customHeight="1" x14ac:dyDescent="0.2">
      <c r="A146" s="1" t="s">
        <v>232</v>
      </c>
      <c r="B146" s="34" t="s">
        <v>52</v>
      </c>
      <c r="C146" s="24">
        <v>450</v>
      </c>
      <c r="D146" s="25"/>
      <c r="E146" s="126" t="s">
        <v>232</v>
      </c>
      <c r="F146" s="138" t="s">
        <v>203</v>
      </c>
      <c r="G146" s="110">
        <v>150</v>
      </c>
    </row>
    <row r="147" spans="1:8" ht="13.5" customHeight="1" x14ac:dyDescent="0.2">
      <c r="A147" s="1" t="s">
        <v>232</v>
      </c>
      <c r="B147" s="34" t="s">
        <v>52</v>
      </c>
      <c r="C147" s="24">
        <v>450</v>
      </c>
      <c r="D147" s="25"/>
      <c r="E147" s="126" t="s">
        <v>232</v>
      </c>
      <c r="F147" s="34" t="s">
        <v>107</v>
      </c>
      <c r="G147" s="24">
        <v>100</v>
      </c>
    </row>
    <row r="148" spans="1:8" ht="13.5" customHeight="1" x14ac:dyDescent="0.2">
      <c r="A148" s="1" t="s">
        <v>232</v>
      </c>
      <c r="B148" s="237" t="s">
        <v>30</v>
      </c>
      <c r="C148" s="98">
        <v>1100</v>
      </c>
      <c r="D148" s="99"/>
      <c r="E148" s="126" t="s">
        <v>232</v>
      </c>
      <c r="F148" s="34" t="s">
        <v>173</v>
      </c>
      <c r="G148" s="110">
        <v>968.34</v>
      </c>
    </row>
    <row r="149" spans="1:8" ht="13.5" customHeight="1" x14ac:dyDescent="0.2">
      <c r="A149" s="1" t="s">
        <v>232</v>
      </c>
      <c r="B149" s="34" t="s">
        <v>170</v>
      </c>
      <c r="C149" s="110">
        <v>150</v>
      </c>
      <c r="D149" s="25"/>
      <c r="E149" s="126" t="s">
        <v>232</v>
      </c>
      <c r="F149" s="34" t="s">
        <v>173</v>
      </c>
      <c r="G149" s="110">
        <v>931.44</v>
      </c>
    </row>
    <row r="150" spans="1:8" ht="13.5" customHeight="1" x14ac:dyDescent="0.2">
      <c r="A150" s="1" t="s">
        <v>232</v>
      </c>
      <c r="B150" s="34" t="s">
        <v>423</v>
      </c>
      <c r="C150" s="110">
        <v>2215</v>
      </c>
      <c r="D150" s="25"/>
      <c r="E150" s="126" t="s">
        <v>232</v>
      </c>
      <c r="F150" s="34" t="s">
        <v>171</v>
      </c>
      <c r="G150" s="110">
        <v>554.20000000000005</v>
      </c>
    </row>
    <row r="151" spans="1:8" ht="13.5" customHeight="1" x14ac:dyDescent="0.2">
      <c r="A151" s="126"/>
      <c r="B151" s="34"/>
      <c r="C151" s="135">
        <f>SUM(C116:C150)</f>
        <v>9047.84</v>
      </c>
      <c r="D151" s="25"/>
      <c r="E151" s="126" t="s">
        <v>232</v>
      </c>
      <c r="F151" s="138" t="s">
        <v>171</v>
      </c>
      <c r="G151" s="110">
        <v>554.20000000000005</v>
      </c>
    </row>
    <row r="152" spans="1:8" ht="13.5" customHeight="1" x14ac:dyDescent="0.2">
      <c r="A152" s="126"/>
      <c r="B152" s="34"/>
      <c r="C152" s="110"/>
      <c r="D152" s="25"/>
      <c r="E152" s="126" t="s">
        <v>232</v>
      </c>
      <c r="F152" s="34" t="s">
        <v>172</v>
      </c>
      <c r="G152" s="110">
        <v>585.91</v>
      </c>
    </row>
    <row r="153" spans="1:8" ht="13.5" customHeight="1" x14ac:dyDescent="0.2">
      <c r="A153" t="s">
        <v>245</v>
      </c>
      <c r="B153" s="138" t="s">
        <v>202</v>
      </c>
      <c r="C153" s="110">
        <v>232.1</v>
      </c>
      <c r="D153" s="16"/>
      <c r="E153" s="126" t="s">
        <v>232</v>
      </c>
      <c r="F153" s="138" t="s">
        <v>172</v>
      </c>
      <c r="G153" s="110">
        <v>585.91</v>
      </c>
    </row>
    <row r="154" spans="1:8" ht="13.5" customHeight="1" x14ac:dyDescent="0.2">
      <c r="A154" t="s">
        <v>245</v>
      </c>
      <c r="B154" s="34" t="s">
        <v>217</v>
      </c>
      <c r="C154" s="110">
        <v>6.9</v>
      </c>
      <c r="D154" s="99"/>
      <c r="E154" s="64"/>
      <c r="F154" s="64"/>
      <c r="G154" s="65"/>
    </row>
    <row r="155" spans="1:8" ht="13.5" customHeight="1" x14ac:dyDescent="0.2">
      <c r="A155" t="s">
        <v>245</v>
      </c>
      <c r="B155" s="34" t="s">
        <v>208</v>
      </c>
      <c r="C155" s="113">
        <v>85.85</v>
      </c>
      <c r="D155" s="99"/>
      <c r="E155" s="64"/>
      <c r="F155" s="64"/>
      <c r="G155" s="65"/>
    </row>
    <row r="156" spans="1:8" ht="13.5" customHeight="1" x14ac:dyDescent="0.2">
      <c r="A156" t="s">
        <v>245</v>
      </c>
      <c r="B156" s="34" t="s">
        <v>209</v>
      </c>
      <c r="C156" s="113">
        <v>30</v>
      </c>
      <c r="D156" s="99"/>
      <c r="H156" s="64"/>
    </row>
    <row r="157" spans="1:8" ht="13.5" customHeight="1" x14ac:dyDescent="0.2">
      <c r="A157" t="s">
        <v>245</v>
      </c>
      <c r="B157" s="34" t="s">
        <v>624</v>
      </c>
      <c r="C157" s="113">
        <f t="array" ref="C157">SUM(G191:G199/2)</f>
        <v>2747.87</v>
      </c>
      <c r="D157" s="99"/>
    </row>
    <row r="158" spans="1:8" ht="13.5" customHeight="1" x14ac:dyDescent="0.2">
      <c r="A158"/>
      <c r="B158" s="34"/>
      <c r="C158" s="135">
        <f>SUM(C153:C157)</f>
        <v>3102.72</v>
      </c>
      <c r="D158" s="99"/>
    </row>
    <row r="159" spans="1:8" ht="13.5" customHeight="1" x14ac:dyDescent="0.2">
      <c r="A159"/>
      <c r="B159" s="34"/>
      <c r="C159" s="110"/>
      <c r="D159" s="99"/>
    </row>
    <row r="160" spans="1:8" ht="13.5" customHeight="1" x14ac:dyDescent="0.2">
      <c r="A160"/>
      <c r="B160" s="34"/>
      <c r="C160" s="110"/>
      <c r="D160" s="99"/>
    </row>
    <row r="161" spans="1:9" ht="13.5" customHeight="1" x14ac:dyDescent="0.2">
      <c r="A161" t="s">
        <v>245</v>
      </c>
      <c r="B161" s="34" t="s">
        <v>151</v>
      </c>
      <c r="C161" s="24">
        <v>70.05</v>
      </c>
      <c r="D161" s="25"/>
    </row>
    <row r="162" spans="1:9" ht="13.5" customHeight="1" x14ac:dyDescent="0.2">
      <c r="A162" t="s">
        <v>245</v>
      </c>
      <c r="B162" s="34" t="s">
        <v>104</v>
      </c>
      <c r="C162" s="24">
        <v>39.99</v>
      </c>
      <c r="D162" s="25"/>
      <c r="H162" s="64"/>
    </row>
    <row r="163" spans="1:9" ht="13.5" customHeight="1" x14ac:dyDescent="0.2">
      <c r="A163" t="s">
        <v>245</v>
      </c>
      <c r="B163" s="34" t="s">
        <v>144</v>
      </c>
      <c r="C163" s="24">
        <v>13</v>
      </c>
      <c r="D163" s="99"/>
    </row>
    <row r="164" spans="1:9" ht="13.5" customHeight="1" x14ac:dyDescent="0.2">
      <c r="A164" t="s">
        <v>245</v>
      </c>
      <c r="B164" s="33" t="s">
        <v>67</v>
      </c>
      <c r="C164" s="98">
        <v>24.9</v>
      </c>
      <c r="D164" s="60"/>
    </row>
    <row r="165" spans="1:9" ht="13.5" customHeight="1" x14ac:dyDescent="0.2">
      <c r="A165" t="s">
        <v>245</v>
      </c>
      <c r="B165" s="237" t="s">
        <v>32</v>
      </c>
      <c r="C165" s="98">
        <v>122</v>
      </c>
      <c r="D165" s="25"/>
    </row>
    <row r="166" spans="1:9" ht="13.5" customHeight="1" x14ac:dyDescent="0.2">
      <c r="A166" t="s">
        <v>245</v>
      </c>
      <c r="B166" s="34" t="s">
        <v>168</v>
      </c>
      <c r="C166" s="24">
        <v>7</v>
      </c>
      <c r="D166" s="25"/>
    </row>
    <row r="167" spans="1:9" ht="13.5" customHeight="1" x14ac:dyDescent="0.2">
      <c r="A167" t="s">
        <v>245</v>
      </c>
      <c r="B167" s="36" t="s">
        <v>200</v>
      </c>
      <c r="C167" s="110">
        <v>562.4</v>
      </c>
      <c r="D167" s="60"/>
    </row>
    <row r="168" spans="1:9" ht="13.5" customHeight="1" x14ac:dyDescent="0.2">
      <c r="A168" t="s">
        <v>245</v>
      </c>
      <c r="B168" s="34" t="s">
        <v>153</v>
      </c>
      <c r="C168" s="24">
        <v>29.99</v>
      </c>
      <c r="D168" s="25"/>
    </row>
    <row r="169" spans="1:9" ht="13.5" customHeight="1" x14ac:dyDescent="0.2">
      <c r="A169" t="s">
        <v>245</v>
      </c>
      <c r="B169" s="237" t="s">
        <v>33</v>
      </c>
      <c r="C169" s="98">
        <v>42</v>
      </c>
      <c r="D169" s="99"/>
    </row>
    <row r="170" spans="1:9" ht="13.5" customHeight="1" x14ac:dyDescent="0.2">
      <c r="A170" t="s">
        <v>245</v>
      </c>
      <c r="B170" s="34" t="s">
        <v>138</v>
      </c>
      <c r="C170" s="24">
        <v>84</v>
      </c>
      <c r="D170" s="99"/>
    </row>
    <row r="171" spans="1:9" ht="13.5" customHeight="1" x14ac:dyDescent="0.2">
      <c r="A171" t="s">
        <v>245</v>
      </c>
      <c r="B171" s="34" t="s">
        <v>166</v>
      </c>
      <c r="C171" s="24">
        <v>18.75</v>
      </c>
      <c r="D171" s="25"/>
    </row>
    <row r="172" spans="1:9" ht="13.5" customHeight="1" x14ac:dyDescent="0.2">
      <c r="A172" t="s">
        <v>245</v>
      </c>
      <c r="B172" s="34" t="s">
        <v>97</v>
      </c>
      <c r="C172" s="24">
        <v>5.5</v>
      </c>
      <c r="D172" s="25"/>
    </row>
    <row r="173" spans="1:9" ht="13.5" customHeight="1" x14ac:dyDescent="0.2">
      <c r="A173" t="s">
        <v>245</v>
      </c>
      <c r="B173" s="237" t="s">
        <v>48</v>
      </c>
      <c r="C173" s="98">
        <v>4.9800000000000004</v>
      </c>
      <c r="D173" s="99"/>
      <c r="I173" s="64"/>
    </row>
    <row r="174" spans="1:9" ht="13.5" customHeight="1" x14ac:dyDescent="0.2">
      <c r="A174" t="s">
        <v>245</v>
      </c>
      <c r="B174" s="237" t="s">
        <v>58</v>
      </c>
      <c r="C174" s="98">
        <v>4.2</v>
      </c>
      <c r="D174" s="99"/>
      <c r="I174" s="64"/>
    </row>
    <row r="175" spans="1:9" ht="13.5" customHeight="1" x14ac:dyDescent="0.2">
      <c r="A175" t="s">
        <v>245</v>
      </c>
      <c r="B175" s="34" t="s">
        <v>116</v>
      </c>
      <c r="C175" s="24">
        <v>10</v>
      </c>
      <c r="D175" s="99"/>
    </row>
    <row r="176" spans="1:9" ht="13.5" customHeight="1" x14ac:dyDescent="0.2">
      <c r="A176" t="s">
        <v>245</v>
      </c>
      <c r="B176" s="34" t="s">
        <v>156</v>
      </c>
      <c r="C176" s="24">
        <v>84</v>
      </c>
      <c r="D176" s="25"/>
    </row>
    <row r="177" spans="1:9" ht="13.5" customHeight="1" x14ac:dyDescent="0.2">
      <c r="A177" t="s">
        <v>245</v>
      </c>
      <c r="B177" s="138" t="s">
        <v>21</v>
      </c>
      <c r="C177" s="98">
        <v>18.100000000000001</v>
      </c>
      <c r="D177" s="25"/>
    </row>
    <row r="178" spans="1:9" ht="13.5" customHeight="1" x14ac:dyDescent="0.2">
      <c r="A178" t="s">
        <v>245</v>
      </c>
      <c r="B178" s="138" t="s">
        <v>21</v>
      </c>
      <c r="C178" s="98">
        <v>68</v>
      </c>
      <c r="D178" s="25"/>
    </row>
    <row r="179" spans="1:9" ht="13.5" customHeight="1" x14ac:dyDescent="0.2">
      <c r="A179" t="s">
        <v>245</v>
      </c>
      <c r="B179" s="237" t="s">
        <v>40</v>
      </c>
      <c r="C179" s="98">
        <v>54.26</v>
      </c>
      <c r="D179" s="99"/>
    </row>
    <row r="180" spans="1:9" ht="13.5" customHeight="1" x14ac:dyDescent="0.2">
      <c r="A180" t="s">
        <v>245</v>
      </c>
      <c r="B180" s="34" t="s">
        <v>121</v>
      </c>
      <c r="C180" s="24">
        <v>26</v>
      </c>
      <c r="D180" s="25"/>
    </row>
    <row r="181" spans="1:9" ht="13.5" customHeight="1" x14ac:dyDescent="0.2">
      <c r="A181" t="s">
        <v>245</v>
      </c>
      <c r="B181" s="34" t="s">
        <v>167</v>
      </c>
      <c r="C181" s="24">
        <v>20</v>
      </c>
      <c r="D181" s="99"/>
      <c r="I181" s="64"/>
    </row>
    <row r="182" spans="1:9" ht="13.5" customHeight="1" x14ac:dyDescent="0.2">
      <c r="A182" t="s">
        <v>245</v>
      </c>
      <c r="B182" s="34" t="s">
        <v>98</v>
      </c>
      <c r="C182" s="24">
        <v>6.15</v>
      </c>
      <c r="D182" s="25"/>
    </row>
    <row r="183" spans="1:9" ht="13.5" customHeight="1" x14ac:dyDescent="0.2">
      <c r="A183" t="s">
        <v>245</v>
      </c>
      <c r="B183" s="237" t="s">
        <v>66</v>
      </c>
      <c r="C183" s="98">
        <v>5</v>
      </c>
      <c r="D183" s="25"/>
    </row>
    <row r="184" spans="1:9" ht="13.5" customHeight="1" x14ac:dyDescent="0.2">
      <c r="A184" t="s">
        <v>245</v>
      </c>
      <c r="B184" s="34" t="s">
        <v>99</v>
      </c>
      <c r="C184" s="24">
        <v>33.25</v>
      </c>
      <c r="D184" s="25"/>
    </row>
    <row r="185" spans="1:9" ht="13.5" customHeight="1" x14ac:dyDescent="0.2">
      <c r="A185" t="s">
        <v>245</v>
      </c>
      <c r="B185" s="237" t="s">
        <v>50</v>
      </c>
      <c r="C185" s="98">
        <v>12</v>
      </c>
      <c r="D185" s="25"/>
      <c r="E185" s="64"/>
      <c r="F185" s="64"/>
      <c r="G185" s="65"/>
    </row>
    <row r="186" spans="1:9" ht="13.5" customHeight="1" x14ac:dyDescent="0.2">
      <c r="A186" t="s">
        <v>245</v>
      </c>
      <c r="B186" s="34" t="s">
        <v>92</v>
      </c>
      <c r="C186" s="24">
        <v>2</v>
      </c>
      <c r="D186" s="25"/>
    </row>
    <row r="187" spans="1:9" ht="13.5" customHeight="1" x14ac:dyDescent="0.2">
      <c r="A187" t="s">
        <v>245</v>
      </c>
      <c r="B187" s="34" t="s">
        <v>115</v>
      </c>
      <c r="C187" s="24">
        <v>2.9</v>
      </c>
      <c r="D187" s="99"/>
    </row>
    <row r="188" spans="1:9" ht="13.5" customHeight="1" x14ac:dyDescent="0.2">
      <c r="A188" t="s">
        <v>245</v>
      </c>
      <c r="B188" s="34" t="s">
        <v>91</v>
      </c>
      <c r="C188" s="24">
        <v>1.7</v>
      </c>
      <c r="D188" s="25"/>
    </row>
    <row r="189" spans="1:9" ht="13.5" customHeight="1" x14ac:dyDescent="0.2">
      <c r="A189" t="s">
        <v>245</v>
      </c>
      <c r="B189" s="45" t="s">
        <v>139</v>
      </c>
      <c r="C189" s="24">
        <v>54</v>
      </c>
      <c r="D189" s="25"/>
    </row>
    <row r="190" spans="1:9" ht="13.5" customHeight="1" x14ac:dyDescent="0.2">
      <c r="A190" t="s">
        <v>245</v>
      </c>
      <c r="B190" s="34" t="s">
        <v>165</v>
      </c>
      <c r="C190" s="24">
        <v>7.5</v>
      </c>
      <c r="D190" s="99"/>
    </row>
    <row r="191" spans="1:9" ht="13.5" customHeight="1" x14ac:dyDescent="0.2">
      <c r="A191" t="s">
        <v>245</v>
      </c>
      <c r="B191" s="237" t="s">
        <v>24</v>
      </c>
      <c r="C191" s="98">
        <v>11.9</v>
      </c>
      <c r="D191" s="25"/>
      <c r="E191" t="s">
        <v>245</v>
      </c>
      <c r="F191" s="34" t="s">
        <v>216</v>
      </c>
      <c r="G191" s="110">
        <v>90</v>
      </c>
    </row>
    <row r="192" spans="1:9" ht="13.5" customHeight="1" x14ac:dyDescent="0.2">
      <c r="A192" t="s">
        <v>245</v>
      </c>
      <c r="B192" s="34" t="s">
        <v>150</v>
      </c>
      <c r="C192" s="24">
        <v>2.4500000000000002</v>
      </c>
      <c r="D192" s="25"/>
      <c r="E192" t="s">
        <v>245</v>
      </c>
      <c r="F192" s="237" t="s">
        <v>14</v>
      </c>
      <c r="G192" s="98">
        <v>119.9</v>
      </c>
    </row>
    <row r="193" spans="1:7" ht="13.5" customHeight="1" x14ac:dyDescent="0.2">
      <c r="A193" t="s">
        <v>245</v>
      </c>
      <c r="B193" s="34" t="s">
        <v>164</v>
      </c>
      <c r="C193" s="24">
        <v>17.8</v>
      </c>
      <c r="D193" s="25"/>
      <c r="E193" t="s">
        <v>245</v>
      </c>
      <c r="F193" s="237" t="s">
        <v>23</v>
      </c>
      <c r="G193" s="98">
        <v>7</v>
      </c>
    </row>
    <row r="194" spans="1:7" ht="13.5" customHeight="1" x14ac:dyDescent="0.2">
      <c r="A194" t="s">
        <v>245</v>
      </c>
      <c r="B194" s="237" t="s">
        <v>37</v>
      </c>
      <c r="C194" s="98">
        <v>1.7</v>
      </c>
      <c r="D194" s="99"/>
      <c r="E194" t="s">
        <v>245</v>
      </c>
      <c r="F194" s="237" t="s">
        <v>16</v>
      </c>
      <c r="G194" s="98">
        <v>26</v>
      </c>
    </row>
    <row r="195" spans="1:7" ht="13.5" customHeight="1" x14ac:dyDescent="0.2">
      <c r="A195" t="s">
        <v>245</v>
      </c>
      <c r="B195" s="34" t="s">
        <v>94</v>
      </c>
      <c r="C195" s="24">
        <v>10.75</v>
      </c>
      <c r="D195" s="25"/>
      <c r="E195" t="s">
        <v>245</v>
      </c>
      <c r="F195" s="237" t="s">
        <v>15</v>
      </c>
      <c r="G195" s="98">
        <v>60.6</v>
      </c>
    </row>
    <row r="196" spans="1:7" ht="13.5" customHeight="1" x14ac:dyDescent="0.2">
      <c r="A196" t="s">
        <v>245</v>
      </c>
      <c r="B196" s="34" t="s">
        <v>118</v>
      </c>
      <c r="C196" s="24">
        <v>2.5</v>
      </c>
      <c r="D196" s="25"/>
      <c r="E196" t="s">
        <v>245</v>
      </c>
      <c r="F196" s="237" t="s">
        <v>13</v>
      </c>
      <c r="G196" s="98">
        <v>39</v>
      </c>
    </row>
    <row r="197" spans="1:7" ht="13.5" customHeight="1" x14ac:dyDescent="0.2">
      <c r="A197" t="s">
        <v>245</v>
      </c>
      <c r="B197" s="34" t="s">
        <v>163</v>
      </c>
      <c r="C197" s="24">
        <v>27</v>
      </c>
      <c r="D197" s="25"/>
      <c r="E197" t="s">
        <v>245</v>
      </c>
      <c r="F197" s="34" t="s">
        <v>184</v>
      </c>
      <c r="G197" s="110">
        <v>4022.09</v>
      </c>
    </row>
    <row r="198" spans="1:7" ht="13.5" customHeight="1" x14ac:dyDescent="0.2">
      <c r="A198" t="s">
        <v>245</v>
      </c>
      <c r="B198" s="237" t="s">
        <v>73</v>
      </c>
      <c r="C198" s="98">
        <v>21.8</v>
      </c>
      <c r="D198" s="25"/>
      <c r="E198" t="s">
        <v>245</v>
      </c>
      <c r="F198" s="34" t="s">
        <v>184</v>
      </c>
      <c r="G198" s="110">
        <v>1115.1500000000001</v>
      </c>
    </row>
    <row r="199" spans="1:7" ht="13.5" customHeight="1" x14ac:dyDescent="0.2">
      <c r="A199" t="s">
        <v>245</v>
      </c>
      <c r="B199" s="34" t="s">
        <v>146</v>
      </c>
      <c r="C199" s="24">
        <v>2.1</v>
      </c>
      <c r="D199" s="25"/>
      <c r="E199" t="s">
        <v>245</v>
      </c>
      <c r="F199" s="34" t="s">
        <v>213</v>
      </c>
      <c r="G199" s="110">
        <v>16</v>
      </c>
    </row>
    <row r="200" spans="1:7" ht="13.5" customHeight="1" x14ac:dyDescent="0.2">
      <c r="A200" t="s">
        <v>245</v>
      </c>
      <c r="B200" s="34" t="s">
        <v>143</v>
      </c>
      <c r="C200" s="24">
        <v>6.9</v>
      </c>
      <c r="D200" s="25"/>
    </row>
    <row r="201" spans="1:7" ht="13.5" customHeight="1" x14ac:dyDescent="0.2">
      <c r="A201" t="s">
        <v>245</v>
      </c>
      <c r="B201" s="34" t="s">
        <v>154</v>
      </c>
      <c r="C201" s="24">
        <v>26.4</v>
      </c>
      <c r="D201" s="25"/>
    </row>
    <row r="202" spans="1:7" ht="13.5" customHeight="1" x14ac:dyDescent="0.2">
      <c r="A202" t="s">
        <v>245</v>
      </c>
      <c r="B202" s="34" t="s">
        <v>96</v>
      </c>
      <c r="C202" s="24">
        <v>4.05</v>
      </c>
      <c r="D202" s="25"/>
    </row>
    <row r="203" spans="1:7" ht="13.5" customHeight="1" x14ac:dyDescent="0.2">
      <c r="A203" t="s">
        <v>245</v>
      </c>
      <c r="B203" s="34" t="s">
        <v>96</v>
      </c>
      <c r="C203" s="24">
        <v>4.8</v>
      </c>
      <c r="D203" s="99"/>
    </row>
    <row r="204" spans="1:7" ht="13.5" customHeight="1" x14ac:dyDescent="0.2">
      <c r="A204" t="s">
        <v>245</v>
      </c>
      <c r="B204" s="34" t="s">
        <v>119</v>
      </c>
      <c r="C204" s="24">
        <v>32.5</v>
      </c>
      <c r="D204" s="25"/>
    </row>
    <row r="205" spans="1:7" ht="13.5" customHeight="1" x14ac:dyDescent="0.2">
      <c r="A205" t="s">
        <v>245</v>
      </c>
      <c r="B205" s="34" t="s">
        <v>152</v>
      </c>
      <c r="C205" s="259">
        <v>18.399999999999999</v>
      </c>
      <c r="D205" s="235"/>
    </row>
    <row r="206" spans="1:7" ht="13.5" customHeight="1" x14ac:dyDescent="0.2">
      <c r="A206" t="s">
        <v>245</v>
      </c>
      <c r="B206" s="36" t="s">
        <v>124</v>
      </c>
      <c r="C206" s="119">
        <v>72</v>
      </c>
      <c r="D206" s="60"/>
    </row>
    <row r="207" spans="1:7" ht="13.5" customHeight="1" x14ac:dyDescent="0.2">
      <c r="A207" t="s">
        <v>245</v>
      </c>
      <c r="B207" s="33" t="s">
        <v>39</v>
      </c>
      <c r="C207" s="118">
        <v>10.8</v>
      </c>
      <c r="D207" s="60"/>
    </row>
    <row r="208" spans="1:7" ht="13.5" customHeight="1" x14ac:dyDescent="0.2">
      <c r="A208" t="s">
        <v>245</v>
      </c>
      <c r="B208" s="34" t="s">
        <v>145</v>
      </c>
      <c r="C208" s="119">
        <v>44.8</v>
      </c>
      <c r="D208" s="60"/>
    </row>
    <row r="209" spans="1:9" ht="13.5" customHeight="1" x14ac:dyDescent="0.2">
      <c r="A209" t="s">
        <v>245</v>
      </c>
      <c r="B209" s="34" t="s">
        <v>117</v>
      </c>
      <c r="C209" s="119">
        <v>4</v>
      </c>
      <c r="D209" s="60"/>
    </row>
    <row r="210" spans="1:9" ht="13.5" customHeight="1" x14ac:dyDescent="0.2">
      <c r="A210" t="s">
        <v>245</v>
      </c>
      <c r="B210" s="36" t="s">
        <v>89</v>
      </c>
      <c r="C210" s="119">
        <v>9.25</v>
      </c>
      <c r="D210" s="31"/>
    </row>
    <row r="211" spans="1:9" ht="13.5" customHeight="1" x14ac:dyDescent="0.2">
      <c r="A211" t="s">
        <v>245</v>
      </c>
      <c r="B211" s="36" t="s">
        <v>89</v>
      </c>
      <c r="C211" s="119">
        <v>18.5</v>
      </c>
      <c r="D211" s="60"/>
      <c r="I211" s="64"/>
    </row>
    <row r="212" spans="1:9" ht="13.5" customHeight="1" x14ac:dyDescent="0.2">
      <c r="A212" t="s">
        <v>245</v>
      </c>
      <c r="B212" s="36" t="s">
        <v>120</v>
      </c>
      <c r="C212" s="119">
        <v>18.989999999999998</v>
      </c>
      <c r="D212" s="31"/>
    </row>
    <row r="213" spans="1:9" ht="13.5" customHeight="1" x14ac:dyDescent="0.2">
      <c r="A213" t="s">
        <v>245</v>
      </c>
      <c r="B213" s="36" t="s">
        <v>93</v>
      </c>
      <c r="C213" s="119">
        <v>10.5</v>
      </c>
      <c r="D213" s="60"/>
    </row>
    <row r="214" spans="1:9" ht="13.5" customHeight="1" x14ac:dyDescent="0.2">
      <c r="A214" t="s">
        <v>245</v>
      </c>
      <c r="B214" s="237" t="s">
        <v>49</v>
      </c>
      <c r="C214" s="118">
        <v>13</v>
      </c>
      <c r="D214" s="31"/>
      <c r="I214" s="64"/>
    </row>
    <row r="215" spans="1:9" ht="13.5" customHeight="1" x14ac:dyDescent="0.2">
      <c r="A215" t="s">
        <v>245</v>
      </c>
      <c r="B215" s="36" t="s">
        <v>100</v>
      </c>
      <c r="C215" s="119">
        <v>14.95</v>
      </c>
      <c r="D215" s="60"/>
    </row>
    <row r="216" spans="1:9" ht="13.5" customHeight="1" x14ac:dyDescent="0.2">
      <c r="A216" t="s">
        <v>245</v>
      </c>
      <c r="B216" s="237" t="s">
        <v>41</v>
      </c>
      <c r="C216" s="118">
        <v>32.299999999999997</v>
      </c>
      <c r="D216" s="71"/>
      <c r="I216" s="64"/>
    </row>
    <row r="217" spans="1:9" ht="13.5" customHeight="1" x14ac:dyDescent="0.2">
      <c r="A217" t="s">
        <v>245</v>
      </c>
      <c r="B217" s="34" t="s">
        <v>57</v>
      </c>
      <c r="C217" s="119">
        <v>2.5</v>
      </c>
      <c r="D217" s="71"/>
    </row>
    <row r="218" spans="1:9" ht="13.5" customHeight="1" x14ac:dyDescent="0.2">
      <c r="A218" t="s">
        <v>245</v>
      </c>
      <c r="B218" s="237" t="s">
        <v>57</v>
      </c>
      <c r="C218" s="118">
        <v>24.4</v>
      </c>
      <c r="D218" s="118"/>
    </row>
    <row r="219" spans="1:9" ht="13.5" customHeight="1" x14ac:dyDescent="0.2">
      <c r="A219" t="s">
        <v>245</v>
      </c>
      <c r="B219" s="34" t="s">
        <v>90</v>
      </c>
      <c r="C219" s="119">
        <v>4</v>
      </c>
      <c r="D219" s="71"/>
    </row>
    <row r="220" spans="1:9" ht="13.5" customHeight="1" x14ac:dyDescent="0.2">
      <c r="A220" t="s">
        <v>245</v>
      </c>
      <c r="B220" s="34" t="s">
        <v>140</v>
      </c>
      <c r="C220" s="119">
        <v>110</v>
      </c>
      <c r="D220" s="71"/>
    </row>
    <row r="221" spans="1:9" ht="13.5" customHeight="1" x14ac:dyDescent="0.2">
      <c r="A221" t="s">
        <v>245</v>
      </c>
      <c r="B221" s="45" t="s">
        <v>135</v>
      </c>
      <c r="C221" s="119">
        <v>39.4</v>
      </c>
      <c r="D221" s="71"/>
    </row>
    <row r="222" spans="1:9" ht="13.5" customHeight="1" x14ac:dyDescent="0.2">
      <c r="A222" t="s">
        <v>245</v>
      </c>
      <c r="B222" s="33" t="s">
        <v>65</v>
      </c>
      <c r="C222" s="118">
        <v>90</v>
      </c>
      <c r="D222" s="60"/>
    </row>
    <row r="223" spans="1:9" ht="13.5" customHeight="1" x14ac:dyDescent="0.2">
      <c r="A223" t="s">
        <v>245</v>
      </c>
      <c r="B223" s="36" t="s">
        <v>95</v>
      </c>
      <c r="C223" s="119">
        <v>3.95</v>
      </c>
      <c r="D223" s="60"/>
    </row>
    <row r="224" spans="1:9" ht="13.5" customHeight="1" x14ac:dyDescent="0.2">
      <c r="A224" t="s">
        <v>245</v>
      </c>
      <c r="B224" s="34" t="s">
        <v>175</v>
      </c>
      <c r="C224" s="59">
        <v>275.06</v>
      </c>
      <c r="D224" s="57"/>
    </row>
    <row r="225" spans="1:4" ht="13.5" customHeight="1" x14ac:dyDescent="0.2">
      <c r="A225" t="s">
        <v>245</v>
      </c>
      <c r="B225" s="36" t="s">
        <v>178</v>
      </c>
      <c r="C225" s="59">
        <v>625.28</v>
      </c>
      <c r="D225" s="60"/>
    </row>
    <row r="226" spans="1:4" ht="13.5" customHeight="1" x14ac:dyDescent="0.2">
      <c r="A226" t="s">
        <v>245</v>
      </c>
      <c r="B226" s="36" t="s">
        <v>178</v>
      </c>
      <c r="C226" s="59">
        <v>105.2</v>
      </c>
      <c r="D226" s="60"/>
    </row>
    <row r="227" spans="1:4" ht="13.5" customHeight="1" x14ac:dyDescent="0.2">
      <c r="A227" t="s">
        <v>245</v>
      </c>
      <c r="B227" s="36" t="s">
        <v>181</v>
      </c>
      <c r="C227" s="59">
        <v>142.9</v>
      </c>
      <c r="D227" s="57"/>
    </row>
    <row r="228" spans="1:4" ht="13.5" customHeight="1" x14ac:dyDescent="0.2">
      <c r="A228" t="s">
        <v>245</v>
      </c>
      <c r="B228" s="36" t="s">
        <v>179</v>
      </c>
      <c r="C228" s="59">
        <v>386.5</v>
      </c>
      <c r="D228" s="60"/>
    </row>
    <row r="229" spans="1:4" ht="13.5" customHeight="1" x14ac:dyDescent="0.2">
      <c r="A229" t="s">
        <v>245</v>
      </c>
      <c r="B229" s="32" t="s">
        <v>179</v>
      </c>
      <c r="C229" s="59">
        <v>147.5</v>
      </c>
      <c r="D229" s="60"/>
    </row>
    <row r="230" spans="1:4" ht="13.5" customHeight="1" x14ac:dyDescent="0.2">
      <c r="A230" t="s">
        <v>245</v>
      </c>
      <c r="B230" s="36" t="s">
        <v>187</v>
      </c>
      <c r="C230" s="59">
        <v>701.3</v>
      </c>
      <c r="D230" s="60"/>
    </row>
    <row r="231" spans="1:4" ht="13.5" customHeight="1" x14ac:dyDescent="0.2">
      <c r="A231" t="s">
        <v>245</v>
      </c>
      <c r="B231" s="36" t="s">
        <v>193</v>
      </c>
      <c r="C231" s="59">
        <v>134.5</v>
      </c>
      <c r="D231" s="60"/>
    </row>
    <row r="232" spans="1:4" ht="13.5" customHeight="1" x14ac:dyDescent="0.2">
      <c r="A232" t="s">
        <v>245</v>
      </c>
      <c r="B232" s="32" t="s">
        <v>201</v>
      </c>
      <c r="C232" s="59">
        <v>305.29000000000002</v>
      </c>
      <c r="D232" s="60"/>
    </row>
    <row r="233" spans="1:4" ht="13.5" customHeight="1" x14ac:dyDescent="0.2">
      <c r="A233" t="s">
        <v>245</v>
      </c>
      <c r="B233" s="36" t="s">
        <v>183</v>
      </c>
      <c r="C233" s="59">
        <v>552</v>
      </c>
      <c r="D233" s="60"/>
    </row>
    <row r="234" spans="1:4" ht="13.5" customHeight="1" x14ac:dyDescent="0.2">
      <c r="A234" t="s">
        <v>245</v>
      </c>
      <c r="B234" s="34" t="s">
        <v>207</v>
      </c>
      <c r="C234" s="68">
        <v>6.24</v>
      </c>
      <c r="D234" s="60"/>
    </row>
    <row r="235" spans="1:4" ht="13.5" customHeight="1" x14ac:dyDescent="0.2">
      <c r="A235" t="s">
        <v>245</v>
      </c>
      <c r="B235" s="34" t="s">
        <v>182</v>
      </c>
      <c r="C235" s="59">
        <v>233.8</v>
      </c>
      <c r="D235" s="60"/>
    </row>
    <row r="236" spans="1:4" ht="13.5" customHeight="1" x14ac:dyDescent="0.2">
      <c r="A236" t="s">
        <v>245</v>
      </c>
      <c r="B236" s="34" t="s">
        <v>423</v>
      </c>
      <c r="C236" s="59">
        <v>2747.87</v>
      </c>
      <c r="D236" s="60"/>
    </row>
    <row r="237" spans="1:4" ht="13.5" customHeight="1" x14ac:dyDescent="0.2">
      <c r="A237"/>
      <c r="B237" s="34"/>
      <c r="C237" s="139">
        <f>SUM(C161:C236)</f>
        <v>8511.4500000000007</v>
      </c>
      <c r="D237" s="60"/>
    </row>
    <row r="238" spans="1:4" ht="13.5" customHeight="1" x14ac:dyDescent="0.2">
      <c r="A238"/>
      <c r="B238" s="34"/>
      <c r="C238" s="59"/>
      <c r="D238" s="60"/>
    </row>
    <row r="239" spans="1:4" ht="13.5" customHeight="1" x14ac:dyDescent="0.2">
      <c r="A239" t="s">
        <v>246</v>
      </c>
      <c r="B239" s="36" t="s">
        <v>195</v>
      </c>
      <c r="C239" s="59">
        <v>381.94</v>
      </c>
      <c r="D239" s="60"/>
    </row>
    <row r="240" spans="1:4" ht="13.5" customHeight="1" x14ac:dyDescent="0.2">
      <c r="A240" s="1" t="s">
        <v>246</v>
      </c>
      <c r="B240" s="36" t="s">
        <v>194</v>
      </c>
      <c r="C240" s="59">
        <v>82.75</v>
      </c>
      <c r="D240" s="60"/>
    </row>
    <row r="241" spans="1:4" ht="13.5" customHeight="1" x14ac:dyDescent="0.2">
      <c r="B241" s="36"/>
      <c r="C241" s="139">
        <f>SUM(C239:C240)</f>
        <v>464.69</v>
      </c>
      <c r="D241" s="60"/>
    </row>
    <row r="242" spans="1:4" ht="13.5" customHeight="1" x14ac:dyDescent="0.2">
      <c r="B242" s="36"/>
      <c r="C242" s="123"/>
      <c r="D242" s="25"/>
    </row>
    <row r="243" spans="1:4" ht="13.5" customHeight="1" x14ac:dyDescent="0.2">
      <c r="A243" s="1" t="s">
        <v>632</v>
      </c>
      <c r="B243" s="36" t="s">
        <v>105</v>
      </c>
      <c r="C243" s="268">
        <v>1600</v>
      </c>
      <c r="D243" s="99"/>
    </row>
    <row r="244" spans="1:4" ht="13.5" customHeight="1" x14ac:dyDescent="0.2">
      <c r="B244" s="36"/>
      <c r="C244" s="59"/>
      <c r="D244" s="60"/>
    </row>
    <row r="245" spans="1:4" ht="13.5" customHeight="1" x14ac:dyDescent="0.2">
      <c r="A245" s="126" t="s">
        <v>248</v>
      </c>
      <c r="B245" s="33" t="s">
        <v>38</v>
      </c>
      <c r="C245" s="264">
        <v>5000</v>
      </c>
      <c r="D245" s="31"/>
    </row>
    <row r="246" spans="1:4" ht="13.5" customHeight="1" x14ac:dyDescent="0.2">
      <c r="A246" s="126"/>
      <c r="B246" s="33"/>
      <c r="C246" s="118"/>
      <c r="D246" s="31"/>
    </row>
    <row r="247" spans="1:4" ht="13.5" customHeight="1" x14ac:dyDescent="0.2">
      <c r="A247" s="126"/>
      <c r="B247" s="33"/>
      <c r="C247" s="118"/>
      <c r="D247" s="31"/>
    </row>
    <row r="248" spans="1:4" ht="13.5" customHeight="1" x14ac:dyDescent="0.2">
      <c r="A248" s="126" t="s">
        <v>248</v>
      </c>
      <c r="B248" s="36" t="s">
        <v>132</v>
      </c>
      <c r="C248" s="59">
        <v>374.38</v>
      </c>
      <c r="D248" s="60"/>
    </row>
    <row r="249" spans="1:4" ht="13.5" customHeight="1" x14ac:dyDescent="0.2">
      <c r="A249" s="126" t="s">
        <v>248</v>
      </c>
      <c r="B249" s="34" t="s">
        <v>130</v>
      </c>
      <c r="C249" s="59">
        <v>122.37</v>
      </c>
      <c r="D249" s="60"/>
    </row>
    <row r="250" spans="1:4" ht="13.5" customHeight="1" x14ac:dyDescent="0.2">
      <c r="A250" s="126" t="s">
        <v>248</v>
      </c>
      <c r="B250" s="36" t="s">
        <v>53</v>
      </c>
      <c r="C250" s="59">
        <v>511.71</v>
      </c>
      <c r="D250" s="38"/>
    </row>
    <row r="251" spans="1:4" ht="13.5" customHeight="1" x14ac:dyDescent="0.2">
      <c r="A251" s="126" t="s">
        <v>248</v>
      </c>
      <c r="B251" s="36" t="s">
        <v>55</v>
      </c>
      <c r="C251" s="59">
        <v>400</v>
      </c>
      <c r="D251" s="38"/>
    </row>
    <row r="252" spans="1:4" ht="13.5" customHeight="1" x14ac:dyDescent="0.2">
      <c r="A252" s="126" t="s">
        <v>248</v>
      </c>
      <c r="B252" s="34" t="s">
        <v>211</v>
      </c>
      <c r="C252" s="59">
        <v>745.05000000000007</v>
      </c>
      <c r="D252" s="71"/>
    </row>
    <row r="253" spans="1:4" ht="13.5" customHeight="1" x14ac:dyDescent="0.2">
      <c r="A253" s="126" t="s">
        <v>248</v>
      </c>
      <c r="B253" s="34" t="s">
        <v>210</v>
      </c>
      <c r="C253" s="59">
        <v>1150</v>
      </c>
      <c r="D253" s="71"/>
    </row>
    <row r="254" spans="1:4" ht="13.5" customHeight="1" x14ac:dyDescent="0.2">
      <c r="A254" s="126" t="s">
        <v>248</v>
      </c>
      <c r="B254" s="36" t="s">
        <v>136</v>
      </c>
      <c r="C254" s="59">
        <v>37.9</v>
      </c>
      <c r="D254" s="60"/>
    </row>
    <row r="255" spans="1:4" ht="13.5" customHeight="1" x14ac:dyDescent="0.2">
      <c r="A255" s="126" t="s">
        <v>248</v>
      </c>
      <c r="B255" s="36" t="s">
        <v>137</v>
      </c>
      <c r="C255" s="119">
        <v>-30</v>
      </c>
      <c r="D255" s="60"/>
    </row>
    <row r="256" spans="1:4" ht="13.5" customHeight="1" x14ac:dyDescent="0.2">
      <c r="A256" s="126" t="s">
        <v>248</v>
      </c>
      <c r="B256" s="34" t="s">
        <v>133</v>
      </c>
      <c r="C256" s="59">
        <v>1026.1500000000001</v>
      </c>
      <c r="D256" s="60"/>
    </row>
    <row r="257" spans="1:12" ht="13.5" customHeight="1" x14ac:dyDescent="0.2">
      <c r="A257" s="126" t="s">
        <v>248</v>
      </c>
      <c r="B257" s="36" t="s">
        <v>82</v>
      </c>
      <c r="C257" s="59">
        <v>344.4</v>
      </c>
      <c r="D257" s="60"/>
    </row>
    <row r="258" spans="1:12" customFormat="1" ht="13.5" customHeight="1" x14ac:dyDescent="0.2">
      <c r="A258" s="126" t="s">
        <v>248</v>
      </c>
      <c r="B258" s="36" t="s">
        <v>18</v>
      </c>
      <c r="C258" s="59">
        <v>397.61</v>
      </c>
      <c r="D258" s="60"/>
      <c r="E258" s="1"/>
      <c r="F258" s="1"/>
      <c r="G258" s="40"/>
      <c r="H258" s="1"/>
      <c r="I258" s="1"/>
      <c r="J258" s="1"/>
      <c r="K258" s="1"/>
      <c r="L258" s="1"/>
    </row>
    <row r="259" spans="1:12" customFormat="1" ht="13.5" customHeight="1" x14ac:dyDescent="0.2">
      <c r="A259" s="126" t="s">
        <v>248</v>
      </c>
      <c r="B259" s="36" t="s">
        <v>18</v>
      </c>
      <c r="C259" s="59">
        <v>368.28</v>
      </c>
      <c r="D259" s="60"/>
      <c r="E259" s="1"/>
      <c r="F259" s="1"/>
      <c r="G259" s="40"/>
      <c r="H259" s="1"/>
      <c r="I259" s="1"/>
      <c r="J259" s="1"/>
      <c r="K259" s="1"/>
      <c r="L259" s="1"/>
    </row>
    <row r="260" spans="1:12" ht="13.5" customHeight="1" x14ac:dyDescent="0.2">
      <c r="A260" s="126" t="s">
        <v>248</v>
      </c>
      <c r="B260" s="36" t="s">
        <v>114</v>
      </c>
      <c r="C260" s="59">
        <v>222.25</v>
      </c>
      <c r="D260" s="60"/>
    </row>
    <row r="261" spans="1:12" ht="13.5" customHeight="1" x14ac:dyDescent="0.2">
      <c r="A261" s="126" t="s">
        <v>248</v>
      </c>
      <c r="B261" s="36" t="s">
        <v>54</v>
      </c>
      <c r="C261" s="59">
        <v>78.03</v>
      </c>
      <c r="D261" s="38"/>
    </row>
    <row r="262" spans="1:12" customFormat="1" ht="13.5" customHeight="1" x14ac:dyDescent="0.2">
      <c r="A262" s="126"/>
      <c r="B262" s="36"/>
      <c r="C262" s="139">
        <f>SUM(C248:C261)</f>
        <v>5748.1299999999992</v>
      </c>
      <c r="D262" s="38"/>
      <c r="E262" s="1"/>
      <c r="F262" s="1"/>
      <c r="G262" s="40"/>
      <c r="H262" s="1"/>
      <c r="I262" s="1"/>
      <c r="J262" s="1"/>
      <c r="K262" s="1"/>
      <c r="L262" s="1"/>
    </row>
    <row r="263" spans="1:12" customFormat="1" ht="13.5" customHeight="1" x14ac:dyDescent="0.2">
      <c r="A263" s="126"/>
      <c r="B263" s="36"/>
      <c r="C263" s="59"/>
      <c r="D263" s="38"/>
      <c r="E263" s="1"/>
      <c r="F263" s="1"/>
      <c r="G263" s="40"/>
      <c r="H263" s="1"/>
      <c r="I263" s="1"/>
      <c r="J263" s="1"/>
      <c r="K263" s="1"/>
      <c r="L263" s="1"/>
    </row>
    <row r="264" spans="1:12" ht="13.5" customHeight="1" x14ac:dyDescent="0.2">
      <c r="A264" t="s">
        <v>249</v>
      </c>
      <c r="B264" s="36" t="s">
        <v>176</v>
      </c>
      <c r="C264" s="68">
        <v>850</v>
      </c>
      <c r="D264" s="60"/>
    </row>
    <row r="265" spans="1:12" ht="13.5" customHeight="1" x14ac:dyDescent="0.2">
      <c r="A265" t="s">
        <v>249</v>
      </c>
      <c r="B265" s="36" t="s">
        <v>624</v>
      </c>
      <c r="C265" s="68">
        <v>40</v>
      </c>
      <c r="D265" s="60"/>
    </row>
    <row r="266" spans="1:12" ht="13.5" customHeight="1" x14ac:dyDescent="0.2">
      <c r="A266"/>
      <c r="B266" s="36"/>
      <c r="C266" s="139">
        <f>SUM(C264:C265)</f>
        <v>890</v>
      </c>
      <c r="D266" s="60"/>
    </row>
    <row r="267" spans="1:12" ht="13.5" customHeight="1" x14ac:dyDescent="0.2">
      <c r="A267"/>
      <c r="B267" s="34"/>
      <c r="C267" s="71"/>
      <c r="D267" s="71"/>
    </row>
    <row r="268" spans="1:12" ht="13.5" customHeight="1" x14ac:dyDescent="0.2">
      <c r="A268" s="126" t="s">
        <v>631</v>
      </c>
      <c r="B268" s="34" t="s">
        <v>625</v>
      </c>
      <c r="C268" s="139">
        <v>40</v>
      </c>
      <c r="D268" s="71"/>
      <c r="F268" s="34" t="s">
        <v>214</v>
      </c>
      <c r="G268" s="59">
        <v>80</v>
      </c>
    </row>
    <row r="269" spans="1:12" ht="13.5" customHeight="1" x14ac:dyDescent="0.2">
      <c r="B269" s="34"/>
      <c r="C269" s="59"/>
      <c r="D269" s="71"/>
      <c r="E269" s="64"/>
      <c r="F269" s="64"/>
      <c r="G269" s="65"/>
    </row>
    <row r="270" spans="1:12" ht="13.5" customHeight="1" x14ac:dyDescent="0.2">
      <c r="A270"/>
      <c r="B270" s="36"/>
      <c r="C270" s="59"/>
      <c r="D270" s="60"/>
      <c r="E270" s="64"/>
      <c r="F270" s="64"/>
      <c r="G270" s="65"/>
    </row>
    <row r="271" spans="1:12" ht="13.5" customHeight="1" x14ac:dyDescent="0.2">
      <c r="A271" s="1" t="s">
        <v>250</v>
      </c>
      <c r="B271" s="36" t="s">
        <v>20</v>
      </c>
      <c r="C271" s="119">
        <v>-0.02</v>
      </c>
      <c r="D271" s="60"/>
    </row>
    <row r="272" spans="1:12" ht="13.5" customHeight="1" x14ac:dyDescent="0.2">
      <c r="A272" s="1" t="s">
        <v>250</v>
      </c>
      <c r="B272" s="34" t="s">
        <v>20</v>
      </c>
      <c r="C272" s="119">
        <v>-0.03</v>
      </c>
      <c r="D272" s="38"/>
    </row>
    <row r="273" spans="1:12" ht="13.5" customHeight="1" x14ac:dyDescent="0.2">
      <c r="A273" s="1" t="s">
        <v>250</v>
      </c>
      <c r="B273" s="36" t="s">
        <v>20</v>
      </c>
      <c r="C273" s="119">
        <v>-0.06</v>
      </c>
      <c r="D273" s="60"/>
      <c r="G273" s="1"/>
      <c r="H273" s="72"/>
      <c r="I273"/>
      <c r="J273"/>
      <c r="K273"/>
      <c r="L273" s="40"/>
    </row>
    <row r="274" spans="1:12" ht="13.5" customHeight="1" x14ac:dyDescent="0.2">
      <c r="A274" s="1" t="s">
        <v>250</v>
      </c>
      <c r="B274" s="36" t="s">
        <v>20</v>
      </c>
      <c r="C274" s="119">
        <v>-0.09</v>
      </c>
      <c r="D274" s="60"/>
      <c r="G274" s="1"/>
      <c r="H274" s="72"/>
      <c r="I274"/>
      <c r="J274"/>
      <c r="K274"/>
      <c r="L274" s="40"/>
    </row>
    <row r="275" spans="1:12" ht="13.5" customHeight="1" x14ac:dyDescent="0.2">
      <c r="A275" s="1" t="s">
        <v>250</v>
      </c>
      <c r="B275" s="36" t="s">
        <v>20</v>
      </c>
      <c r="C275" s="119">
        <v>-0.09</v>
      </c>
      <c r="D275" s="60"/>
      <c r="G275" s="1"/>
      <c r="H275" s="72"/>
      <c r="L275" s="40"/>
    </row>
    <row r="276" spans="1:12" ht="13.5" customHeight="1" x14ac:dyDescent="0.2">
      <c r="A276" s="1" t="s">
        <v>250</v>
      </c>
      <c r="B276" s="36" t="s">
        <v>20</v>
      </c>
      <c r="C276" s="119">
        <v>-0.11</v>
      </c>
      <c r="D276" s="60"/>
      <c r="G276" s="1"/>
      <c r="H276" s="72"/>
      <c r="L276" s="40"/>
    </row>
    <row r="277" spans="1:12" ht="13.5" customHeight="1" x14ac:dyDescent="0.2">
      <c r="A277" s="1" t="s">
        <v>250</v>
      </c>
      <c r="B277" s="36" t="s">
        <v>20</v>
      </c>
      <c r="C277" s="119">
        <v>-0.27</v>
      </c>
      <c r="D277" s="60"/>
      <c r="G277" s="1"/>
      <c r="H277" s="72"/>
      <c r="I277"/>
      <c r="J277"/>
      <c r="K277"/>
      <c r="L277" s="40"/>
    </row>
    <row r="278" spans="1:12" ht="13.5" customHeight="1" x14ac:dyDescent="0.2">
      <c r="A278" s="1" t="s">
        <v>250</v>
      </c>
      <c r="B278" s="36" t="s">
        <v>20</v>
      </c>
      <c r="C278" s="119">
        <v>-0.42</v>
      </c>
      <c r="D278" s="60"/>
      <c r="G278" s="1"/>
      <c r="H278" s="72"/>
      <c r="I278"/>
      <c r="J278"/>
      <c r="K278"/>
      <c r="L278" s="40"/>
    </row>
    <row r="279" spans="1:12" ht="13.5" customHeight="1" x14ac:dyDescent="0.2">
      <c r="A279" s="1" t="s">
        <v>250</v>
      </c>
      <c r="B279" s="36" t="s">
        <v>20</v>
      </c>
      <c r="C279" s="119">
        <v>-0.45</v>
      </c>
      <c r="D279" s="60"/>
    </row>
    <row r="280" spans="1:12" ht="13.5" customHeight="1" x14ac:dyDescent="0.2">
      <c r="A280" s="1" t="s">
        <v>250</v>
      </c>
      <c r="B280" s="36" t="s">
        <v>20</v>
      </c>
      <c r="C280" s="119">
        <v>-0.6</v>
      </c>
      <c r="D280" s="38"/>
    </row>
    <row r="281" spans="1:12" ht="13.5" customHeight="1" x14ac:dyDescent="0.2">
      <c r="A281" s="1" t="s">
        <v>250</v>
      </c>
      <c r="B281" s="36" t="s">
        <v>86</v>
      </c>
      <c r="C281" s="59">
        <v>78</v>
      </c>
      <c r="D281" s="60"/>
    </row>
    <row r="282" spans="1:12" ht="13.5" customHeight="1" x14ac:dyDescent="0.2">
      <c r="A282" s="1" t="s">
        <v>250</v>
      </c>
      <c r="B282" s="36" t="s">
        <v>86</v>
      </c>
      <c r="C282" s="59">
        <v>72.900000000000006</v>
      </c>
      <c r="D282" s="60"/>
    </row>
    <row r="283" spans="1:12" ht="13.5" customHeight="1" x14ac:dyDescent="0.2">
      <c r="A283" s="1" t="s">
        <v>250</v>
      </c>
      <c r="B283" s="36" t="s">
        <v>86</v>
      </c>
      <c r="C283" s="59">
        <v>11.9</v>
      </c>
      <c r="D283" s="57"/>
    </row>
    <row r="284" spans="1:12" ht="13.5" customHeight="1" x14ac:dyDescent="0.2">
      <c r="B284" s="78"/>
      <c r="C284" s="264">
        <f>SUM(C271:C283)</f>
        <v>160.66</v>
      </c>
      <c r="D284" s="77">
        <f>SUM(C284/2)</f>
        <v>80.33</v>
      </c>
    </row>
    <row r="285" spans="1:12" ht="13.5" customHeight="1" x14ac:dyDescent="0.2">
      <c r="B285" s="63"/>
      <c r="C285" s="67"/>
      <c r="D285" s="57"/>
    </row>
    <row r="286" spans="1:12" ht="13.5" customHeight="1" x14ac:dyDescent="0.2">
      <c r="A286" s="1" t="s">
        <v>627</v>
      </c>
      <c r="B286" s="34" t="s">
        <v>206</v>
      </c>
      <c r="C286" s="68">
        <v>307.04000000000002</v>
      </c>
      <c r="D286" s="71"/>
    </row>
    <row r="287" spans="1:12" ht="13.5" customHeight="1" x14ac:dyDescent="0.2">
      <c r="A287" s="1" t="s">
        <v>627</v>
      </c>
      <c r="B287" s="34" t="s">
        <v>206</v>
      </c>
      <c r="C287" s="68">
        <v>150</v>
      </c>
      <c r="D287" s="71"/>
    </row>
    <row r="288" spans="1:12" ht="13.5" customHeight="1" x14ac:dyDescent="0.2">
      <c r="A288" s="1" t="s">
        <v>627</v>
      </c>
      <c r="B288" s="34" t="s">
        <v>206</v>
      </c>
      <c r="C288" s="68">
        <v>174.42</v>
      </c>
      <c r="D288" s="71"/>
    </row>
    <row r="289" spans="1:12" ht="13.5" customHeight="1" x14ac:dyDescent="0.2">
      <c r="A289" s="1" t="s">
        <v>627</v>
      </c>
      <c r="B289" s="34" t="s">
        <v>206</v>
      </c>
      <c r="C289" s="59">
        <v>297.48</v>
      </c>
      <c r="D289" s="71"/>
    </row>
    <row r="290" spans="1:12" ht="13.5" customHeight="1" x14ac:dyDescent="0.2">
      <c r="B290" s="63"/>
      <c r="C290" s="266">
        <f>SUM(C286:C289)</f>
        <v>928.94</v>
      </c>
      <c r="D290" s="130">
        <f>C290/2</f>
        <v>464.47</v>
      </c>
      <c r="F290" s="124"/>
    </row>
    <row r="291" spans="1:12" customFormat="1" ht="13.5" customHeight="1" x14ac:dyDescent="0.2">
      <c r="A291" s="1"/>
      <c r="B291" s="63"/>
      <c r="C291" s="82"/>
      <c r="D291" s="13"/>
      <c r="E291" s="1"/>
      <c r="F291" s="1"/>
      <c r="G291" s="1"/>
      <c r="H291" s="72"/>
      <c r="L291" s="40"/>
    </row>
    <row r="292" spans="1:12" ht="13.5" customHeight="1" x14ac:dyDescent="0.2">
      <c r="B292" s="63"/>
      <c r="C292" s="82"/>
      <c r="D292" s="13"/>
      <c r="G292" s="1"/>
      <c r="H292" s="72"/>
      <c r="L292" s="40"/>
    </row>
    <row r="293" spans="1:12" ht="13.5" customHeight="1" x14ac:dyDescent="0.2">
      <c r="B293" s="63"/>
      <c r="C293" s="82"/>
      <c r="D293" s="13"/>
      <c r="G293" s="715">
        <f>SUM(C290,C284,C266,C268,C262,C245,C243,C241,C237,C158,C151,C114,C110,C108,C106,C88,C79,C59,C51,C45)-SUM(D28,D21)</f>
        <v>1532.0050000000047</v>
      </c>
    </row>
    <row r="294" spans="1:12" ht="13.5" customHeight="1" x14ac:dyDescent="0.2">
      <c r="B294" s="63"/>
      <c r="C294" s="82"/>
      <c r="D294" s="13"/>
    </row>
    <row r="295" spans="1:12" ht="13.5" customHeight="1" x14ac:dyDescent="0.2">
      <c r="B295" s="63"/>
      <c r="C295" s="82"/>
      <c r="D295" s="13"/>
      <c r="I295" s="64"/>
    </row>
    <row r="296" spans="1:12" ht="13.5" customHeight="1" x14ac:dyDescent="0.2">
      <c r="B296" s="63"/>
      <c r="C296" s="82"/>
      <c r="D296" s="13"/>
    </row>
    <row r="297" spans="1:12" ht="13.5" customHeight="1" x14ac:dyDescent="0.2">
      <c r="B297" s="63"/>
      <c r="C297" s="83"/>
      <c r="D297" s="13"/>
    </row>
    <row r="298" spans="1:12" ht="13.5" customHeight="1" x14ac:dyDescent="0.2">
      <c r="B298" s="63"/>
      <c r="C298" s="83"/>
      <c r="D298" s="13"/>
    </row>
    <row r="299" spans="1:12" ht="13.5" customHeight="1" x14ac:dyDescent="0.2">
      <c r="B299" s="64"/>
      <c r="C299" s="84"/>
      <c r="D299" s="13"/>
    </row>
    <row r="300" spans="1:12" ht="13.5" customHeight="1" x14ac:dyDescent="0.2">
      <c r="B300" s="63"/>
      <c r="C300" s="83"/>
      <c r="D300" s="13"/>
    </row>
    <row r="301" spans="1:12" ht="13.5" customHeight="1" x14ac:dyDescent="0.2">
      <c r="B301" s="63"/>
      <c r="C301" s="83"/>
      <c r="D301" s="13"/>
    </row>
    <row r="302" spans="1:12" ht="13.5" customHeight="1" x14ac:dyDescent="0.2">
      <c r="B302" s="85"/>
      <c r="C302" s="83"/>
      <c r="D302" s="13"/>
    </row>
    <row r="303" spans="1:12" ht="13.5" customHeight="1" x14ac:dyDescent="0.2">
      <c r="B303" s="63"/>
      <c r="C303" s="83"/>
      <c r="D303" s="13"/>
      <c r="G303" s="1"/>
      <c r="H303" s="72"/>
      <c r="L303" s="40"/>
    </row>
    <row r="304" spans="1:12" ht="13.5" customHeight="1" x14ac:dyDescent="0.2">
      <c r="B304" s="63"/>
      <c r="C304" s="84"/>
      <c r="D304" s="13"/>
      <c r="G304" s="1"/>
      <c r="H304" s="72"/>
      <c r="L304" s="40"/>
    </row>
    <row r="305" spans="2:12" ht="13.5" customHeight="1" x14ac:dyDescent="0.2">
      <c r="B305" s="64"/>
      <c r="C305" s="83"/>
      <c r="D305" s="13"/>
      <c r="G305" s="1"/>
      <c r="H305" s="72"/>
      <c r="L305" s="40"/>
    </row>
    <row r="306" spans="2:12" ht="13.5" customHeight="1" x14ac:dyDescent="0.2">
      <c r="B306" s="63"/>
      <c r="C306" s="83"/>
      <c r="D306" s="13"/>
    </row>
    <row r="307" spans="2:12" ht="13.5" customHeight="1" x14ac:dyDescent="0.2">
      <c r="B307" s="63"/>
      <c r="C307" s="84"/>
      <c r="D307" s="13"/>
    </row>
    <row r="308" spans="2:12" ht="13.5" customHeight="1" x14ac:dyDescent="0.2">
      <c r="B308" s="64"/>
      <c r="C308" s="84"/>
      <c r="D308" s="13"/>
    </row>
    <row r="309" spans="2:12" ht="13.5" customHeight="1" x14ac:dyDescent="0.2">
      <c r="B309" s="63"/>
      <c r="C309" s="83"/>
      <c r="D309" s="13"/>
    </row>
    <row r="310" spans="2:12" ht="13.5" customHeight="1" x14ac:dyDescent="0.2">
      <c r="B310" s="63"/>
      <c r="C310" s="84"/>
      <c r="D310" s="13"/>
      <c r="I310" s="64"/>
    </row>
    <row r="311" spans="2:12" ht="13.5" customHeight="1" x14ac:dyDescent="0.2">
      <c r="B311" s="64"/>
      <c r="C311" s="84"/>
      <c r="D311" s="13"/>
      <c r="I311" s="64"/>
    </row>
    <row r="312" spans="2:12" ht="13.5" customHeight="1" x14ac:dyDescent="0.2">
      <c r="B312" s="63"/>
      <c r="C312" s="83"/>
      <c r="D312" s="13"/>
    </row>
    <row r="313" spans="2:12" ht="13.5" customHeight="1" x14ac:dyDescent="0.2">
      <c r="B313" s="63"/>
      <c r="C313" s="83"/>
      <c r="D313" s="13"/>
    </row>
    <row r="314" spans="2:12" ht="13.5" customHeight="1" x14ac:dyDescent="0.2">
      <c r="B314" s="63"/>
      <c r="C314" s="82"/>
      <c r="D314" s="13"/>
    </row>
    <row r="315" spans="2:12" ht="13.5" customHeight="1" x14ac:dyDescent="0.2">
      <c r="B315" s="86"/>
      <c r="C315" s="82"/>
      <c r="D315" s="13"/>
    </row>
    <row r="316" spans="2:12" ht="13.5" customHeight="1" x14ac:dyDescent="0.2">
      <c r="B316" s="85"/>
      <c r="C316" s="82"/>
      <c r="D316" s="13"/>
    </row>
    <row r="317" spans="2:12" ht="13.5" customHeight="1" x14ac:dyDescent="0.2">
      <c r="B317" s="87"/>
      <c r="C317" s="82"/>
      <c r="D317" s="13"/>
    </row>
    <row r="318" spans="2:12" ht="13.5" customHeight="1" x14ac:dyDescent="0.2">
      <c r="B318" s="88"/>
      <c r="C318" s="82"/>
      <c r="D318" s="13"/>
    </row>
    <row r="319" spans="2:12" ht="13.5" customHeight="1" x14ac:dyDescent="0.2">
      <c r="B319" s="56"/>
      <c r="C319" s="89"/>
      <c r="D319" s="12"/>
    </row>
    <row r="320" spans="2:12" ht="13.5" customHeight="1" x14ac:dyDescent="0.2">
      <c r="B320" s="56"/>
      <c r="C320" s="90"/>
      <c r="D320" s="12"/>
      <c r="E320" s="64"/>
      <c r="F320" s="66"/>
      <c r="G320" s="65"/>
    </row>
    <row r="321" spans="1:12" ht="13.5" customHeight="1" x14ac:dyDescent="0.2">
      <c r="B321" s="56"/>
      <c r="C321" s="89"/>
      <c r="D321" s="12"/>
    </row>
    <row r="322" spans="1:12" ht="13.5" customHeight="1" x14ac:dyDescent="0.2">
      <c r="C322" s="89"/>
      <c r="D322" s="12"/>
    </row>
    <row r="323" spans="1:12" s="64" customFormat="1" ht="13.5" customHeight="1" x14ac:dyDescent="0.2">
      <c r="A323" s="1"/>
      <c r="B323" s="56"/>
      <c r="C323" s="90"/>
      <c r="D323" s="12"/>
      <c r="G323" s="65"/>
      <c r="H323" s="1"/>
      <c r="I323" s="1"/>
    </row>
    <row r="324" spans="1:12" s="64" customFormat="1" ht="13.5" customHeight="1" x14ac:dyDescent="0.2">
      <c r="A324" s="1"/>
      <c r="B324" s="56"/>
      <c r="C324" s="90"/>
      <c r="D324" s="12"/>
      <c r="E324" s="1"/>
      <c r="F324" s="1"/>
      <c r="G324" s="40"/>
      <c r="H324" s="1"/>
      <c r="I324" s="1"/>
    </row>
    <row r="325" spans="1:12" s="64" customFormat="1" ht="13.5" customHeight="1" x14ac:dyDescent="0.2">
      <c r="A325" s="1"/>
      <c r="B325" s="56"/>
      <c r="C325" s="90"/>
      <c r="D325" s="12"/>
      <c r="G325" s="65"/>
      <c r="H325" s="1"/>
      <c r="I325" s="1"/>
    </row>
    <row r="326" spans="1:12" ht="13.5" customHeight="1" x14ac:dyDescent="0.2">
      <c r="B326" s="27"/>
      <c r="C326" s="92"/>
      <c r="D326" s="12"/>
      <c r="G326" s="1"/>
      <c r="H326" s="72"/>
      <c r="L326" s="40"/>
    </row>
    <row r="327" spans="1:12" ht="13.5" customHeight="1" x14ac:dyDescent="0.2">
      <c r="B327" s="27"/>
      <c r="C327" s="90"/>
      <c r="D327" s="12"/>
      <c r="G327" s="1"/>
      <c r="H327" s="72"/>
      <c r="L327" s="40"/>
    </row>
    <row r="328" spans="1:12" ht="13.5" customHeight="1" x14ac:dyDescent="0.2">
      <c r="C328" s="92"/>
      <c r="D328" s="12"/>
      <c r="G328" s="1"/>
      <c r="H328" s="72"/>
      <c r="L328" s="40"/>
    </row>
    <row r="329" spans="1:12" ht="13.5" customHeight="1" x14ac:dyDescent="0.2">
      <c r="B329" s="56"/>
      <c r="C329" s="89"/>
      <c r="D329" s="12"/>
      <c r="G329" s="1"/>
      <c r="H329" s="72"/>
      <c r="L329" s="40"/>
    </row>
    <row r="330" spans="1:12" ht="13.5" customHeight="1" x14ac:dyDescent="0.2">
      <c r="B330" s="56"/>
      <c r="C330" s="89"/>
      <c r="D330" s="12"/>
    </row>
    <row r="331" spans="1:12" ht="13.5" customHeight="1" x14ac:dyDescent="0.2">
      <c r="B331" s="56"/>
      <c r="C331" s="89"/>
      <c r="D331" s="12"/>
    </row>
    <row r="332" spans="1:12" ht="13.5" customHeight="1" x14ac:dyDescent="0.2">
      <c r="B332" s="56"/>
      <c r="C332" s="89"/>
      <c r="D332" s="12"/>
    </row>
    <row r="333" spans="1:12" ht="13.5" customHeight="1" x14ac:dyDescent="0.2">
      <c r="B333" s="94"/>
      <c r="C333" s="95"/>
      <c r="D333" s="30"/>
    </row>
    <row r="334" spans="1:12" ht="13.5" customHeight="1" x14ac:dyDescent="0.2"/>
    <row r="335" spans="1:12" ht="13.5" customHeight="1" x14ac:dyDescent="0.2"/>
    <row r="336" spans="1:12" ht="13.5" customHeight="1" x14ac:dyDescent="0.2"/>
    <row r="337" ht="13.5" customHeight="1" x14ac:dyDescent="0.2"/>
    <row r="338" ht="13.5" customHeight="1" x14ac:dyDescent="0.2"/>
    <row r="339" ht="13.5" customHeight="1" x14ac:dyDescent="0.2"/>
    <row r="340" ht="13.5" customHeight="1" x14ac:dyDescent="0.2"/>
    <row r="341" ht="13.5" customHeight="1" x14ac:dyDescent="0.2"/>
    <row r="342" ht="13.5" customHeight="1" x14ac:dyDescent="0.2"/>
    <row r="343" ht="13.5" customHeight="1" x14ac:dyDescent="0.2"/>
    <row r="344" ht="13.5" customHeight="1" x14ac:dyDescent="0.2"/>
    <row r="345" ht="13.5" customHeight="1" x14ac:dyDescent="0.2"/>
    <row r="346" ht="13.5" customHeight="1" x14ac:dyDescent="0.2"/>
    <row r="347" ht="13.5" customHeight="1" x14ac:dyDescent="0.2"/>
    <row r="348" ht="13.5" customHeight="1" x14ac:dyDescent="0.2"/>
    <row r="349" ht="13.5" customHeight="1" x14ac:dyDescent="0.2"/>
    <row r="350" ht="13.5" customHeight="1" x14ac:dyDescent="0.2"/>
    <row r="351" ht="13.5" customHeight="1" x14ac:dyDescent="0.2"/>
    <row r="352" ht="13.5" customHeight="1" x14ac:dyDescent="0.2"/>
    <row r="353" ht="13.5" customHeight="1" x14ac:dyDescent="0.2"/>
    <row r="354" ht="13.5" customHeight="1" x14ac:dyDescent="0.2"/>
    <row r="355" ht="13.5" customHeight="1" x14ac:dyDescent="0.2"/>
    <row r="356" ht="13.5" customHeight="1" x14ac:dyDescent="0.2"/>
    <row r="357" ht="13.5" customHeight="1" x14ac:dyDescent="0.2"/>
    <row r="358" ht="13.5" customHeight="1" x14ac:dyDescent="0.2"/>
    <row r="359" ht="13.5" customHeight="1" x14ac:dyDescent="0.2"/>
    <row r="360" ht="13.5" customHeight="1" x14ac:dyDescent="0.2"/>
    <row r="361" ht="13.5" customHeight="1" x14ac:dyDescent="0.2"/>
    <row r="362" ht="13.5" customHeight="1" x14ac:dyDescent="0.2"/>
    <row r="363" ht="13.5" customHeight="1" x14ac:dyDescent="0.2"/>
    <row r="364" ht="13.5" customHeight="1" x14ac:dyDescent="0.2"/>
    <row r="365" ht="13.5" customHeight="1" x14ac:dyDescent="0.2"/>
    <row r="366" ht="13.5" customHeight="1" x14ac:dyDescent="0.2"/>
    <row r="367" ht="13.5" customHeight="1" x14ac:dyDescent="0.2"/>
    <row r="368" ht="13.5" customHeight="1" x14ac:dyDescent="0.2"/>
    <row r="369" ht="13.5" customHeight="1" x14ac:dyDescent="0.2"/>
    <row r="370" ht="13.5" customHeight="1" x14ac:dyDescent="0.2"/>
    <row r="371" ht="13.5" customHeight="1" x14ac:dyDescent="0.2"/>
    <row r="372" ht="13.5" customHeight="1" x14ac:dyDescent="0.2"/>
    <row r="373" ht="13.5" customHeight="1" x14ac:dyDescent="0.2"/>
    <row r="374" ht="13.5" customHeight="1" x14ac:dyDescent="0.2"/>
    <row r="375" ht="13.5" customHeight="1" x14ac:dyDescent="0.2"/>
    <row r="376" ht="13.5" customHeight="1" x14ac:dyDescent="0.2"/>
    <row r="377" ht="13.5" customHeight="1" x14ac:dyDescent="0.2"/>
    <row r="378" ht="13.5" customHeight="1" x14ac:dyDescent="0.2"/>
    <row r="379" ht="13.5" customHeight="1" x14ac:dyDescent="0.2"/>
    <row r="380" ht="13.5" customHeight="1" x14ac:dyDescent="0.2"/>
    <row r="381" ht="13.5" customHeight="1" x14ac:dyDescent="0.2"/>
    <row r="382" ht="13.5" customHeight="1" x14ac:dyDescent="0.2"/>
    <row r="383" ht="13.5" customHeight="1" x14ac:dyDescent="0.2"/>
    <row r="384" ht="13.5" customHeight="1" x14ac:dyDescent="0.2"/>
    <row r="385" ht="13.5" customHeight="1" x14ac:dyDescent="0.2"/>
    <row r="386" ht="13.5" customHeight="1" x14ac:dyDescent="0.2"/>
    <row r="387" ht="13.5" customHeight="1" x14ac:dyDescent="0.2"/>
    <row r="388" ht="13.5" customHeight="1" x14ac:dyDescent="0.2"/>
    <row r="389" ht="13.5" customHeight="1" x14ac:dyDescent="0.2"/>
    <row r="390" ht="13.5" customHeight="1" x14ac:dyDescent="0.2"/>
    <row r="391" ht="13.5" customHeight="1" x14ac:dyDescent="0.2"/>
    <row r="392" ht="13.5" customHeight="1" x14ac:dyDescent="0.2"/>
    <row r="393" ht="13.5" customHeight="1" x14ac:dyDescent="0.2"/>
  </sheetData>
  <sortState xmlns:xlrd2="http://schemas.microsoft.com/office/spreadsheetml/2017/richdata2" ref="A65:C86">
    <sortCondition ref="A64:A86"/>
    <sortCondition ref="B64:B86"/>
    <sortCondition ref="C64:C86"/>
  </sortState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O389"/>
  <sheetViews>
    <sheetView topLeftCell="D289" zoomScale="85" zoomScaleNormal="85" workbookViewId="0">
      <selection activeCell="G292" sqref="G292"/>
    </sheetView>
  </sheetViews>
  <sheetFormatPr defaultColWidth="9" defaultRowHeight="12.75" x14ac:dyDescent="0.2"/>
  <cols>
    <col min="1" max="1" width="14" style="1" customWidth="1"/>
    <col min="2" max="2" width="1.875" style="1" customWidth="1"/>
    <col min="3" max="3" width="88.75" style="1" customWidth="1"/>
    <col min="4" max="4" width="12" style="1" customWidth="1"/>
    <col min="5" max="5" width="12.375" style="1" customWidth="1"/>
    <col min="6" max="6" width="10.75" style="1" customWidth="1"/>
    <col min="7" max="7" width="11.875" style="1" customWidth="1"/>
    <col min="8" max="9" width="10.75" style="18" customWidth="1"/>
    <col min="10" max="10" width="10.875" style="66" customWidth="1"/>
    <col min="11" max="11" width="13.375" style="1" customWidth="1"/>
    <col min="12" max="12" width="10.375" style="1" customWidth="1"/>
    <col min="13" max="14" width="9" style="1"/>
    <col min="15" max="15" width="10.875" style="40" bestFit="1" customWidth="1"/>
    <col min="16" max="16384" width="9" style="1"/>
  </cols>
  <sheetData>
    <row r="1" spans="1:12" ht="13.5" customHeight="1" thickBot="1" x14ac:dyDescent="0.25">
      <c r="A1" s="1418" t="s">
        <v>252</v>
      </c>
      <c r="B1" s="1418"/>
      <c r="C1" s="1419"/>
      <c r="D1" s="1420" t="s">
        <v>0</v>
      </c>
      <c r="E1" s="1421"/>
      <c r="F1" s="1421"/>
      <c r="G1" s="1422"/>
      <c r="H1" s="1423" t="s">
        <v>1</v>
      </c>
      <c r="I1" s="1423"/>
      <c r="J1" s="1424"/>
    </row>
    <row r="2" spans="1:12" ht="13.5" customHeight="1" thickBot="1" x14ac:dyDescent="0.25">
      <c r="A2" s="2" t="s">
        <v>2</v>
      </c>
      <c r="B2" s="3"/>
      <c r="C2" s="3" t="s">
        <v>3</v>
      </c>
      <c r="D2" s="3" t="s">
        <v>4</v>
      </c>
      <c r="E2" s="3" t="s">
        <v>5</v>
      </c>
      <c r="F2" s="3" t="s">
        <v>6</v>
      </c>
      <c r="G2" s="5" t="s">
        <v>7</v>
      </c>
      <c r="H2" s="6" t="s">
        <v>5</v>
      </c>
      <c r="I2" s="4" t="s">
        <v>6</v>
      </c>
      <c r="J2" s="7" t="s">
        <v>7</v>
      </c>
    </row>
    <row r="3" spans="1:12" ht="13.5" customHeight="1" x14ac:dyDescent="0.2">
      <c r="A3" s="8">
        <v>43405</v>
      </c>
      <c r="B3" s="9"/>
      <c r="C3" s="10" t="s">
        <v>8</v>
      </c>
      <c r="D3" s="11"/>
      <c r="E3" s="12"/>
      <c r="F3" s="13"/>
      <c r="G3" s="14">
        <v>8312.3799999999992</v>
      </c>
      <c r="H3" s="15"/>
      <c r="I3" s="16"/>
      <c r="J3" s="17">
        <v>4165.8599999999979</v>
      </c>
      <c r="K3" s="18"/>
      <c r="L3" s="12"/>
    </row>
    <row r="4" spans="1:12" ht="13.5" customHeight="1" x14ac:dyDescent="0.2">
      <c r="A4" s="19"/>
      <c r="B4" s="20"/>
      <c r="C4" s="21" t="s">
        <v>9</v>
      </c>
      <c r="D4" s="11"/>
      <c r="E4" s="12"/>
      <c r="F4" s="22">
        <v>0</v>
      </c>
      <c r="G4" s="23"/>
      <c r="H4" s="24"/>
      <c r="I4" s="25"/>
      <c r="J4" s="26"/>
      <c r="K4" s="18"/>
      <c r="L4" s="12"/>
    </row>
    <row r="5" spans="1:12" ht="13.5" customHeight="1" x14ac:dyDescent="0.2">
      <c r="A5" s="19"/>
      <c r="B5" s="20"/>
      <c r="C5" s="21" t="s">
        <v>10</v>
      </c>
      <c r="D5" s="11"/>
      <c r="E5" s="12"/>
      <c r="F5" s="22">
        <v>0</v>
      </c>
      <c r="G5" s="23"/>
      <c r="H5" s="24"/>
      <c r="I5" s="25"/>
      <c r="J5" s="26"/>
      <c r="K5" s="18"/>
      <c r="L5" s="12"/>
    </row>
    <row r="6" spans="1:12" ht="13.5" customHeight="1" x14ac:dyDescent="0.2">
      <c r="A6" s="19"/>
      <c r="B6" s="20"/>
      <c r="C6" s="34" t="s">
        <v>253</v>
      </c>
      <c r="D6" s="11"/>
      <c r="E6" s="12"/>
      <c r="F6" s="22"/>
      <c r="G6" s="23"/>
      <c r="H6" s="24"/>
      <c r="I6" s="25">
        <v>220</v>
      </c>
      <c r="J6" s="26"/>
      <c r="K6" s="18"/>
      <c r="L6" s="12"/>
    </row>
    <row r="7" spans="1:12" ht="13.5" customHeight="1" x14ac:dyDescent="0.2">
      <c r="A7" s="19"/>
      <c r="B7" s="20"/>
      <c r="C7" s="34" t="s">
        <v>254</v>
      </c>
      <c r="D7" s="11"/>
      <c r="E7" s="12"/>
      <c r="F7" s="22"/>
      <c r="G7" s="23"/>
      <c r="H7" s="24"/>
      <c r="I7" s="25">
        <v>266.75</v>
      </c>
      <c r="J7" s="26"/>
      <c r="K7" s="18"/>
      <c r="L7" s="12"/>
    </row>
    <row r="8" spans="1:12" ht="13.5" customHeight="1" x14ac:dyDescent="0.2">
      <c r="A8" s="19"/>
      <c r="B8" s="20"/>
      <c r="C8" s="34" t="s">
        <v>255</v>
      </c>
      <c r="D8" s="11"/>
      <c r="E8" s="12"/>
      <c r="F8" s="22"/>
      <c r="G8" s="23"/>
      <c r="H8" s="24">
        <v>110</v>
      </c>
      <c r="I8" s="25"/>
      <c r="J8" s="26"/>
      <c r="K8" s="18"/>
      <c r="L8" s="12"/>
    </row>
    <row r="9" spans="1:12" ht="13.5" customHeight="1" x14ac:dyDescent="0.2">
      <c r="A9" s="19"/>
      <c r="B9" s="20"/>
      <c r="C9" s="34" t="s">
        <v>256</v>
      </c>
      <c r="D9" s="11"/>
      <c r="E9" s="12"/>
      <c r="F9" s="22"/>
      <c r="G9" s="23"/>
      <c r="H9" s="24">
        <v>30</v>
      </c>
      <c r="I9" s="25"/>
      <c r="J9" s="26"/>
      <c r="K9" s="18"/>
      <c r="L9" s="12"/>
    </row>
    <row r="10" spans="1:12" ht="13.5" customHeight="1" x14ac:dyDescent="0.2">
      <c r="A10" s="19"/>
      <c r="B10" s="20"/>
      <c r="C10" s="34" t="s">
        <v>257</v>
      </c>
      <c r="D10" s="11"/>
      <c r="E10" s="12"/>
      <c r="F10" s="22"/>
      <c r="G10" s="23"/>
      <c r="H10" s="24"/>
      <c r="I10" s="25">
        <v>1751.48</v>
      </c>
      <c r="J10" s="26"/>
      <c r="K10" s="18"/>
      <c r="L10" s="12"/>
    </row>
    <row r="11" spans="1:12" ht="13.5" customHeight="1" x14ac:dyDescent="0.2">
      <c r="A11" s="19"/>
      <c r="B11" s="20"/>
      <c r="C11" s="34" t="s">
        <v>560</v>
      </c>
      <c r="D11" s="11"/>
      <c r="E11" s="12"/>
      <c r="F11" s="22"/>
      <c r="G11" s="23"/>
      <c r="H11" s="174">
        <v>1751.48</v>
      </c>
      <c r="I11" s="25"/>
      <c r="J11" s="26"/>
      <c r="K11" s="18"/>
      <c r="L11" s="12"/>
    </row>
    <row r="12" spans="1:12" ht="13.5" customHeight="1" x14ac:dyDescent="0.2">
      <c r="A12" s="19"/>
      <c r="B12" s="20"/>
      <c r="C12" s="34" t="s">
        <v>258</v>
      </c>
      <c r="D12" s="11"/>
      <c r="E12" s="12"/>
      <c r="F12" s="22"/>
      <c r="G12" s="23"/>
      <c r="H12" s="24">
        <v>14.99</v>
      </c>
      <c r="I12" s="25"/>
      <c r="J12" s="26"/>
      <c r="K12" s="18"/>
      <c r="L12" s="12"/>
    </row>
    <row r="13" spans="1:12" ht="13.5" customHeight="1" x14ac:dyDescent="0.2">
      <c r="A13" s="19"/>
      <c r="B13" s="20"/>
      <c r="C13" s="34" t="s">
        <v>259</v>
      </c>
      <c r="D13" s="11"/>
      <c r="E13" s="12"/>
      <c r="F13" s="22"/>
      <c r="G13" s="23"/>
      <c r="H13" s="24">
        <v>4.8</v>
      </c>
      <c r="I13" s="25"/>
      <c r="J13" s="26"/>
      <c r="K13" s="18"/>
      <c r="L13" s="12"/>
    </row>
    <row r="14" spans="1:12" ht="13.5" customHeight="1" x14ac:dyDescent="0.2">
      <c r="A14" s="19"/>
      <c r="B14" s="20"/>
      <c r="C14" s="34" t="s">
        <v>260</v>
      </c>
      <c r="D14" s="11"/>
      <c r="E14" s="12"/>
      <c r="F14" s="22"/>
      <c r="G14" s="23"/>
      <c r="H14" s="24">
        <v>9.6999999999999993</v>
      </c>
      <c r="I14" s="25"/>
      <c r="J14" s="26"/>
      <c r="K14" s="18"/>
      <c r="L14" s="12"/>
    </row>
    <row r="15" spans="1:12" ht="13.5" customHeight="1" x14ac:dyDescent="0.2">
      <c r="A15" s="19" t="s">
        <v>240</v>
      </c>
      <c r="B15" s="20"/>
      <c r="C15" s="34"/>
      <c r="D15" s="11">
        <v>4000</v>
      </c>
      <c r="E15" s="12"/>
      <c r="F15" s="22"/>
      <c r="G15" s="23"/>
      <c r="H15" s="24">
        <v>24.9</v>
      </c>
      <c r="I15" s="25"/>
      <c r="J15" s="127"/>
      <c r="K15" s="18"/>
      <c r="L15" s="12"/>
    </row>
    <row r="16" spans="1:12" ht="13.5" customHeight="1" x14ac:dyDescent="0.2">
      <c r="A16" s="19"/>
      <c r="B16" s="20"/>
      <c r="C16" s="34" t="s">
        <v>36</v>
      </c>
      <c r="D16" s="11"/>
      <c r="E16" s="12"/>
      <c r="F16" s="22"/>
      <c r="G16" s="23"/>
      <c r="H16" s="24">
        <v>280</v>
      </c>
      <c r="I16" s="25"/>
      <c r="J16" s="26"/>
      <c r="K16" s="18"/>
      <c r="L16" s="12"/>
    </row>
    <row r="17" spans="1:12" ht="13.5" customHeight="1" x14ac:dyDescent="0.2">
      <c r="A17" s="19"/>
      <c r="B17" s="20"/>
      <c r="C17" s="34" t="s">
        <v>52</v>
      </c>
      <c r="D17" s="11"/>
      <c r="E17" s="12"/>
      <c r="F17" s="22"/>
      <c r="G17" s="23"/>
      <c r="H17" s="24">
        <v>360</v>
      </c>
      <c r="I17" s="25"/>
      <c r="J17" s="26"/>
      <c r="K17" s="18"/>
      <c r="L17" s="12"/>
    </row>
    <row r="18" spans="1:12" ht="13.5" customHeight="1" x14ac:dyDescent="0.2">
      <c r="A18" s="19"/>
      <c r="B18" s="20"/>
      <c r="C18" s="34" t="s">
        <v>43</v>
      </c>
      <c r="D18" s="11"/>
      <c r="E18" s="12"/>
      <c r="F18" s="22"/>
      <c r="G18" s="23"/>
      <c r="H18" s="24">
        <v>180</v>
      </c>
      <c r="I18" s="25"/>
      <c r="J18" s="39"/>
      <c r="K18" s="18"/>
      <c r="L18" s="12"/>
    </row>
    <row r="19" spans="1:12" ht="13.5" customHeight="1" x14ac:dyDescent="0.2">
      <c r="A19" s="19"/>
      <c r="B19" s="20"/>
      <c r="C19" s="34" t="s">
        <v>31</v>
      </c>
      <c r="D19" s="11"/>
      <c r="E19" s="12"/>
      <c r="F19" s="22"/>
      <c r="G19" s="23"/>
      <c r="H19" s="24">
        <v>1100</v>
      </c>
      <c r="I19" s="25"/>
      <c r="J19" s="26">
        <v>2538.2199999999993</v>
      </c>
      <c r="K19" s="18"/>
      <c r="L19" s="12"/>
    </row>
    <row r="20" spans="1:12" ht="13.5" customHeight="1" x14ac:dyDescent="0.2">
      <c r="A20" s="19"/>
      <c r="B20" s="20"/>
      <c r="C20" s="34" t="s">
        <v>560</v>
      </c>
      <c r="D20" s="11" t="s">
        <v>561</v>
      </c>
      <c r="E20" s="12"/>
      <c r="F20" s="162">
        <v>1751.48</v>
      </c>
      <c r="G20" s="23">
        <v>10063.86</v>
      </c>
      <c r="H20" s="24"/>
      <c r="I20" s="25"/>
      <c r="J20" s="26"/>
      <c r="K20" s="18"/>
      <c r="L20" s="12"/>
    </row>
    <row r="21" spans="1:12" ht="13.5" customHeight="1" x14ac:dyDescent="0.2">
      <c r="A21" s="19" t="s">
        <v>262</v>
      </c>
      <c r="B21" s="20"/>
      <c r="C21" s="34" t="s">
        <v>53</v>
      </c>
      <c r="D21" s="11" t="s">
        <v>263</v>
      </c>
      <c r="E21" s="12">
        <v>-511.71</v>
      </c>
      <c r="F21" s="22"/>
      <c r="G21" s="23"/>
      <c r="H21" s="24"/>
      <c r="I21" s="25"/>
      <c r="J21" s="26"/>
      <c r="K21" s="18"/>
      <c r="L21" s="12"/>
    </row>
    <row r="22" spans="1:12" ht="13.5" customHeight="1" x14ac:dyDescent="0.2">
      <c r="A22" s="19"/>
      <c r="B22" s="20"/>
      <c r="C22" s="34" t="s">
        <v>264</v>
      </c>
      <c r="D22" s="11" t="s">
        <v>19</v>
      </c>
      <c r="E22" s="12">
        <v>-624.16</v>
      </c>
      <c r="F22" s="22"/>
      <c r="G22" s="23"/>
      <c r="H22" s="24"/>
      <c r="I22" s="25"/>
      <c r="J22" s="26"/>
      <c r="K22" s="18"/>
      <c r="L22" s="12"/>
    </row>
    <row r="23" spans="1:12" ht="13.5" customHeight="1" x14ac:dyDescent="0.2">
      <c r="A23" s="19"/>
      <c r="B23" s="20"/>
      <c r="C23" s="34" t="s">
        <v>20</v>
      </c>
      <c r="D23" s="11" t="s">
        <v>19</v>
      </c>
      <c r="E23" s="12"/>
      <c r="F23" s="22">
        <v>0.22</v>
      </c>
      <c r="G23" s="23">
        <v>8928.2099999999991</v>
      </c>
      <c r="H23" s="24"/>
      <c r="I23" s="25"/>
      <c r="J23" s="26"/>
      <c r="K23" s="18"/>
      <c r="L23" s="12"/>
    </row>
    <row r="24" spans="1:12" ht="13.5" customHeight="1" x14ac:dyDescent="0.2">
      <c r="A24" s="19"/>
      <c r="B24" s="20"/>
      <c r="C24" s="34" t="s">
        <v>265</v>
      </c>
      <c r="D24" s="11"/>
      <c r="E24" s="12"/>
      <c r="F24" s="22"/>
      <c r="G24" s="23"/>
      <c r="H24" s="24"/>
      <c r="I24" s="25">
        <v>1070</v>
      </c>
      <c r="J24" s="26"/>
      <c r="K24" s="18"/>
      <c r="L24" s="12"/>
    </row>
    <row r="25" spans="1:12" ht="13.5" customHeight="1" x14ac:dyDescent="0.2">
      <c r="A25" s="19"/>
      <c r="B25" s="20"/>
      <c r="C25" s="34" t="s">
        <v>266</v>
      </c>
      <c r="D25" s="11"/>
      <c r="E25" s="12"/>
      <c r="F25" s="22"/>
      <c r="G25" s="23"/>
      <c r="H25" s="24"/>
      <c r="I25" s="25">
        <v>5000</v>
      </c>
      <c r="J25" s="26"/>
      <c r="K25" s="18"/>
      <c r="L25" s="12"/>
    </row>
    <row r="26" spans="1:12" ht="13.5" customHeight="1" x14ac:dyDescent="0.2">
      <c r="A26" s="19"/>
      <c r="B26" s="20"/>
      <c r="C26" s="34" t="s">
        <v>267</v>
      </c>
      <c r="D26" s="11"/>
      <c r="E26" s="12"/>
      <c r="F26" s="22"/>
      <c r="G26" s="23"/>
      <c r="H26" s="24"/>
      <c r="I26" s="25">
        <v>1500</v>
      </c>
      <c r="J26" s="26"/>
      <c r="K26" s="18"/>
      <c r="L26" s="12"/>
    </row>
    <row r="27" spans="1:12" ht="13.5" customHeight="1" x14ac:dyDescent="0.2">
      <c r="A27" s="19"/>
      <c r="B27" s="20"/>
      <c r="C27" s="34" t="s">
        <v>268</v>
      </c>
      <c r="D27" s="11"/>
      <c r="E27" s="12"/>
      <c r="F27" s="22"/>
      <c r="G27" s="23"/>
      <c r="H27" s="24">
        <v>20</v>
      </c>
      <c r="I27" s="25"/>
      <c r="J27" s="26"/>
      <c r="K27" s="18"/>
      <c r="L27" s="12"/>
    </row>
    <row r="28" spans="1:12" ht="13.5" customHeight="1" x14ac:dyDescent="0.2">
      <c r="A28" s="19"/>
      <c r="B28" s="20"/>
      <c r="C28" s="34" t="s">
        <v>269</v>
      </c>
      <c r="D28" s="11"/>
      <c r="E28" s="12"/>
      <c r="F28" s="22"/>
      <c r="G28" s="23"/>
      <c r="H28" s="24">
        <v>60.45</v>
      </c>
      <c r="I28" s="25"/>
      <c r="J28" s="26"/>
      <c r="K28" s="18"/>
      <c r="L28" s="12"/>
    </row>
    <row r="29" spans="1:12" ht="13.5" customHeight="1" x14ac:dyDescent="0.2">
      <c r="A29" s="19"/>
      <c r="B29" s="20"/>
      <c r="C29" s="34" t="s">
        <v>38</v>
      </c>
      <c r="D29" s="11"/>
      <c r="E29" s="12"/>
      <c r="F29" s="22"/>
      <c r="G29" s="23"/>
      <c r="H29" s="24">
        <v>5000</v>
      </c>
      <c r="I29" s="25"/>
      <c r="J29" s="26"/>
      <c r="K29" s="18"/>
      <c r="L29" s="12"/>
    </row>
    <row r="30" spans="1:12" ht="13.5" customHeight="1" x14ac:dyDescent="0.2">
      <c r="A30" s="19" t="s">
        <v>270</v>
      </c>
      <c r="B30" s="20"/>
      <c r="C30" s="34" t="s">
        <v>55</v>
      </c>
      <c r="D30" s="11" t="s">
        <v>271</v>
      </c>
      <c r="E30" s="12">
        <v>-400</v>
      </c>
      <c r="F30" s="22"/>
      <c r="G30" s="23">
        <v>8528.2099999999991</v>
      </c>
      <c r="H30" s="24"/>
      <c r="I30" s="25"/>
      <c r="J30" s="39"/>
      <c r="K30" s="18"/>
      <c r="L30" s="12"/>
    </row>
    <row r="31" spans="1:12" ht="13.5" customHeight="1" x14ac:dyDescent="0.2">
      <c r="A31" s="46"/>
      <c r="B31" s="46"/>
      <c r="C31" s="34" t="s">
        <v>20</v>
      </c>
      <c r="D31" s="42" t="s">
        <v>19</v>
      </c>
      <c r="E31" s="43"/>
      <c r="F31" s="43">
        <v>0.06</v>
      </c>
      <c r="G31" s="23">
        <v>8528.27</v>
      </c>
      <c r="H31" s="24"/>
      <c r="I31" s="25"/>
      <c r="J31" s="26"/>
      <c r="K31" s="18"/>
      <c r="L31" s="12"/>
    </row>
    <row r="32" spans="1:12" ht="13.5" customHeight="1" x14ac:dyDescent="0.2">
      <c r="A32" s="19"/>
      <c r="B32" s="20"/>
      <c r="C32" s="34" t="s">
        <v>272</v>
      </c>
      <c r="D32" s="11"/>
      <c r="E32" s="12"/>
      <c r="F32" s="22"/>
      <c r="G32" s="23"/>
      <c r="H32" s="24">
        <v>21.96</v>
      </c>
      <c r="I32" s="25"/>
      <c r="J32" s="39"/>
      <c r="K32" s="18"/>
      <c r="L32" s="12"/>
    </row>
    <row r="33" spans="1:12" ht="13.5" customHeight="1" x14ac:dyDescent="0.2">
      <c r="A33" s="19"/>
      <c r="B33" s="20"/>
      <c r="C33" s="34" t="s">
        <v>163</v>
      </c>
      <c r="D33" s="11"/>
      <c r="E33" s="12"/>
      <c r="F33" s="22"/>
      <c r="G33" s="23"/>
      <c r="H33" s="24">
        <v>112.5</v>
      </c>
      <c r="I33" s="25"/>
      <c r="J33" s="26"/>
      <c r="K33" s="18"/>
      <c r="L33" s="12"/>
    </row>
    <row r="34" spans="1:12" ht="13.5" customHeight="1" x14ac:dyDescent="0.2">
      <c r="A34" s="19"/>
      <c r="B34" s="20"/>
      <c r="C34" s="34" t="s">
        <v>273</v>
      </c>
      <c r="D34" s="11"/>
      <c r="E34" s="12"/>
      <c r="F34" s="22"/>
      <c r="G34" s="23"/>
      <c r="H34" s="24">
        <v>10.35</v>
      </c>
      <c r="I34" s="25"/>
      <c r="J34" s="26"/>
      <c r="K34" s="18"/>
      <c r="L34" s="12"/>
    </row>
    <row r="35" spans="1:12" ht="13.5" customHeight="1" x14ac:dyDescent="0.2">
      <c r="A35" s="19"/>
      <c r="B35" s="20"/>
      <c r="C35" s="34" t="s">
        <v>274</v>
      </c>
      <c r="D35" s="11"/>
      <c r="E35" s="12"/>
      <c r="F35" s="22"/>
      <c r="G35" s="23"/>
      <c r="H35" s="24">
        <v>192</v>
      </c>
      <c r="I35" s="25"/>
      <c r="J35" s="26">
        <v>4690.9599999999982</v>
      </c>
      <c r="K35" s="18"/>
      <c r="L35" s="12"/>
    </row>
    <row r="36" spans="1:12" ht="13.5" customHeight="1" x14ac:dyDescent="0.2">
      <c r="A36" s="46" t="s">
        <v>275</v>
      </c>
      <c r="B36" s="46"/>
      <c r="C36" s="34" t="s">
        <v>62</v>
      </c>
      <c r="D36" s="42" t="s">
        <v>19</v>
      </c>
      <c r="E36" s="43">
        <v>-438.84</v>
      </c>
      <c r="F36" s="43"/>
      <c r="G36" s="23"/>
      <c r="H36" s="24"/>
      <c r="I36" s="25"/>
      <c r="J36" s="26"/>
      <c r="K36" s="18"/>
      <c r="L36" s="12"/>
    </row>
    <row r="37" spans="1:12" ht="13.5" customHeight="1" x14ac:dyDescent="0.2">
      <c r="A37" s="19"/>
      <c r="B37" s="20"/>
      <c r="C37" s="34" t="s">
        <v>20</v>
      </c>
      <c r="D37" s="11" t="s">
        <v>19</v>
      </c>
      <c r="E37" s="12"/>
      <c r="F37" s="22">
        <v>0.08</v>
      </c>
      <c r="G37" s="23">
        <v>8089.51</v>
      </c>
      <c r="H37" s="24"/>
      <c r="I37" s="25"/>
      <c r="J37" s="26"/>
      <c r="K37" s="18"/>
      <c r="L37" s="12"/>
    </row>
    <row r="38" spans="1:12" ht="13.5" customHeight="1" x14ac:dyDescent="0.2">
      <c r="A38" s="19">
        <v>43412</v>
      </c>
      <c r="B38" s="20"/>
      <c r="C38" s="34" t="s">
        <v>276</v>
      </c>
      <c r="D38" s="11"/>
      <c r="E38" s="12"/>
      <c r="F38" s="22"/>
      <c r="G38" s="23"/>
      <c r="H38" s="24"/>
      <c r="I38" s="25">
        <v>1739.7</v>
      </c>
      <c r="J38" s="26"/>
      <c r="K38" s="18"/>
      <c r="L38" s="12"/>
    </row>
    <row r="39" spans="1:12" ht="13.5" customHeight="1" x14ac:dyDescent="0.2">
      <c r="A39" s="19"/>
      <c r="B39" s="20"/>
      <c r="C39" s="34" t="s">
        <v>277</v>
      </c>
      <c r="D39" s="11"/>
      <c r="E39" s="12"/>
      <c r="F39" s="22"/>
      <c r="G39" s="23"/>
      <c r="H39" s="24"/>
      <c r="I39" s="25">
        <v>1975.42</v>
      </c>
      <c r="J39" s="26"/>
      <c r="K39" s="18"/>
      <c r="L39" s="12"/>
    </row>
    <row r="40" spans="1:12" ht="13.5" customHeight="1" x14ac:dyDescent="0.2">
      <c r="A40" s="19"/>
      <c r="B40" s="20"/>
      <c r="C40" s="34" t="s">
        <v>278</v>
      </c>
      <c r="D40" s="11"/>
      <c r="E40" s="12"/>
      <c r="F40" s="22"/>
      <c r="G40" s="23"/>
      <c r="H40" s="24">
        <v>6.5</v>
      </c>
      <c r="I40" s="25"/>
      <c r="J40" s="26"/>
      <c r="K40" s="18"/>
      <c r="L40" s="12"/>
    </row>
    <row r="41" spans="1:12" ht="13.5" customHeight="1" x14ac:dyDescent="0.2">
      <c r="A41" s="19"/>
      <c r="B41" s="20"/>
      <c r="C41" s="34" t="s">
        <v>279</v>
      </c>
      <c r="D41" s="11"/>
      <c r="E41" s="12"/>
      <c r="F41" s="22"/>
      <c r="G41" s="23"/>
      <c r="H41" s="24">
        <v>19.899999999999999</v>
      </c>
      <c r="I41" s="25"/>
      <c r="J41" s="26"/>
      <c r="K41" s="18"/>
      <c r="L41" s="12"/>
    </row>
    <row r="42" spans="1:12" ht="13.5" customHeight="1" x14ac:dyDescent="0.2">
      <c r="A42" s="19"/>
      <c r="B42" s="20"/>
      <c r="C42" s="34" t="s">
        <v>125</v>
      </c>
      <c r="D42" s="11"/>
      <c r="E42" s="12"/>
      <c r="F42" s="22"/>
      <c r="G42" s="23"/>
      <c r="H42" s="24">
        <v>30.63</v>
      </c>
      <c r="I42" s="25"/>
      <c r="J42" s="26"/>
      <c r="K42" s="18"/>
      <c r="L42" s="12"/>
    </row>
    <row r="43" spans="1:12" ht="13.5" customHeight="1" x14ac:dyDescent="0.2">
      <c r="A43" s="19"/>
      <c r="B43" s="20"/>
      <c r="C43" s="34" t="s">
        <v>280</v>
      </c>
      <c r="D43" s="11"/>
      <c r="E43" s="12"/>
      <c r="F43" s="22"/>
      <c r="G43" s="23"/>
      <c r="H43" s="24">
        <v>35.799999999999997</v>
      </c>
      <c r="I43" s="25"/>
      <c r="J43" s="26"/>
      <c r="K43" s="18"/>
      <c r="L43" s="12"/>
    </row>
    <row r="44" spans="1:12" ht="13.5" customHeight="1" x14ac:dyDescent="0.2">
      <c r="A44" s="19"/>
      <c r="B44" s="20"/>
      <c r="C44" s="34" t="s">
        <v>281</v>
      </c>
      <c r="D44" s="11"/>
      <c r="E44" s="12"/>
      <c r="F44" s="22"/>
      <c r="G44" s="23"/>
      <c r="H44" s="24">
        <v>29.97</v>
      </c>
      <c r="I44" s="25"/>
      <c r="J44" s="26"/>
      <c r="K44" s="18"/>
      <c r="L44" s="12"/>
    </row>
    <row r="45" spans="1:12" ht="13.5" customHeight="1" x14ac:dyDescent="0.2">
      <c r="A45" s="19"/>
      <c r="B45" s="20"/>
      <c r="C45" s="34" t="s">
        <v>282</v>
      </c>
      <c r="D45" s="11"/>
      <c r="E45" s="12"/>
      <c r="F45" s="22"/>
      <c r="G45" s="23"/>
      <c r="H45" s="24">
        <v>34.46</v>
      </c>
      <c r="I45" s="25"/>
      <c r="J45" s="26"/>
      <c r="K45" s="18"/>
      <c r="L45" s="12"/>
    </row>
    <row r="46" spans="1:12" ht="13.5" customHeight="1" x14ac:dyDescent="0.2">
      <c r="A46" s="19"/>
      <c r="B46" s="20"/>
      <c r="C46" s="34" t="s">
        <v>283</v>
      </c>
      <c r="D46" s="11"/>
      <c r="E46" s="12"/>
      <c r="F46" s="22"/>
      <c r="G46" s="23"/>
      <c r="H46" s="24">
        <v>7.6</v>
      </c>
      <c r="I46" s="25"/>
      <c r="J46" s="26"/>
      <c r="K46" s="18"/>
      <c r="L46" s="12"/>
    </row>
    <row r="47" spans="1:12" ht="13.5" customHeight="1" x14ac:dyDescent="0.2">
      <c r="A47" s="19"/>
      <c r="B47" s="20"/>
      <c r="C47" s="34" t="s">
        <v>36</v>
      </c>
      <c r="D47" s="11"/>
      <c r="E47" s="12"/>
      <c r="F47" s="22"/>
      <c r="G47" s="23"/>
      <c r="H47" s="24">
        <v>350</v>
      </c>
      <c r="I47" s="25"/>
      <c r="J47" s="26"/>
      <c r="K47" s="18"/>
      <c r="L47" s="12"/>
    </row>
    <row r="48" spans="1:12" ht="13.5" customHeight="1" x14ac:dyDescent="0.2">
      <c r="A48" s="19"/>
      <c r="B48" s="20"/>
      <c r="C48" s="34" t="s">
        <v>284</v>
      </c>
      <c r="D48" s="11"/>
      <c r="E48" s="12"/>
      <c r="F48" s="22"/>
      <c r="G48" s="23"/>
      <c r="H48" s="24">
        <v>150</v>
      </c>
      <c r="I48" s="25"/>
      <c r="J48" s="26"/>
      <c r="K48" s="18"/>
      <c r="L48" s="12"/>
    </row>
    <row r="49" spans="1:12" ht="13.5" customHeight="1" x14ac:dyDescent="0.2">
      <c r="A49" s="19"/>
      <c r="B49" s="20"/>
      <c r="C49" s="34" t="s">
        <v>285</v>
      </c>
      <c r="D49" s="11"/>
      <c r="E49" s="12"/>
      <c r="F49" s="22"/>
      <c r="G49" s="23"/>
      <c r="H49" s="24">
        <v>150</v>
      </c>
      <c r="I49" s="25"/>
      <c r="J49" s="26">
        <v>7591.2200000000012</v>
      </c>
      <c r="K49" s="18"/>
      <c r="L49" s="12"/>
    </row>
    <row r="50" spans="1:12" ht="13.5" customHeight="1" x14ac:dyDescent="0.2">
      <c r="A50" s="19"/>
      <c r="B50" s="20"/>
      <c r="C50" s="34" t="s">
        <v>286</v>
      </c>
      <c r="D50" s="11" t="s">
        <v>287</v>
      </c>
      <c r="E50" s="12"/>
      <c r="F50" s="22">
        <v>940</v>
      </c>
      <c r="G50" s="23">
        <v>9029.51</v>
      </c>
      <c r="H50" s="24"/>
      <c r="I50" s="25"/>
      <c r="J50" s="26"/>
      <c r="K50" s="18"/>
      <c r="L50" s="12"/>
    </row>
    <row r="51" spans="1:12" ht="13.5" customHeight="1" x14ac:dyDescent="0.2">
      <c r="A51" s="19">
        <v>43413</v>
      </c>
      <c r="B51" s="20"/>
      <c r="C51" s="34" t="s">
        <v>52</v>
      </c>
      <c r="D51" s="11"/>
      <c r="E51" s="12"/>
      <c r="F51" s="22"/>
      <c r="G51" s="23"/>
      <c r="H51" s="24">
        <v>450</v>
      </c>
      <c r="I51" s="25"/>
      <c r="J51" s="26">
        <v>7141.2200000000012</v>
      </c>
      <c r="K51" s="18"/>
      <c r="L51" s="12"/>
    </row>
    <row r="52" spans="1:12" ht="13.5" customHeight="1" x14ac:dyDescent="0.2">
      <c r="A52" s="19"/>
      <c r="B52" s="20"/>
      <c r="C52" s="34" t="s">
        <v>288</v>
      </c>
      <c r="D52" s="11" t="s">
        <v>19</v>
      </c>
      <c r="E52" s="12">
        <v>-17.559999999999999</v>
      </c>
      <c r="F52" s="22"/>
      <c r="G52" s="23">
        <v>9011.9500000000007</v>
      </c>
      <c r="H52" s="24"/>
      <c r="I52" s="25"/>
      <c r="J52" s="39"/>
      <c r="K52" s="18"/>
      <c r="L52" s="12"/>
    </row>
    <row r="53" spans="1:12" ht="13.5" customHeight="1" x14ac:dyDescent="0.2">
      <c r="A53" s="19">
        <v>43416</v>
      </c>
      <c r="B53" s="20"/>
      <c r="C53" s="34" t="s">
        <v>289</v>
      </c>
      <c r="D53" s="11"/>
      <c r="E53" s="12"/>
      <c r="F53" s="22"/>
      <c r="G53" s="23"/>
      <c r="H53" s="24"/>
      <c r="I53" s="25">
        <v>60</v>
      </c>
      <c r="J53" s="26"/>
      <c r="K53" s="18"/>
      <c r="L53" s="12"/>
    </row>
    <row r="54" spans="1:12" ht="13.5" customHeight="1" x14ac:dyDescent="0.2">
      <c r="A54" s="19"/>
      <c r="B54" s="20"/>
      <c r="C54" s="34" t="s">
        <v>290</v>
      </c>
      <c r="D54" s="11"/>
      <c r="E54" s="12"/>
      <c r="F54" s="22"/>
      <c r="G54" s="23"/>
      <c r="H54" s="24"/>
      <c r="I54" s="25">
        <v>1020</v>
      </c>
      <c r="J54" s="26"/>
      <c r="K54" s="18"/>
      <c r="L54" s="12"/>
    </row>
    <row r="55" spans="1:12" ht="13.5" customHeight="1" x14ac:dyDescent="0.2">
      <c r="A55" s="19"/>
      <c r="B55" s="20"/>
      <c r="C55" s="34" t="s">
        <v>291</v>
      </c>
      <c r="D55" s="11"/>
      <c r="E55" s="12"/>
      <c r="F55" s="22"/>
      <c r="G55" s="23"/>
      <c r="H55" s="24"/>
      <c r="I55" s="25">
        <v>60</v>
      </c>
      <c r="J55" s="26"/>
      <c r="K55" s="18"/>
      <c r="L55" s="12"/>
    </row>
    <row r="56" spans="1:12" ht="13.5" customHeight="1" x14ac:dyDescent="0.2">
      <c r="A56" s="19"/>
      <c r="B56" s="20"/>
      <c r="C56" s="34" t="s">
        <v>292</v>
      </c>
      <c r="D56" s="11"/>
      <c r="E56" s="12"/>
      <c r="F56" s="22"/>
      <c r="G56" s="23"/>
      <c r="H56" s="24"/>
      <c r="I56" s="25">
        <v>1654.1</v>
      </c>
      <c r="J56" s="26"/>
      <c r="K56" s="18"/>
      <c r="L56" s="12"/>
    </row>
    <row r="57" spans="1:12" ht="13.5" customHeight="1" x14ac:dyDescent="0.2">
      <c r="A57" s="19"/>
      <c r="B57" s="20"/>
      <c r="C57" s="34" t="s">
        <v>293</v>
      </c>
      <c r="D57" s="11"/>
      <c r="E57" s="12"/>
      <c r="F57" s="22"/>
      <c r="G57" s="23"/>
      <c r="H57" s="24">
        <v>65</v>
      </c>
      <c r="I57" s="25"/>
      <c r="J57" s="26"/>
      <c r="K57" s="18"/>
      <c r="L57" s="12"/>
    </row>
    <row r="58" spans="1:12" ht="13.5" customHeight="1" x14ac:dyDescent="0.2">
      <c r="A58" s="19"/>
      <c r="B58" s="20"/>
      <c r="C58" s="34" t="s">
        <v>294</v>
      </c>
      <c r="D58" s="11"/>
      <c r="E58" s="12"/>
      <c r="F58" s="22"/>
      <c r="G58" s="23"/>
      <c r="H58" s="24">
        <v>19.899999999999999</v>
      </c>
      <c r="I58" s="25"/>
      <c r="J58" s="26"/>
      <c r="K58" s="18"/>
      <c r="L58" s="12"/>
    </row>
    <row r="59" spans="1:12" ht="13.5" customHeight="1" x14ac:dyDescent="0.2">
      <c r="A59" s="19"/>
      <c r="B59" s="20"/>
      <c r="C59" s="34" t="s">
        <v>295</v>
      </c>
      <c r="D59" s="11"/>
      <c r="E59" s="12"/>
      <c r="F59" s="22"/>
      <c r="G59" s="23"/>
      <c r="H59" s="24">
        <v>230</v>
      </c>
      <c r="I59" s="25"/>
      <c r="J59" s="26"/>
      <c r="K59" s="18"/>
      <c r="L59" s="12"/>
    </row>
    <row r="60" spans="1:12" ht="13.5" customHeight="1" x14ac:dyDescent="0.2">
      <c r="A60" s="19"/>
      <c r="B60" s="20"/>
      <c r="C60" s="34" t="s">
        <v>296</v>
      </c>
      <c r="D60" s="11"/>
      <c r="E60" s="12"/>
      <c r="F60" s="22"/>
      <c r="G60" s="23"/>
      <c r="H60" s="24">
        <v>49</v>
      </c>
      <c r="I60" s="25"/>
      <c r="J60" s="26"/>
      <c r="K60" s="18"/>
      <c r="L60" s="12"/>
    </row>
    <row r="61" spans="1:12" ht="13.5" customHeight="1" x14ac:dyDescent="0.2">
      <c r="A61" s="19"/>
      <c r="B61" s="20"/>
      <c r="C61" s="34" t="s">
        <v>297</v>
      </c>
      <c r="D61" s="11"/>
      <c r="E61" s="12"/>
      <c r="F61" s="22"/>
      <c r="G61" s="23"/>
      <c r="H61" s="24">
        <v>53</v>
      </c>
      <c r="I61" s="25"/>
      <c r="J61" s="26"/>
      <c r="K61" s="18"/>
      <c r="L61" s="12"/>
    </row>
    <row r="62" spans="1:12" ht="13.5" customHeight="1" x14ac:dyDescent="0.2">
      <c r="A62" s="19"/>
      <c r="B62" s="20"/>
      <c r="C62" s="34" t="s">
        <v>298</v>
      </c>
      <c r="D62" s="11"/>
      <c r="E62" s="12"/>
      <c r="F62" s="22"/>
      <c r="G62" s="23"/>
      <c r="H62" s="24">
        <v>7.5</v>
      </c>
      <c r="I62" s="25"/>
      <c r="J62" s="26"/>
      <c r="K62" s="18"/>
      <c r="L62" s="12"/>
    </row>
    <row r="63" spans="1:12" ht="13.5" customHeight="1" x14ac:dyDescent="0.2">
      <c r="A63" s="19"/>
      <c r="B63" s="20"/>
      <c r="C63" s="34" t="s">
        <v>299</v>
      </c>
      <c r="D63" s="11"/>
      <c r="E63" s="12"/>
      <c r="F63" s="22"/>
      <c r="G63" s="23"/>
      <c r="H63" s="24">
        <v>8.9499999999999993</v>
      </c>
      <c r="I63" s="25"/>
      <c r="J63" s="26"/>
      <c r="K63" s="18"/>
      <c r="L63" s="12"/>
    </row>
    <row r="64" spans="1:12" ht="13.5" customHeight="1" x14ac:dyDescent="0.2">
      <c r="A64" s="19"/>
      <c r="B64" s="20"/>
      <c r="C64" s="45" t="s">
        <v>375</v>
      </c>
      <c r="D64" s="11"/>
      <c r="E64" s="12"/>
      <c r="F64" s="22"/>
      <c r="G64" s="23"/>
      <c r="H64" s="24">
        <v>100</v>
      </c>
      <c r="I64" s="25"/>
      <c r="J64" s="26">
        <v>9401.9700000000012</v>
      </c>
      <c r="K64" s="18"/>
      <c r="L64" s="12"/>
    </row>
    <row r="65" spans="1:12" ht="13.5" customHeight="1" x14ac:dyDescent="0.2">
      <c r="A65" s="19" t="s">
        <v>300</v>
      </c>
      <c r="B65" s="20"/>
      <c r="C65" s="34" t="s">
        <v>80</v>
      </c>
      <c r="D65" s="11" t="s">
        <v>19</v>
      </c>
      <c r="E65" s="12">
        <v>-67.91</v>
      </c>
      <c r="F65" s="22"/>
      <c r="G65" s="23"/>
      <c r="H65" s="24"/>
      <c r="I65" s="25"/>
      <c r="J65" s="26"/>
      <c r="K65" s="18"/>
      <c r="L65" s="12"/>
    </row>
    <row r="66" spans="1:12" ht="13.5" customHeight="1" x14ac:dyDescent="0.2">
      <c r="A66" s="19"/>
      <c r="B66" s="20"/>
      <c r="C66" s="34" t="s">
        <v>87</v>
      </c>
      <c r="D66" s="11" t="s">
        <v>19</v>
      </c>
      <c r="E66" s="12">
        <v>-37.85</v>
      </c>
      <c r="F66" s="22"/>
      <c r="G66" s="23"/>
      <c r="H66" s="24"/>
      <c r="I66" s="25"/>
      <c r="J66" s="26"/>
      <c r="K66" s="18"/>
      <c r="L66" s="12"/>
    </row>
    <row r="67" spans="1:12" ht="13.5" customHeight="1" x14ac:dyDescent="0.2">
      <c r="A67" s="19"/>
      <c r="B67" s="20"/>
      <c r="C67" s="34" t="s">
        <v>82</v>
      </c>
      <c r="D67" s="11" t="s">
        <v>263</v>
      </c>
      <c r="E67" s="12">
        <v>-337.47</v>
      </c>
      <c r="F67" s="22"/>
      <c r="G67" s="23"/>
      <c r="H67" s="24"/>
      <c r="I67" s="25"/>
      <c r="J67" s="26"/>
      <c r="K67" s="18"/>
      <c r="L67" s="12"/>
    </row>
    <row r="68" spans="1:12" ht="13.5" customHeight="1" x14ac:dyDescent="0.2">
      <c r="A68" s="19"/>
      <c r="B68" s="20"/>
      <c r="C68" s="34" t="s">
        <v>562</v>
      </c>
      <c r="D68" s="11" t="s">
        <v>563</v>
      </c>
      <c r="E68" s="168">
        <v>-1188.8</v>
      </c>
      <c r="F68" s="22"/>
      <c r="G68" s="23"/>
      <c r="H68" s="24"/>
      <c r="I68" s="25"/>
      <c r="J68" s="26"/>
      <c r="K68" s="18"/>
      <c r="L68" s="12"/>
    </row>
    <row r="69" spans="1:12" ht="13.5" customHeight="1" x14ac:dyDescent="0.2">
      <c r="A69" s="19"/>
      <c r="B69" s="20"/>
      <c r="C69" s="34" t="s">
        <v>20</v>
      </c>
      <c r="D69" s="11" t="s">
        <v>19</v>
      </c>
      <c r="E69" s="12"/>
      <c r="F69" s="22">
        <v>0.31</v>
      </c>
      <c r="G69" s="23">
        <v>7380.23</v>
      </c>
      <c r="H69" s="24"/>
      <c r="I69" s="25"/>
      <c r="J69" s="26"/>
      <c r="K69" s="18"/>
      <c r="L69" s="12"/>
    </row>
    <row r="70" spans="1:12" ht="13.5" customHeight="1" x14ac:dyDescent="0.2">
      <c r="A70" s="19">
        <v>43417</v>
      </c>
      <c r="B70" s="20"/>
      <c r="C70" s="34" t="s">
        <v>125</v>
      </c>
      <c r="D70" s="11"/>
      <c r="E70" s="12"/>
      <c r="F70" s="22"/>
      <c r="G70" s="23"/>
      <c r="H70" s="24">
        <v>38.619999999999997</v>
      </c>
      <c r="I70" s="25"/>
      <c r="J70" s="26"/>
      <c r="K70" s="18"/>
      <c r="L70" s="12"/>
    </row>
    <row r="71" spans="1:12" ht="13.5" customHeight="1" x14ac:dyDescent="0.2">
      <c r="A71" s="19"/>
      <c r="B71" s="20"/>
      <c r="C71" s="34" t="s">
        <v>110</v>
      </c>
      <c r="D71" s="11"/>
      <c r="E71" s="12"/>
      <c r="F71" s="22"/>
      <c r="G71" s="23"/>
      <c r="H71" s="24">
        <v>14.46</v>
      </c>
      <c r="I71" s="25"/>
      <c r="J71" s="26"/>
      <c r="K71" s="18"/>
      <c r="L71" s="12"/>
    </row>
    <row r="72" spans="1:12" ht="13.5" customHeight="1" x14ac:dyDescent="0.2">
      <c r="A72" s="19"/>
      <c r="B72" s="20"/>
      <c r="C72" s="34" t="s">
        <v>301</v>
      </c>
      <c r="D72" s="11"/>
      <c r="E72" s="12"/>
      <c r="F72" s="22"/>
      <c r="G72" s="23"/>
      <c r="H72" s="24">
        <v>52.8</v>
      </c>
      <c r="I72" s="25"/>
      <c r="J72" s="26"/>
      <c r="K72" s="18"/>
      <c r="L72" s="12"/>
    </row>
    <row r="73" spans="1:12" ht="13.5" customHeight="1" x14ac:dyDescent="0.2">
      <c r="A73" s="19"/>
      <c r="B73" s="20"/>
      <c r="C73" s="34" t="s">
        <v>302</v>
      </c>
      <c r="D73" s="11"/>
      <c r="E73" s="12"/>
      <c r="F73" s="22"/>
      <c r="G73" s="23"/>
      <c r="H73" s="24">
        <v>26.8</v>
      </c>
      <c r="I73" s="25"/>
      <c r="J73" s="26">
        <v>9269.2900000000027</v>
      </c>
      <c r="K73" s="18"/>
      <c r="L73" s="12"/>
    </row>
    <row r="74" spans="1:12" ht="13.5" customHeight="1" x14ac:dyDescent="0.2">
      <c r="A74" s="19">
        <v>43418</v>
      </c>
      <c r="B74" s="20"/>
      <c r="C74" s="34" t="s">
        <v>303</v>
      </c>
      <c r="D74" s="11"/>
      <c r="E74" s="12"/>
      <c r="F74" s="22"/>
      <c r="G74" s="23"/>
      <c r="H74" s="24"/>
      <c r="I74" s="25">
        <v>2100</v>
      </c>
      <c r="J74" s="26"/>
      <c r="K74" s="18"/>
      <c r="L74" s="12"/>
    </row>
    <row r="75" spans="1:12" ht="13.5" customHeight="1" x14ac:dyDescent="0.2">
      <c r="A75" s="19">
        <v>43419</v>
      </c>
      <c r="B75" s="20"/>
      <c r="C75" s="34" t="s">
        <v>355</v>
      </c>
      <c r="D75" s="11"/>
      <c r="E75" s="12"/>
      <c r="F75" s="22"/>
      <c r="G75" s="23"/>
      <c r="H75" s="24">
        <v>19.5</v>
      </c>
      <c r="I75" s="25"/>
      <c r="J75" s="26"/>
      <c r="K75" s="18"/>
      <c r="L75" s="12"/>
    </row>
    <row r="76" spans="1:12" ht="13.5" customHeight="1" x14ac:dyDescent="0.2">
      <c r="A76" s="19"/>
      <c r="B76" s="20"/>
      <c r="C76" s="34" t="s">
        <v>304</v>
      </c>
      <c r="D76" s="11"/>
      <c r="E76" s="12"/>
      <c r="F76" s="22"/>
      <c r="G76" s="23"/>
      <c r="H76" s="24"/>
      <c r="I76" s="25">
        <v>190</v>
      </c>
      <c r="J76" s="26"/>
      <c r="K76" s="18"/>
      <c r="L76" s="12"/>
    </row>
    <row r="77" spans="1:12" ht="13.5" customHeight="1" x14ac:dyDescent="0.2">
      <c r="A77" s="19"/>
      <c r="B77" s="20"/>
      <c r="C77" s="34" t="s">
        <v>305</v>
      </c>
      <c r="D77" s="11"/>
      <c r="E77" s="12"/>
      <c r="F77" s="22"/>
      <c r="G77" s="23"/>
      <c r="H77" s="24"/>
      <c r="I77" s="25">
        <v>80</v>
      </c>
      <c r="J77" s="26"/>
      <c r="K77" s="18"/>
      <c r="L77" s="12"/>
    </row>
    <row r="78" spans="1:12" ht="13.5" customHeight="1" x14ac:dyDescent="0.2">
      <c r="A78" s="19"/>
      <c r="B78" s="20"/>
      <c r="C78" s="34">
        <f>SUM(G70:G71)/2</f>
        <v>0</v>
      </c>
      <c r="D78" s="11"/>
      <c r="E78" s="12"/>
      <c r="F78" s="22"/>
      <c r="G78" s="23"/>
      <c r="H78" s="174">
        <v>1100</v>
      </c>
      <c r="I78" s="25"/>
      <c r="J78" s="26"/>
      <c r="K78" s="18"/>
      <c r="L78" s="12"/>
    </row>
    <row r="79" spans="1:12" ht="13.5" customHeight="1" x14ac:dyDescent="0.2">
      <c r="A79" s="19"/>
      <c r="B79" s="20"/>
      <c r="C79" s="34">
        <f>SUM(C66:C78)</f>
        <v>0</v>
      </c>
      <c r="D79" s="11"/>
      <c r="E79" s="12"/>
      <c r="F79" s="22"/>
      <c r="G79" s="23"/>
      <c r="H79" s="24">
        <v>280</v>
      </c>
      <c r="I79" s="25"/>
      <c r="J79" s="26"/>
      <c r="K79" s="18"/>
      <c r="L79" s="12"/>
    </row>
    <row r="80" spans="1:12" ht="13.5" customHeight="1" x14ac:dyDescent="0.2">
      <c r="A80" s="19"/>
      <c r="B80" s="20"/>
      <c r="C80" s="34" t="s">
        <v>306</v>
      </c>
      <c r="D80" s="11"/>
      <c r="E80" s="12"/>
      <c r="F80" s="22"/>
      <c r="G80" s="23"/>
      <c r="H80" s="24">
        <v>82</v>
      </c>
      <c r="I80" s="25"/>
      <c r="J80" s="26"/>
      <c r="K80" s="18"/>
      <c r="L80" s="12"/>
    </row>
    <row r="81" spans="1:12" ht="13.5" customHeight="1" x14ac:dyDescent="0.2">
      <c r="A81" s="19"/>
      <c r="B81" s="20"/>
      <c r="C81" s="34" t="s">
        <v>307</v>
      </c>
      <c r="D81" s="11"/>
      <c r="E81" s="12"/>
      <c r="F81" s="22"/>
      <c r="G81" s="23"/>
      <c r="H81" s="24">
        <v>34</v>
      </c>
      <c r="I81" s="25"/>
      <c r="J81" s="26"/>
      <c r="K81" s="18"/>
      <c r="L81" s="12"/>
    </row>
    <row r="82" spans="1:12" ht="13.5" customHeight="1" x14ac:dyDescent="0.2">
      <c r="A82" s="19"/>
      <c r="B82" s="20"/>
      <c r="C82" s="34" t="s">
        <v>308</v>
      </c>
      <c r="D82" s="11"/>
      <c r="E82" s="12"/>
      <c r="F82" s="22"/>
      <c r="G82" s="23"/>
      <c r="H82" s="24">
        <v>46</v>
      </c>
      <c r="I82" s="25"/>
      <c r="J82" s="26"/>
      <c r="K82" s="18"/>
      <c r="L82" s="12"/>
    </row>
    <row r="83" spans="1:12" ht="13.5" customHeight="1" x14ac:dyDescent="0.2">
      <c r="A83" s="19"/>
      <c r="B83" s="20"/>
      <c r="C83" s="34" t="s">
        <v>309</v>
      </c>
      <c r="D83" s="11"/>
      <c r="E83" s="12"/>
      <c r="F83" s="22"/>
      <c r="G83" s="23"/>
      <c r="H83" s="24">
        <v>13.65</v>
      </c>
      <c r="I83" s="25"/>
      <c r="J83" s="26">
        <v>10083.640000000003</v>
      </c>
      <c r="K83" s="18"/>
      <c r="L83" s="12"/>
    </row>
    <row r="84" spans="1:12" ht="13.5" customHeight="1" x14ac:dyDescent="0.2">
      <c r="A84" s="19"/>
      <c r="B84" s="20"/>
      <c r="C84" s="21" t="s">
        <v>113</v>
      </c>
      <c r="D84" s="11" t="s">
        <v>310</v>
      </c>
      <c r="E84" s="12">
        <v>-267</v>
      </c>
      <c r="F84" s="22"/>
      <c r="G84" s="23"/>
      <c r="H84" s="24"/>
      <c r="I84" s="25"/>
      <c r="J84" s="26"/>
      <c r="K84" s="18"/>
      <c r="L84" s="12"/>
    </row>
    <row r="85" spans="1:12" ht="13.5" customHeight="1" x14ac:dyDescent="0.2">
      <c r="A85" s="19"/>
      <c r="B85" s="20"/>
      <c r="C85" s="34" t="s">
        <v>564</v>
      </c>
      <c r="D85" s="11" t="s">
        <v>565</v>
      </c>
      <c r="E85" s="12"/>
      <c r="F85" s="162">
        <v>1100</v>
      </c>
      <c r="G85" s="23">
        <v>8213.23</v>
      </c>
      <c r="H85" s="24"/>
      <c r="I85" s="25"/>
      <c r="J85" s="26"/>
      <c r="K85" s="18"/>
      <c r="L85" s="12"/>
    </row>
    <row r="86" spans="1:12" ht="13.5" customHeight="1" x14ac:dyDescent="0.2">
      <c r="A86" s="19">
        <v>43420</v>
      </c>
      <c r="B86" s="20"/>
      <c r="C86" s="34" t="s">
        <v>311</v>
      </c>
      <c r="D86" s="11"/>
      <c r="E86" s="12"/>
      <c r="F86" s="22"/>
      <c r="G86" s="23"/>
      <c r="H86" s="24">
        <v>137.4</v>
      </c>
      <c r="I86" s="25"/>
      <c r="J86" s="26"/>
      <c r="K86" s="18"/>
      <c r="L86" s="12"/>
    </row>
    <row r="87" spans="1:12" ht="13.5" customHeight="1" x14ac:dyDescent="0.2">
      <c r="A87" s="19"/>
      <c r="B87" s="20"/>
      <c r="C87" s="34" t="s">
        <v>312</v>
      </c>
      <c r="D87" s="11"/>
      <c r="E87" s="12"/>
      <c r="F87" s="22"/>
      <c r="G87" s="23"/>
      <c r="H87" s="24"/>
      <c r="I87" s="25"/>
      <c r="J87" s="26"/>
      <c r="K87" s="18"/>
      <c r="L87" s="12"/>
    </row>
    <row r="88" spans="1:12" ht="13.5" customHeight="1" x14ac:dyDescent="0.2">
      <c r="A88" s="19"/>
      <c r="B88" s="20"/>
      <c r="C88" s="34" t="s">
        <v>313</v>
      </c>
      <c r="D88" s="11"/>
      <c r="E88" s="12"/>
      <c r="F88" s="22"/>
      <c r="G88" s="23"/>
      <c r="H88" s="24"/>
      <c r="I88" s="25"/>
      <c r="J88" s="26"/>
      <c r="K88" s="18"/>
      <c r="L88" s="12"/>
    </row>
    <row r="89" spans="1:12" ht="13.5" customHeight="1" x14ac:dyDescent="0.2">
      <c r="A89" s="19"/>
      <c r="B89" s="20"/>
      <c r="C89" s="34" t="s">
        <v>314</v>
      </c>
      <c r="D89" s="11"/>
      <c r="E89" s="12"/>
      <c r="F89" s="22"/>
      <c r="G89" s="23"/>
      <c r="H89" s="24"/>
      <c r="I89" s="25"/>
      <c r="J89" s="26"/>
      <c r="K89" s="18"/>
      <c r="L89" s="12"/>
    </row>
    <row r="90" spans="1:12" ht="13.5" customHeight="1" x14ac:dyDescent="0.2">
      <c r="A90" s="19"/>
      <c r="B90" s="20"/>
      <c r="C90" s="34" t="s">
        <v>315</v>
      </c>
      <c r="D90" s="11"/>
      <c r="E90" s="12"/>
      <c r="F90" s="22"/>
      <c r="G90" s="23"/>
      <c r="H90" s="24"/>
      <c r="I90" s="25"/>
      <c r="J90" s="26"/>
      <c r="K90" s="18"/>
      <c r="L90" s="12"/>
    </row>
    <row r="91" spans="1:12" ht="13.5" customHeight="1" x14ac:dyDescent="0.2">
      <c r="A91" s="19"/>
      <c r="B91" s="20"/>
      <c r="C91" s="34" t="s">
        <v>316</v>
      </c>
      <c r="D91" s="11"/>
      <c r="E91" s="12"/>
      <c r="F91" s="22"/>
      <c r="G91" s="23"/>
      <c r="H91" s="24"/>
      <c r="I91" s="25">
        <v>2050</v>
      </c>
      <c r="J91" s="26"/>
      <c r="K91" s="18"/>
      <c r="L91" s="12"/>
    </row>
    <row r="92" spans="1:12" ht="13.5" customHeight="1" x14ac:dyDescent="0.2">
      <c r="A92" s="19"/>
      <c r="B92" s="20"/>
      <c r="C92" s="34" t="s">
        <v>317</v>
      </c>
      <c r="D92" s="11"/>
      <c r="E92" s="12"/>
      <c r="F92" s="22"/>
      <c r="G92" s="23"/>
      <c r="H92" s="24"/>
      <c r="I92" s="25">
        <v>3500</v>
      </c>
      <c r="J92" s="39"/>
      <c r="K92" s="18"/>
      <c r="L92" s="12"/>
    </row>
    <row r="93" spans="1:12" ht="13.5" customHeight="1" x14ac:dyDescent="0.2">
      <c r="A93" s="19"/>
      <c r="B93" s="20"/>
      <c r="C93" s="34" t="s">
        <v>318</v>
      </c>
      <c r="D93" s="11"/>
      <c r="E93" s="12"/>
      <c r="F93" s="22"/>
      <c r="G93" s="23"/>
      <c r="H93" s="24">
        <v>390</v>
      </c>
      <c r="I93" s="25"/>
      <c r="J93" s="26"/>
      <c r="K93" s="18"/>
      <c r="L93" s="12"/>
    </row>
    <row r="94" spans="1:12" ht="13.5" customHeight="1" x14ac:dyDescent="0.2">
      <c r="A94" s="19"/>
      <c r="B94" s="20"/>
      <c r="C94" s="36" t="s">
        <v>319</v>
      </c>
      <c r="D94" s="11"/>
      <c r="E94" s="12"/>
      <c r="F94" s="22"/>
      <c r="G94" s="23"/>
      <c r="H94" s="24">
        <v>150</v>
      </c>
      <c r="I94" s="25"/>
      <c r="J94" s="26"/>
      <c r="K94" s="18"/>
      <c r="L94" s="12"/>
    </row>
    <row r="95" spans="1:12" ht="13.5" customHeight="1" x14ac:dyDescent="0.2">
      <c r="A95" s="19"/>
      <c r="B95" s="20"/>
      <c r="C95" s="36" t="s">
        <v>76</v>
      </c>
      <c r="D95" s="11"/>
      <c r="E95" s="12"/>
      <c r="F95" s="22"/>
      <c r="G95" s="23"/>
      <c r="H95" s="24">
        <v>160</v>
      </c>
      <c r="I95" s="25"/>
      <c r="J95" s="26"/>
      <c r="K95" s="18"/>
      <c r="L95" s="12"/>
    </row>
    <row r="96" spans="1:12" ht="13.5" customHeight="1" x14ac:dyDescent="0.2">
      <c r="A96" s="19"/>
      <c r="B96" s="20"/>
      <c r="C96" s="34" t="s">
        <v>52</v>
      </c>
      <c r="D96" s="11"/>
      <c r="E96" s="12"/>
      <c r="F96" s="22"/>
      <c r="G96" s="23"/>
      <c r="H96" s="24">
        <v>480</v>
      </c>
      <c r="I96" s="25"/>
      <c r="J96" s="26"/>
      <c r="K96" s="18"/>
      <c r="L96" s="12"/>
    </row>
    <row r="97" spans="1:12" ht="13.5" customHeight="1" x14ac:dyDescent="0.2">
      <c r="A97" s="19"/>
      <c r="B97" s="20"/>
      <c r="C97" s="34" t="s">
        <v>107</v>
      </c>
      <c r="D97" s="11"/>
      <c r="E97" s="12"/>
      <c r="F97" s="22"/>
      <c r="G97" s="23"/>
      <c r="H97" s="24">
        <v>200</v>
      </c>
      <c r="I97" s="25"/>
      <c r="J97" s="26"/>
      <c r="K97" s="18"/>
      <c r="L97" s="12"/>
    </row>
    <row r="98" spans="1:12" ht="13.5" customHeight="1" x14ac:dyDescent="0.2">
      <c r="A98" s="19"/>
      <c r="B98" s="27"/>
      <c r="C98" s="36" t="s">
        <v>320</v>
      </c>
      <c r="D98" s="27"/>
      <c r="E98" s="27"/>
      <c r="F98" s="27"/>
      <c r="G98" s="23"/>
      <c r="H98" s="38"/>
      <c r="I98" s="38">
        <v>185</v>
      </c>
      <c r="J98" s="39">
        <v>13270.550000000005</v>
      </c>
      <c r="K98" s="18"/>
      <c r="L98" s="12"/>
    </row>
    <row r="99" spans="1:12" ht="13.5" customHeight="1" x14ac:dyDescent="0.2">
      <c r="A99" s="19"/>
      <c r="B99" s="20"/>
      <c r="C99" s="34" t="s">
        <v>86</v>
      </c>
      <c r="D99" s="11" t="s">
        <v>19</v>
      </c>
      <c r="E99" s="12">
        <v>-72.900000000000006</v>
      </c>
      <c r="F99" s="22"/>
      <c r="G99" s="23"/>
      <c r="H99" s="24"/>
      <c r="I99" s="25"/>
      <c r="J99" s="26"/>
      <c r="K99" s="18"/>
      <c r="L99" s="12"/>
    </row>
    <row r="100" spans="1:12" ht="13.5" customHeight="1" x14ac:dyDescent="0.2">
      <c r="A100" s="19"/>
      <c r="B100" s="20"/>
      <c r="C100" s="34" t="s">
        <v>114</v>
      </c>
      <c r="D100" s="11" t="s">
        <v>321</v>
      </c>
      <c r="E100" s="12">
        <v>-226.89</v>
      </c>
      <c r="F100" s="22"/>
      <c r="G100" s="23"/>
      <c r="H100" s="24"/>
      <c r="I100" s="25"/>
      <c r="J100" s="26"/>
      <c r="K100" s="18"/>
      <c r="L100" s="12"/>
    </row>
    <row r="101" spans="1:12" ht="13.5" customHeight="1" x14ac:dyDescent="0.2">
      <c r="A101" s="19"/>
      <c r="B101" s="20"/>
      <c r="C101" s="33" t="s">
        <v>81</v>
      </c>
      <c r="D101" s="11" t="s">
        <v>322</v>
      </c>
      <c r="E101" s="12">
        <v>-49.9</v>
      </c>
      <c r="F101" s="22"/>
      <c r="G101" s="23"/>
      <c r="H101" s="24"/>
      <c r="I101" s="25"/>
      <c r="J101" s="26"/>
      <c r="K101" s="18"/>
      <c r="L101" s="12"/>
    </row>
    <row r="102" spans="1:12" ht="13.5" customHeight="1" x14ac:dyDescent="0.2">
      <c r="A102" s="19"/>
      <c r="B102" s="20"/>
      <c r="C102" s="34" t="s">
        <v>88</v>
      </c>
      <c r="D102" s="11" t="s">
        <v>108</v>
      </c>
      <c r="E102" s="12">
        <v>-99.98</v>
      </c>
      <c r="F102" s="22"/>
      <c r="G102" s="23"/>
      <c r="H102" s="24"/>
      <c r="I102" s="25"/>
      <c r="J102" s="26"/>
      <c r="K102" s="18"/>
      <c r="L102" s="12"/>
    </row>
    <row r="103" spans="1:12" ht="13.5" customHeight="1" x14ac:dyDescent="0.2">
      <c r="A103" s="19"/>
      <c r="B103" s="20"/>
      <c r="C103" s="34">
        <f>SUM(C88:C102)</f>
        <v>0</v>
      </c>
      <c r="D103" s="11" t="s">
        <v>566</v>
      </c>
      <c r="E103" s="12"/>
      <c r="F103" s="162">
        <v>1020</v>
      </c>
      <c r="G103" s="23"/>
      <c r="H103" s="24"/>
      <c r="I103" s="25"/>
      <c r="J103" s="26"/>
      <c r="K103" s="18"/>
      <c r="L103" s="12"/>
    </row>
    <row r="104" spans="1:12" ht="13.5" customHeight="1" x14ac:dyDescent="0.2">
      <c r="A104" s="19"/>
      <c r="B104" s="20"/>
      <c r="C104" s="34" t="s">
        <v>20</v>
      </c>
      <c r="D104" s="11" t="s">
        <v>19</v>
      </c>
      <c r="E104" s="12"/>
      <c r="F104" s="22">
        <v>0.27</v>
      </c>
      <c r="G104" s="23">
        <v>8783.83</v>
      </c>
      <c r="H104" s="24"/>
      <c r="I104" s="25"/>
      <c r="J104" s="39"/>
      <c r="K104" s="18"/>
      <c r="L104" s="12"/>
    </row>
    <row r="105" spans="1:12" ht="13.5" customHeight="1" x14ac:dyDescent="0.2">
      <c r="A105" s="19">
        <v>43423</v>
      </c>
      <c r="B105" s="20"/>
      <c r="C105" s="36" t="s">
        <v>323</v>
      </c>
      <c r="D105" s="11"/>
      <c r="E105" s="12"/>
      <c r="F105" s="22"/>
      <c r="G105" s="23"/>
      <c r="H105" s="24">
        <v>360</v>
      </c>
      <c r="I105" s="25"/>
      <c r="J105" s="26"/>
      <c r="K105" s="18"/>
      <c r="L105" s="12"/>
    </row>
    <row r="106" spans="1:12" ht="13.5" customHeight="1" x14ac:dyDescent="0.2">
      <c r="A106" s="19"/>
      <c r="B106" s="20"/>
      <c r="C106" s="34" t="s">
        <v>324</v>
      </c>
      <c r="D106" s="11"/>
      <c r="E106" s="12"/>
      <c r="F106" s="22"/>
      <c r="G106" s="23"/>
      <c r="H106" s="24"/>
      <c r="I106" s="25">
        <v>1357.79</v>
      </c>
      <c r="J106" s="26"/>
      <c r="K106" s="18"/>
      <c r="L106" s="12"/>
    </row>
    <row r="107" spans="1:12" ht="13.5" customHeight="1" x14ac:dyDescent="0.2">
      <c r="A107" s="19"/>
      <c r="B107" s="20"/>
      <c r="C107" s="34" t="s">
        <v>325</v>
      </c>
      <c r="D107" s="11"/>
      <c r="E107" s="12"/>
      <c r="F107" s="22"/>
      <c r="G107" s="23"/>
      <c r="H107" s="24"/>
      <c r="I107" s="25">
        <v>1308.29</v>
      </c>
      <c r="J107" s="26"/>
      <c r="K107" s="18"/>
      <c r="L107" s="12"/>
    </row>
    <row r="108" spans="1:12" ht="13.5" customHeight="1" x14ac:dyDescent="0.2">
      <c r="A108" s="19"/>
      <c r="B108" s="20"/>
      <c r="C108" s="34" t="s">
        <v>326</v>
      </c>
      <c r="D108" s="11"/>
      <c r="E108" s="12"/>
      <c r="F108" s="22"/>
      <c r="G108" s="23"/>
      <c r="H108" s="24"/>
      <c r="I108" s="25">
        <v>185</v>
      </c>
      <c r="J108" s="26"/>
      <c r="K108" s="18"/>
      <c r="L108" s="12"/>
    </row>
    <row r="109" spans="1:12" ht="13.5" customHeight="1" x14ac:dyDescent="0.2">
      <c r="A109" s="19"/>
      <c r="B109" s="20"/>
      <c r="C109" s="34" t="s">
        <v>327</v>
      </c>
      <c r="D109" s="11"/>
      <c r="E109" s="12"/>
      <c r="F109" s="22"/>
      <c r="G109" s="23"/>
      <c r="H109" s="24"/>
      <c r="I109" s="25">
        <v>7500</v>
      </c>
      <c r="J109" s="26"/>
      <c r="K109" s="18"/>
      <c r="L109" s="12"/>
    </row>
    <row r="110" spans="1:12" ht="13.5" customHeight="1" x14ac:dyDescent="0.2">
      <c r="A110" s="19"/>
      <c r="B110" s="20"/>
      <c r="C110" s="34" t="s">
        <v>328</v>
      </c>
      <c r="D110" s="11"/>
      <c r="E110" s="12"/>
      <c r="F110" s="22"/>
      <c r="G110" s="23"/>
      <c r="H110" s="24"/>
      <c r="I110" s="25">
        <v>500</v>
      </c>
      <c r="J110" s="26">
        <v>23761.630000000005</v>
      </c>
      <c r="K110" s="18"/>
      <c r="L110" s="12"/>
    </row>
    <row r="111" spans="1:12" ht="13.5" customHeight="1" x14ac:dyDescent="0.2">
      <c r="A111" s="19"/>
      <c r="B111" s="20"/>
      <c r="C111" s="34" t="s">
        <v>109</v>
      </c>
      <c r="D111" s="11" t="s">
        <v>329</v>
      </c>
      <c r="E111" s="12">
        <v>-42.4</v>
      </c>
      <c r="F111" s="22"/>
      <c r="G111" s="23"/>
      <c r="H111" s="24"/>
      <c r="I111" s="25"/>
      <c r="J111" s="26"/>
      <c r="K111" s="18"/>
      <c r="L111" s="12"/>
    </row>
    <row r="112" spans="1:12" ht="13.5" customHeight="1" x14ac:dyDescent="0.2">
      <c r="A112" s="19"/>
      <c r="B112" s="20"/>
      <c r="C112" s="34" t="s">
        <v>330</v>
      </c>
      <c r="D112" s="11" t="s">
        <v>19</v>
      </c>
      <c r="E112" s="12">
        <v>-344.91</v>
      </c>
      <c r="F112" s="22"/>
      <c r="G112" s="23"/>
      <c r="H112" s="24"/>
      <c r="I112" s="25"/>
      <c r="J112" s="26"/>
      <c r="K112" s="18"/>
      <c r="L112" s="12"/>
    </row>
    <row r="113" spans="1:12" ht="13.5" customHeight="1" x14ac:dyDescent="0.2">
      <c r="A113" s="19"/>
      <c r="B113" s="20"/>
      <c r="C113" s="34" t="s">
        <v>20</v>
      </c>
      <c r="D113" s="11" t="s">
        <v>19</v>
      </c>
      <c r="E113" s="12"/>
      <c r="F113" s="22">
        <v>0.14000000000000001</v>
      </c>
      <c r="G113" s="23"/>
      <c r="H113" s="24"/>
      <c r="I113" s="25"/>
      <c r="J113" s="26"/>
      <c r="K113" s="18"/>
      <c r="L113" s="12"/>
    </row>
    <row r="114" spans="1:12" ht="13.5" customHeight="1" x14ac:dyDescent="0.2">
      <c r="A114" s="19"/>
      <c r="B114" s="20"/>
      <c r="C114" s="34" t="s">
        <v>20</v>
      </c>
      <c r="D114" s="11" t="s">
        <v>19</v>
      </c>
      <c r="E114" s="12"/>
      <c r="F114" s="22">
        <v>0.38</v>
      </c>
      <c r="G114" s="23">
        <v>8397.0400000000009</v>
      </c>
      <c r="H114" s="24"/>
      <c r="I114" s="25"/>
      <c r="J114" s="26"/>
      <c r="K114" s="18"/>
      <c r="L114" s="12"/>
    </row>
    <row r="115" spans="1:12" ht="13.5" customHeight="1" x14ac:dyDescent="0.2">
      <c r="A115" s="19">
        <v>43424</v>
      </c>
      <c r="B115" s="20"/>
      <c r="C115" s="34" t="s">
        <v>567</v>
      </c>
      <c r="D115" s="11"/>
      <c r="E115" s="12"/>
      <c r="F115" s="22"/>
      <c r="G115" s="23"/>
      <c r="H115" s="174">
        <v>185</v>
      </c>
      <c r="I115" s="25"/>
      <c r="J115" s="26"/>
      <c r="K115" s="18"/>
      <c r="L115" s="12"/>
    </row>
    <row r="116" spans="1:12" ht="13.5" customHeight="1" x14ac:dyDescent="0.2">
      <c r="A116" s="19"/>
      <c r="B116" s="20"/>
      <c r="C116" s="34" t="s">
        <v>471</v>
      </c>
      <c r="D116" s="11"/>
      <c r="E116" s="12"/>
      <c r="F116" s="22"/>
      <c r="G116" s="23"/>
      <c r="H116" s="174">
        <v>8000</v>
      </c>
      <c r="I116" s="25"/>
      <c r="J116" s="26">
        <v>15576.630000000005</v>
      </c>
      <c r="K116" s="18"/>
      <c r="L116" s="12"/>
    </row>
    <row r="117" spans="1:12" ht="13.5" customHeight="1" x14ac:dyDescent="0.2">
      <c r="A117" s="19" t="s">
        <v>331</v>
      </c>
      <c r="B117" s="20"/>
      <c r="C117" s="34" t="s">
        <v>332</v>
      </c>
      <c r="D117" s="11" t="s">
        <v>333</v>
      </c>
      <c r="E117" s="12">
        <v>-1500</v>
      </c>
      <c r="F117" s="22"/>
      <c r="G117" s="23"/>
      <c r="H117" s="24"/>
      <c r="I117" s="25"/>
      <c r="J117" s="26"/>
      <c r="K117" s="18"/>
      <c r="L117" s="12"/>
    </row>
    <row r="118" spans="1:12" ht="13.5" customHeight="1" x14ac:dyDescent="0.2">
      <c r="A118" s="19"/>
      <c r="B118" s="20"/>
      <c r="C118" s="34" t="s">
        <v>334</v>
      </c>
      <c r="D118" s="11" t="s">
        <v>335</v>
      </c>
      <c r="E118" s="12">
        <v>-1225</v>
      </c>
      <c r="F118" s="22"/>
      <c r="G118" s="23"/>
      <c r="H118" s="24"/>
      <c r="I118" s="25"/>
      <c r="J118" s="26"/>
      <c r="K118" s="18"/>
      <c r="L118" s="12"/>
    </row>
    <row r="119" spans="1:12" ht="13.5" customHeight="1" x14ac:dyDescent="0.2">
      <c r="A119" s="19"/>
      <c r="B119" s="20"/>
      <c r="C119" s="34" t="s">
        <v>132</v>
      </c>
      <c r="D119" s="11" t="s">
        <v>336</v>
      </c>
      <c r="E119" s="12">
        <v>-166.57</v>
      </c>
      <c r="F119" s="22"/>
      <c r="G119" s="23"/>
      <c r="H119" s="24"/>
      <c r="I119" s="25"/>
      <c r="J119" s="26"/>
      <c r="K119" s="18"/>
      <c r="L119" s="12"/>
    </row>
    <row r="120" spans="1:12" ht="13.5" customHeight="1" x14ac:dyDescent="0.2">
      <c r="A120" s="19"/>
      <c r="B120" s="20"/>
      <c r="C120" s="34" t="s">
        <v>134</v>
      </c>
      <c r="D120" s="11" t="s">
        <v>337</v>
      </c>
      <c r="E120" s="12">
        <v>-119.9</v>
      </c>
      <c r="F120" s="22"/>
      <c r="G120" s="23"/>
      <c r="H120" s="24"/>
      <c r="I120" s="25"/>
      <c r="J120" s="26"/>
      <c r="K120" s="18"/>
      <c r="L120" s="12"/>
    </row>
    <row r="121" spans="1:12" ht="13.5" customHeight="1" x14ac:dyDescent="0.2">
      <c r="A121" s="19"/>
      <c r="B121" s="20"/>
      <c r="C121" s="34" t="s">
        <v>567</v>
      </c>
      <c r="D121" s="11" t="s">
        <v>568</v>
      </c>
      <c r="E121" s="12"/>
      <c r="F121" s="162">
        <v>185</v>
      </c>
      <c r="G121" s="23"/>
      <c r="H121" s="24"/>
      <c r="I121" s="25"/>
      <c r="J121" s="26"/>
      <c r="K121" s="18"/>
      <c r="L121" s="12"/>
    </row>
    <row r="122" spans="1:12" ht="13.5" customHeight="1" x14ac:dyDescent="0.2">
      <c r="A122" s="19"/>
      <c r="B122" s="20"/>
      <c r="C122" s="34" t="s">
        <v>338</v>
      </c>
      <c r="D122" s="11" t="s">
        <v>19</v>
      </c>
      <c r="E122" s="12">
        <v>-53.7</v>
      </c>
      <c r="F122" s="22"/>
      <c r="G122" s="23"/>
      <c r="H122" s="24"/>
      <c r="I122" s="25"/>
      <c r="J122" s="26"/>
      <c r="K122" s="18"/>
      <c r="L122" s="12"/>
    </row>
    <row r="123" spans="1:12" ht="13.5" customHeight="1" x14ac:dyDescent="0.2">
      <c r="A123" s="19"/>
      <c r="B123" s="20"/>
      <c r="C123" s="34" t="s">
        <v>20</v>
      </c>
      <c r="D123" s="11" t="s">
        <v>19</v>
      </c>
      <c r="E123" s="12"/>
      <c r="F123" s="22">
        <v>0.2</v>
      </c>
      <c r="G123" s="23">
        <v>5517.07</v>
      </c>
      <c r="H123" s="24"/>
      <c r="I123" s="25"/>
      <c r="J123" s="26"/>
      <c r="K123" s="18"/>
      <c r="L123" s="12"/>
    </row>
    <row r="124" spans="1:12" ht="13.5" customHeight="1" x14ac:dyDescent="0.2">
      <c r="A124" s="19">
        <v>43425</v>
      </c>
      <c r="B124" s="20"/>
      <c r="C124" s="34" t="s">
        <v>339</v>
      </c>
      <c r="D124" s="11"/>
      <c r="E124" s="12"/>
      <c r="F124" s="22"/>
      <c r="G124" s="23"/>
      <c r="H124" s="24">
        <v>17.96</v>
      </c>
      <c r="I124" s="25"/>
      <c r="J124" s="26"/>
      <c r="K124" s="18"/>
      <c r="L124" s="12"/>
    </row>
    <row r="125" spans="1:12" ht="13.5" customHeight="1" x14ac:dyDescent="0.2">
      <c r="A125" s="19"/>
      <c r="B125" s="20"/>
      <c r="C125" s="34" t="s">
        <v>340</v>
      </c>
      <c r="D125" s="11"/>
      <c r="E125" s="12"/>
      <c r="F125" s="22"/>
      <c r="G125" s="23"/>
      <c r="H125" s="24">
        <v>8.98</v>
      </c>
      <c r="I125" s="25"/>
      <c r="J125" s="26">
        <v>15549.690000000006</v>
      </c>
      <c r="K125" s="18"/>
      <c r="L125" s="12"/>
    </row>
    <row r="126" spans="1:12" ht="13.5" customHeight="1" x14ac:dyDescent="0.2">
      <c r="A126" s="19"/>
      <c r="B126" s="20"/>
      <c r="C126" s="34" t="s">
        <v>133</v>
      </c>
      <c r="D126" s="11" t="s">
        <v>322</v>
      </c>
      <c r="E126" s="12">
        <v>-1043.72</v>
      </c>
      <c r="F126" s="22"/>
      <c r="G126" s="23"/>
      <c r="H126" s="24"/>
      <c r="I126" s="25"/>
      <c r="J126" s="26"/>
      <c r="K126" s="18"/>
      <c r="L126" s="12"/>
    </row>
    <row r="127" spans="1:12" ht="13.5" customHeight="1" x14ac:dyDescent="0.2">
      <c r="A127" s="19"/>
      <c r="B127" s="20"/>
      <c r="C127" s="34" t="s">
        <v>562</v>
      </c>
      <c r="D127" s="11" t="s">
        <v>19</v>
      </c>
      <c r="E127" s="12"/>
      <c r="F127" s="162">
        <v>1188.8</v>
      </c>
      <c r="G127" s="23">
        <v>5662.15</v>
      </c>
      <c r="H127" s="24"/>
      <c r="I127" s="25"/>
      <c r="J127" s="26"/>
      <c r="K127" s="18"/>
      <c r="L127" s="12"/>
    </row>
    <row r="128" spans="1:12" ht="13.5" customHeight="1" x14ac:dyDescent="0.2">
      <c r="A128" s="19">
        <v>43426</v>
      </c>
      <c r="B128" s="20"/>
      <c r="C128" s="34" t="s">
        <v>341</v>
      </c>
      <c r="D128" s="11"/>
      <c r="E128" s="12"/>
      <c r="F128" s="22"/>
      <c r="G128" s="23"/>
      <c r="H128" s="24">
        <v>150</v>
      </c>
      <c r="I128" s="25"/>
      <c r="J128" s="26"/>
      <c r="K128" s="18"/>
      <c r="L128" s="12"/>
    </row>
    <row r="129" spans="1:12" ht="13.5" customHeight="1" x14ac:dyDescent="0.2">
      <c r="A129" s="19"/>
      <c r="B129" s="20"/>
      <c r="C129" s="34" t="s">
        <v>342</v>
      </c>
      <c r="D129" s="11"/>
      <c r="E129" s="12"/>
      <c r="F129" s="22"/>
      <c r="G129" s="23"/>
      <c r="H129" s="24">
        <v>150</v>
      </c>
      <c r="I129" s="25"/>
      <c r="J129" s="26"/>
      <c r="K129" s="18"/>
      <c r="L129" s="12"/>
    </row>
    <row r="130" spans="1:12" ht="13.5" customHeight="1" x14ac:dyDescent="0.2">
      <c r="A130" s="19"/>
      <c r="B130" s="20"/>
      <c r="C130" s="34" t="s">
        <v>36</v>
      </c>
      <c r="D130" s="11"/>
      <c r="E130" s="12"/>
      <c r="F130" s="22"/>
      <c r="G130" s="23"/>
      <c r="H130" s="24">
        <v>350</v>
      </c>
      <c r="I130" s="25"/>
      <c r="J130" s="26">
        <v>14899.690000000006</v>
      </c>
      <c r="K130" s="18"/>
      <c r="L130" s="12"/>
    </row>
    <row r="131" spans="1:12" ht="13.5" customHeight="1" x14ac:dyDescent="0.2">
      <c r="A131" s="29"/>
      <c r="B131" s="27"/>
      <c r="C131" s="36" t="s">
        <v>127</v>
      </c>
      <c r="D131" s="29" t="s">
        <v>19</v>
      </c>
      <c r="E131" s="27">
        <v>-29.61</v>
      </c>
      <c r="F131" s="27"/>
      <c r="G131" s="23"/>
      <c r="H131" s="38"/>
      <c r="I131" s="38"/>
      <c r="J131" s="39"/>
      <c r="K131" s="18"/>
      <c r="L131" s="12"/>
    </row>
    <row r="132" spans="1:12" ht="13.5" customHeight="1" x14ac:dyDescent="0.2">
      <c r="A132" s="29"/>
      <c r="B132" s="27"/>
      <c r="C132" s="33" t="s">
        <v>128</v>
      </c>
      <c r="D132" s="29" t="s">
        <v>19</v>
      </c>
      <c r="E132" s="27">
        <v>-34.81</v>
      </c>
      <c r="F132" s="27"/>
      <c r="G132" s="23"/>
      <c r="H132" s="38"/>
      <c r="I132" s="38"/>
      <c r="J132" s="39"/>
      <c r="K132" s="18"/>
      <c r="L132" s="12"/>
    </row>
    <row r="133" spans="1:12" ht="13.5" customHeight="1" x14ac:dyDescent="0.2">
      <c r="A133" s="29"/>
      <c r="B133" s="27"/>
      <c r="C133" s="36" t="s">
        <v>129</v>
      </c>
      <c r="D133" s="29" t="s">
        <v>19</v>
      </c>
      <c r="E133" s="27">
        <v>-49.37</v>
      </c>
      <c r="F133" s="27"/>
      <c r="G133" s="23"/>
      <c r="H133" s="38"/>
      <c r="I133" s="38"/>
      <c r="J133" s="39"/>
      <c r="K133" s="18"/>
      <c r="L133" s="12"/>
    </row>
    <row r="134" spans="1:12" ht="13.5" customHeight="1" x14ac:dyDescent="0.2">
      <c r="A134" s="29"/>
      <c r="B134" s="27"/>
      <c r="C134" s="36" t="s">
        <v>130</v>
      </c>
      <c r="D134" s="29" t="s">
        <v>19</v>
      </c>
      <c r="E134" s="27">
        <v>-139.47</v>
      </c>
      <c r="F134" s="27"/>
      <c r="G134" s="23"/>
      <c r="H134" s="38"/>
      <c r="I134" s="38"/>
      <c r="J134" s="39"/>
      <c r="K134" s="18"/>
      <c r="L134" s="12"/>
    </row>
    <row r="135" spans="1:12" ht="13.5" customHeight="1" x14ac:dyDescent="0.2">
      <c r="A135" s="19"/>
      <c r="B135" s="20"/>
      <c r="C135" s="34" t="s">
        <v>343</v>
      </c>
      <c r="D135" s="11" t="s">
        <v>344</v>
      </c>
      <c r="E135" s="12">
        <v>-1239.01</v>
      </c>
      <c r="F135" s="22"/>
      <c r="G135" s="23"/>
      <c r="H135" s="24"/>
      <c r="I135" s="25"/>
      <c r="J135" s="26"/>
      <c r="K135" s="18"/>
      <c r="L135" s="12"/>
    </row>
    <row r="136" spans="1:12" ht="13.5" customHeight="1" x14ac:dyDescent="0.2">
      <c r="A136" s="19"/>
      <c r="B136" s="20"/>
      <c r="C136" s="34" t="s">
        <v>20</v>
      </c>
      <c r="D136" s="11" t="s">
        <v>19</v>
      </c>
      <c r="E136" s="12"/>
      <c r="F136" s="22">
        <v>0.04</v>
      </c>
      <c r="G136" s="23">
        <v>4169.92</v>
      </c>
      <c r="H136" s="24"/>
      <c r="I136" s="25"/>
      <c r="J136" s="26"/>
      <c r="K136" s="18"/>
      <c r="L136" s="12"/>
    </row>
    <row r="137" spans="1:12" ht="13.5" customHeight="1" x14ac:dyDescent="0.2">
      <c r="A137" s="19">
        <v>43427</v>
      </c>
      <c r="B137" s="20"/>
      <c r="C137" s="45" t="s">
        <v>163</v>
      </c>
      <c r="D137" s="11"/>
      <c r="E137" s="12"/>
      <c r="F137" s="22"/>
      <c r="G137" s="23"/>
      <c r="H137" s="24">
        <v>36</v>
      </c>
      <c r="I137" s="25"/>
      <c r="J137" s="26"/>
      <c r="K137" s="18"/>
      <c r="L137" s="12"/>
    </row>
    <row r="138" spans="1:12" ht="13.5" customHeight="1" x14ac:dyDescent="0.2">
      <c r="A138" s="19"/>
      <c r="B138" s="20"/>
      <c r="C138" s="34" t="s">
        <v>345</v>
      </c>
      <c r="D138" s="11"/>
      <c r="E138" s="12"/>
      <c r="F138" s="22"/>
      <c r="G138" s="23"/>
      <c r="H138" s="24">
        <v>12</v>
      </c>
      <c r="I138" s="25"/>
      <c r="J138" s="26"/>
      <c r="K138" s="18"/>
      <c r="L138" s="12"/>
    </row>
    <row r="139" spans="1:12" ht="13.5" customHeight="1" x14ac:dyDescent="0.2">
      <c r="A139" s="19"/>
      <c r="B139" s="20"/>
      <c r="C139" s="45" t="s">
        <v>319</v>
      </c>
      <c r="D139" s="11"/>
      <c r="E139" s="12"/>
      <c r="F139" s="22"/>
      <c r="G139" s="23"/>
      <c r="H139" s="24">
        <v>250</v>
      </c>
      <c r="I139" s="25"/>
      <c r="J139" s="26"/>
      <c r="K139" s="18"/>
      <c r="L139" s="12"/>
    </row>
    <row r="140" spans="1:12" ht="13.5" customHeight="1" x14ac:dyDescent="0.2">
      <c r="A140" s="19"/>
      <c r="B140" s="20"/>
      <c r="C140" s="45" t="s">
        <v>318</v>
      </c>
      <c r="D140" s="11"/>
      <c r="E140" s="12"/>
      <c r="F140" s="22"/>
      <c r="G140" s="23"/>
      <c r="H140" s="24">
        <v>650</v>
      </c>
      <c r="I140" s="25"/>
      <c r="J140" s="26"/>
      <c r="K140" s="18"/>
      <c r="L140" s="12"/>
    </row>
    <row r="141" spans="1:12" ht="13.5" customHeight="1" x14ac:dyDescent="0.2">
      <c r="A141" s="19"/>
      <c r="B141" s="20"/>
      <c r="C141" s="45" t="s">
        <v>52</v>
      </c>
      <c r="D141" s="11"/>
      <c r="E141" s="12"/>
      <c r="F141" s="22"/>
      <c r="G141" s="23"/>
      <c r="H141" s="24">
        <v>450</v>
      </c>
      <c r="I141" s="25"/>
      <c r="J141" s="26"/>
      <c r="K141" s="18"/>
      <c r="L141" s="12"/>
    </row>
    <row r="142" spans="1:12" ht="13.5" customHeight="1" x14ac:dyDescent="0.2">
      <c r="A142" s="19"/>
      <c r="B142" s="20"/>
      <c r="C142" s="34" t="s">
        <v>346</v>
      </c>
      <c r="D142" s="11"/>
      <c r="E142" s="12"/>
      <c r="F142" s="22"/>
      <c r="G142" s="23"/>
      <c r="H142" s="24">
        <v>125</v>
      </c>
      <c r="I142" s="25"/>
      <c r="J142" s="26"/>
      <c r="K142" s="18"/>
      <c r="L142" s="12"/>
    </row>
    <row r="143" spans="1:12" ht="13.5" customHeight="1" x14ac:dyDescent="0.2">
      <c r="A143" s="19"/>
      <c r="B143" s="20"/>
      <c r="C143" s="45" t="s">
        <v>347</v>
      </c>
      <c r="D143" s="11"/>
      <c r="E143" s="12"/>
      <c r="F143" s="22"/>
      <c r="G143" s="23"/>
      <c r="H143" s="24"/>
      <c r="I143" s="25">
        <v>852.83</v>
      </c>
      <c r="J143" s="26"/>
      <c r="K143" s="18"/>
      <c r="L143" s="12"/>
    </row>
    <row r="144" spans="1:12" ht="13.5" customHeight="1" x14ac:dyDescent="0.2">
      <c r="A144" s="19"/>
      <c r="B144" s="20"/>
      <c r="C144" s="34" t="s">
        <v>96</v>
      </c>
      <c r="D144" s="11"/>
      <c r="E144" s="12"/>
      <c r="F144" s="22"/>
      <c r="G144" s="23"/>
      <c r="H144" s="24">
        <v>4.2</v>
      </c>
      <c r="I144" s="25"/>
      <c r="J144" s="26"/>
      <c r="K144" s="18"/>
      <c r="L144" s="12"/>
    </row>
    <row r="145" spans="1:12" ht="13.5" customHeight="1" x14ac:dyDescent="0.2">
      <c r="A145" s="19"/>
      <c r="B145" s="20"/>
      <c r="C145" s="34" t="s">
        <v>274</v>
      </c>
      <c r="D145" s="11"/>
      <c r="E145" s="12"/>
      <c r="F145" s="22"/>
      <c r="G145" s="23"/>
      <c r="H145" s="24">
        <v>72</v>
      </c>
      <c r="I145" s="25"/>
      <c r="J145" s="26">
        <v>14153.320000000005</v>
      </c>
      <c r="K145" s="18"/>
      <c r="L145" s="12"/>
    </row>
    <row r="146" spans="1:12" ht="13.5" customHeight="1" x14ac:dyDescent="0.2">
      <c r="A146" s="19">
        <v>43430</v>
      </c>
      <c r="B146" s="20"/>
      <c r="C146" s="34" t="s">
        <v>348</v>
      </c>
      <c r="D146" s="11"/>
      <c r="E146" s="12"/>
      <c r="F146" s="22"/>
      <c r="G146" s="23"/>
      <c r="H146" s="24"/>
      <c r="I146" s="25">
        <v>900</v>
      </c>
      <c r="J146" s="26"/>
      <c r="K146" s="18"/>
      <c r="L146" s="12"/>
    </row>
    <row r="147" spans="1:12" ht="13.5" customHeight="1" x14ac:dyDescent="0.2">
      <c r="A147" s="19"/>
      <c r="B147" s="20"/>
      <c r="C147" s="34" t="s">
        <v>470</v>
      </c>
      <c r="D147" s="11"/>
      <c r="E147" s="12"/>
      <c r="F147" s="22"/>
      <c r="G147" s="23"/>
      <c r="H147" s="174">
        <v>1400</v>
      </c>
      <c r="I147" s="25"/>
      <c r="J147" s="26"/>
      <c r="K147" s="18"/>
      <c r="L147" s="12"/>
    </row>
    <row r="148" spans="1:12" ht="13.5" customHeight="1" x14ac:dyDescent="0.2">
      <c r="A148" s="19"/>
      <c r="B148" s="20"/>
      <c r="C148" s="34" t="s">
        <v>30</v>
      </c>
      <c r="D148" s="11"/>
      <c r="E148" s="12"/>
      <c r="F148" s="22"/>
      <c r="G148" s="23"/>
      <c r="H148" s="24">
        <v>2000</v>
      </c>
      <c r="I148" s="25"/>
      <c r="J148" s="26"/>
      <c r="K148" s="18"/>
      <c r="L148" s="12"/>
    </row>
    <row r="149" spans="1:12" ht="13.5" customHeight="1" x14ac:dyDescent="0.2">
      <c r="A149" s="19"/>
      <c r="B149" s="20"/>
      <c r="C149" s="34" t="s">
        <v>349</v>
      </c>
      <c r="D149" s="11"/>
      <c r="E149" s="12"/>
      <c r="F149" s="22"/>
      <c r="G149" s="23"/>
      <c r="H149" s="24">
        <v>17.5</v>
      </c>
      <c r="I149" s="25"/>
      <c r="J149" s="26"/>
      <c r="K149" s="18"/>
      <c r="L149" s="12"/>
    </row>
    <row r="150" spans="1:12" ht="13.5" customHeight="1" x14ac:dyDescent="0.2">
      <c r="A150" s="19"/>
      <c r="B150" s="20"/>
      <c r="C150" s="34" t="s">
        <v>77</v>
      </c>
      <c r="D150" s="11"/>
      <c r="E150" s="12"/>
      <c r="F150" s="22"/>
      <c r="G150" s="23"/>
      <c r="H150" s="44">
        <v>6000</v>
      </c>
      <c r="I150" s="25"/>
      <c r="J150" s="26"/>
      <c r="K150" s="18"/>
      <c r="L150" s="12"/>
    </row>
    <row r="151" spans="1:12" ht="13.5" customHeight="1" x14ac:dyDescent="0.2">
      <c r="A151" s="19"/>
      <c r="B151" s="20"/>
      <c r="C151" s="34" t="s">
        <v>350</v>
      </c>
      <c r="D151" s="11"/>
      <c r="E151" s="12"/>
      <c r="F151" s="22"/>
      <c r="G151" s="23"/>
      <c r="H151" s="24">
        <v>31.2</v>
      </c>
      <c r="I151" s="25"/>
      <c r="J151" s="26"/>
      <c r="K151" s="18"/>
      <c r="L151" s="12"/>
    </row>
    <row r="152" spans="1:12" ht="13.5" customHeight="1" x14ac:dyDescent="0.2">
      <c r="A152" s="19"/>
      <c r="B152" s="20"/>
      <c r="C152" s="34" t="s">
        <v>351</v>
      </c>
      <c r="D152" s="11"/>
      <c r="E152" s="12"/>
      <c r="F152" s="22"/>
      <c r="G152" s="23"/>
      <c r="H152" s="24">
        <v>8.6999999999999993</v>
      </c>
      <c r="I152" s="25"/>
      <c r="J152" s="26"/>
      <c r="K152" s="18"/>
      <c r="L152" s="12"/>
    </row>
    <row r="153" spans="1:12" ht="13.5" customHeight="1" x14ac:dyDescent="0.2">
      <c r="A153" s="19"/>
      <c r="B153" s="20"/>
      <c r="C153" s="34" t="s">
        <v>352</v>
      </c>
      <c r="D153" s="11"/>
      <c r="E153" s="12"/>
      <c r="F153" s="22"/>
      <c r="G153" s="23"/>
      <c r="H153" s="24">
        <v>29</v>
      </c>
      <c r="I153" s="25"/>
      <c r="J153" s="26"/>
      <c r="K153" s="18"/>
      <c r="L153" s="12"/>
    </row>
    <row r="154" spans="1:12" ht="13.5" customHeight="1" x14ac:dyDescent="0.2">
      <c r="A154" s="19"/>
      <c r="B154" s="20"/>
      <c r="C154" s="34" t="s">
        <v>353</v>
      </c>
      <c r="D154" s="11"/>
      <c r="E154" s="12"/>
      <c r="F154" s="22"/>
      <c r="G154" s="23"/>
      <c r="H154" s="24">
        <v>2.4</v>
      </c>
      <c r="I154" s="25"/>
      <c r="J154" s="26"/>
      <c r="K154" s="18"/>
      <c r="L154" s="12"/>
    </row>
    <row r="155" spans="1:12" ht="13.5" customHeight="1" x14ac:dyDescent="0.2">
      <c r="A155" s="19"/>
      <c r="B155" s="20"/>
      <c r="C155" s="34" t="s">
        <v>354</v>
      </c>
      <c r="D155" s="11"/>
      <c r="E155" s="12"/>
      <c r="F155" s="22"/>
      <c r="G155" s="23"/>
      <c r="H155" s="24">
        <v>6.7</v>
      </c>
      <c r="I155" s="25"/>
      <c r="J155" s="26"/>
      <c r="K155" s="18"/>
      <c r="L155" s="12"/>
    </row>
    <row r="156" spans="1:12" ht="13.5" customHeight="1" x14ac:dyDescent="0.2">
      <c r="A156" s="19"/>
      <c r="B156" s="20"/>
      <c r="C156" s="34" t="s">
        <v>356</v>
      </c>
      <c r="D156" s="11"/>
      <c r="E156" s="12"/>
      <c r="F156" s="22"/>
      <c r="G156" s="23"/>
      <c r="H156" s="24">
        <v>29.9</v>
      </c>
      <c r="I156" s="25"/>
      <c r="J156" s="26"/>
      <c r="K156" s="18"/>
      <c r="L156" s="12"/>
    </row>
    <row r="157" spans="1:12" ht="13.5" customHeight="1" x14ac:dyDescent="0.2">
      <c r="A157" s="19"/>
      <c r="B157" s="20"/>
      <c r="C157" s="34" t="s">
        <v>357</v>
      </c>
      <c r="D157" s="11"/>
      <c r="E157" s="12"/>
      <c r="F157" s="22"/>
      <c r="G157" s="23"/>
      <c r="H157" s="24">
        <v>13</v>
      </c>
      <c r="I157" s="25"/>
      <c r="J157" s="26"/>
      <c r="K157" s="18"/>
      <c r="L157" s="12"/>
    </row>
    <row r="158" spans="1:12" ht="13.5" customHeight="1" x14ac:dyDescent="0.2">
      <c r="A158" s="19"/>
      <c r="B158" s="20"/>
      <c r="C158" s="34" t="s">
        <v>358</v>
      </c>
      <c r="D158" s="11"/>
      <c r="E158" s="12"/>
      <c r="F158" s="22"/>
      <c r="G158" s="23"/>
      <c r="H158" s="24">
        <v>59</v>
      </c>
      <c r="I158" s="25"/>
      <c r="J158" s="26">
        <v>5436.4200000000064</v>
      </c>
      <c r="K158" s="18"/>
      <c r="L158" s="12"/>
    </row>
    <row r="159" spans="1:12" ht="13.5" customHeight="1" x14ac:dyDescent="0.2">
      <c r="A159" s="19"/>
      <c r="B159" s="20"/>
      <c r="C159" s="34" t="s">
        <v>136</v>
      </c>
      <c r="D159" s="11" t="s">
        <v>19</v>
      </c>
      <c r="E159" s="12">
        <v>-37.9</v>
      </c>
      <c r="F159" s="22"/>
      <c r="G159" s="23"/>
      <c r="H159" s="24"/>
      <c r="I159" s="25"/>
      <c r="J159" s="26"/>
      <c r="K159" s="18"/>
      <c r="L159" s="12"/>
    </row>
    <row r="160" spans="1:12" ht="13.5" customHeight="1" x14ac:dyDescent="0.2">
      <c r="A160" s="19"/>
      <c r="B160" s="20"/>
      <c r="C160" s="34" t="s">
        <v>470</v>
      </c>
      <c r="D160" s="11" t="s">
        <v>569</v>
      </c>
      <c r="E160" s="12"/>
      <c r="F160" s="162">
        <v>1400</v>
      </c>
      <c r="G160" s="23"/>
      <c r="H160" s="24"/>
      <c r="I160" s="25"/>
      <c r="J160" s="26"/>
      <c r="K160" s="18"/>
      <c r="L160" s="12"/>
    </row>
    <row r="161" spans="1:12" ht="13.5" customHeight="1" x14ac:dyDescent="0.2">
      <c r="A161" s="19"/>
      <c r="B161" s="20"/>
      <c r="C161" s="34" t="s">
        <v>359</v>
      </c>
      <c r="D161" s="11" t="s">
        <v>360</v>
      </c>
      <c r="E161" s="12">
        <v>-320</v>
      </c>
      <c r="F161" s="22"/>
      <c r="G161" s="23">
        <v>5212.0200000000004</v>
      </c>
      <c r="H161" s="24"/>
      <c r="I161" s="25"/>
      <c r="J161" s="26"/>
      <c r="K161" s="18"/>
      <c r="L161" s="12"/>
    </row>
    <row r="162" spans="1:12" ht="13.5" customHeight="1" x14ac:dyDescent="0.2">
      <c r="A162" s="19">
        <v>43431</v>
      </c>
      <c r="B162" s="20"/>
      <c r="C162" s="34" t="s">
        <v>361</v>
      </c>
      <c r="D162" s="11"/>
      <c r="E162" s="12"/>
      <c r="F162" s="22"/>
      <c r="G162" s="23"/>
      <c r="H162" s="24">
        <v>3.7</v>
      </c>
      <c r="I162" s="25"/>
      <c r="J162" s="26"/>
      <c r="K162" s="18"/>
      <c r="L162" s="12"/>
    </row>
    <row r="163" spans="1:12" ht="13.5" customHeight="1" x14ac:dyDescent="0.2">
      <c r="A163" s="19"/>
      <c r="B163" s="20"/>
      <c r="C163" s="34" t="s">
        <v>362</v>
      </c>
      <c r="D163" s="11"/>
      <c r="E163" s="12"/>
      <c r="F163" s="22"/>
      <c r="G163" s="23"/>
      <c r="H163" s="24">
        <v>25</v>
      </c>
      <c r="I163" s="25"/>
      <c r="J163" s="26"/>
      <c r="K163" s="18"/>
      <c r="L163" s="12"/>
    </row>
    <row r="164" spans="1:12" ht="13.5" customHeight="1" x14ac:dyDescent="0.2">
      <c r="A164" s="19"/>
      <c r="B164" s="20"/>
      <c r="C164" s="34" t="s">
        <v>363</v>
      </c>
      <c r="D164" s="11"/>
      <c r="E164" s="12"/>
      <c r="F164" s="22"/>
      <c r="G164" s="23"/>
      <c r="H164" s="24">
        <v>4.7</v>
      </c>
      <c r="I164" s="25"/>
      <c r="J164" s="26"/>
      <c r="K164" s="18"/>
      <c r="L164" s="12"/>
    </row>
    <row r="165" spans="1:12" ht="13.5" customHeight="1" x14ac:dyDescent="0.2">
      <c r="A165" s="19"/>
      <c r="B165" s="20"/>
      <c r="C165" s="34" t="s">
        <v>364</v>
      </c>
      <c r="D165" s="11"/>
      <c r="E165" s="12"/>
      <c r="F165" s="22"/>
      <c r="G165" s="23"/>
      <c r="H165" s="24">
        <v>15.4</v>
      </c>
      <c r="I165" s="25"/>
      <c r="J165" s="26"/>
      <c r="K165" s="18"/>
      <c r="L165" s="12"/>
    </row>
    <row r="166" spans="1:12" ht="13.5" customHeight="1" x14ac:dyDescent="0.2">
      <c r="A166" s="19"/>
      <c r="B166" s="20"/>
      <c r="C166" s="34" t="s">
        <v>365</v>
      </c>
      <c r="D166" s="11"/>
      <c r="E166" s="12"/>
      <c r="F166" s="22"/>
      <c r="G166" s="23"/>
      <c r="H166" s="24">
        <v>3.9</v>
      </c>
      <c r="I166" s="25"/>
      <c r="J166" s="26"/>
      <c r="K166" s="18"/>
      <c r="L166" s="12"/>
    </row>
    <row r="167" spans="1:12" ht="13.5" customHeight="1" x14ac:dyDescent="0.2">
      <c r="A167" s="19"/>
      <c r="B167" s="20"/>
      <c r="C167" s="34" t="s">
        <v>314</v>
      </c>
      <c r="D167" s="11"/>
      <c r="E167" s="12"/>
      <c r="F167" s="22"/>
      <c r="G167" s="23"/>
      <c r="H167" s="24">
        <v>39.72</v>
      </c>
      <c r="I167" s="25"/>
      <c r="J167" s="26">
        <v>5344.0000000000073</v>
      </c>
      <c r="K167" s="18"/>
      <c r="L167" s="12"/>
    </row>
    <row r="168" spans="1:12" ht="13.5" customHeight="1" x14ac:dyDescent="0.2">
      <c r="A168" s="19"/>
      <c r="B168" s="20"/>
      <c r="C168" s="34" t="s">
        <v>18</v>
      </c>
      <c r="D168" s="11" t="s">
        <v>366</v>
      </c>
      <c r="E168" s="12">
        <v>-319.39999999999998</v>
      </c>
      <c r="F168" s="22"/>
      <c r="G168" s="23"/>
      <c r="H168" s="24"/>
      <c r="I168" s="25"/>
      <c r="J168" s="26"/>
      <c r="K168" s="18"/>
      <c r="L168" s="12"/>
    </row>
    <row r="169" spans="1:12" ht="13.5" customHeight="1" x14ac:dyDescent="0.2">
      <c r="A169" s="19"/>
      <c r="B169" s="20"/>
      <c r="C169" s="34" t="s">
        <v>20</v>
      </c>
      <c r="D169" s="11"/>
      <c r="E169" s="12"/>
      <c r="F169" s="22">
        <v>0.01</v>
      </c>
      <c r="G169" s="23">
        <v>4892.63</v>
      </c>
      <c r="H169" s="24"/>
      <c r="I169" s="25"/>
      <c r="J169" s="26"/>
      <c r="K169" s="18"/>
      <c r="L169" s="12"/>
    </row>
    <row r="170" spans="1:12" ht="13.5" customHeight="1" x14ac:dyDescent="0.2">
      <c r="A170" s="19">
        <v>43432</v>
      </c>
      <c r="B170" s="20"/>
      <c r="C170" s="34" t="s">
        <v>314</v>
      </c>
      <c r="D170" s="11"/>
      <c r="E170" s="12"/>
      <c r="F170" s="22"/>
      <c r="G170" s="23"/>
      <c r="H170" s="24">
        <v>21.77</v>
      </c>
      <c r="I170" s="25"/>
      <c r="J170" s="26"/>
      <c r="K170" s="18"/>
      <c r="L170" s="12"/>
    </row>
    <row r="171" spans="1:12" ht="13.5" customHeight="1" x14ac:dyDescent="0.2">
      <c r="A171" s="19"/>
      <c r="B171" s="20"/>
      <c r="C171" s="34" t="s">
        <v>367</v>
      </c>
      <c r="D171" s="11"/>
      <c r="E171" s="12"/>
      <c r="F171" s="22"/>
      <c r="G171" s="23"/>
      <c r="H171" s="24">
        <v>6.8</v>
      </c>
      <c r="I171" s="25"/>
      <c r="J171" s="26"/>
      <c r="K171" s="18"/>
      <c r="L171" s="12"/>
    </row>
    <row r="172" spans="1:12" ht="13.5" customHeight="1" x14ac:dyDescent="0.2">
      <c r="A172" s="19"/>
      <c r="B172" s="20"/>
      <c r="C172" s="34" t="s">
        <v>36</v>
      </c>
      <c r="D172" s="11"/>
      <c r="E172" s="12"/>
      <c r="F172" s="22"/>
      <c r="G172" s="23"/>
      <c r="H172" s="24">
        <v>350</v>
      </c>
      <c r="I172" s="25"/>
      <c r="J172" s="26">
        <v>4965.4300000000067</v>
      </c>
      <c r="K172" s="18"/>
      <c r="L172" s="12"/>
    </row>
    <row r="173" spans="1:12" ht="13.5" customHeight="1" x14ac:dyDescent="0.2">
      <c r="A173" s="19"/>
      <c r="B173" s="20"/>
      <c r="C173" s="34" t="s">
        <v>368</v>
      </c>
      <c r="D173" s="11" t="s">
        <v>19</v>
      </c>
      <c r="E173" s="12">
        <v>-183.94</v>
      </c>
      <c r="F173" s="22"/>
      <c r="G173" s="23"/>
      <c r="H173" s="24"/>
      <c r="I173" s="25"/>
      <c r="J173" s="26"/>
      <c r="K173" s="18"/>
      <c r="L173" s="12"/>
    </row>
    <row r="174" spans="1:12" ht="13.5" customHeight="1" x14ac:dyDescent="0.2">
      <c r="A174" s="19"/>
      <c r="B174" s="20"/>
      <c r="C174" s="34" t="s">
        <v>20</v>
      </c>
      <c r="D174" s="11"/>
      <c r="E174" s="12"/>
      <c r="F174" s="22">
        <v>0.01</v>
      </c>
      <c r="G174" s="128">
        <v>4708.7</v>
      </c>
      <c r="H174" s="24"/>
      <c r="I174" s="25"/>
      <c r="J174" s="26"/>
      <c r="K174" s="18"/>
      <c r="L174" s="12"/>
    </row>
    <row r="175" spans="1:12" ht="13.5" customHeight="1" x14ac:dyDescent="0.2">
      <c r="A175" s="19">
        <v>43433</v>
      </c>
      <c r="B175" s="20"/>
      <c r="C175" s="34" t="s">
        <v>369</v>
      </c>
      <c r="D175" s="11"/>
      <c r="E175" s="12"/>
      <c r="F175" s="22"/>
      <c r="G175" s="23"/>
      <c r="H175" s="24">
        <v>1.6</v>
      </c>
      <c r="I175" s="25"/>
      <c r="J175" s="26"/>
      <c r="K175" s="18"/>
      <c r="L175" s="12"/>
    </row>
    <row r="176" spans="1:12" ht="13.5" customHeight="1" x14ac:dyDescent="0.2">
      <c r="A176" s="19"/>
      <c r="B176" s="20"/>
      <c r="C176" s="34" t="s">
        <v>370</v>
      </c>
      <c r="D176" s="11"/>
      <c r="E176" s="12"/>
      <c r="F176" s="22"/>
      <c r="G176" s="23"/>
      <c r="H176" s="24">
        <v>6.9</v>
      </c>
      <c r="I176" s="25"/>
      <c r="J176" s="26">
        <v>4956.9300000000067</v>
      </c>
      <c r="K176" s="18"/>
      <c r="L176" s="12"/>
    </row>
    <row r="177" spans="1:12" ht="13.5" customHeight="1" x14ac:dyDescent="0.2">
      <c r="A177" s="19">
        <v>43434</v>
      </c>
      <c r="B177" s="20"/>
      <c r="C177" s="34" t="s">
        <v>371</v>
      </c>
      <c r="D177" s="11"/>
      <c r="E177" s="12"/>
      <c r="F177" s="22"/>
      <c r="G177" s="23"/>
      <c r="H177" s="24"/>
      <c r="I177" s="25">
        <v>1360</v>
      </c>
      <c r="J177" s="26"/>
      <c r="K177" s="18"/>
      <c r="L177" s="12"/>
    </row>
    <row r="178" spans="1:12" ht="13.5" customHeight="1" x14ac:dyDescent="0.2">
      <c r="A178" s="19"/>
      <c r="B178" s="27"/>
      <c r="C178" s="36" t="s">
        <v>372</v>
      </c>
      <c r="D178" s="27"/>
      <c r="E178" s="27"/>
      <c r="F178" s="27"/>
      <c r="G178" s="23"/>
      <c r="H178" s="24">
        <v>32</v>
      </c>
      <c r="I178" s="38"/>
      <c r="J178" s="39"/>
      <c r="K178" s="18"/>
      <c r="L178" s="12"/>
    </row>
    <row r="179" spans="1:12" ht="13.5" customHeight="1" x14ac:dyDescent="0.2">
      <c r="A179" s="19"/>
      <c r="B179" s="27"/>
      <c r="C179" s="36" t="s">
        <v>31</v>
      </c>
      <c r="D179" s="27"/>
      <c r="E179" s="27"/>
      <c r="F179" s="27"/>
      <c r="G179" s="23"/>
      <c r="H179" s="24">
        <v>740</v>
      </c>
      <c r="I179" s="38"/>
      <c r="J179" s="39"/>
      <c r="K179" s="18"/>
      <c r="L179" s="12"/>
    </row>
    <row r="180" spans="1:12" ht="13.5" customHeight="1" x14ac:dyDescent="0.2">
      <c r="A180" s="19"/>
      <c r="B180" s="20"/>
      <c r="C180" s="34" t="s">
        <v>318</v>
      </c>
      <c r="D180" s="11"/>
      <c r="E180" s="12"/>
      <c r="F180" s="22"/>
      <c r="G180" s="23"/>
      <c r="H180" s="24">
        <v>780</v>
      </c>
      <c r="I180" s="25"/>
      <c r="J180" s="26"/>
      <c r="K180" s="18"/>
      <c r="L180" s="12"/>
    </row>
    <row r="181" spans="1:12" ht="13.5" customHeight="1" x14ac:dyDescent="0.2">
      <c r="A181" s="19"/>
      <c r="B181" s="27"/>
      <c r="C181" s="33" t="s">
        <v>373</v>
      </c>
      <c r="D181" s="27"/>
      <c r="E181" s="27"/>
      <c r="F181" s="27"/>
      <c r="G181" s="23"/>
      <c r="H181" s="24">
        <v>300</v>
      </c>
      <c r="I181" s="38"/>
      <c r="J181" s="39"/>
      <c r="K181" s="18"/>
      <c r="L181" s="12"/>
    </row>
    <row r="182" spans="1:12" ht="13.5" customHeight="1" x14ac:dyDescent="0.2">
      <c r="A182" s="46"/>
      <c r="B182" s="46"/>
      <c r="C182" s="34" t="s">
        <v>52</v>
      </c>
      <c r="D182" s="42"/>
      <c r="E182" s="43"/>
      <c r="F182" s="43"/>
      <c r="G182" s="23"/>
      <c r="H182" s="24">
        <v>450</v>
      </c>
      <c r="I182" s="25"/>
      <c r="J182" s="26"/>
      <c r="K182" s="18"/>
      <c r="L182" s="12"/>
    </row>
    <row r="183" spans="1:12" ht="13.5" customHeight="1" x14ac:dyDescent="0.2">
      <c r="A183" s="46"/>
      <c r="B183" s="46"/>
      <c r="C183" s="34" t="s">
        <v>374</v>
      </c>
      <c r="D183" s="42"/>
      <c r="E183" s="43"/>
      <c r="F183" s="43"/>
      <c r="G183" s="23"/>
      <c r="H183" s="24">
        <v>110</v>
      </c>
      <c r="I183" s="25"/>
      <c r="J183" s="129">
        <v>3904.9300000000067</v>
      </c>
      <c r="K183" s="18"/>
      <c r="L183" s="12"/>
    </row>
    <row r="184" spans="1:12" ht="13.5" customHeight="1" thickBot="1" x14ac:dyDescent="0.25">
      <c r="A184" s="47"/>
      <c r="B184" s="48"/>
      <c r="C184" s="49"/>
      <c r="D184" s="50"/>
      <c r="E184" s="51"/>
      <c r="F184" s="52"/>
      <c r="G184" s="53"/>
      <c r="H184" s="54"/>
      <c r="I184" s="55"/>
      <c r="J184" s="52"/>
      <c r="L184" s="12"/>
    </row>
    <row r="185" spans="1:12" ht="13.5" customHeight="1" thickBot="1" x14ac:dyDescent="0.25">
      <c r="A185" s="2" t="s">
        <v>2</v>
      </c>
      <c r="B185" s="3"/>
      <c r="C185" s="3" t="s">
        <v>481</v>
      </c>
      <c r="D185" s="3" t="s">
        <v>4</v>
      </c>
      <c r="E185" s="3" t="s">
        <v>5</v>
      </c>
      <c r="F185" s="3" t="s">
        <v>6</v>
      </c>
      <c r="G185" s="5" t="s">
        <v>7</v>
      </c>
      <c r="H185" s="1415" t="s">
        <v>482</v>
      </c>
      <c r="I185" s="1416"/>
      <c r="J185" s="1417"/>
    </row>
    <row r="186" spans="1:12" ht="13.5" customHeight="1" x14ac:dyDescent="0.2">
      <c r="A186" s="8">
        <v>43405</v>
      </c>
      <c r="B186" s="56"/>
      <c r="C186" s="10" t="s">
        <v>8</v>
      </c>
      <c r="D186" s="11">
        <v>0</v>
      </c>
      <c r="E186" s="51"/>
      <c r="F186" s="12"/>
      <c r="G186" s="178">
        <v>0</v>
      </c>
      <c r="H186" s="179"/>
      <c r="I186" s="57"/>
      <c r="J186" s="58">
        <v>11988.39</v>
      </c>
      <c r="L186" s="51"/>
    </row>
    <row r="187" spans="1:12" ht="13.5" customHeight="1" x14ac:dyDescent="0.2">
      <c r="A187" s="180"/>
      <c r="B187" s="56"/>
      <c r="C187" s="36" t="s">
        <v>376</v>
      </c>
      <c r="D187" s="11" t="s">
        <v>488</v>
      </c>
      <c r="E187" s="181">
        <v>-734.43</v>
      </c>
      <c r="F187" s="12"/>
      <c r="G187" s="182"/>
      <c r="H187" s="59"/>
      <c r="I187" s="60"/>
      <c r="J187" s="61">
        <v>11988.39</v>
      </c>
      <c r="K187" s="18"/>
      <c r="L187" s="30"/>
    </row>
    <row r="188" spans="1:12" ht="13.5" customHeight="1" x14ac:dyDescent="0.2">
      <c r="A188" s="180"/>
      <c r="B188" s="56"/>
      <c r="C188" s="36" t="s">
        <v>377</v>
      </c>
      <c r="D188" s="11" t="s">
        <v>488</v>
      </c>
      <c r="E188" s="181">
        <v>-68.510000000000005</v>
      </c>
      <c r="F188" s="12"/>
      <c r="G188" s="182"/>
      <c r="H188" s="59"/>
      <c r="I188" s="60"/>
      <c r="J188" s="61">
        <v>11988.39</v>
      </c>
      <c r="K188" s="18"/>
      <c r="L188" s="30"/>
    </row>
    <row r="189" spans="1:12" ht="13.5" customHeight="1" x14ac:dyDescent="0.2">
      <c r="A189" s="180"/>
      <c r="B189" s="56"/>
      <c r="C189" s="32" t="s">
        <v>378</v>
      </c>
      <c r="D189" s="11" t="s">
        <v>488</v>
      </c>
      <c r="E189" s="181">
        <v>-605.54999999999995</v>
      </c>
      <c r="F189" s="12"/>
      <c r="G189" s="182"/>
      <c r="H189" s="59"/>
      <c r="I189" s="60"/>
      <c r="J189" s="61">
        <v>11988.39</v>
      </c>
      <c r="K189" s="18"/>
      <c r="L189" s="30"/>
    </row>
    <row r="190" spans="1:12" ht="13.5" customHeight="1" x14ac:dyDescent="0.2">
      <c r="A190" s="180"/>
      <c r="B190" s="56"/>
      <c r="C190" s="34" t="s">
        <v>570</v>
      </c>
      <c r="D190" s="11" t="s">
        <v>488</v>
      </c>
      <c r="E190" s="165">
        <v>-1188.8</v>
      </c>
      <c r="F190" s="183"/>
      <c r="G190" s="182"/>
      <c r="H190" s="59"/>
      <c r="I190" s="60"/>
      <c r="J190" s="61">
        <v>11988.39</v>
      </c>
      <c r="K190" s="18"/>
      <c r="L190" s="30"/>
    </row>
    <row r="191" spans="1:12" ht="13.5" customHeight="1" x14ac:dyDescent="0.2">
      <c r="A191" s="180"/>
      <c r="B191" s="56" t="s">
        <v>483</v>
      </c>
      <c r="C191" s="34" t="s">
        <v>379</v>
      </c>
      <c r="D191" s="11" t="s">
        <v>571</v>
      </c>
      <c r="E191" s="181">
        <v>-352.4</v>
      </c>
      <c r="F191" s="12"/>
      <c r="G191" s="182"/>
      <c r="H191" s="59"/>
      <c r="I191" s="60"/>
      <c r="J191" s="61">
        <v>11988.39</v>
      </c>
      <c r="K191" s="18"/>
      <c r="L191" s="30"/>
    </row>
    <row r="192" spans="1:12" ht="13.5" customHeight="1" x14ac:dyDescent="0.2">
      <c r="A192" s="180"/>
      <c r="B192" s="56" t="s">
        <v>483</v>
      </c>
      <c r="C192" s="36" t="s">
        <v>174</v>
      </c>
      <c r="D192" s="11" t="s">
        <v>488</v>
      </c>
      <c r="E192" s="30"/>
      <c r="F192" s="183">
        <v>2949.69</v>
      </c>
      <c r="G192" s="182">
        <v>0</v>
      </c>
      <c r="H192" s="59">
        <v>2949.69</v>
      </c>
      <c r="I192" s="60"/>
      <c r="J192" s="61">
        <v>9038.6999999999989</v>
      </c>
      <c r="K192" s="18"/>
      <c r="L192" s="30"/>
    </row>
    <row r="193" spans="1:12" ht="13.5" customHeight="1" x14ac:dyDescent="0.2">
      <c r="A193" s="180" t="s">
        <v>572</v>
      </c>
      <c r="B193" s="56" t="s">
        <v>483</v>
      </c>
      <c r="C193" s="36" t="s">
        <v>180</v>
      </c>
      <c r="D193" s="11" t="s">
        <v>488</v>
      </c>
      <c r="E193" s="181">
        <v>-524.98</v>
      </c>
      <c r="F193" s="12"/>
      <c r="G193" s="182"/>
      <c r="H193" s="59"/>
      <c r="I193" s="60"/>
      <c r="J193" s="61">
        <v>9038.6999999999989</v>
      </c>
      <c r="K193" s="18"/>
      <c r="L193" s="30"/>
    </row>
    <row r="194" spans="1:12" ht="13.5" customHeight="1" x14ac:dyDescent="0.2">
      <c r="A194" s="180"/>
      <c r="B194" s="56" t="s">
        <v>483</v>
      </c>
      <c r="C194" s="36" t="s">
        <v>380</v>
      </c>
      <c r="D194" s="11" t="s">
        <v>488</v>
      </c>
      <c r="E194" s="181">
        <v>-480</v>
      </c>
      <c r="F194" s="12"/>
      <c r="G194" s="182"/>
      <c r="H194" s="59"/>
      <c r="I194" s="60"/>
      <c r="J194" s="61">
        <v>9038.6999999999989</v>
      </c>
      <c r="K194" s="18"/>
      <c r="L194" s="30"/>
    </row>
    <row r="195" spans="1:12" ht="13.5" customHeight="1" x14ac:dyDescent="0.2">
      <c r="A195" s="180"/>
      <c r="B195" s="56"/>
      <c r="C195" s="36" t="s">
        <v>174</v>
      </c>
      <c r="D195" s="11"/>
      <c r="E195" s="30"/>
      <c r="F195" s="183">
        <v>1004.98</v>
      </c>
      <c r="G195" s="182">
        <v>0</v>
      </c>
      <c r="H195" s="59">
        <v>1004.98</v>
      </c>
      <c r="I195" s="60"/>
      <c r="J195" s="61">
        <v>8033.7199999999993</v>
      </c>
      <c r="K195" s="18"/>
      <c r="L195" s="30"/>
    </row>
    <row r="196" spans="1:12" ht="13.5" customHeight="1" x14ac:dyDescent="0.2">
      <c r="A196" s="180"/>
      <c r="B196" s="56"/>
      <c r="C196" s="36" t="s">
        <v>86</v>
      </c>
      <c r="D196" s="11"/>
      <c r="E196" s="181">
        <v>-9.5</v>
      </c>
      <c r="F196" s="12"/>
      <c r="G196" s="182"/>
      <c r="H196" s="59"/>
      <c r="I196" s="60"/>
      <c r="J196" s="61">
        <v>8033.7199999999993</v>
      </c>
      <c r="K196" s="18"/>
      <c r="L196" s="30"/>
    </row>
    <row r="197" spans="1:12" ht="13.5" customHeight="1" x14ac:dyDescent="0.2">
      <c r="A197" s="180"/>
      <c r="B197" s="56"/>
      <c r="C197" s="36" t="s">
        <v>381</v>
      </c>
      <c r="D197" s="11"/>
      <c r="E197" s="181">
        <v>-180.2</v>
      </c>
      <c r="F197" s="12"/>
      <c r="G197" s="182">
        <v>-189.7</v>
      </c>
      <c r="H197" s="59"/>
      <c r="I197" s="60"/>
      <c r="J197" s="61">
        <v>8033.7199999999993</v>
      </c>
      <c r="K197" s="18"/>
      <c r="L197" s="30"/>
    </row>
    <row r="198" spans="1:12" ht="13.5" customHeight="1" x14ac:dyDescent="0.2">
      <c r="A198" s="180" t="s">
        <v>573</v>
      </c>
      <c r="B198" s="56" t="s">
        <v>483</v>
      </c>
      <c r="C198" s="36" t="s">
        <v>174</v>
      </c>
      <c r="D198" s="11" t="s">
        <v>488</v>
      </c>
      <c r="E198" s="30"/>
      <c r="F198" s="183">
        <v>189.7</v>
      </c>
      <c r="G198" s="182">
        <v>0</v>
      </c>
      <c r="H198" s="59">
        <v>189.7</v>
      </c>
      <c r="I198" s="60"/>
      <c r="J198" s="61">
        <v>7844.0199999999995</v>
      </c>
      <c r="K198" s="18"/>
      <c r="L198" s="30"/>
    </row>
    <row r="199" spans="1:12" ht="13.5" customHeight="1" x14ac:dyDescent="0.2">
      <c r="A199" s="180" t="s">
        <v>574</v>
      </c>
      <c r="B199" s="56" t="s">
        <v>483</v>
      </c>
      <c r="C199" s="36" t="s">
        <v>382</v>
      </c>
      <c r="D199" s="11" t="s">
        <v>575</v>
      </c>
      <c r="E199" s="181">
        <v>-314.93</v>
      </c>
      <c r="F199" s="12"/>
      <c r="G199" s="182" t="s">
        <v>483</v>
      </c>
      <c r="H199" s="59"/>
      <c r="I199" s="60"/>
      <c r="J199" s="61">
        <v>7844.0199999999995</v>
      </c>
      <c r="K199" s="18"/>
      <c r="L199" s="30">
        <v>1038.4299999999998</v>
      </c>
    </row>
    <row r="200" spans="1:12" ht="13.5" customHeight="1" x14ac:dyDescent="0.2">
      <c r="A200" s="180"/>
      <c r="B200" s="56" t="s">
        <v>483</v>
      </c>
      <c r="C200" s="36" t="s">
        <v>174</v>
      </c>
      <c r="D200" s="11" t="s">
        <v>488</v>
      </c>
      <c r="E200" s="30"/>
      <c r="F200" s="183">
        <v>314.93</v>
      </c>
      <c r="G200" s="182">
        <v>0</v>
      </c>
      <c r="H200" s="59">
        <v>314.93</v>
      </c>
      <c r="I200" s="60"/>
      <c r="J200" s="61">
        <v>7529.0899999999992</v>
      </c>
      <c r="K200" s="18"/>
      <c r="L200" s="30"/>
    </row>
    <row r="201" spans="1:12" ht="13.5" customHeight="1" x14ac:dyDescent="0.2">
      <c r="A201" s="180" t="s">
        <v>576</v>
      </c>
      <c r="B201" s="56" t="s">
        <v>483</v>
      </c>
      <c r="C201" s="36" t="s">
        <v>383</v>
      </c>
      <c r="D201" s="11" t="s">
        <v>488</v>
      </c>
      <c r="E201" s="30"/>
      <c r="F201" s="183">
        <v>494.26</v>
      </c>
      <c r="G201" s="182" t="s">
        <v>483</v>
      </c>
      <c r="H201" s="59"/>
      <c r="I201" s="60"/>
      <c r="J201" s="61">
        <v>7529.0899999999992</v>
      </c>
      <c r="K201" s="18"/>
      <c r="L201" s="30"/>
    </row>
    <row r="202" spans="1:12" ht="13.5" customHeight="1" x14ac:dyDescent="0.2">
      <c r="A202" s="180"/>
      <c r="B202" s="56" t="s">
        <v>483</v>
      </c>
      <c r="C202" s="36" t="s">
        <v>384</v>
      </c>
      <c r="D202" s="11" t="s">
        <v>488</v>
      </c>
      <c r="E202" s="181">
        <v>-2570</v>
      </c>
      <c r="F202" s="12"/>
      <c r="G202" s="182" t="s">
        <v>483</v>
      </c>
      <c r="H202" s="59"/>
      <c r="I202" s="60"/>
      <c r="J202" s="61">
        <v>7529.0899999999992</v>
      </c>
      <c r="K202" s="18"/>
      <c r="L202" s="30"/>
    </row>
    <row r="203" spans="1:12" ht="13.5" customHeight="1" x14ac:dyDescent="0.2">
      <c r="A203" s="180"/>
      <c r="B203" s="56" t="s">
        <v>483</v>
      </c>
      <c r="C203" s="36" t="s">
        <v>174</v>
      </c>
      <c r="D203" s="11" t="s">
        <v>488</v>
      </c>
      <c r="E203" s="30"/>
      <c r="F203" s="183">
        <v>2075.7399999999998</v>
      </c>
      <c r="G203" s="182">
        <v>0</v>
      </c>
      <c r="H203" s="59">
        <v>2075.7399999999998</v>
      </c>
      <c r="I203" s="60"/>
      <c r="J203" s="61">
        <v>5453.3499999999995</v>
      </c>
      <c r="K203" s="18"/>
      <c r="L203" s="30"/>
    </row>
    <row r="204" spans="1:12" ht="13.5" customHeight="1" x14ac:dyDescent="0.2">
      <c r="A204" s="180" t="s">
        <v>577</v>
      </c>
      <c r="B204" s="56" t="s">
        <v>483</v>
      </c>
      <c r="C204" s="36" t="s">
        <v>86</v>
      </c>
      <c r="D204" s="11" t="s">
        <v>488</v>
      </c>
      <c r="E204" s="181">
        <v>-9.5</v>
      </c>
      <c r="F204" s="12"/>
      <c r="G204" s="182" t="s">
        <v>483</v>
      </c>
      <c r="H204" s="59"/>
      <c r="I204" s="60"/>
      <c r="J204" s="61">
        <v>5453.3499999999995</v>
      </c>
      <c r="K204" s="18"/>
      <c r="L204" s="30"/>
    </row>
    <row r="205" spans="1:12" ht="13.5" customHeight="1" x14ac:dyDescent="0.2">
      <c r="A205" s="180"/>
      <c r="B205" s="56" t="s">
        <v>483</v>
      </c>
      <c r="C205" s="36" t="s">
        <v>174</v>
      </c>
      <c r="D205" s="11" t="s">
        <v>488</v>
      </c>
      <c r="E205" s="30"/>
      <c r="F205" s="183">
        <v>9.5</v>
      </c>
      <c r="G205" s="182">
        <v>0</v>
      </c>
      <c r="H205" s="59"/>
      <c r="I205" s="60"/>
      <c r="J205" s="61">
        <v>5453.3499999999995</v>
      </c>
      <c r="K205" s="18"/>
      <c r="L205" s="30"/>
    </row>
    <row r="206" spans="1:12" ht="13.5" customHeight="1" x14ac:dyDescent="0.2">
      <c r="A206" s="180" t="s">
        <v>578</v>
      </c>
      <c r="B206" s="56" t="s">
        <v>483</v>
      </c>
      <c r="C206" s="34" t="s">
        <v>570</v>
      </c>
      <c r="D206" s="11" t="s">
        <v>579</v>
      </c>
      <c r="E206" s="181"/>
      <c r="F206" s="168">
        <v>1188.8</v>
      </c>
      <c r="G206" s="182"/>
      <c r="H206" s="59"/>
      <c r="I206" s="60"/>
      <c r="J206" s="61">
        <v>5453.3499999999995</v>
      </c>
      <c r="K206" s="18"/>
      <c r="L206" s="30"/>
    </row>
    <row r="207" spans="1:12" ht="13.5" customHeight="1" x14ac:dyDescent="0.2">
      <c r="A207" s="180"/>
      <c r="B207" s="56" t="s">
        <v>483</v>
      </c>
      <c r="C207" s="34" t="s">
        <v>189</v>
      </c>
      <c r="D207" s="11" t="s">
        <v>488</v>
      </c>
      <c r="E207" s="181">
        <v>-1188.8</v>
      </c>
      <c r="F207" s="12"/>
      <c r="G207" s="182">
        <v>0</v>
      </c>
      <c r="H207" s="59"/>
      <c r="I207" s="60">
        <v>1188.8</v>
      </c>
      <c r="J207" s="61">
        <v>6642.15</v>
      </c>
      <c r="K207" s="18"/>
      <c r="L207" s="30"/>
    </row>
    <row r="208" spans="1:12" ht="13.5" customHeight="1" x14ac:dyDescent="0.2">
      <c r="A208" s="180" t="s">
        <v>580</v>
      </c>
      <c r="B208" s="56" t="s">
        <v>483</v>
      </c>
      <c r="C208" s="36" t="s">
        <v>385</v>
      </c>
      <c r="D208" s="11" t="s">
        <v>488</v>
      </c>
      <c r="E208" s="30"/>
      <c r="F208" s="183">
        <v>4731.47</v>
      </c>
      <c r="G208" s="182"/>
      <c r="H208" s="59"/>
      <c r="I208" s="60"/>
      <c r="J208" s="61">
        <v>6642.15</v>
      </c>
      <c r="K208" s="18"/>
      <c r="L208" s="30"/>
    </row>
    <row r="209" spans="1:12" ht="13.5" customHeight="1" x14ac:dyDescent="0.2">
      <c r="A209" s="180"/>
      <c r="B209" s="56" t="s">
        <v>483</v>
      </c>
      <c r="C209" s="34" t="s">
        <v>189</v>
      </c>
      <c r="D209" s="11" t="s">
        <v>488</v>
      </c>
      <c r="E209" s="181">
        <v>-4731.47</v>
      </c>
      <c r="F209" s="12"/>
      <c r="G209" s="182">
        <v>0</v>
      </c>
      <c r="H209" s="59"/>
      <c r="I209" s="60">
        <v>4731.47</v>
      </c>
      <c r="J209" s="61">
        <v>11373.619999999999</v>
      </c>
      <c r="K209" s="18"/>
      <c r="L209" s="30"/>
    </row>
    <row r="210" spans="1:12" ht="13.5" customHeight="1" x14ac:dyDescent="0.2">
      <c r="A210" s="180" t="s">
        <v>581</v>
      </c>
      <c r="B210" s="56" t="s">
        <v>483</v>
      </c>
      <c r="C210" s="36" t="s">
        <v>386</v>
      </c>
      <c r="D210" s="11" t="s">
        <v>582</v>
      </c>
      <c r="E210" s="181">
        <v>-173.88</v>
      </c>
      <c r="F210" s="12"/>
      <c r="G210" s="182" t="s">
        <v>483</v>
      </c>
      <c r="H210" s="59"/>
      <c r="I210" s="60"/>
      <c r="J210" s="61">
        <v>11373.619999999999</v>
      </c>
      <c r="K210" s="18"/>
      <c r="L210" s="30"/>
    </row>
    <row r="211" spans="1:12" ht="13.5" customHeight="1" x14ac:dyDescent="0.2">
      <c r="A211" s="180"/>
      <c r="B211" s="56" t="s">
        <v>483</v>
      </c>
      <c r="C211" s="34" t="s">
        <v>387</v>
      </c>
      <c r="D211" s="11" t="s">
        <v>519</v>
      </c>
      <c r="E211" s="181">
        <v>-720.85</v>
      </c>
      <c r="F211" s="12"/>
      <c r="G211" s="182">
        <v>-894.73</v>
      </c>
      <c r="H211" s="59"/>
      <c r="I211" s="60"/>
      <c r="J211" s="61">
        <v>11373.619999999999</v>
      </c>
      <c r="K211" s="18"/>
      <c r="L211" s="30"/>
    </row>
    <row r="212" spans="1:12" ht="13.5" customHeight="1" x14ac:dyDescent="0.2">
      <c r="A212" s="180"/>
      <c r="B212" s="56" t="s">
        <v>483</v>
      </c>
      <c r="C212" s="32" t="s">
        <v>388</v>
      </c>
      <c r="D212" s="11" t="s">
        <v>583</v>
      </c>
      <c r="E212" s="181">
        <v>-450</v>
      </c>
      <c r="F212" s="12"/>
      <c r="G212" s="182" t="s">
        <v>483</v>
      </c>
      <c r="H212" s="59"/>
      <c r="I212" s="60"/>
      <c r="J212" s="61">
        <v>11373.619999999999</v>
      </c>
      <c r="K212" s="18"/>
      <c r="L212" s="30"/>
    </row>
    <row r="213" spans="1:12" ht="13.5" customHeight="1" x14ac:dyDescent="0.2">
      <c r="A213" s="180"/>
      <c r="B213" s="56" t="s">
        <v>483</v>
      </c>
      <c r="C213" s="34" t="s">
        <v>389</v>
      </c>
      <c r="D213" s="11" t="s">
        <v>584</v>
      </c>
      <c r="E213" s="181">
        <v>-250</v>
      </c>
      <c r="F213" s="12"/>
      <c r="G213" s="182" t="s">
        <v>483</v>
      </c>
      <c r="H213" s="59"/>
      <c r="I213" s="60"/>
      <c r="J213" s="61">
        <v>11373.619999999999</v>
      </c>
      <c r="K213" s="18"/>
      <c r="L213" s="30"/>
    </row>
    <row r="214" spans="1:12" ht="13.5" customHeight="1" x14ac:dyDescent="0.2">
      <c r="A214" s="180"/>
      <c r="B214" s="56" t="s">
        <v>483</v>
      </c>
      <c r="C214" s="36" t="s">
        <v>174</v>
      </c>
      <c r="D214" s="11" t="s">
        <v>488</v>
      </c>
      <c r="E214" s="30"/>
      <c r="F214" s="183">
        <v>1594.73</v>
      </c>
      <c r="G214" s="182">
        <v>0</v>
      </c>
      <c r="H214" s="59">
        <v>1594.73</v>
      </c>
      <c r="I214" s="60"/>
      <c r="J214" s="61">
        <v>9778.89</v>
      </c>
      <c r="K214" s="18"/>
      <c r="L214" s="30"/>
    </row>
    <row r="215" spans="1:12" ht="13.5" customHeight="1" x14ac:dyDescent="0.2">
      <c r="A215" s="180" t="s">
        <v>585</v>
      </c>
      <c r="B215" s="56" t="s">
        <v>483</v>
      </c>
      <c r="C215" s="34" t="s">
        <v>390</v>
      </c>
      <c r="D215" s="11" t="s">
        <v>488</v>
      </c>
      <c r="E215" s="181">
        <v>-4437.7700000000004</v>
      </c>
      <c r="F215" s="12"/>
      <c r="G215" s="182" t="s">
        <v>483</v>
      </c>
      <c r="H215" s="59"/>
      <c r="I215" s="60"/>
      <c r="J215" s="61">
        <v>9778.89</v>
      </c>
      <c r="K215" s="18"/>
      <c r="L215" s="30"/>
    </row>
    <row r="216" spans="1:12" ht="13.5" customHeight="1" x14ac:dyDescent="0.2">
      <c r="A216" s="180"/>
      <c r="B216" s="56" t="s">
        <v>483</v>
      </c>
      <c r="C216" s="34" t="s">
        <v>194</v>
      </c>
      <c r="D216" s="11" t="s">
        <v>488</v>
      </c>
      <c r="E216" s="181">
        <v>-82.75</v>
      </c>
      <c r="F216" s="12"/>
      <c r="G216" s="182" t="s">
        <v>483</v>
      </c>
      <c r="H216" s="59"/>
      <c r="I216" s="60"/>
      <c r="J216" s="61">
        <v>9778.89</v>
      </c>
      <c r="K216" s="18"/>
      <c r="L216" s="30"/>
    </row>
    <row r="217" spans="1:12" ht="13.5" customHeight="1" x14ac:dyDescent="0.2">
      <c r="A217" s="180"/>
      <c r="B217" s="56" t="s">
        <v>483</v>
      </c>
      <c r="C217" s="34" t="s">
        <v>195</v>
      </c>
      <c r="D217" s="11" t="s">
        <v>488</v>
      </c>
      <c r="E217" s="181">
        <v>-381.94</v>
      </c>
      <c r="F217" s="12"/>
      <c r="G217" s="182" t="s">
        <v>483</v>
      </c>
      <c r="H217" s="59"/>
      <c r="I217" s="60"/>
      <c r="J217" s="61">
        <v>9778.89</v>
      </c>
      <c r="K217" s="18"/>
      <c r="L217" s="30"/>
    </row>
    <row r="218" spans="1:12" ht="13.5" customHeight="1" x14ac:dyDescent="0.2">
      <c r="A218" s="180"/>
      <c r="B218" s="56" t="s">
        <v>483</v>
      </c>
      <c r="C218" s="34" t="s">
        <v>391</v>
      </c>
      <c r="D218" s="11" t="s">
        <v>586</v>
      </c>
      <c r="E218" s="181">
        <v>-715.61</v>
      </c>
      <c r="F218" s="12"/>
      <c r="G218" s="182" t="s">
        <v>483</v>
      </c>
      <c r="H218" s="59"/>
      <c r="I218" s="60"/>
      <c r="J218" s="61">
        <v>9778.89</v>
      </c>
      <c r="K218" s="18"/>
      <c r="L218" s="30"/>
    </row>
    <row r="219" spans="1:12" ht="13.5" customHeight="1" x14ac:dyDescent="0.2">
      <c r="A219" s="180"/>
      <c r="B219" s="56" t="s">
        <v>483</v>
      </c>
      <c r="C219" s="34" t="s">
        <v>392</v>
      </c>
      <c r="D219" s="11" t="s">
        <v>587</v>
      </c>
      <c r="E219" s="181">
        <v>-507.1</v>
      </c>
      <c r="F219" s="12"/>
      <c r="G219" s="182" t="s">
        <v>483</v>
      </c>
      <c r="H219" s="59"/>
      <c r="I219" s="60"/>
      <c r="J219" s="61">
        <v>9778.89</v>
      </c>
      <c r="K219" s="18"/>
      <c r="L219" s="30"/>
    </row>
    <row r="220" spans="1:12" ht="13.5" customHeight="1" x14ac:dyDescent="0.2">
      <c r="A220" s="180"/>
      <c r="B220" s="56" t="s">
        <v>483</v>
      </c>
      <c r="C220" s="34" t="s">
        <v>393</v>
      </c>
      <c r="D220" s="11" t="s">
        <v>588</v>
      </c>
      <c r="E220" s="181">
        <v>-464.84</v>
      </c>
      <c r="F220" s="12"/>
      <c r="G220" s="182" t="s">
        <v>483</v>
      </c>
      <c r="H220" s="59"/>
      <c r="I220" s="60"/>
      <c r="J220" s="61">
        <v>9778.89</v>
      </c>
      <c r="K220" s="18"/>
      <c r="L220" s="30"/>
    </row>
    <row r="221" spans="1:12" ht="13.5" customHeight="1" x14ac:dyDescent="0.2">
      <c r="A221" s="180"/>
      <c r="B221" s="56" t="s">
        <v>483</v>
      </c>
      <c r="C221" s="36" t="s">
        <v>174</v>
      </c>
      <c r="D221" s="11" t="s">
        <v>488</v>
      </c>
      <c r="E221" s="30"/>
      <c r="F221" s="183">
        <v>6590.01</v>
      </c>
      <c r="G221" s="182">
        <v>0</v>
      </c>
      <c r="H221" s="59">
        <v>6590.01</v>
      </c>
      <c r="I221" s="60"/>
      <c r="J221" s="61">
        <v>3188.8799999999992</v>
      </c>
      <c r="K221" s="18"/>
      <c r="L221" s="30"/>
    </row>
    <row r="222" spans="1:12" ht="13.5" customHeight="1" x14ac:dyDescent="0.2">
      <c r="A222" s="180" t="s">
        <v>589</v>
      </c>
      <c r="B222" s="56" t="s">
        <v>483</v>
      </c>
      <c r="C222" s="36" t="s">
        <v>86</v>
      </c>
      <c r="D222" s="11" t="s">
        <v>488</v>
      </c>
      <c r="E222" s="181">
        <v>-9.5</v>
      </c>
      <c r="F222" s="12"/>
      <c r="G222" s="182" t="s">
        <v>483</v>
      </c>
      <c r="H222" s="59"/>
      <c r="I222" s="60"/>
      <c r="J222" s="61">
        <v>3188.8799999999992</v>
      </c>
      <c r="K222" s="18"/>
      <c r="L222" s="30"/>
    </row>
    <row r="223" spans="1:12" ht="13.5" customHeight="1" x14ac:dyDescent="0.2">
      <c r="A223" s="180"/>
      <c r="B223" s="56" t="s">
        <v>483</v>
      </c>
      <c r="C223" s="36" t="s">
        <v>394</v>
      </c>
      <c r="D223" s="11" t="s">
        <v>590</v>
      </c>
      <c r="E223" s="181">
        <v>-1629</v>
      </c>
      <c r="F223" s="12"/>
      <c r="G223" s="182" t="s">
        <v>483</v>
      </c>
      <c r="H223" s="59"/>
      <c r="I223" s="60"/>
      <c r="J223" s="61">
        <v>3188.8799999999992</v>
      </c>
      <c r="K223" s="18"/>
      <c r="L223" s="30"/>
    </row>
    <row r="224" spans="1:12" ht="13.5" customHeight="1" x14ac:dyDescent="0.2">
      <c r="A224" s="180"/>
      <c r="B224" s="56" t="s">
        <v>591</v>
      </c>
      <c r="C224" s="34" t="s">
        <v>592</v>
      </c>
      <c r="D224" s="11" t="s">
        <v>593</v>
      </c>
      <c r="E224" s="181"/>
      <c r="F224" s="168">
        <v>8000</v>
      </c>
      <c r="G224" s="182" t="s">
        <v>483</v>
      </c>
      <c r="H224" s="59"/>
      <c r="I224" s="60"/>
      <c r="J224" s="61">
        <v>3188.8799999999992</v>
      </c>
      <c r="K224" s="18"/>
      <c r="L224" s="30"/>
    </row>
    <row r="225" spans="1:12" ht="13.5" customHeight="1" x14ac:dyDescent="0.2">
      <c r="A225" s="180"/>
      <c r="B225" s="56" t="s">
        <v>483</v>
      </c>
      <c r="C225" s="36" t="s">
        <v>395</v>
      </c>
      <c r="D225" s="11" t="s">
        <v>594</v>
      </c>
      <c r="E225" s="181">
        <v>-763.32</v>
      </c>
      <c r="F225" s="12"/>
      <c r="G225" s="182" t="s">
        <v>483</v>
      </c>
      <c r="H225" s="59"/>
      <c r="I225" s="60"/>
      <c r="J225" s="61">
        <v>3188.8799999999992</v>
      </c>
      <c r="K225" s="18"/>
      <c r="L225" s="30"/>
    </row>
    <row r="226" spans="1:12" ht="13.5" customHeight="1" x14ac:dyDescent="0.2">
      <c r="A226" s="180"/>
      <c r="B226" s="56" t="s">
        <v>483</v>
      </c>
      <c r="C226" s="36" t="s">
        <v>396</v>
      </c>
      <c r="D226" s="11" t="s">
        <v>595</v>
      </c>
      <c r="E226" s="181">
        <v>-405.68</v>
      </c>
      <c r="F226" s="12"/>
      <c r="G226" s="182" t="s">
        <v>483</v>
      </c>
      <c r="H226" s="59"/>
      <c r="I226" s="60"/>
      <c r="J226" s="61">
        <v>3188.8799999999992</v>
      </c>
      <c r="K226" s="18"/>
      <c r="L226" s="30"/>
    </row>
    <row r="227" spans="1:12" ht="13.5" customHeight="1" x14ac:dyDescent="0.2">
      <c r="A227" s="180"/>
      <c r="B227" s="56" t="s">
        <v>483</v>
      </c>
      <c r="C227" s="36" t="s">
        <v>596</v>
      </c>
      <c r="D227" s="11" t="s">
        <v>597</v>
      </c>
      <c r="E227" s="181">
        <v>-405.68</v>
      </c>
      <c r="F227" s="12"/>
      <c r="G227" s="182" t="s">
        <v>483</v>
      </c>
      <c r="H227" s="59"/>
      <c r="I227" s="60"/>
      <c r="J227" s="61">
        <v>3188.8799999999992</v>
      </c>
      <c r="K227" s="18"/>
      <c r="L227" s="30"/>
    </row>
    <row r="228" spans="1:12" ht="13.5" customHeight="1" x14ac:dyDescent="0.2">
      <c r="A228" s="180"/>
      <c r="B228" s="56" t="s">
        <v>483</v>
      </c>
      <c r="C228" s="36" t="s">
        <v>174</v>
      </c>
      <c r="D228" s="11" t="s">
        <v>488</v>
      </c>
      <c r="E228" s="30"/>
      <c r="F228" s="183">
        <v>3180.28</v>
      </c>
      <c r="G228" s="182">
        <v>7967.1</v>
      </c>
      <c r="H228" s="59">
        <v>3180.28</v>
      </c>
      <c r="I228" s="60"/>
      <c r="J228" s="61">
        <v>8.5999999999989996</v>
      </c>
      <c r="K228" s="18"/>
      <c r="L228" s="30"/>
    </row>
    <row r="229" spans="1:12" ht="13.5" customHeight="1" x14ac:dyDescent="0.2">
      <c r="A229" s="180" t="s">
        <v>598</v>
      </c>
      <c r="B229" s="56" t="s">
        <v>483</v>
      </c>
      <c r="C229" s="36" t="s">
        <v>86</v>
      </c>
      <c r="D229" s="11" t="s">
        <v>488</v>
      </c>
      <c r="E229" s="181">
        <v>-78</v>
      </c>
      <c r="F229" s="12"/>
      <c r="G229" s="182" t="s">
        <v>483</v>
      </c>
      <c r="H229" s="59"/>
      <c r="I229" s="60"/>
      <c r="J229" s="61">
        <v>8.5999999999989996</v>
      </c>
      <c r="K229" s="18"/>
      <c r="L229" s="30"/>
    </row>
    <row r="230" spans="1:12" ht="13.5" customHeight="1" x14ac:dyDescent="0.2">
      <c r="A230" s="180"/>
      <c r="B230" s="56" t="s">
        <v>483</v>
      </c>
      <c r="C230" s="34" t="s">
        <v>592</v>
      </c>
      <c r="D230" s="11" t="s">
        <v>599</v>
      </c>
      <c r="E230" s="165">
        <v>-8000</v>
      </c>
      <c r="F230" s="12"/>
      <c r="G230" s="182">
        <v>-110.9</v>
      </c>
      <c r="H230" s="59"/>
      <c r="I230" s="60"/>
      <c r="J230" s="61">
        <v>8.5999999999989996</v>
      </c>
      <c r="K230" s="18"/>
      <c r="L230" s="30"/>
    </row>
    <row r="231" spans="1:12" ht="13.5" customHeight="1" x14ac:dyDescent="0.2">
      <c r="A231" s="180">
        <v>43426</v>
      </c>
      <c r="B231" s="56" t="s">
        <v>483</v>
      </c>
      <c r="C231" s="34" t="s">
        <v>199</v>
      </c>
      <c r="D231" s="11" t="s">
        <v>488</v>
      </c>
      <c r="E231" s="181">
        <v>-254.16</v>
      </c>
      <c r="F231" s="12"/>
      <c r="G231" s="182"/>
      <c r="H231" s="59"/>
      <c r="I231" s="60"/>
      <c r="J231" s="61">
        <v>8.5999999999989996</v>
      </c>
      <c r="K231" s="18"/>
      <c r="L231" s="30"/>
    </row>
    <row r="232" spans="1:12" ht="13.5" customHeight="1" x14ac:dyDescent="0.2">
      <c r="A232" s="180"/>
      <c r="B232" s="56" t="s">
        <v>483</v>
      </c>
      <c r="C232" s="34" t="s">
        <v>397</v>
      </c>
      <c r="D232" s="11" t="s">
        <v>600</v>
      </c>
      <c r="E232" s="181">
        <v>-517.9</v>
      </c>
      <c r="F232" s="12"/>
      <c r="G232" s="182"/>
      <c r="H232" s="59"/>
      <c r="I232" s="60"/>
      <c r="J232" s="61">
        <v>8.5999999999989996</v>
      </c>
      <c r="K232" s="18"/>
      <c r="L232" s="30"/>
    </row>
    <row r="233" spans="1:12" ht="13.5" customHeight="1" x14ac:dyDescent="0.2">
      <c r="A233" s="180" t="s">
        <v>601</v>
      </c>
      <c r="B233" s="56" t="s">
        <v>591</v>
      </c>
      <c r="C233" s="34" t="s">
        <v>471</v>
      </c>
      <c r="D233" s="11" t="s">
        <v>602</v>
      </c>
      <c r="E233" s="30"/>
      <c r="F233" s="168">
        <v>8000</v>
      </c>
      <c r="G233" s="182">
        <v>7117.04</v>
      </c>
      <c r="H233" s="59"/>
      <c r="I233" s="60"/>
      <c r="J233" s="61">
        <v>8.5999999999989996</v>
      </c>
      <c r="K233" s="18"/>
      <c r="L233" s="30"/>
    </row>
    <row r="234" spans="1:12" ht="13.5" customHeight="1" x14ac:dyDescent="0.2">
      <c r="A234" s="180"/>
      <c r="B234" s="56" t="s">
        <v>483</v>
      </c>
      <c r="C234" s="32" t="s">
        <v>398</v>
      </c>
      <c r="D234" s="11" t="s">
        <v>603</v>
      </c>
      <c r="E234" s="181">
        <v>-419.37</v>
      </c>
      <c r="F234" s="12"/>
      <c r="G234" s="182">
        <v>6697.67</v>
      </c>
      <c r="H234" s="59"/>
      <c r="I234" s="60"/>
      <c r="J234" s="61">
        <v>8.5999999999989996</v>
      </c>
      <c r="K234" s="18"/>
      <c r="L234" s="30"/>
    </row>
    <row r="235" spans="1:12" ht="13.5" customHeight="1" x14ac:dyDescent="0.2">
      <c r="A235" s="180" t="s">
        <v>604</v>
      </c>
      <c r="B235" s="56" t="s">
        <v>483</v>
      </c>
      <c r="C235" s="36" t="s">
        <v>399</v>
      </c>
      <c r="D235" s="11" t="s">
        <v>488</v>
      </c>
      <c r="E235" s="181">
        <v>-773.96</v>
      </c>
      <c r="F235" s="12"/>
      <c r="G235" s="182"/>
      <c r="H235" s="59"/>
      <c r="I235" s="60"/>
      <c r="J235" s="61">
        <v>8.5999999999989996</v>
      </c>
      <c r="K235" s="18"/>
      <c r="L235" s="30"/>
    </row>
    <row r="236" spans="1:12" ht="13.5" customHeight="1" x14ac:dyDescent="0.2">
      <c r="A236" s="180"/>
      <c r="B236" s="56" t="s">
        <v>483</v>
      </c>
      <c r="C236" s="34" t="s">
        <v>189</v>
      </c>
      <c r="D236" s="11" t="s">
        <v>488</v>
      </c>
      <c r="E236" s="181">
        <v>-5923.71</v>
      </c>
      <c r="F236" s="12"/>
      <c r="G236" s="182">
        <v>0</v>
      </c>
      <c r="H236" s="59"/>
      <c r="I236" s="60">
        <v>5923.71</v>
      </c>
      <c r="J236" s="61">
        <v>5932.3099999999995</v>
      </c>
      <c r="K236" s="18"/>
      <c r="L236" s="30"/>
    </row>
    <row r="237" spans="1:12" ht="13.5" customHeight="1" x14ac:dyDescent="0.2">
      <c r="A237" s="180" t="s">
        <v>605</v>
      </c>
      <c r="B237" s="56" t="s">
        <v>483</v>
      </c>
      <c r="C237" s="36" t="s">
        <v>86</v>
      </c>
      <c r="D237" s="11" t="s">
        <v>488</v>
      </c>
      <c r="E237" s="181">
        <v>-11.9</v>
      </c>
      <c r="F237" s="12"/>
      <c r="G237" s="182" t="s">
        <v>483</v>
      </c>
      <c r="H237" s="59"/>
      <c r="I237" s="60"/>
      <c r="J237" s="61">
        <v>5932.3099999999995</v>
      </c>
      <c r="K237" s="18"/>
      <c r="L237" s="30"/>
    </row>
    <row r="238" spans="1:12" ht="13.5" customHeight="1" x14ac:dyDescent="0.2">
      <c r="A238" s="180"/>
      <c r="B238" s="56" t="s">
        <v>483</v>
      </c>
      <c r="C238" s="36" t="s">
        <v>400</v>
      </c>
      <c r="D238" s="11" t="s">
        <v>606</v>
      </c>
      <c r="E238" s="181">
        <v>-227.33</v>
      </c>
      <c r="F238" s="12"/>
      <c r="G238" s="182"/>
      <c r="H238" s="59"/>
      <c r="I238" s="60"/>
      <c r="J238" s="61">
        <v>5932.3099999999995</v>
      </c>
      <c r="K238" s="18"/>
      <c r="L238" s="30">
        <v>5923.72</v>
      </c>
    </row>
    <row r="239" spans="1:12" ht="13.5" customHeight="1" x14ac:dyDescent="0.2">
      <c r="A239" s="180"/>
      <c r="B239" s="56" t="s">
        <v>483</v>
      </c>
      <c r="C239" s="36" t="s">
        <v>174</v>
      </c>
      <c r="D239" s="11" t="s">
        <v>488</v>
      </c>
      <c r="E239" s="30"/>
      <c r="F239" s="183">
        <v>239.23</v>
      </c>
      <c r="G239" s="182">
        <v>0</v>
      </c>
      <c r="H239" s="59">
        <v>239.23</v>
      </c>
      <c r="I239" s="60"/>
      <c r="J239" s="61">
        <v>5693.08</v>
      </c>
      <c r="K239" s="18"/>
      <c r="L239" s="30"/>
    </row>
    <row r="240" spans="1:12" ht="13.5" customHeight="1" x14ac:dyDescent="0.2">
      <c r="A240" s="180" t="s">
        <v>607</v>
      </c>
      <c r="B240" s="56" t="s">
        <v>483</v>
      </c>
      <c r="C240" s="32" t="s">
        <v>401</v>
      </c>
      <c r="D240" s="11" t="s">
        <v>488</v>
      </c>
      <c r="E240" s="181">
        <v>-150</v>
      </c>
      <c r="F240" s="12"/>
      <c r="G240" s="182"/>
      <c r="H240" s="59"/>
      <c r="I240" s="60"/>
      <c r="J240" s="61">
        <v>5693.08</v>
      </c>
      <c r="K240" s="18"/>
      <c r="L240" s="30"/>
    </row>
    <row r="241" spans="1:12" ht="13.5" customHeight="1" x14ac:dyDescent="0.2">
      <c r="A241" s="180"/>
      <c r="B241" s="56" t="s">
        <v>483</v>
      </c>
      <c r="C241" s="36" t="s">
        <v>174</v>
      </c>
      <c r="D241" s="11" t="s">
        <v>488</v>
      </c>
      <c r="E241" s="30"/>
      <c r="F241" s="183">
        <v>150</v>
      </c>
      <c r="G241" s="182">
        <v>0</v>
      </c>
      <c r="H241" s="59">
        <v>150</v>
      </c>
      <c r="I241" s="60"/>
      <c r="J241" s="61">
        <v>5543.08</v>
      </c>
      <c r="K241" s="18"/>
      <c r="L241" s="30"/>
    </row>
    <row r="242" spans="1:12" ht="13.5" customHeight="1" x14ac:dyDescent="0.2">
      <c r="A242" s="180" t="s">
        <v>608</v>
      </c>
      <c r="B242" s="56" t="s">
        <v>483</v>
      </c>
      <c r="C242" s="32" t="s">
        <v>402</v>
      </c>
      <c r="D242" s="11" t="s">
        <v>609</v>
      </c>
      <c r="E242" s="181">
        <v>-150</v>
      </c>
      <c r="F242" s="12"/>
      <c r="G242" s="182"/>
      <c r="H242" s="59"/>
      <c r="I242" s="60"/>
      <c r="J242" s="61">
        <v>5543.08</v>
      </c>
      <c r="K242" s="18"/>
      <c r="L242" s="30"/>
    </row>
    <row r="243" spans="1:12" ht="13.5" customHeight="1" x14ac:dyDescent="0.2">
      <c r="A243" s="180"/>
      <c r="B243" s="56" t="s">
        <v>483</v>
      </c>
      <c r="C243" s="36" t="s">
        <v>403</v>
      </c>
      <c r="D243" s="11" t="s">
        <v>610</v>
      </c>
      <c r="E243" s="181">
        <v>-340</v>
      </c>
      <c r="F243" s="12"/>
      <c r="G243" s="182" t="s">
        <v>483</v>
      </c>
      <c r="H243" s="59"/>
      <c r="I243" s="60"/>
      <c r="J243" s="61">
        <v>5543.08</v>
      </c>
      <c r="K243" s="18"/>
      <c r="L243" s="30"/>
    </row>
    <row r="244" spans="1:12" ht="13.5" customHeight="1" x14ac:dyDescent="0.2">
      <c r="A244" s="180"/>
      <c r="B244" s="56" t="s">
        <v>483</v>
      </c>
      <c r="C244" s="36" t="s">
        <v>174</v>
      </c>
      <c r="D244" s="11" t="s">
        <v>488</v>
      </c>
      <c r="E244" s="30"/>
      <c r="F244" s="183">
        <v>490</v>
      </c>
      <c r="G244" s="228">
        <v>0</v>
      </c>
      <c r="H244" s="59">
        <v>490</v>
      </c>
      <c r="I244" s="60"/>
      <c r="J244" s="61">
        <v>5053.08</v>
      </c>
      <c r="K244" s="18"/>
      <c r="L244" s="30"/>
    </row>
    <row r="245" spans="1:12" ht="13.5" customHeight="1" x14ac:dyDescent="0.2">
      <c r="A245" s="180"/>
      <c r="B245" s="56"/>
      <c r="C245" s="36" t="s">
        <v>20</v>
      </c>
      <c r="D245" s="11"/>
      <c r="E245" s="30"/>
      <c r="F245" s="12"/>
      <c r="G245" s="182"/>
      <c r="H245" s="59"/>
      <c r="I245" s="60">
        <v>-8.5299999999997453</v>
      </c>
      <c r="J245" s="186">
        <v>5044.55</v>
      </c>
      <c r="K245" s="18"/>
      <c r="L245" s="30">
        <v>5044.55</v>
      </c>
    </row>
    <row r="246" spans="1:12" ht="13.5" customHeight="1" thickBot="1" x14ac:dyDescent="0.25">
      <c r="A246" s="180"/>
      <c r="B246" s="56"/>
      <c r="C246" s="36"/>
      <c r="D246" s="11"/>
      <c r="E246" s="30"/>
      <c r="F246" s="12"/>
      <c r="G246" s="182"/>
      <c r="H246" s="59"/>
      <c r="I246" s="60"/>
      <c r="J246" s="61"/>
      <c r="L246" s="30"/>
    </row>
    <row r="247" spans="1:12" ht="13.5" customHeight="1" thickBot="1" x14ac:dyDescent="0.25">
      <c r="A247" s="2" t="s">
        <v>2</v>
      </c>
      <c r="B247" s="3"/>
      <c r="C247" s="3" t="s">
        <v>525</v>
      </c>
      <c r="D247" s="3" t="s">
        <v>4</v>
      </c>
      <c r="E247" s="3" t="s">
        <v>5</v>
      </c>
      <c r="F247" s="3" t="s">
        <v>6</v>
      </c>
      <c r="G247" s="5" t="s">
        <v>7</v>
      </c>
      <c r="H247" s="187"/>
      <c r="I247" s="188"/>
      <c r="J247" s="189"/>
    </row>
    <row r="248" spans="1:12" ht="13.5" customHeight="1" x14ac:dyDescent="0.2">
      <c r="A248" s="8">
        <v>43405</v>
      </c>
      <c r="B248" s="56"/>
      <c r="C248" s="10" t="s">
        <v>8</v>
      </c>
      <c r="D248" s="11"/>
      <c r="E248" s="51"/>
      <c r="F248" s="12"/>
      <c r="G248" s="178">
        <v>828.80000000000007</v>
      </c>
      <c r="H248" s="179"/>
      <c r="I248" s="57"/>
      <c r="J248" s="58"/>
      <c r="L248" s="51"/>
    </row>
    <row r="249" spans="1:12" ht="13.5" customHeight="1" x14ac:dyDescent="0.2">
      <c r="A249" s="180">
        <v>43409</v>
      </c>
      <c r="B249" s="56"/>
      <c r="C249" s="36" t="s">
        <v>530</v>
      </c>
      <c r="D249" s="11"/>
      <c r="E249" s="181">
        <v>849.06</v>
      </c>
      <c r="F249" s="12"/>
      <c r="G249" s="182">
        <f>G248-E249+F249</f>
        <v>-20.259999999999877</v>
      </c>
      <c r="H249" s="59"/>
      <c r="I249" s="60"/>
      <c r="J249" s="61"/>
      <c r="L249" s="30"/>
    </row>
    <row r="250" spans="1:12" ht="13.5" customHeight="1" x14ac:dyDescent="0.2">
      <c r="A250" s="180"/>
      <c r="B250" s="56"/>
      <c r="C250" s="32" t="s">
        <v>611</v>
      </c>
      <c r="D250" s="11"/>
      <c r="E250" s="30"/>
      <c r="F250" s="183">
        <v>1000</v>
      </c>
      <c r="G250" s="182">
        <f t="shared" ref="G250:G260" si="0">G249-E250+F250</f>
        <v>979.74000000000012</v>
      </c>
      <c r="H250" s="59"/>
      <c r="I250" s="60"/>
      <c r="J250" s="61"/>
      <c r="L250" s="30"/>
    </row>
    <row r="251" spans="1:12" ht="13.5" customHeight="1" x14ac:dyDescent="0.2">
      <c r="A251" s="180">
        <v>43410</v>
      </c>
      <c r="B251" s="56"/>
      <c r="C251" s="32" t="s">
        <v>612</v>
      </c>
      <c r="D251" s="11"/>
      <c r="E251" s="181">
        <v>192</v>
      </c>
      <c r="F251" s="12"/>
      <c r="G251" s="182">
        <f t="shared" si="0"/>
        <v>787.74000000000012</v>
      </c>
      <c r="H251" s="59"/>
      <c r="I251" s="60"/>
      <c r="J251" s="61"/>
      <c r="L251" s="30"/>
    </row>
    <row r="252" spans="1:12" ht="13.5" customHeight="1" x14ac:dyDescent="0.2">
      <c r="A252" s="180">
        <v>43416</v>
      </c>
      <c r="B252" s="56"/>
      <c r="C252" s="32" t="s">
        <v>613</v>
      </c>
      <c r="D252" s="11"/>
      <c r="E252" s="181">
        <v>53</v>
      </c>
      <c r="F252" s="12"/>
      <c r="G252" s="182">
        <f t="shared" si="0"/>
        <v>734.74000000000012</v>
      </c>
      <c r="H252" s="59"/>
      <c r="I252" s="60"/>
      <c r="J252" s="61"/>
      <c r="L252" s="30"/>
    </row>
    <row r="253" spans="1:12" ht="13.5" customHeight="1" x14ac:dyDescent="0.2">
      <c r="A253" s="180"/>
      <c r="B253" s="56"/>
      <c r="C253" s="32" t="s">
        <v>613</v>
      </c>
      <c r="D253" s="11"/>
      <c r="E253" s="181">
        <v>28</v>
      </c>
      <c r="F253" s="12"/>
      <c r="G253" s="182">
        <f t="shared" si="0"/>
        <v>706.74000000000012</v>
      </c>
      <c r="H253" s="59"/>
      <c r="I253" s="60"/>
      <c r="J253" s="61"/>
      <c r="L253" s="30"/>
    </row>
    <row r="254" spans="1:12" ht="13.5" customHeight="1" x14ac:dyDescent="0.2">
      <c r="A254" s="180"/>
      <c r="B254" s="56"/>
      <c r="C254" s="36" t="s">
        <v>614</v>
      </c>
      <c r="D254" s="11"/>
      <c r="E254" s="181">
        <v>140</v>
      </c>
      <c r="F254" s="12"/>
      <c r="G254" s="182">
        <f t="shared" si="0"/>
        <v>566.74000000000012</v>
      </c>
      <c r="H254" s="59"/>
      <c r="I254" s="60"/>
      <c r="J254" s="61"/>
      <c r="L254" s="30"/>
    </row>
    <row r="255" spans="1:12" ht="13.5" customHeight="1" x14ac:dyDescent="0.2">
      <c r="A255" s="180">
        <v>43417</v>
      </c>
      <c r="B255" s="56"/>
      <c r="C255" s="36" t="s">
        <v>615</v>
      </c>
      <c r="D255" s="11"/>
      <c r="E255" s="181">
        <v>90</v>
      </c>
      <c r="F255" s="12"/>
      <c r="G255" s="182">
        <f t="shared" si="0"/>
        <v>476.74000000000012</v>
      </c>
      <c r="H255" s="59"/>
      <c r="I255" s="60"/>
      <c r="J255" s="61"/>
      <c r="L255" s="30"/>
    </row>
    <row r="256" spans="1:12" ht="13.5" customHeight="1" x14ac:dyDescent="0.2">
      <c r="A256" s="180">
        <v>43418</v>
      </c>
      <c r="B256" s="56"/>
      <c r="C256" s="36" t="s">
        <v>616</v>
      </c>
      <c r="D256" s="11"/>
      <c r="E256" s="181">
        <v>82</v>
      </c>
      <c r="F256" s="12"/>
      <c r="G256" s="182">
        <f t="shared" si="0"/>
        <v>394.74000000000012</v>
      </c>
      <c r="H256" s="59"/>
      <c r="I256" s="60"/>
      <c r="J256" s="61"/>
      <c r="L256" s="30"/>
    </row>
    <row r="257" spans="1:15" ht="13.5" customHeight="1" x14ac:dyDescent="0.2">
      <c r="A257" s="180">
        <v>43423</v>
      </c>
      <c r="B257" s="56"/>
      <c r="C257" s="36" t="s">
        <v>615</v>
      </c>
      <c r="D257" s="11"/>
      <c r="E257" s="181">
        <v>90</v>
      </c>
      <c r="F257" s="12"/>
      <c r="G257" s="182">
        <f t="shared" si="0"/>
        <v>304.74000000000012</v>
      </c>
      <c r="H257" s="59"/>
      <c r="I257" s="60"/>
      <c r="J257" s="61"/>
      <c r="L257" s="30"/>
    </row>
    <row r="258" spans="1:15" ht="13.5" customHeight="1" x14ac:dyDescent="0.2">
      <c r="A258" s="180">
        <v>43424</v>
      </c>
      <c r="B258" s="56"/>
      <c r="C258" s="32" t="s">
        <v>612</v>
      </c>
      <c r="D258" s="11"/>
      <c r="E258" s="181">
        <v>72</v>
      </c>
      <c r="F258" s="12"/>
      <c r="G258" s="182">
        <f t="shared" si="0"/>
        <v>232.74000000000012</v>
      </c>
      <c r="H258" s="59"/>
      <c r="I258" s="60"/>
      <c r="J258" s="61"/>
      <c r="L258" s="30"/>
    </row>
    <row r="259" spans="1:15" s="64" customFormat="1" ht="13.5" customHeight="1" x14ac:dyDescent="0.2">
      <c r="A259" s="184">
        <v>43430</v>
      </c>
      <c r="B259" s="63"/>
      <c r="C259" s="32" t="s">
        <v>617</v>
      </c>
      <c r="D259" s="50"/>
      <c r="E259" s="181">
        <v>17.5</v>
      </c>
      <c r="F259" s="13"/>
      <c r="G259" s="182">
        <f t="shared" si="0"/>
        <v>215.24000000000012</v>
      </c>
      <c r="H259" s="179"/>
      <c r="I259" s="57"/>
      <c r="J259" s="67"/>
      <c r="L259" s="51"/>
      <c r="O259" s="65"/>
    </row>
    <row r="260" spans="1:15" s="64" customFormat="1" ht="13.5" customHeight="1" x14ac:dyDescent="0.2">
      <c r="A260" s="184">
        <v>43431</v>
      </c>
      <c r="B260" s="63"/>
      <c r="C260" s="32" t="s">
        <v>618</v>
      </c>
      <c r="D260" s="50"/>
      <c r="E260" s="181">
        <v>15.6</v>
      </c>
      <c r="F260" s="13"/>
      <c r="G260" s="205">
        <f t="shared" si="0"/>
        <v>199.64000000000013</v>
      </c>
      <c r="H260" s="179"/>
      <c r="I260" s="57"/>
      <c r="J260" s="67"/>
      <c r="L260" s="51"/>
      <c r="O260" s="65"/>
    </row>
    <row r="261" spans="1:15" ht="13.5" customHeight="1" thickBot="1" x14ac:dyDescent="0.25">
      <c r="A261" s="180"/>
      <c r="B261" s="56"/>
      <c r="C261" s="56"/>
      <c r="D261" s="11"/>
      <c r="E261" s="30"/>
      <c r="F261" s="12"/>
      <c r="G261" s="182"/>
      <c r="H261" s="59"/>
      <c r="I261" s="60"/>
      <c r="J261" s="61"/>
      <c r="L261" s="30"/>
    </row>
    <row r="262" spans="1:15" customFormat="1" ht="13.5" customHeight="1" thickBot="1" x14ac:dyDescent="0.25">
      <c r="A262" s="2" t="s">
        <v>2</v>
      </c>
      <c r="B262" s="3"/>
      <c r="C262" s="3" t="s">
        <v>534</v>
      </c>
      <c r="D262" s="191" t="s">
        <v>4</v>
      </c>
      <c r="E262" s="3" t="s">
        <v>5</v>
      </c>
      <c r="F262" s="3" t="s">
        <v>6</v>
      </c>
      <c r="G262" s="5" t="s">
        <v>7</v>
      </c>
      <c r="H262" s="192"/>
      <c r="I262" s="193"/>
      <c r="J262" s="194"/>
    </row>
    <row r="263" spans="1:15" customFormat="1" ht="13.5" customHeight="1" x14ac:dyDescent="0.2">
      <c r="A263" s="8">
        <v>42370</v>
      </c>
      <c r="B263" s="36"/>
      <c r="C263" s="10" t="s">
        <v>8</v>
      </c>
      <c r="D263" s="195"/>
      <c r="E263" s="196"/>
      <c r="F263" s="43"/>
      <c r="G263" s="178">
        <v>0</v>
      </c>
      <c r="H263" s="197"/>
      <c r="I263" s="57"/>
      <c r="J263" s="198"/>
      <c r="L263" s="196"/>
    </row>
    <row r="264" spans="1:15" customFormat="1" ht="13.5" customHeight="1" x14ac:dyDescent="0.2">
      <c r="A264" s="180">
        <v>43284</v>
      </c>
      <c r="B264" s="32"/>
      <c r="C264" s="32" t="s">
        <v>535</v>
      </c>
      <c r="D264" s="195"/>
      <c r="E264" s="196"/>
      <c r="F264" s="199">
        <v>500</v>
      </c>
      <c r="G264" s="190">
        <v>500</v>
      </c>
      <c r="H264" s="197"/>
      <c r="I264" s="57"/>
      <c r="J264" s="198"/>
      <c r="L264" s="196"/>
    </row>
    <row r="265" spans="1:15" customFormat="1" ht="13.5" customHeight="1" x14ac:dyDescent="0.2">
      <c r="A265" s="180">
        <v>43346</v>
      </c>
      <c r="B265" s="36"/>
      <c r="C265" s="32" t="s">
        <v>535</v>
      </c>
      <c r="D265" s="195"/>
      <c r="E265" s="200"/>
      <c r="F265" s="199">
        <v>3000</v>
      </c>
      <c r="G265" s="190">
        <v>3500</v>
      </c>
      <c r="H265" s="68"/>
      <c r="I265" s="60"/>
      <c r="J265" s="69"/>
      <c r="L265" s="200"/>
    </row>
    <row r="266" spans="1:15" customFormat="1" ht="13.5" customHeight="1" x14ac:dyDescent="0.2">
      <c r="A266" s="180">
        <v>43374</v>
      </c>
      <c r="B266" s="36"/>
      <c r="C266" s="32" t="s">
        <v>535</v>
      </c>
      <c r="D266" s="195"/>
      <c r="E266" s="200"/>
      <c r="F266" s="199">
        <v>2000</v>
      </c>
      <c r="G266" s="190">
        <v>5500</v>
      </c>
      <c r="H266" s="68"/>
      <c r="I266" s="60"/>
      <c r="J266" s="69"/>
      <c r="L266" s="200"/>
    </row>
    <row r="267" spans="1:15" customFormat="1" ht="13.5" customHeight="1" x14ac:dyDescent="0.2">
      <c r="A267" s="180">
        <v>43409</v>
      </c>
      <c r="B267" s="36"/>
      <c r="C267" s="32" t="s">
        <v>535</v>
      </c>
      <c r="D267" s="195"/>
      <c r="E267" s="200"/>
      <c r="F267" s="199">
        <v>1000</v>
      </c>
      <c r="G267" s="178">
        <v>6500</v>
      </c>
      <c r="H267" s="68"/>
      <c r="I267" s="60"/>
      <c r="J267" s="69"/>
      <c r="L267" s="200"/>
    </row>
    <row r="268" spans="1:15" ht="13.5" customHeight="1" thickBot="1" x14ac:dyDescent="0.25">
      <c r="A268" s="180"/>
      <c r="B268" s="56"/>
      <c r="C268" s="56"/>
      <c r="D268" s="11"/>
      <c r="E268" s="30"/>
      <c r="F268" s="12"/>
      <c r="G268" s="182"/>
      <c r="H268" s="59"/>
      <c r="I268" s="60"/>
      <c r="J268" s="61"/>
      <c r="L268" s="30"/>
    </row>
    <row r="269" spans="1:15" ht="13.5" customHeight="1" thickBot="1" x14ac:dyDescent="0.25">
      <c r="A269" s="2" t="s">
        <v>2</v>
      </c>
      <c r="B269" s="3"/>
      <c r="C269" s="3" t="s">
        <v>536</v>
      </c>
      <c r="D269" s="3"/>
      <c r="E269" s="3"/>
      <c r="F269" s="3"/>
      <c r="G269" s="5" t="s">
        <v>7</v>
      </c>
      <c r="H269" s="6" t="s">
        <v>5</v>
      </c>
      <c r="I269" s="4" t="s">
        <v>6</v>
      </c>
      <c r="J269" s="7" t="s">
        <v>7</v>
      </c>
    </row>
    <row r="270" spans="1:15" ht="13.5" customHeight="1" x14ac:dyDescent="0.2">
      <c r="A270" s="8">
        <v>43405</v>
      </c>
      <c r="B270" s="70"/>
      <c r="C270" s="10" t="s">
        <v>537</v>
      </c>
      <c r="D270" s="125"/>
      <c r="E270" s="67"/>
      <c r="F270" s="67"/>
      <c r="G270" s="178"/>
      <c r="H270" s="179"/>
      <c r="I270" s="57"/>
      <c r="J270" s="58">
        <v>9000</v>
      </c>
      <c r="K270" s="18"/>
    </row>
    <row r="271" spans="1:15" customFormat="1" ht="13.5" customHeight="1" x14ac:dyDescent="0.2">
      <c r="A271" s="180"/>
      <c r="B271" s="46"/>
      <c r="C271" s="34" t="s">
        <v>210</v>
      </c>
      <c r="D271" s="229"/>
      <c r="E271" s="69"/>
      <c r="F271" s="69"/>
      <c r="G271" s="203"/>
      <c r="H271" s="68">
        <v>1300</v>
      </c>
      <c r="I271" s="71"/>
      <c r="J271" s="69">
        <v>7700</v>
      </c>
      <c r="K271" s="72"/>
      <c r="O271" s="40"/>
    </row>
    <row r="272" spans="1:15" customFormat="1" ht="13.5" customHeight="1" x14ac:dyDescent="0.2">
      <c r="A272" s="180"/>
      <c r="B272" s="46"/>
      <c r="C272" s="34" t="s">
        <v>211</v>
      </c>
      <c r="D272" s="229"/>
      <c r="E272" s="69"/>
      <c r="F272" s="69"/>
      <c r="G272" s="203"/>
      <c r="H272" s="68">
        <v>2685.12</v>
      </c>
      <c r="I272" s="71"/>
      <c r="J272" s="69">
        <v>5014.88</v>
      </c>
      <c r="K272" s="72"/>
      <c r="O272" s="40"/>
    </row>
    <row r="273" spans="1:15" customFormat="1" ht="13.5" customHeight="1" x14ac:dyDescent="0.2">
      <c r="A273" s="180">
        <v>43410</v>
      </c>
      <c r="B273" s="46"/>
      <c r="C273" s="34" t="s">
        <v>404</v>
      </c>
      <c r="D273" s="229"/>
      <c r="E273" s="69"/>
      <c r="F273" s="69"/>
      <c r="G273" s="203"/>
      <c r="H273" s="68">
        <v>44.99</v>
      </c>
      <c r="I273" s="71"/>
      <c r="J273" s="69">
        <v>4969.8900000000003</v>
      </c>
      <c r="K273" s="72"/>
      <c r="O273" s="40"/>
    </row>
    <row r="274" spans="1:15" ht="13.5" customHeight="1" x14ac:dyDescent="0.2">
      <c r="A274" s="180"/>
      <c r="B274" s="9"/>
      <c r="C274" s="34" t="s">
        <v>405</v>
      </c>
      <c r="D274" s="230"/>
      <c r="E274" s="61"/>
      <c r="F274" s="61"/>
      <c r="G274" s="205"/>
      <c r="H274" s="59">
        <v>1600</v>
      </c>
      <c r="I274" s="71"/>
      <c r="J274" s="69">
        <v>3369.8900000000003</v>
      </c>
      <c r="K274" s="72"/>
    </row>
    <row r="275" spans="1:15" ht="13.5" customHeight="1" x14ac:dyDescent="0.2">
      <c r="A275" s="180">
        <v>43411</v>
      </c>
      <c r="B275" s="9"/>
      <c r="C275" s="34" t="s">
        <v>406</v>
      </c>
      <c r="D275" s="230"/>
      <c r="E275" s="61"/>
      <c r="F275" s="61"/>
      <c r="G275" s="205"/>
      <c r="H275" s="59">
        <v>25.5</v>
      </c>
      <c r="I275" s="71"/>
      <c r="J275" s="69">
        <v>3344.3900000000003</v>
      </c>
      <c r="K275" s="72"/>
    </row>
    <row r="276" spans="1:15" ht="13.5" customHeight="1" x14ac:dyDescent="0.2">
      <c r="A276" s="180">
        <v>43412</v>
      </c>
      <c r="B276" s="9"/>
      <c r="C276" s="34" t="s">
        <v>406</v>
      </c>
      <c r="D276" s="230"/>
      <c r="E276" s="61"/>
      <c r="F276" s="61"/>
      <c r="G276" s="205"/>
      <c r="H276" s="59">
        <v>22.58</v>
      </c>
      <c r="I276" s="71"/>
      <c r="J276" s="69">
        <v>3321.8100000000004</v>
      </c>
      <c r="K276" s="72"/>
    </row>
    <row r="277" spans="1:15" ht="13.5" customHeight="1" x14ac:dyDescent="0.2">
      <c r="A277" s="180">
        <v>43413</v>
      </c>
      <c r="B277" s="9"/>
      <c r="C277" s="34" t="s">
        <v>407</v>
      </c>
      <c r="D277" s="230"/>
      <c r="E277" s="61"/>
      <c r="F277" s="61"/>
      <c r="G277" s="205"/>
      <c r="H277" s="59">
        <v>140</v>
      </c>
      <c r="I277" s="71"/>
      <c r="J277" s="69">
        <v>3181.8100000000004</v>
      </c>
      <c r="K277" s="72"/>
    </row>
    <row r="278" spans="1:15" ht="13.5" customHeight="1" x14ac:dyDescent="0.2">
      <c r="A278" s="180">
        <v>43416</v>
      </c>
      <c r="B278" s="9"/>
      <c r="C278" s="34" t="s">
        <v>408</v>
      </c>
      <c r="D278" s="230"/>
      <c r="E278" s="61"/>
      <c r="F278" s="61"/>
      <c r="G278" s="205"/>
      <c r="H278" s="59">
        <v>20.25</v>
      </c>
      <c r="I278" s="71"/>
      <c r="J278" s="69">
        <v>3161.5600000000004</v>
      </c>
      <c r="K278" s="72"/>
    </row>
    <row r="279" spans="1:15" ht="13.5" customHeight="1" x14ac:dyDescent="0.2">
      <c r="A279" s="180">
        <v>43419</v>
      </c>
      <c r="B279" s="9"/>
      <c r="C279" s="34" t="s">
        <v>409</v>
      </c>
      <c r="D279" s="230"/>
      <c r="E279" s="61"/>
      <c r="F279" s="61"/>
      <c r="G279" s="205"/>
      <c r="H279" s="59">
        <v>27.26</v>
      </c>
      <c r="I279" s="71"/>
      <c r="J279" s="69">
        <v>3134.3</v>
      </c>
      <c r="K279" s="72"/>
    </row>
    <row r="280" spans="1:15" ht="13.5" customHeight="1" x14ac:dyDescent="0.2">
      <c r="A280" s="180">
        <v>43423</v>
      </c>
      <c r="B280" s="9"/>
      <c r="C280" s="34" t="s">
        <v>410</v>
      </c>
      <c r="D280" s="230"/>
      <c r="E280" s="61"/>
      <c r="F280" s="61"/>
      <c r="G280" s="205"/>
      <c r="H280" s="59">
        <v>59.8</v>
      </c>
      <c r="I280" s="71"/>
      <c r="J280" s="69">
        <v>3074.5</v>
      </c>
      <c r="K280" s="72"/>
    </row>
    <row r="281" spans="1:15" ht="13.5" customHeight="1" x14ac:dyDescent="0.2">
      <c r="A281" s="180">
        <v>43426</v>
      </c>
      <c r="B281" s="9"/>
      <c r="C281" s="34" t="s">
        <v>411</v>
      </c>
      <c r="D281" s="230"/>
      <c r="E281" s="61"/>
      <c r="F281" s="61"/>
      <c r="G281" s="205"/>
      <c r="H281" s="59">
        <v>40</v>
      </c>
      <c r="I281" s="71"/>
      <c r="J281" s="69">
        <v>3034.5</v>
      </c>
      <c r="K281" s="72"/>
    </row>
    <row r="282" spans="1:15" ht="13.5" customHeight="1" x14ac:dyDescent="0.2">
      <c r="A282" s="180">
        <v>43430</v>
      </c>
      <c r="B282" s="46"/>
      <c r="C282" s="34" t="s">
        <v>412</v>
      </c>
      <c r="D282" s="229"/>
      <c r="E282" s="69"/>
      <c r="F282" s="69"/>
      <c r="G282" s="203"/>
      <c r="H282" s="68">
        <v>3</v>
      </c>
      <c r="I282" s="71"/>
      <c r="J282" s="69">
        <v>3031.5</v>
      </c>
      <c r="K282" s="72"/>
    </row>
    <row r="283" spans="1:15" ht="13.5" customHeight="1" x14ac:dyDescent="0.2">
      <c r="A283" s="180"/>
      <c r="B283" s="46"/>
      <c r="C283" s="34" t="s">
        <v>413</v>
      </c>
      <c r="D283" s="229"/>
      <c r="E283" s="69"/>
      <c r="F283" s="69"/>
      <c r="G283" s="203"/>
      <c r="H283" s="68">
        <v>1.5</v>
      </c>
      <c r="I283" s="71"/>
      <c r="J283" s="69">
        <v>3030</v>
      </c>
      <c r="K283" s="72"/>
    </row>
    <row r="284" spans="1:15" ht="13.5" customHeight="1" x14ac:dyDescent="0.2">
      <c r="A284" s="180"/>
      <c r="B284" s="46"/>
      <c r="C284" s="34" t="s">
        <v>77</v>
      </c>
      <c r="D284" s="229"/>
      <c r="E284" s="69"/>
      <c r="F284" s="69"/>
      <c r="G284" s="203"/>
      <c r="H284" s="68"/>
      <c r="I284" s="73">
        <v>6000</v>
      </c>
      <c r="J284" s="69">
        <v>9030</v>
      </c>
      <c r="K284" s="72"/>
    </row>
    <row r="285" spans="1:15" ht="13.5" customHeight="1" x14ac:dyDescent="0.2">
      <c r="A285" s="180">
        <v>43431</v>
      </c>
      <c r="B285" s="46"/>
      <c r="C285" s="34" t="s">
        <v>414</v>
      </c>
      <c r="D285" s="229"/>
      <c r="E285" s="69"/>
      <c r="F285" s="69"/>
      <c r="G285" s="203"/>
      <c r="H285" s="68"/>
      <c r="I285" s="71">
        <v>4000</v>
      </c>
      <c r="J285" s="69">
        <v>13030</v>
      </c>
      <c r="K285" s="72"/>
    </row>
    <row r="286" spans="1:15" ht="13.5" customHeight="1" x14ac:dyDescent="0.2">
      <c r="A286" s="180">
        <v>43432</v>
      </c>
      <c r="B286" s="46"/>
      <c r="C286" s="34" t="s">
        <v>415</v>
      </c>
      <c r="D286" s="229"/>
      <c r="E286" s="69"/>
      <c r="F286" s="69"/>
      <c r="G286" s="203"/>
      <c r="H286" s="68">
        <v>15</v>
      </c>
      <c r="I286" s="71"/>
      <c r="J286" s="69">
        <v>13015</v>
      </c>
      <c r="K286" s="72"/>
    </row>
    <row r="287" spans="1:15" ht="13.5" customHeight="1" x14ac:dyDescent="0.2">
      <c r="A287" s="180"/>
      <c r="B287" s="46"/>
      <c r="C287" s="34" t="s">
        <v>416</v>
      </c>
      <c r="D287" s="229"/>
      <c r="E287" s="69"/>
      <c r="F287" s="69"/>
      <c r="G287" s="203"/>
      <c r="H287" s="68">
        <v>15</v>
      </c>
      <c r="I287" s="71"/>
      <c r="J287" s="231">
        <v>13000</v>
      </c>
      <c r="K287" s="72"/>
    </row>
    <row r="288" spans="1:15" ht="13.5" customHeight="1" thickBot="1" x14ac:dyDescent="0.25">
      <c r="A288" s="207"/>
      <c r="B288" s="207"/>
      <c r="C288" s="208"/>
      <c r="D288" s="208"/>
      <c r="E288" s="208"/>
      <c r="F288" s="208"/>
      <c r="G288" s="210"/>
      <c r="H288" s="211"/>
      <c r="I288" s="211"/>
      <c r="J288" s="212"/>
    </row>
    <row r="289" spans="1:12" ht="13.5" customHeight="1" thickBot="1" x14ac:dyDescent="0.25">
      <c r="A289" s="213"/>
      <c r="B289" s="214"/>
      <c r="C289" s="215" t="s">
        <v>539</v>
      </c>
      <c r="D289" s="216"/>
      <c r="E289" s="187"/>
      <c r="F289" s="187"/>
      <c r="G289" s="217" t="s">
        <v>7</v>
      </c>
      <c r="H289" s="187"/>
      <c r="I289" s="187"/>
      <c r="J289" s="189"/>
    </row>
    <row r="290" spans="1:12" ht="13.5" customHeight="1" x14ac:dyDescent="0.2">
      <c r="A290" s="74" t="s">
        <v>540</v>
      </c>
      <c r="B290" s="74"/>
      <c r="C290" s="218" t="s">
        <v>541</v>
      </c>
      <c r="D290" s="219"/>
      <c r="E290" s="220"/>
      <c r="F290" s="220"/>
      <c r="G290" s="232">
        <v>5044.55</v>
      </c>
      <c r="H290" s="220"/>
      <c r="I290" s="220"/>
      <c r="J290" s="220"/>
    </row>
    <row r="291" spans="1:12" ht="13.5" customHeight="1" x14ac:dyDescent="0.2">
      <c r="A291" s="221" t="s">
        <v>540</v>
      </c>
      <c r="B291" s="70"/>
      <c r="C291" s="63" t="s">
        <v>542</v>
      </c>
      <c r="D291" s="50"/>
      <c r="E291" s="13"/>
      <c r="F291" s="13"/>
      <c r="G291" s="233">
        <v>7553.55</v>
      </c>
      <c r="H291" s="13"/>
      <c r="I291" s="13"/>
      <c r="J291" s="13"/>
    </row>
    <row r="292" spans="1:12" ht="13.5" customHeight="1" x14ac:dyDescent="0.2">
      <c r="A292" s="70"/>
      <c r="B292" s="70"/>
      <c r="C292" s="222" t="s">
        <v>543</v>
      </c>
      <c r="D292" s="50"/>
      <c r="E292" s="13"/>
      <c r="F292" s="13"/>
      <c r="G292" s="234">
        <v>12598.1</v>
      </c>
      <c r="H292" s="13"/>
      <c r="I292" s="13"/>
      <c r="J292" s="13"/>
    </row>
    <row r="293" spans="1:12" ht="13.5" customHeight="1" x14ac:dyDescent="0.2">
      <c r="A293" s="70"/>
      <c r="B293" s="70"/>
      <c r="C293" s="63"/>
      <c r="D293" s="50"/>
      <c r="E293" s="13"/>
      <c r="F293" s="13"/>
      <c r="G293" s="14"/>
      <c r="H293" s="13"/>
      <c r="I293" s="13"/>
      <c r="J293" s="13"/>
      <c r="L293" s="18"/>
    </row>
    <row r="294" spans="1:12" ht="13.5" customHeight="1" x14ac:dyDescent="0.2">
      <c r="A294" s="70"/>
      <c r="B294" s="70"/>
      <c r="C294" s="222" t="s">
        <v>544</v>
      </c>
      <c r="D294" s="50"/>
      <c r="E294" s="13"/>
      <c r="F294" s="13"/>
      <c r="G294" s="14">
        <v>21613.630000000008</v>
      </c>
      <c r="H294" s="13"/>
      <c r="I294" s="13"/>
      <c r="J294" s="13"/>
    </row>
    <row r="295" spans="1:12" ht="13.5" customHeight="1" x14ac:dyDescent="0.2">
      <c r="A295" s="70"/>
      <c r="B295" s="70"/>
      <c r="C295" s="63"/>
      <c r="D295" s="50"/>
      <c r="E295" s="13"/>
      <c r="F295" s="13"/>
      <c r="G295" s="75"/>
      <c r="H295" s="13"/>
      <c r="I295" s="13"/>
      <c r="J295" s="13"/>
    </row>
    <row r="296" spans="1:12" ht="13.5" customHeight="1" x14ac:dyDescent="0.2">
      <c r="A296" s="76"/>
      <c r="B296" s="76"/>
      <c r="C296" s="222" t="s">
        <v>545</v>
      </c>
      <c r="D296" s="78"/>
      <c r="E296" s="78"/>
      <c r="F296" s="78"/>
      <c r="G296" s="14">
        <v>34211.73000000001</v>
      </c>
      <c r="H296" s="77"/>
      <c r="I296" s="77"/>
      <c r="J296" s="13"/>
    </row>
    <row r="297" spans="1:12" ht="13.5" customHeight="1" x14ac:dyDescent="0.2">
      <c r="A297" s="76"/>
      <c r="B297" s="76"/>
      <c r="C297" s="78"/>
      <c r="D297" s="78"/>
      <c r="E297" s="78"/>
      <c r="F297" s="78"/>
      <c r="G297" s="75"/>
      <c r="H297" s="77"/>
      <c r="I297" s="77"/>
      <c r="J297" s="13"/>
    </row>
    <row r="298" spans="1:12" ht="13.5" customHeight="1" x14ac:dyDescent="0.2">
      <c r="A298" s="70"/>
      <c r="B298" s="70"/>
      <c r="C298" s="63"/>
      <c r="D298" s="50"/>
      <c r="E298" s="13"/>
      <c r="F298" s="13"/>
      <c r="G298" s="75"/>
      <c r="H298" s="13"/>
      <c r="I298" s="13"/>
      <c r="J298" s="13"/>
    </row>
    <row r="299" spans="1:12" ht="13.5" customHeight="1" x14ac:dyDescent="0.2">
      <c r="A299" s="79"/>
      <c r="B299" s="70"/>
      <c r="C299" s="63"/>
      <c r="D299" s="50"/>
      <c r="E299" s="13"/>
      <c r="F299" s="13"/>
      <c r="G299" s="75"/>
      <c r="H299" s="13"/>
      <c r="I299" s="13"/>
      <c r="J299" s="13"/>
    </row>
    <row r="300" spans="1:12" ht="13.5" customHeight="1" x14ac:dyDescent="0.2">
      <c r="A300" s="79"/>
      <c r="B300" s="79"/>
      <c r="C300" s="63"/>
      <c r="D300" s="78"/>
      <c r="E300" s="13"/>
      <c r="F300" s="13"/>
      <c r="G300" s="75"/>
      <c r="H300" s="77"/>
      <c r="I300" s="77"/>
      <c r="J300" s="13"/>
    </row>
    <row r="301" spans="1:12" ht="13.5" customHeight="1" x14ac:dyDescent="0.2">
      <c r="A301" s="79"/>
      <c r="B301" s="79"/>
      <c r="C301" s="78"/>
      <c r="D301" s="78"/>
      <c r="E301" s="78"/>
      <c r="F301" s="78"/>
      <c r="G301" s="75"/>
      <c r="H301" s="77"/>
      <c r="I301" s="77"/>
      <c r="J301" s="13"/>
    </row>
    <row r="302" spans="1:12" ht="13.5" customHeight="1" x14ac:dyDescent="0.2">
      <c r="A302" s="79"/>
      <c r="B302" s="79"/>
      <c r="C302" s="78"/>
      <c r="D302" s="78"/>
      <c r="E302" s="78"/>
      <c r="F302" s="78"/>
      <c r="G302" s="75"/>
      <c r="H302" s="77"/>
      <c r="I302" s="77"/>
      <c r="J302" s="13"/>
    </row>
    <row r="303" spans="1:12" ht="13.5" customHeight="1" x14ac:dyDescent="0.2">
      <c r="A303" s="79"/>
      <c r="B303" s="79"/>
      <c r="C303" s="78"/>
      <c r="D303" s="78"/>
      <c r="E303" s="13"/>
      <c r="F303" s="13"/>
      <c r="G303" s="75"/>
      <c r="H303" s="77"/>
      <c r="I303" s="77"/>
      <c r="J303" s="13"/>
    </row>
    <row r="304" spans="1:12" ht="13.5" customHeight="1" x14ac:dyDescent="0.2">
      <c r="A304" s="74"/>
      <c r="B304" s="80"/>
      <c r="C304" s="81"/>
      <c r="D304" s="50"/>
      <c r="E304" s="13"/>
      <c r="F304" s="13"/>
      <c r="G304" s="75"/>
      <c r="H304" s="13"/>
      <c r="I304" s="13"/>
      <c r="J304" s="13"/>
    </row>
    <row r="305" spans="1:10" ht="13.5" customHeight="1" x14ac:dyDescent="0.2">
      <c r="A305" s="79"/>
      <c r="B305" s="79"/>
      <c r="C305" s="78"/>
      <c r="D305" s="78"/>
      <c r="E305" s="13"/>
      <c r="F305" s="13"/>
      <c r="G305" s="75"/>
      <c r="H305" s="77"/>
      <c r="I305" s="77"/>
      <c r="J305" s="13"/>
    </row>
    <row r="306" spans="1:10" ht="13.5" customHeight="1" x14ac:dyDescent="0.2">
      <c r="A306" s="79"/>
      <c r="B306" s="79"/>
      <c r="C306" s="78"/>
      <c r="D306" s="78"/>
      <c r="E306" s="13"/>
      <c r="F306" s="13"/>
      <c r="G306" s="75"/>
      <c r="H306" s="77"/>
      <c r="I306" s="77"/>
      <c r="J306" s="13"/>
    </row>
    <row r="307" spans="1:10" ht="13.5" customHeight="1" x14ac:dyDescent="0.2">
      <c r="A307" s="79"/>
      <c r="B307" s="79"/>
      <c r="C307" s="78"/>
      <c r="D307" s="78"/>
      <c r="E307" s="78"/>
      <c r="F307" s="78"/>
      <c r="G307" s="75"/>
      <c r="H307" s="77"/>
      <c r="I307" s="77"/>
      <c r="J307" s="13"/>
    </row>
    <row r="308" spans="1:10" ht="13.5" customHeight="1" x14ac:dyDescent="0.2">
      <c r="A308" s="79"/>
      <c r="B308" s="79"/>
      <c r="C308" s="78"/>
      <c r="D308" s="78"/>
      <c r="E308" s="78"/>
      <c r="F308" s="78"/>
      <c r="G308" s="75"/>
      <c r="H308" s="77"/>
      <c r="I308" s="77"/>
      <c r="J308" s="13"/>
    </row>
    <row r="309" spans="1:10" ht="13.5" customHeight="1" x14ac:dyDescent="0.2">
      <c r="A309" s="79"/>
      <c r="B309" s="79"/>
      <c r="C309" s="78"/>
      <c r="D309" s="78"/>
      <c r="E309" s="78"/>
      <c r="F309" s="78"/>
      <c r="G309" s="75"/>
      <c r="H309" s="77"/>
      <c r="I309" s="77"/>
      <c r="J309" s="13"/>
    </row>
    <row r="310" spans="1:10" ht="13.5" customHeight="1" x14ac:dyDescent="0.2">
      <c r="A310" s="79"/>
      <c r="B310" s="79"/>
      <c r="C310" s="78"/>
      <c r="D310" s="78"/>
      <c r="E310" s="78"/>
      <c r="F310" s="78"/>
      <c r="G310" s="75"/>
      <c r="H310" s="77"/>
      <c r="I310" s="77"/>
      <c r="J310" s="13"/>
    </row>
    <row r="311" spans="1:10" ht="13.5" customHeight="1" x14ac:dyDescent="0.2">
      <c r="A311" s="79"/>
      <c r="B311" s="79"/>
      <c r="C311" s="78"/>
      <c r="D311" s="78"/>
      <c r="E311" s="78"/>
      <c r="F311" s="78"/>
      <c r="G311" s="75"/>
      <c r="H311" s="77"/>
      <c r="I311" s="77"/>
      <c r="J311" s="13"/>
    </row>
    <row r="312" spans="1:10" ht="13.5" customHeight="1" x14ac:dyDescent="0.2">
      <c r="A312" s="79"/>
      <c r="B312" s="79"/>
      <c r="C312" s="78"/>
      <c r="D312" s="78"/>
      <c r="E312" s="78"/>
      <c r="F312" s="78"/>
      <c r="G312" s="14"/>
      <c r="H312" s="77"/>
      <c r="I312" s="77"/>
      <c r="J312" s="130"/>
    </row>
    <row r="313" spans="1:10" ht="13.5" customHeight="1" x14ac:dyDescent="0.2">
      <c r="A313" s="70"/>
      <c r="B313" s="70"/>
      <c r="C313" s="63"/>
      <c r="D313" s="50"/>
      <c r="E313" s="13"/>
      <c r="F313" s="13"/>
      <c r="G313" s="75"/>
      <c r="H313" s="82"/>
      <c r="I313" s="13"/>
      <c r="J313" s="13"/>
    </row>
    <row r="314" spans="1:10" ht="13.5" customHeight="1" x14ac:dyDescent="0.2">
      <c r="A314" s="70"/>
      <c r="B314" s="70"/>
      <c r="C314" s="63"/>
      <c r="D314" s="50"/>
      <c r="E314" s="13"/>
      <c r="F314" s="13"/>
      <c r="G314" s="75"/>
      <c r="H314" s="82"/>
      <c r="I314" s="13"/>
      <c r="J314" s="13"/>
    </row>
    <row r="315" spans="1:10" ht="13.5" customHeight="1" x14ac:dyDescent="0.2">
      <c r="A315" s="70"/>
      <c r="B315" s="70"/>
      <c r="C315" s="63"/>
      <c r="D315" s="50"/>
      <c r="E315" s="13"/>
      <c r="F315" s="13"/>
      <c r="G315" s="75"/>
      <c r="H315" s="82"/>
      <c r="I315" s="13"/>
      <c r="J315" s="13"/>
    </row>
    <row r="316" spans="1:10" ht="13.5" customHeight="1" x14ac:dyDescent="0.2">
      <c r="A316" s="70"/>
      <c r="B316" s="70"/>
      <c r="C316" s="63"/>
      <c r="D316" s="50"/>
      <c r="E316" s="13"/>
      <c r="F316" s="13"/>
      <c r="G316" s="75"/>
      <c r="H316" s="82"/>
      <c r="I316" s="13"/>
      <c r="J316" s="13"/>
    </row>
    <row r="317" spans="1:10" ht="13.5" customHeight="1" x14ac:dyDescent="0.2">
      <c r="A317" s="70"/>
      <c r="B317" s="70"/>
      <c r="C317" s="63"/>
      <c r="D317" s="50"/>
      <c r="E317" s="13"/>
      <c r="F317" s="13"/>
      <c r="G317" s="75"/>
      <c r="H317" s="82"/>
      <c r="I317" s="13"/>
      <c r="J317" s="13"/>
    </row>
    <row r="318" spans="1:10" ht="13.5" customHeight="1" x14ac:dyDescent="0.2">
      <c r="A318" s="70"/>
      <c r="B318" s="70"/>
      <c r="C318" s="63"/>
      <c r="D318" s="50"/>
      <c r="E318" s="13"/>
      <c r="F318" s="13"/>
      <c r="G318" s="75"/>
      <c r="H318" s="82"/>
      <c r="I318" s="13"/>
      <c r="J318" s="13"/>
    </row>
    <row r="319" spans="1:10" ht="13.5" customHeight="1" x14ac:dyDescent="0.2">
      <c r="A319" s="70"/>
      <c r="B319" s="70"/>
      <c r="C319" s="63"/>
      <c r="D319" s="50"/>
      <c r="E319" s="13"/>
      <c r="F319" s="13"/>
      <c r="G319" s="75"/>
      <c r="H319" s="82"/>
      <c r="I319" s="13"/>
      <c r="J319" s="13"/>
    </row>
    <row r="320" spans="1:10" ht="13.5" customHeight="1" x14ac:dyDescent="0.2">
      <c r="A320" s="70"/>
      <c r="B320" s="70"/>
      <c r="C320" s="63"/>
      <c r="D320" s="50"/>
      <c r="E320" s="13"/>
      <c r="F320" s="13"/>
      <c r="G320" s="75"/>
      <c r="H320" s="82"/>
      <c r="I320" s="13"/>
      <c r="J320" s="13"/>
    </row>
    <row r="321" spans="1:10" ht="13.5" customHeight="1" x14ac:dyDescent="0.2">
      <c r="A321" s="70"/>
      <c r="B321" s="70"/>
      <c r="C321" s="63"/>
      <c r="D321" s="50"/>
      <c r="E321" s="13"/>
      <c r="F321" s="13"/>
      <c r="G321" s="75"/>
      <c r="H321" s="82"/>
      <c r="I321" s="13"/>
      <c r="J321" s="13"/>
    </row>
    <row r="322" spans="1:10" ht="13.5" customHeight="1" x14ac:dyDescent="0.2">
      <c r="A322" s="70"/>
      <c r="B322" s="70"/>
      <c r="C322" s="63"/>
      <c r="D322" s="50"/>
      <c r="E322" s="13"/>
      <c r="F322" s="13"/>
      <c r="G322" s="75"/>
      <c r="H322" s="82"/>
      <c r="I322" s="13"/>
      <c r="J322" s="13"/>
    </row>
    <row r="323" spans="1:10" ht="13.5" customHeight="1" x14ac:dyDescent="0.2">
      <c r="A323" s="70"/>
      <c r="B323" s="70"/>
      <c r="C323" s="63"/>
      <c r="D323" s="50"/>
      <c r="E323" s="13"/>
      <c r="F323" s="13"/>
      <c r="G323" s="75"/>
      <c r="H323" s="82"/>
      <c r="I323" s="13"/>
      <c r="J323" s="13"/>
    </row>
    <row r="324" spans="1:10" ht="13.5" customHeight="1" x14ac:dyDescent="0.2">
      <c r="A324" s="70"/>
      <c r="B324" s="70"/>
      <c r="C324" s="63"/>
      <c r="D324" s="50"/>
      <c r="E324" s="13"/>
      <c r="F324" s="13"/>
      <c r="G324" s="75"/>
      <c r="H324" s="82"/>
      <c r="I324" s="13"/>
      <c r="J324" s="13"/>
    </row>
    <row r="325" spans="1:10" ht="13.5" customHeight="1" x14ac:dyDescent="0.2">
      <c r="A325" s="70"/>
      <c r="B325" s="70"/>
      <c r="C325" s="63"/>
      <c r="D325" s="50"/>
      <c r="E325" s="13"/>
      <c r="F325" s="13"/>
      <c r="G325" s="75"/>
      <c r="H325" s="82"/>
      <c r="I325" s="13"/>
      <c r="J325" s="13"/>
    </row>
    <row r="326" spans="1:10" ht="13.5" customHeight="1" x14ac:dyDescent="0.2">
      <c r="A326" s="70"/>
      <c r="B326" s="70"/>
      <c r="C326" s="63"/>
      <c r="D326" s="50"/>
      <c r="E326" s="13"/>
      <c r="F326" s="13"/>
      <c r="G326" s="75"/>
      <c r="H326" s="82"/>
      <c r="I326" s="13"/>
      <c r="J326" s="13"/>
    </row>
    <row r="327" spans="1:10" ht="13.5" customHeight="1" x14ac:dyDescent="0.2">
      <c r="A327" s="70"/>
      <c r="B327" s="70"/>
      <c r="C327" s="63"/>
      <c r="D327" s="50"/>
      <c r="E327" s="13"/>
      <c r="F327" s="13"/>
      <c r="G327" s="75"/>
      <c r="H327" s="82"/>
      <c r="I327" s="13"/>
      <c r="J327" s="13"/>
    </row>
    <row r="328" spans="1:10" ht="13.5" customHeight="1" x14ac:dyDescent="0.2">
      <c r="A328" s="70"/>
      <c r="B328" s="70"/>
      <c r="C328" s="63"/>
      <c r="D328" s="50"/>
      <c r="E328" s="13"/>
      <c r="F328" s="13"/>
      <c r="G328" s="75"/>
      <c r="H328" s="82"/>
      <c r="I328" s="13"/>
      <c r="J328" s="13"/>
    </row>
    <row r="329" spans="1:10" ht="13.5" customHeight="1" x14ac:dyDescent="0.2">
      <c r="A329" s="70"/>
      <c r="B329" s="70"/>
      <c r="C329" s="63"/>
      <c r="D329" s="50"/>
      <c r="E329" s="13"/>
      <c r="F329" s="13"/>
      <c r="G329" s="75"/>
      <c r="H329" s="82"/>
      <c r="I329" s="13"/>
      <c r="J329" s="13"/>
    </row>
    <row r="330" spans="1:10" ht="13.5" customHeight="1" x14ac:dyDescent="0.2">
      <c r="A330" s="70"/>
      <c r="B330" s="70"/>
      <c r="C330" s="63"/>
      <c r="D330" s="50"/>
      <c r="E330" s="13"/>
      <c r="F330" s="13"/>
      <c r="G330" s="75"/>
      <c r="H330" s="82"/>
      <c r="I330" s="13"/>
      <c r="J330" s="13"/>
    </row>
    <row r="331" spans="1:10" ht="13.5" customHeight="1" x14ac:dyDescent="0.2">
      <c r="A331" s="70"/>
      <c r="B331" s="70"/>
      <c r="C331" s="63"/>
      <c r="D331" s="50"/>
      <c r="E331" s="13"/>
      <c r="F331" s="13"/>
      <c r="G331" s="75"/>
      <c r="H331" s="82"/>
      <c r="I331" s="13"/>
      <c r="J331" s="13"/>
    </row>
    <row r="332" spans="1:10" ht="13.5" customHeight="1" x14ac:dyDescent="0.2">
      <c r="A332" s="70"/>
      <c r="B332" s="70"/>
      <c r="C332" s="63"/>
      <c r="D332" s="50"/>
      <c r="E332" s="13"/>
      <c r="F332" s="13"/>
      <c r="G332" s="75"/>
      <c r="H332" s="82"/>
      <c r="I332" s="13"/>
      <c r="J332" s="13"/>
    </row>
    <row r="333" spans="1:10" ht="13.5" customHeight="1" x14ac:dyDescent="0.2">
      <c r="A333" s="70"/>
      <c r="B333" s="70"/>
      <c r="C333" s="63"/>
      <c r="D333" s="50"/>
      <c r="E333" s="13"/>
      <c r="F333" s="13"/>
      <c r="G333" s="75"/>
      <c r="H333" s="82"/>
      <c r="I333" s="13"/>
      <c r="J333" s="13"/>
    </row>
    <row r="334" spans="1:10" ht="13.5" customHeight="1" x14ac:dyDescent="0.2">
      <c r="A334" s="70"/>
      <c r="B334" s="70"/>
      <c r="C334" s="63"/>
      <c r="D334" s="50"/>
      <c r="E334" s="13"/>
      <c r="F334" s="13"/>
      <c r="G334" s="75"/>
      <c r="H334" s="82"/>
      <c r="I334" s="13"/>
      <c r="J334" s="13"/>
    </row>
    <row r="335" spans="1:10" ht="13.5" customHeight="1" x14ac:dyDescent="0.2">
      <c r="A335" s="70"/>
      <c r="B335" s="70"/>
      <c r="C335" s="63"/>
      <c r="D335" s="50"/>
      <c r="E335" s="13"/>
      <c r="F335" s="13"/>
      <c r="G335" s="75"/>
      <c r="H335" s="82"/>
      <c r="I335" s="13"/>
      <c r="J335" s="13"/>
    </row>
    <row r="336" spans="1:10" ht="13.5" customHeight="1" x14ac:dyDescent="0.2">
      <c r="A336" s="70"/>
      <c r="B336" s="70"/>
      <c r="C336" s="63"/>
      <c r="D336" s="50"/>
      <c r="E336" s="13"/>
      <c r="F336" s="13"/>
      <c r="G336" s="75"/>
      <c r="H336" s="82"/>
      <c r="I336" s="13"/>
      <c r="J336" s="13"/>
    </row>
    <row r="337" spans="1:10" ht="13.5" customHeight="1" x14ac:dyDescent="0.2">
      <c r="A337" s="70"/>
      <c r="B337" s="70"/>
      <c r="C337" s="63"/>
      <c r="D337" s="50"/>
      <c r="E337" s="13"/>
      <c r="F337" s="13"/>
      <c r="G337" s="75"/>
      <c r="H337" s="82"/>
      <c r="I337" s="13"/>
      <c r="J337" s="13"/>
    </row>
    <row r="338" spans="1:10" ht="13.5" customHeight="1" x14ac:dyDescent="0.2">
      <c r="A338" s="70"/>
      <c r="B338" s="70"/>
      <c r="C338" s="63"/>
      <c r="D338" s="50"/>
      <c r="E338" s="13"/>
      <c r="F338" s="13"/>
      <c r="G338" s="75"/>
      <c r="H338" s="82"/>
      <c r="I338" s="13"/>
      <c r="J338" s="13"/>
    </row>
    <row r="339" spans="1:10" ht="13.5" customHeight="1" x14ac:dyDescent="0.2">
      <c r="A339" s="70"/>
      <c r="B339" s="70"/>
      <c r="C339" s="63"/>
      <c r="D339" s="50"/>
      <c r="E339" s="13"/>
      <c r="F339" s="13"/>
      <c r="G339" s="75"/>
      <c r="H339" s="82"/>
      <c r="I339" s="13"/>
      <c r="J339" s="13"/>
    </row>
    <row r="340" spans="1:10" ht="13.5" customHeight="1" x14ac:dyDescent="0.2">
      <c r="A340" s="70"/>
      <c r="B340" s="70"/>
      <c r="C340" s="63"/>
      <c r="D340" s="50"/>
      <c r="E340" s="13"/>
      <c r="F340" s="13"/>
      <c r="G340" s="75"/>
      <c r="H340" s="82"/>
      <c r="I340" s="13"/>
      <c r="J340" s="13"/>
    </row>
    <row r="341" spans="1:10" ht="13.5" customHeight="1" x14ac:dyDescent="0.2">
      <c r="A341" s="70"/>
      <c r="B341" s="70"/>
      <c r="C341" s="63"/>
      <c r="D341" s="50"/>
      <c r="E341" s="13"/>
      <c r="F341" s="13"/>
      <c r="G341" s="75"/>
      <c r="H341" s="82"/>
      <c r="I341" s="13"/>
      <c r="J341" s="13"/>
    </row>
    <row r="342" spans="1:10" ht="13.5" customHeight="1" x14ac:dyDescent="0.2">
      <c r="A342" s="70"/>
      <c r="B342" s="70"/>
      <c r="C342" s="63"/>
      <c r="D342" s="50"/>
      <c r="E342" s="13"/>
      <c r="F342" s="13"/>
      <c r="G342" s="75"/>
      <c r="H342" s="82"/>
      <c r="I342" s="13"/>
      <c r="J342" s="13"/>
    </row>
    <row r="343" spans="1:10" ht="13.5" customHeight="1" x14ac:dyDescent="0.2">
      <c r="A343" s="70"/>
      <c r="B343" s="70"/>
      <c r="C343" s="63"/>
      <c r="D343" s="50"/>
      <c r="E343" s="13"/>
      <c r="F343" s="13"/>
      <c r="G343" s="75"/>
      <c r="H343" s="82"/>
      <c r="I343" s="13"/>
      <c r="J343" s="13"/>
    </row>
    <row r="344" spans="1:10" ht="13.5" customHeight="1" x14ac:dyDescent="0.2">
      <c r="A344" s="70"/>
      <c r="B344" s="70"/>
      <c r="C344" s="63"/>
      <c r="D344" s="50"/>
      <c r="E344" s="13"/>
      <c r="F344" s="13"/>
      <c r="G344" s="75"/>
      <c r="H344" s="82"/>
      <c r="I344" s="13"/>
      <c r="J344" s="13"/>
    </row>
    <row r="345" spans="1:10" ht="13.5" customHeight="1" x14ac:dyDescent="0.2">
      <c r="A345" s="70"/>
      <c r="B345" s="70"/>
      <c r="C345" s="63"/>
      <c r="D345" s="50"/>
      <c r="E345" s="13"/>
      <c r="F345" s="13"/>
      <c r="G345" s="75"/>
      <c r="H345" s="82"/>
      <c r="I345" s="13"/>
      <c r="J345" s="13"/>
    </row>
    <row r="346" spans="1:10" ht="13.5" customHeight="1" x14ac:dyDescent="0.2">
      <c r="A346" s="70"/>
      <c r="B346" s="70"/>
      <c r="C346" s="63"/>
      <c r="D346" s="50"/>
      <c r="E346" s="13"/>
      <c r="F346" s="13"/>
      <c r="G346" s="75"/>
      <c r="H346" s="82"/>
      <c r="I346" s="13"/>
      <c r="J346" s="13"/>
    </row>
    <row r="347" spans="1:10" ht="13.5" customHeight="1" x14ac:dyDescent="0.2">
      <c r="A347" s="70"/>
      <c r="B347" s="70"/>
      <c r="C347" s="63"/>
      <c r="D347" s="50"/>
      <c r="E347" s="13"/>
      <c r="F347" s="13"/>
      <c r="G347" s="75"/>
      <c r="H347" s="82"/>
      <c r="I347" s="13"/>
      <c r="J347" s="13"/>
    </row>
    <row r="348" spans="1:10" ht="13.5" customHeight="1" x14ac:dyDescent="0.2">
      <c r="A348" s="70"/>
      <c r="B348" s="70"/>
      <c r="C348" s="63"/>
      <c r="D348" s="50"/>
      <c r="E348" s="13"/>
      <c r="F348" s="13"/>
      <c r="G348" s="75"/>
      <c r="H348" s="82"/>
      <c r="I348" s="13"/>
      <c r="J348" s="13"/>
    </row>
    <row r="349" spans="1:10" ht="13.5" customHeight="1" x14ac:dyDescent="0.2">
      <c r="A349" s="70"/>
      <c r="B349" s="70"/>
      <c r="C349" s="63"/>
      <c r="D349" s="50"/>
      <c r="E349" s="13"/>
      <c r="F349" s="13"/>
      <c r="G349" s="75"/>
      <c r="H349" s="82"/>
      <c r="I349" s="13"/>
      <c r="J349" s="13"/>
    </row>
    <row r="350" spans="1:10" ht="13.5" customHeight="1" x14ac:dyDescent="0.2">
      <c r="A350" s="70"/>
      <c r="B350" s="70"/>
      <c r="C350" s="63"/>
      <c r="D350" s="50"/>
      <c r="E350" s="13"/>
      <c r="F350" s="13"/>
      <c r="G350" s="75"/>
      <c r="H350" s="82"/>
      <c r="I350" s="13"/>
      <c r="J350" s="13"/>
    </row>
    <row r="351" spans="1:10" ht="13.5" customHeight="1" x14ac:dyDescent="0.2">
      <c r="A351" s="70"/>
      <c r="B351" s="70"/>
      <c r="C351" s="63"/>
      <c r="D351" s="50"/>
      <c r="E351" s="13"/>
      <c r="F351" s="13"/>
      <c r="G351" s="75"/>
      <c r="H351" s="82"/>
      <c r="I351" s="13"/>
      <c r="J351" s="13"/>
    </row>
    <row r="352" spans="1:10" ht="13.5" customHeight="1" x14ac:dyDescent="0.2">
      <c r="A352" s="70"/>
      <c r="B352" s="70"/>
      <c r="C352" s="63"/>
      <c r="D352" s="50"/>
      <c r="E352" s="13"/>
      <c r="F352" s="13"/>
      <c r="G352" s="75"/>
      <c r="H352" s="82"/>
      <c r="I352" s="13"/>
      <c r="J352" s="13"/>
    </row>
    <row r="353" spans="1:10" ht="13.5" customHeight="1" x14ac:dyDescent="0.2">
      <c r="A353" s="70"/>
      <c r="B353" s="70"/>
      <c r="C353" s="63"/>
      <c r="D353" s="50"/>
      <c r="E353" s="13"/>
      <c r="F353" s="13"/>
      <c r="G353" s="75"/>
      <c r="H353" s="83"/>
      <c r="I353" s="13"/>
      <c r="J353" s="13"/>
    </row>
    <row r="354" spans="1:10" ht="13.5" customHeight="1" x14ac:dyDescent="0.2">
      <c r="A354" s="70"/>
      <c r="B354" s="70"/>
      <c r="C354" s="63"/>
      <c r="D354" s="50"/>
      <c r="E354" s="13"/>
      <c r="F354" s="13"/>
      <c r="G354" s="75"/>
      <c r="H354" s="83"/>
      <c r="I354" s="13"/>
      <c r="J354" s="13"/>
    </row>
    <row r="355" spans="1:10" ht="13.5" customHeight="1" x14ac:dyDescent="0.2">
      <c r="A355" s="131"/>
      <c r="B355" s="70"/>
      <c r="C355" s="64"/>
      <c r="D355" s="50"/>
      <c r="E355" s="13"/>
      <c r="F355" s="13"/>
      <c r="G355" s="75"/>
      <c r="H355" s="84"/>
      <c r="I355" s="13"/>
      <c r="J355" s="13"/>
    </row>
    <row r="356" spans="1:10" ht="13.5" customHeight="1" x14ac:dyDescent="0.2">
      <c r="A356" s="70"/>
      <c r="B356" s="70"/>
      <c r="C356" s="63"/>
      <c r="D356" s="50"/>
      <c r="E356" s="13"/>
      <c r="F356" s="13"/>
      <c r="G356" s="75"/>
      <c r="H356" s="83"/>
      <c r="I356" s="13"/>
      <c r="J356" s="13"/>
    </row>
    <row r="357" spans="1:10" ht="13.5" customHeight="1" x14ac:dyDescent="0.2">
      <c r="A357" s="70"/>
      <c r="B357" s="70"/>
      <c r="C357" s="63"/>
      <c r="D357" s="50"/>
      <c r="E357" s="13"/>
      <c r="F357" s="13"/>
      <c r="G357" s="75"/>
      <c r="H357" s="83"/>
      <c r="I357" s="13"/>
      <c r="J357" s="13"/>
    </row>
    <row r="358" spans="1:10" ht="13.5" customHeight="1" x14ac:dyDescent="0.2">
      <c r="A358" s="131"/>
      <c r="B358" s="70"/>
      <c r="C358" s="85"/>
      <c r="D358" s="50"/>
      <c r="E358" s="13"/>
      <c r="F358" s="13"/>
      <c r="G358" s="75"/>
      <c r="H358" s="83"/>
      <c r="I358" s="13"/>
      <c r="J358" s="13"/>
    </row>
    <row r="359" spans="1:10" ht="13.5" customHeight="1" x14ac:dyDescent="0.2">
      <c r="A359" s="131"/>
      <c r="B359" s="70"/>
      <c r="C359" s="63"/>
      <c r="D359" s="50"/>
      <c r="E359" s="13"/>
      <c r="F359" s="13"/>
      <c r="G359" s="75"/>
      <c r="H359" s="83"/>
      <c r="I359" s="13"/>
      <c r="J359" s="13"/>
    </row>
    <row r="360" spans="1:10" ht="13.5" customHeight="1" x14ac:dyDescent="0.2">
      <c r="A360" s="131"/>
      <c r="B360" s="70"/>
      <c r="C360" s="63"/>
      <c r="D360" s="50"/>
      <c r="E360" s="13"/>
      <c r="F360" s="13"/>
      <c r="G360" s="75"/>
      <c r="H360" s="84"/>
      <c r="I360" s="13"/>
      <c r="J360" s="13"/>
    </row>
    <row r="361" spans="1:10" ht="13.5" customHeight="1" x14ac:dyDescent="0.2">
      <c r="A361" s="131"/>
      <c r="B361" s="70"/>
      <c r="C361" s="64"/>
      <c r="D361" s="50"/>
      <c r="E361" s="13"/>
      <c r="F361" s="13"/>
      <c r="G361" s="75"/>
      <c r="H361" s="83"/>
      <c r="I361" s="13"/>
      <c r="J361" s="13"/>
    </row>
    <row r="362" spans="1:10" ht="13.5" customHeight="1" x14ac:dyDescent="0.2">
      <c r="A362" s="70"/>
      <c r="B362" s="70"/>
      <c r="C362" s="63"/>
      <c r="D362" s="50"/>
      <c r="E362" s="13"/>
      <c r="F362" s="13"/>
      <c r="G362" s="75"/>
      <c r="H362" s="83"/>
      <c r="I362" s="13"/>
      <c r="J362" s="13"/>
    </row>
    <row r="363" spans="1:10" ht="13.5" customHeight="1" x14ac:dyDescent="0.2">
      <c r="A363" s="131"/>
      <c r="B363" s="70"/>
      <c r="C363" s="63"/>
      <c r="D363" s="50"/>
      <c r="E363" s="13"/>
      <c r="F363" s="13"/>
      <c r="G363" s="75"/>
      <c r="H363" s="84"/>
      <c r="I363" s="13"/>
      <c r="J363" s="13"/>
    </row>
    <row r="364" spans="1:10" ht="13.5" customHeight="1" x14ac:dyDescent="0.2">
      <c r="A364" s="131"/>
      <c r="B364" s="70"/>
      <c r="C364" s="64"/>
      <c r="D364" s="50"/>
      <c r="E364" s="13"/>
      <c r="F364" s="13"/>
      <c r="G364" s="75"/>
      <c r="H364" s="84"/>
      <c r="I364" s="13"/>
      <c r="J364" s="13"/>
    </row>
    <row r="365" spans="1:10" ht="13.5" customHeight="1" x14ac:dyDescent="0.2">
      <c r="A365" s="70"/>
      <c r="B365" s="70"/>
      <c r="C365" s="63"/>
      <c r="D365" s="50"/>
      <c r="E365" s="13"/>
      <c r="F365" s="13"/>
      <c r="G365" s="75"/>
      <c r="H365" s="83"/>
      <c r="I365" s="13"/>
      <c r="J365" s="13"/>
    </row>
    <row r="366" spans="1:10" ht="13.5" customHeight="1" x14ac:dyDescent="0.2">
      <c r="A366" s="131"/>
      <c r="B366" s="70"/>
      <c r="C366" s="63"/>
      <c r="D366" s="50"/>
      <c r="E366" s="13"/>
      <c r="F366" s="13"/>
      <c r="G366" s="75"/>
      <c r="H366" s="84"/>
      <c r="I366" s="13"/>
      <c r="J366" s="13"/>
    </row>
    <row r="367" spans="1:10" ht="13.5" customHeight="1" x14ac:dyDescent="0.2">
      <c r="A367" s="131"/>
      <c r="B367" s="70"/>
      <c r="C367" s="64"/>
      <c r="D367" s="50"/>
      <c r="E367" s="13"/>
      <c r="F367" s="13"/>
      <c r="G367" s="75"/>
      <c r="H367" s="84"/>
      <c r="I367" s="13"/>
      <c r="J367" s="13"/>
    </row>
    <row r="368" spans="1:10" ht="13.5" customHeight="1" x14ac:dyDescent="0.2">
      <c r="A368" s="70"/>
      <c r="B368" s="70"/>
      <c r="C368" s="63"/>
      <c r="D368" s="50"/>
      <c r="E368" s="13"/>
      <c r="F368" s="13"/>
      <c r="G368" s="75"/>
      <c r="H368" s="83"/>
      <c r="I368" s="13"/>
      <c r="J368" s="13"/>
    </row>
    <row r="369" spans="1:10" ht="13.5" customHeight="1" x14ac:dyDescent="0.2">
      <c r="A369" s="70"/>
      <c r="B369" s="70"/>
      <c r="C369" s="63"/>
      <c r="D369" s="50"/>
      <c r="E369" s="13"/>
      <c r="F369" s="13"/>
      <c r="G369" s="75"/>
      <c r="H369" s="83"/>
      <c r="I369" s="13"/>
      <c r="J369" s="13"/>
    </row>
    <row r="370" spans="1:10" ht="13.5" customHeight="1" x14ac:dyDescent="0.2">
      <c r="A370" s="70"/>
      <c r="B370" s="70"/>
      <c r="C370" s="63"/>
      <c r="D370" s="50"/>
      <c r="E370" s="13"/>
      <c r="F370" s="13"/>
      <c r="G370" s="75"/>
      <c r="H370" s="82"/>
      <c r="I370" s="13"/>
      <c r="J370" s="13"/>
    </row>
    <row r="371" spans="1:10" ht="13.5" customHeight="1" x14ac:dyDescent="0.2">
      <c r="A371" s="131"/>
      <c r="B371" s="70"/>
      <c r="C371" s="86"/>
      <c r="D371" s="50"/>
      <c r="E371" s="13"/>
      <c r="F371" s="13"/>
      <c r="G371" s="75"/>
      <c r="H371" s="82"/>
      <c r="I371" s="13"/>
      <c r="J371" s="13"/>
    </row>
    <row r="372" spans="1:10" ht="13.5" customHeight="1" x14ac:dyDescent="0.2">
      <c r="A372" s="131"/>
      <c r="B372" s="70"/>
      <c r="C372" s="85"/>
      <c r="D372" s="50"/>
      <c r="E372" s="13"/>
      <c r="F372" s="13"/>
      <c r="G372" s="75"/>
      <c r="H372" s="82"/>
      <c r="I372" s="13"/>
      <c r="J372" s="13"/>
    </row>
    <row r="373" spans="1:10" ht="13.5" customHeight="1" x14ac:dyDescent="0.2">
      <c r="A373" s="131"/>
      <c r="B373" s="70"/>
      <c r="C373" s="87"/>
      <c r="D373" s="50"/>
      <c r="E373" s="13"/>
      <c r="F373" s="13"/>
      <c r="G373" s="75"/>
      <c r="H373" s="82"/>
      <c r="I373" s="13"/>
      <c r="J373" s="13"/>
    </row>
    <row r="374" spans="1:10" ht="13.5" customHeight="1" x14ac:dyDescent="0.2">
      <c r="A374" s="131"/>
      <c r="B374" s="70"/>
      <c r="C374" s="88"/>
      <c r="D374" s="50"/>
      <c r="E374" s="13"/>
      <c r="F374" s="13"/>
      <c r="G374" s="75"/>
      <c r="H374" s="82"/>
      <c r="I374" s="13"/>
      <c r="J374" s="13"/>
    </row>
    <row r="375" spans="1:10" ht="13.5" customHeight="1" x14ac:dyDescent="0.2">
      <c r="A375" s="91"/>
      <c r="B375" s="9"/>
      <c r="C375" s="56"/>
      <c r="D375" s="11"/>
      <c r="E375" s="12"/>
      <c r="F375" s="12"/>
      <c r="G375" s="23"/>
      <c r="H375" s="89"/>
      <c r="I375" s="12"/>
      <c r="J375" s="13"/>
    </row>
    <row r="376" spans="1:10" ht="13.5" customHeight="1" x14ac:dyDescent="0.2">
      <c r="A376" s="9"/>
      <c r="B376" s="9"/>
      <c r="C376" s="56"/>
      <c r="D376" s="11"/>
      <c r="E376" s="12"/>
      <c r="F376" s="12"/>
      <c r="G376" s="23"/>
      <c r="H376" s="90"/>
      <c r="I376" s="12"/>
      <c r="J376" s="13"/>
    </row>
    <row r="377" spans="1:10" ht="13.5" customHeight="1" x14ac:dyDescent="0.2">
      <c r="A377" s="9"/>
      <c r="B377" s="9"/>
      <c r="C377" s="56"/>
      <c r="D377" s="11"/>
      <c r="E377" s="12"/>
      <c r="F377" s="12"/>
      <c r="G377" s="23"/>
      <c r="H377" s="89"/>
      <c r="I377" s="12"/>
      <c r="J377" s="13"/>
    </row>
    <row r="378" spans="1:10" ht="13.5" customHeight="1" x14ac:dyDescent="0.2">
      <c r="A378" s="91"/>
      <c r="B378" s="9"/>
      <c r="D378" s="11"/>
      <c r="E378" s="12"/>
      <c r="F378" s="12"/>
      <c r="G378" s="23"/>
      <c r="H378" s="89"/>
      <c r="I378" s="12"/>
      <c r="J378" s="13"/>
    </row>
    <row r="379" spans="1:10" ht="13.5" customHeight="1" x14ac:dyDescent="0.2">
      <c r="A379" s="9"/>
      <c r="B379" s="9"/>
      <c r="C379" s="56"/>
      <c r="D379" s="11"/>
      <c r="E379" s="12"/>
      <c r="F379" s="12"/>
      <c r="G379" s="23"/>
      <c r="H379" s="90"/>
      <c r="I379" s="12"/>
      <c r="J379" s="13"/>
    </row>
    <row r="380" spans="1:10" ht="13.5" customHeight="1" x14ac:dyDescent="0.2">
      <c r="A380" s="9"/>
      <c r="B380" s="9"/>
      <c r="C380" s="56"/>
      <c r="D380" s="11"/>
      <c r="E380" s="12"/>
      <c r="F380" s="12"/>
      <c r="G380" s="23"/>
      <c r="H380" s="90"/>
      <c r="I380" s="12"/>
      <c r="J380" s="13"/>
    </row>
    <row r="381" spans="1:10" ht="13.5" customHeight="1" x14ac:dyDescent="0.2">
      <c r="A381" s="9"/>
      <c r="B381" s="9"/>
      <c r="C381" s="56"/>
      <c r="D381" s="11"/>
      <c r="E381" s="12"/>
      <c r="F381" s="12"/>
      <c r="G381" s="23"/>
      <c r="H381" s="90"/>
      <c r="I381" s="12"/>
      <c r="J381" s="13"/>
    </row>
    <row r="382" spans="1:10" ht="13.5" customHeight="1" x14ac:dyDescent="0.2">
      <c r="A382" s="91"/>
      <c r="B382" s="9"/>
      <c r="C382" s="27"/>
      <c r="D382" s="11"/>
      <c r="E382" s="12"/>
      <c r="F382" s="12"/>
      <c r="G382" s="23"/>
      <c r="H382" s="92"/>
      <c r="I382" s="12"/>
      <c r="J382" s="13"/>
    </row>
    <row r="383" spans="1:10" ht="13.5" customHeight="1" x14ac:dyDescent="0.2">
      <c r="A383" s="91"/>
      <c r="B383" s="9"/>
      <c r="C383" s="27"/>
      <c r="D383" s="11"/>
      <c r="E383" s="12"/>
      <c r="F383" s="12"/>
      <c r="G383" s="23"/>
      <c r="H383" s="90"/>
      <c r="I383" s="12"/>
      <c r="J383" s="13"/>
    </row>
    <row r="384" spans="1:10" ht="13.5" customHeight="1" x14ac:dyDescent="0.2">
      <c r="A384" s="91"/>
      <c r="B384" s="9"/>
      <c r="D384" s="11"/>
      <c r="E384" s="12"/>
      <c r="F384" s="12"/>
      <c r="G384" s="23"/>
      <c r="H384" s="92"/>
      <c r="I384" s="12"/>
      <c r="J384" s="13"/>
    </row>
    <row r="385" spans="1:10" ht="13.5" customHeight="1" x14ac:dyDescent="0.2">
      <c r="A385" s="9"/>
      <c r="B385" s="9"/>
      <c r="C385" s="56"/>
      <c r="D385" s="11"/>
      <c r="E385" s="12"/>
      <c r="F385" s="12"/>
      <c r="G385" s="23"/>
      <c r="H385" s="89"/>
      <c r="I385" s="12"/>
      <c r="J385" s="13"/>
    </row>
    <row r="386" spans="1:10" ht="13.5" customHeight="1" x14ac:dyDescent="0.2">
      <c r="A386" s="9"/>
      <c r="B386" s="9"/>
      <c r="C386" s="56"/>
      <c r="D386" s="11"/>
      <c r="E386" s="12"/>
      <c r="F386" s="12"/>
      <c r="G386" s="23"/>
      <c r="H386" s="89"/>
      <c r="I386" s="12"/>
      <c r="J386" s="13"/>
    </row>
    <row r="387" spans="1:10" ht="13.5" customHeight="1" x14ac:dyDescent="0.2">
      <c r="A387" s="9"/>
      <c r="B387" s="9"/>
      <c r="C387" s="56"/>
      <c r="D387" s="11"/>
      <c r="E387" s="12"/>
      <c r="F387" s="12"/>
      <c r="G387" s="23"/>
      <c r="H387" s="89"/>
      <c r="I387" s="12"/>
      <c r="J387" s="13"/>
    </row>
    <row r="388" spans="1:10" ht="13.5" customHeight="1" x14ac:dyDescent="0.2">
      <c r="A388" s="9"/>
      <c r="B388" s="9"/>
      <c r="C388" s="56"/>
      <c r="D388" s="11"/>
      <c r="E388" s="12"/>
      <c r="F388" s="12"/>
      <c r="G388" s="23"/>
      <c r="H388" s="89"/>
      <c r="I388" s="12"/>
      <c r="J388" s="13"/>
    </row>
    <row r="389" spans="1:10" x14ac:dyDescent="0.2">
      <c r="A389" s="132"/>
      <c r="B389" s="93"/>
      <c r="C389" s="94"/>
      <c r="D389" s="27"/>
      <c r="E389" s="27"/>
      <c r="F389" s="27"/>
      <c r="G389" s="27"/>
      <c r="H389" s="95"/>
      <c r="I389" s="30"/>
      <c r="J389" s="51"/>
    </row>
  </sheetData>
  <mergeCells count="4">
    <mergeCell ref="A1:C1"/>
    <mergeCell ref="D1:G1"/>
    <mergeCell ref="H1:J1"/>
    <mergeCell ref="H185:J185"/>
  </mergeCells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J395"/>
  <sheetViews>
    <sheetView topLeftCell="A265" zoomScale="90" zoomScaleNormal="90" workbookViewId="0">
      <selection activeCell="C279" sqref="C279"/>
    </sheetView>
  </sheetViews>
  <sheetFormatPr defaultColWidth="9" defaultRowHeight="12.75" x14ac:dyDescent="0.2"/>
  <cols>
    <col min="1" max="1" width="11.625" customWidth="1"/>
    <col min="2" max="2" width="82.5" customWidth="1"/>
    <col min="3" max="3" width="12.875" style="72" customWidth="1"/>
    <col min="4" max="4" width="12" style="72" customWidth="1"/>
    <col min="6" max="6" width="13.625" customWidth="1"/>
    <col min="7" max="7" width="10.875" style="236" bestFit="1" customWidth="1"/>
    <col min="10" max="10" width="10.25" customWidth="1"/>
  </cols>
  <sheetData>
    <row r="1" spans="1:10" x14ac:dyDescent="0.2">
      <c r="F1" s="97" t="s">
        <v>218</v>
      </c>
      <c r="G1" s="97" t="s">
        <v>219</v>
      </c>
      <c r="H1" s="97" t="s">
        <v>220</v>
      </c>
      <c r="I1" s="97" t="s">
        <v>221</v>
      </c>
      <c r="J1" s="97" t="s">
        <v>222</v>
      </c>
    </row>
    <row r="2" spans="1:10" ht="13.5" customHeight="1" x14ac:dyDescent="0.2">
      <c r="A2" t="s">
        <v>240</v>
      </c>
      <c r="B2" s="34" t="s">
        <v>290</v>
      </c>
      <c r="C2" s="24"/>
      <c r="D2" s="25">
        <v>940</v>
      </c>
      <c r="F2" s="100">
        <v>1020</v>
      </c>
      <c r="G2" s="101">
        <v>80</v>
      </c>
      <c r="H2" s="102"/>
      <c r="I2" s="103"/>
      <c r="J2" s="104">
        <v>940</v>
      </c>
    </row>
    <row r="3" spans="1:10" ht="13.5" customHeight="1" x14ac:dyDescent="0.2">
      <c r="A3" t="s">
        <v>240</v>
      </c>
      <c r="B3" s="34" t="s">
        <v>286</v>
      </c>
      <c r="C3" s="24"/>
      <c r="D3" s="25">
        <v>860</v>
      </c>
      <c r="F3" s="100">
        <v>940</v>
      </c>
      <c r="G3" s="101">
        <v>80</v>
      </c>
      <c r="H3" s="102"/>
      <c r="I3" s="103"/>
      <c r="J3" s="104">
        <v>860</v>
      </c>
    </row>
    <row r="4" spans="1:10" ht="13.5" customHeight="1" x14ac:dyDescent="0.2">
      <c r="A4" t="s">
        <v>240</v>
      </c>
      <c r="B4" s="34" t="s">
        <v>265</v>
      </c>
      <c r="C4" s="24"/>
      <c r="D4" s="25">
        <v>990</v>
      </c>
      <c r="F4" s="100">
        <v>1070</v>
      </c>
      <c r="G4" s="101">
        <v>80</v>
      </c>
      <c r="H4" s="102"/>
      <c r="I4" s="103"/>
      <c r="J4" s="104">
        <v>990</v>
      </c>
    </row>
    <row r="5" spans="1:10" ht="13.5" customHeight="1" x14ac:dyDescent="0.2">
      <c r="A5" t="s">
        <v>240</v>
      </c>
      <c r="B5" s="45" t="s">
        <v>347</v>
      </c>
      <c r="C5" s="24"/>
      <c r="D5" s="25">
        <v>772.83</v>
      </c>
      <c r="F5" s="100">
        <v>852.83</v>
      </c>
      <c r="G5" s="101">
        <v>80</v>
      </c>
      <c r="H5" s="102"/>
      <c r="I5" s="103"/>
      <c r="J5" s="104">
        <v>772.83</v>
      </c>
    </row>
    <row r="6" spans="1:10" ht="13.5" customHeight="1" x14ac:dyDescent="0.2">
      <c r="A6" t="s">
        <v>240</v>
      </c>
      <c r="B6" s="34" t="s">
        <v>257</v>
      </c>
      <c r="C6" s="24"/>
      <c r="D6" s="25">
        <v>1751.48</v>
      </c>
      <c r="F6" s="100">
        <v>1751.48</v>
      </c>
      <c r="G6" s="101"/>
      <c r="H6" s="102"/>
      <c r="I6" s="103"/>
      <c r="J6" s="104">
        <v>1751.48</v>
      </c>
    </row>
    <row r="7" spans="1:10" ht="13.5" customHeight="1" x14ac:dyDescent="0.2">
      <c r="A7" t="s">
        <v>240</v>
      </c>
      <c r="B7" s="34" t="s">
        <v>325</v>
      </c>
      <c r="C7" s="24"/>
      <c r="D7" s="25">
        <v>1200</v>
      </c>
      <c r="F7" s="100">
        <v>1308.29</v>
      </c>
      <c r="G7" s="101">
        <v>80</v>
      </c>
      <c r="H7" s="102">
        <v>28.29</v>
      </c>
      <c r="I7" s="103"/>
      <c r="J7" s="104">
        <v>1200</v>
      </c>
    </row>
    <row r="8" spans="1:10" ht="13.5" customHeight="1" x14ac:dyDescent="0.2">
      <c r="A8" t="s">
        <v>240</v>
      </c>
      <c r="B8" s="34" t="s">
        <v>324</v>
      </c>
      <c r="C8" s="24"/>
      <c r="D8" s="25">
        <v>1200</v>
      </c>
      <c r="F8" s="100">
        <v>1357.79</v>
      </c>
      <c r="G8" s="101">
        <v>80</v>
      </c>
      <c r="H8" s="102">
        <v>77.790000000000006</v>
      </c>
      <c r="I8" s="103"/>
      <c r="J8" s="104">
        <v>1200</v>
      </c>
    </row>
    <row r="9" spans="1:10" ht="13.5" customHeight="1" x14ac:dyDescent="0.2">
      <c r="A9" t="s">
        <v>240</v>
      </c>
      <c r="B9" s="34" t="s">
        <v>276</v>
      </c>
      <c r="C9" s="24"/>
      <c r="D9" s="25">
        <v>1659.7</v>
      </c>
      <c r="F9" s="100">
        <v>1739.7</v>
      </c>
      <c r="G9" s="101">
        <v>80</v>
      </c>
      <c r="H9" s="102"/>
      <c r="I9" s="103"/>
      <c r="J9" s="104">
        <v>1659.7</v>
      </c>
    </row>
    <row r="10" spans="1:10" ht="13.5" customHeight="1" x14ac:dyDescent="0.2">
      <c r="A10" t="s">
        <v>240</v>
      </c>
      <c r="B10" s="34" t="s">
        <v>9</v>
      </c>
      <c r="C10" s="24"/>
      <c r="D10" s="25">
        <v>900</v>
      </c>
      <c r="F10" s="100">
        <v>900</v>
      </c>
      <c r="G10" s="101"/>
      <c r="H10" s="102"/>
      <c r="I10" s="103"/>
      <c r="J10" s="104"/>
    </row>
    <row r="11" spans="1:10" ht="13.5" customHeight="1" x14ac:dyDescent="0.2">
      <c r="A11" t="s">
        <v>240</v>
      </c>
      <c r="B11" s="34" t="s">
        <v>267</v>
      </c>
      <c r="C11" s="24"/>
      <c r="D11" s="25">
        <v>1500</v>
      </c>
      <c r="F11" s="100">
        <v>1500</v>
      </c>
      <c r="G11" s="101"/>
      <c r="H11" s="102"/>
      <c r="I11" s="103"/>
      <c r="J11" s="104">
        <v>1500</v>
      </c>
    </row>
    <row r="12" spans="1:10" ht="13.5" customHeight="1" x14ac:dyDescent="0.2">
      <c r="A12" t="s">
        <v>240</v>
      </c>
      <c r="B12" s="34" t="s">
        <v>619</v>
      </c>
      <c r="C12" s="24"/>
      <c r="D12" s="25">
        <v>560</v>
      </c>
      <c r="F12" s="100"/>
      <c r="G12" s="101"/>
      <c r="H12" s="102"/>
      <c r="I12" s="103"/>
      <c r="J12" s="104">
        <v>0</v>
      </c>
    </row>
    <row r="13" spans="1:10" ht="13.5" customHeight="1" x14ac:dyDescent="0.2">
      <c r="A13" t="s">
        <v>240</v>
      </c>
      <c r="B13" s="34" t="s">
        <v>292</v>
      </c>
      <c r="C13" s="24"/>
      <c r="D13" s="25">
        <v>1500</v>
      </c>
      <c r="F13" s="100">
        <v>1654.1</v>
      </c>
      <c r="G13" s="101"/>
      <c r="H13" s="102">
        <v>154.1</v>
      </c>
      <c r="I13" s="103"/>
      <c r="J13" s="104">
        <v>1500</v>
      </c>
    </row>
    <row r="14" spans="1:10" ht="13.5" customHeight="1" x14ac:dyDescent="0.2">
      <c r="A14" t="s">
        <v>240</v>
      </c>
      <c r="B14" s="34" t="s">
        <v>277</v>
      </c>
      <c r="C14" s="24"/>
      <c r="D14" s="25">
        <v>1975.42</v>
      </c>
      <c r="F14" s="100">
        <v>1975.42</v>
      </c>
      <c r="G14" s="101"/>
      <c r="H14" s="102"/>
      <c r="I14" s="103"/>
      <c r="J14" s="104">
        <v>1975.42</v>
      </c>
    </row>
    <row r="15" spans="1:10" ht="13.5" customHeight="1" x14ac:dyDescent="0.2">
      <c r="A15" t="s">
        <v>240</v>
      </c>
      <c r="B15" s="34" t="s">
        <v>414</v>
      </c>
      <c r="C15" s="71"/>
      <c r="D15" s="25">
        <v>4000</v>
      </c>
      <c r="F15" s="100"/>
      <c r="G15" s="101"/>
      <c r="H15" s="102"/>
      <c r="I15" s="103"/>
      <c r="J15" s="104"/>
    </row>
    <row r="16" spans="1:10" ht="13.5" customHeight="1" x14ac:dyDescent="0.2">
      <c r="A16" t="s">
        <v>240</v>
      </c>
      <c r="B16" s="34" t="s">
        <v>317</v>
      </c>
      <c r="C16" s="24"/>
      <c r="D16" s="25">
        <v>3500</v>
      </c>
      <c r="F16" s="100">
        <v>3500</v>
      </c>
      <c r="G16" s="101"/>
      <c r="H16" s="102"/>
      <c r="I16" s="103"/>
      <c r="J16" s="104">
        <v>3500</v>
      </c>
    </row>
    <row r="17" spans="1:10" ht="13.5" customHeight="1" x14ac:dyDescent="0.2">
      <c r="A17" t="s">
        <v>240</v>
      </c>
      <c r="B17" s="34" t="s">
        <v>316</v>
      </c>
      <c r="C17" s="24"/>
      <c r="D17" s="25">
        <v>2050</v>
      </c>
      <c r="F17" s="100">
        <v>2050</v>
      </c>
      <c r="G17" s="101"/>
      <c r="H17" s="102"/>
      <c r="I17" s="103"/>
      <c r="J17" s="104">
        <v>2050</v>
      </c>
    </row>
    <row r="18" spans="1:10" ht="13.5" customHeight="1" x14ac:dyDescent="0.2">
      <c r="A18" t="s">
        <v>240</v>
      </c>
      <c r="B18" s="34" t="s">
        <v>266</v>
      </c>
      <c r="C18" s="24"/>
      <c r="D18" s="25">
        <v>5000</v>
      </c>
      <c r="F18" s="100">
        <v>5000</v>
      </c>
      <c r="G18" s="101"/>
      <c r="H18" s="102"/>
      <c r="I18" s="103"/>
      <c r="J18" s="104">
        <v>5000</v>
      </c>
    </row>
    <row r="19" spans="1:10" ht="13.5" customHeight="1" x14ac:dyDescent="0.2">
      <c r="A19" t="s">
        <v>240</v>
      </c>
      <c r="B19" s="34" t="s">
        <v>371</v>
      </c>
      <c r="C19" s="24"/>
      <c r="D19" s="25">
        <v>1360</v>
      </c>
      <c r="F19" s="100">
        <v>1360</v>
      </c>
      <c r="G19" s="101"/>
      <c r="H19" s="102"/>
      <c r="I19" s="103"/>
      <c r="J19" s="104">
        <v>1360</v>
      </c>
    </row>
    <row r="20" spans="1:10" ht="13.5" customHeight="1" x14ac:dyDescent="0.2">
      <c r="A20" t="s">
        <v>240</v>
      </c>
      <c r="B20" s="34" t="s">
        <v>326</v>
      </c>
      <c r="C20" s="24"/>
      <c r="D20" s="255">
        <v>185</v>
      </c>
      <c r="F20" s="40"/>
      <c r="G20" s="107">
        <f>SUM(G2:G19)</f>
        <v>560</v>
      </c>
      <c r="H20" s="107">
        <f>SUM(H2:H19)</f>
        <v>260.18</v>
      </c>
      <c r="I20" s="107">
        <f>SUM(I2:I11)</f>
        <v>0</v>
      </c>
      <c r="J20" s="1"/>
    </row>
    <row r="21" spans="1:10" ht="13.5" customHeight="1" x14ac:dyDescent="0.2">
      <c r="A21" t="s">
        <v>240</v>
      </c>
      <c r="B21" s="34" t="s">
        <v>304</v>
      </c>
      <c r="C21" s="24"/>
      <c r="D21" s="255">
        <v>190</v>
      </c>
      <c r="G21"/>
    </row>
    <row r="22" spans="1:10" ht="13.5" customHeight="1" x14ac:dyDescent="0.2">
      <c r="A22" t="s">
        <v>240</v>
      </c>
      <c r="B22" s="34" t="s">
        <v>320</v>
      </c>
      <c r="C22" s="24"/>
      <c r="D22" s="255">
        <v>185</v>
      </c>
    </row>
    <row r="23" spans="1:10" ht="13.5" customHeight="1" x14ac:dyDescent="0.2">
      <c r="A23" t="s">
        <v>240</v>
      </c>
      <c r="B23" s="34" t="s">
        <v>253</v>
      </c>
      <c r="C23" s="24"/>
      <c r="D23" s="255">
        <v>220</v>
      </c>
    </row>
    <row r="24" spans="1:10" ht="13.5" customHeight="1" x14ac:dyDescent="0.2">
      <c r="A24" t="s">
        <v>240</v>
      </c>
      <c r="B24" s="34" t="s">
        <v>289</v>
      </c>
      <c r="C24" s="24"/>
      <c r="D24" s="255">
        <v>60</v>
      </c>
    </row>
    <row r="25" spans="1:10" ht="13.5" customHeight="1" x14ac:dyDescent="0.2">
      <c r="A25" t="s">
        <v>240</v>
      </c>
      <c r="B25" s="34" t="s">
        <v>291</v>
      </c>
      <c r="C25" s="24"/>
      <c r="D25" s="255">
        <v>60</v>
      </c>
      <c r="E25" s="256">
        <f>SUM(D20:D26)</f>
        <v>980</v>
      </c>
    </row>
    <row r="26" spans="1:10" ht="13.5" customHeight="1" x14ac:dyDescent="0.2">
      <c r="A26" t="s">
        <v>240</v>
      </c>
      <c r="B26" s="34" t="s">
        <v>305</v>
      </c>
      <c r="C26" s="24"/>
      <c r="D26" s="255">
        <v>80</v>
      </c>
    </row>
    <row r="27" spans="1:10" ht="13.5" customHeight="1" x14ac:dyDescent="0.2">
      <c r="B27" s="34"/>
      <c r="C27" s="24"/>
      <c r="D27" s="134">
        <f>SUM(D2:D26)</f>
        <v>32699.43</v>
      </c>
      <c r="G27"/>
    </row>
    <row r="28" spans="1:10" ht="13.5" customHeight="1" x14ac:dyDescent="0.2">
      <c r="B28" s="34"/>
      <c r="C28" s="24"/>
      <c r="D28" s="25"/>
      <c r="G28"/>
    </row>
    <row r="29" spans="1:10" ht="13.5" customHeight="1" x14ac:dyDescent="0.2">
      <c r="A29" t="s">
        <v>240</v>
      </c>
      <c r="B29" s="34" t="s">
        <v>348</v>
      </c>
      <c r="C29" s="24"/>
      <c r="D29" s="25">
        <v>900</v>
      </c>
      <c r="F29" s="100">
        <v>900</v>
      </c>
      <c r="G29" s="109"/>
      <c r="H29" s="109"/>
      <c r="I29" s="109"/>
      <c r="J29" s="104">
        <f>F29-G29-H29-I29</f>
        <v>900</v>
      </c>
    </row>
    <row r="30" spans="1:10" ht="13.5" customHeight="1" x14ac:dyDescent="0.2">
      <c r="A30" t="s">
        <v>240</v>
      </c>
      <c r="B30" s="34" t="s">
        <v>327</v>
      </c>
      <c r="C30" s="24"/>
      <c r="D30" s="25">
        <v>7500</v>
      </c>
      <c r="F30" s="100">
        <v>7500</v>
      </c>
      <c r="G30" s="109"/>
      <c r="H30" s="109"/>
      <c r="I30" s="109"/>
      <c r="J30" s="104">
        <f>F30-G30-H30-I30</f>
        <v>7500</v>
      </c>
    </row>
    <row r="31" spans="1:10" ht="13.5" customHeight="1" x14ac:dyDescent="0.2">
      <c r="A31" t="s">
        <v>240</v>
      </c>
      <c r="B31" s="34" t="s">
        <v>328</v>
      </c>
      <c r="C31" s="24"/>
      <c r="D31" s="25">
        <v>500</v>
      </c>
      <c r="F31" s="100">
        <v>500</v>
      </c>
      <c r="G31" s="109"/>
      <c r="H31" s="109"/>
      <c r="I31" s="109"/>
      <c r="J31" s="104"/>
    </row>
    <row r="32" spans="1:10" ht="13.5" customHeight="1" x14ac:dyDescent="0.2">
      <c r="A32" t="s">
        <v>240</v>
      </c>
      <c r="B32" s="34" t="s">
        <v>385</v>
      </c>
      <c r="C32" s="24"/>
      <c r="D32" s="25">
        <v>4731.47</v>
      </c>
      <c r="F32" s="100">
        <v>4731.47</v>
      </c>
      <c r="G32" s="109"/>
      <c r="H32" s="109"/>
      <c r="I32" s="109"/>
      <c r="J32" s="104">
        <f>F32-G32-H32-I32</f>
        <v>4731.47</v>
      </c>
    </row>
    <row r="33" spans="1:4" ht="13.5" customHeight="1" x14ac:dyDescent="0.2">
      <c r="B33" s="34"/>
      <c r="C33" s="24"/>
      <c r="D33" s="134">
        <f>SUM(D29:D32)</f>
        <v>13631.470000000001</v>
      </c>
    </row>
    <row r="34" spans="1:4" ht="13.5" customHeight="1" x14ac:dyDescent="0.2">
      <c r="B34" s="34"/>
      <c r="C34" s="24"/>
      <c r="D34" s="25"/>
    </row>
    <row r="35" spans="1:4" ht="13.5" customHeight="1" x14ac:dyDescent="0.2">
      <c r="A35" t="s">
        <v>241</v>
      </c>
      <c r="B35" s="34" t="s">
        <v>189</v>
      </c>
      <c r="C35" s="113">
        <v>5923.71</v>
      </c>
      <c r="D35" s="25"/>
    </row>
    <row r="36" spans="1:4" ht="13.5" customHeight="1" x14ac:dyDescent="0.2">
      <c r="A36" t="s">
        <v>241</v>
      </c>
      <c r="B36" s="34" t="s">
        <v>189</v>
      </c>
      <c r="C36" s="113">
        <v>4731.47</v>
      </c>
      <c r="D36" s="25"/>
    </row>
    <row r="37" spans="1:4" ht="13.5" customHeight="1" x14ac:dyDescent="0.2">
      <c r="A37" t="s">
        <v>241</v>
      </c>
      <c r="B37" s="34" t="s">
        <v>189</v>
      </c>
      <c r="C37" s="113">
        <v>1188.8</v>
      </c>
      <c r="D37" s="25"/>
    </row>
    <row r="38" spans="1:4" ht="13.5" customHeight="1" x14ac:dyDescent="0.2">
      <c r="A38" t="s">
        <v>241</v>
      </c>
      <c r="B38" s="34" t="s">
        <v>174</v>
      </c>
      <c r="C38" s="24">
        <v>-9.5</v>
      </c>
      <c r="D38" s="25"/>
    </row>
    <row r="39" spans="1:4" ht="13.5" customHeight="1" x14ac:dyDescent="0.2">
      <c r="A39" t="s">
        <v>241</v>
      </c>
      <c r="B39" s="34" t="s">
        <v>174</v>
      </c>
      <c r="C39" s="24">
        <v>-150</v>
      </c>
      <c r="D39" s="25"/>
    </row>
    <row r="40" spans="1:4" ht="13.5" customHeight="1" x14ac:dyDescent="0.2">
      <c r="A40" t="s">
        <v>241</v>
      </c>
      <c r="B40" s="34" t="s">
        <v>174</v>
      </c>
      <c r="C40" s="24">
        <v>-189.7</v>
      </c>
      <c r="D40" s="25"/>
    </row>
    <row r="41" spans="1:4" ht="13.5" customHeight="1" x14ac:dyDescent="0.2">
      <c r="A41" t="s">
        <v>241</v>
      </c>
      <c r="B41" s="34" t="s">
        <v>174</v>
      </c>
      <c r="C41" s="24">
        <v>-239.23</v>
      </c>
      <c r="D41" s="25"/>
    </row>
    <row r="42" spans="1:4" ht="13.5" customHeight="1" x14ac:dyDescent="0.2">
      <c r="A42" t="s">
        <v>241</v>
      </c>
      <c r="B42" s="34" t="s">
        <v>174</v>
      </c>
      <c r="C42" s="24">
        <v>-314.93</v>
      </c>
      <c r="D42" s="25"/>
    </row>
    <row r="43" spans="1:4" ht="13.5" customHeight="1" x14ac:dyDescent="0.2">
      <c r="A43" t="s">
        <v>241</v>
      </c>
      <c r="B43" s="34" t="s">
        <v>174</v>
      </c>
      <c r="C43" s="24">
        <v>-490</v>
      </c>
      <c r="D43" s="25"/>
    </row>
    <row r="44" spans="1:4" ht="13.5" customHeight="1" x14ac:dyDescent="0.2">
      <c r="A44" t="s">
        <v>241</v>
      </c>
      <c r="B44" s="34" t="s">
        <v>174</v>
      </c>
      <c r="C44" s="24">
        <v>-1004.98</v>
      </c>
      <c r="D44" s="25"/>
    </row>
    <row r="45" spans="1:4" ht="13.5" customHeight="1" x14ac:dyDescent="0.2">
      <c r="A45" t="s">
        <v>241</v>
      </c>
      <c r="B45" s="34" t="s">
        <v>174</v>
      </c>
      <c r="C45" s="24">
        <v>-1594.73</v>
      </c>
      <c r="D45" s="25"/>
    </row>
    <row r="46" spans="1:4" ht="13.5" customHeight="1" x14ac:dyDescent="0.2">
      <c r="A46" t="s">
        <v>241</v>
      </c>
      <c r="B46" s="34" t="s">
        <v>174</v>
      </c>
      <c r="C46" s="24">
        <v>-2075.7399999999998</v>
      </c>
      <c r="D46" s="25"/>
    </row>
    <row r="47" spans="1:4" ht="13.5" customHeight="1" x14ac:dyDescent="0.2">
      <c r="A47" t="s">
        <v>241</v>
      </c>
      <c r="B47" s="34" t="s">
        <v>174</v>
      </c>
      <c r="C47" s="24">
        <v>-2949.69</v>
      </c>
      <c r="D47" s="25"/>
    </row>
    <row r="48" spans="1:4" ht="13.5" customHeight="1" x14ac:dyDescent="0.2">
      <c r="A48" t="s">
        <v>241</v>
      </c>
      <c r="B48" s="34" t="s">
        <v>174</v>
      </c>
      <c r="C48" s="24">
        <v>-3180.28</v>
      </c>
      <c r="D48" s="25"/>
    </row>
    <row r="49" spans="1:4" ht="13.5" customHeight="1" x14ac:dyDescent="0.2">
      <c r="A49" t="s">
        <v>241</v>
      </c>
      <c r="B49" s="34" t="s">
        <v>174</v>
      </c>
      <c r="C49" s="24">
        <v>-6590.01</v>
      </c>
      <c r="D49" s="25"/>
    </row>
    <row r="50" spans="1:4" ht="13.5" customHeight="1" x14ac:dyDescent="0.2">
      <c r="B50" s="34"/>
      <c r="C50" s="136">
        <f>SUM(C35:C49)</f>
        <v>-6944.81</v>
      </c>
      <c r="D50" s="25"/>
    </row>
    <row r="51" spans="1:4" ht="13.5" customHeight="1" x14ac:dyDescent="0.2">
      <c r="B51" s="34"/>
      <c r="C51" s="24"/>
      <c r="D51" s="25"/>
    </row>
    <row r="52" spans="1:4" ht="13.5" customHeight="1" x14ac:dyDescent="0.2">
      <c r="A52" t="s">
        <v>224</v>
      </c>
      <c r="B52" s="237" t="s">
        <v>128</v>
      </c>
      <c r="C52" s="113">
        <v>34.81</v>
      </c>
      <c r="D52" s="238"/>
    </row>
    <row r="53" spans="1:4" ht="13.5" customHeight="1" x14ac:dyDescent="0.2">
      <c r="A53" t="s">
        <v>224</v>
      </c>
      <c r="B53" s="34" t="s">
        <v>62</v>
      </c>
      <c r="C53" s="113">
        <v>438.84</v>
      </c>
      <c r="D53" s="25"/>
    </row>
    <row r="54" spans="1:4" ht="13.5" customHeight="1" x14ac:dyDescent="0.2">
      <c r="A54" t="s">
        <v>224</v>
      </c>
      <c r="B54" s="34" t="s">
        <v>623</v>
      </c>
      <c r="C54" s="113">
        <v>400</v>
      </c>
      <c r="D54" s="25"/>
    </row>
    <row r="55" spans="1:4" ht="13.5" customHeight="1" x14ac:dyDescent="0.2">
      <c r="B55" s="34"/>
      <c r="C55" s="135">
        <f>SUM(C52:C54)</f>
        <v>873.65</v>
      </c>
      <c r="D55" s="25"/>
    </row>
    <row r="56" spans="1:4" ht="13.5" customHeight="1" x14ac:dyDescent="0.2">
      <c r="B56" s="34"/>
      <c r="C56" s="113"/>
      <c r="D56" s="25"/>
    </row>
    <row r="57" spans="1:4" ht="13.5" customHeight="1" x14ac:dyDescent="0.2">
      <c r="A57" t="s">
        <v>224</v>
      </c>
      <c r="B57" s="34" t="s">
        <v>341</v>
      </c>
      <c r="C57" s="24">
        <v>150</v>
      </c>
      <c r="D57" s="25"/>
    </row>
    <row r="58" spans="1:4" ht="13.5" customHeight="1" x14ac:dyDescent="0.2">
      <c r="A58" t="s">
        <v>224</v>
      </c>
      <c r="B58" s="34" t="s">
        <v>284</v>
      </c>
      <c r="C58" s="24">
        <v>150</v>
      </c>
      <c r="D58" s="25"/>
    </row>
    <row r="59" spans="1:4" ht="13.5" customHeight="1" x14ac:dyDescent="0.2">
      <c r="A59" t="s">
        <v>224</v>
      </c>
      <c r="B59" s="34" t="s">
        <v>285</v>
      </c>
      <c r="C59" s="24">
        <v>150</v>
      </c>
      <c r="D59" s="25"/>
    </row>
    <row r="60" spans="1:4" ht="13.5" customHeight="1" x14ac:dyDescent="0.2">
      <c r="A60" t="s">
        <v>224</v>
      </c>
      <c r="B60" s="34" t="s">
        <v>342</v>
      </c>
      <c r="C60" s="24">
        <v>150</v>
      </c>
      <c r="D60" s="25">
        <f>C61-D61</f>
        <v>200</v>
      </c>
    </row>
    <row r="61" spans="1:4" ht="13.5" customHeight="1" x14ac:dyDescent="0.2">
      <c r="B61" s="34"/>
      <c r="C61" s="136">
        <f>SUM(C57:C60)</f>
        <v>600</v>
      </c>
      <c r="D61" s="25">
        <f>C61/3*2</f>
        <v>400</v>
      </c>
    </row>
    <row r="62" spans="1:4" ht="13.5" customHeight="1" x14ac:dyDescent="0.2">
      <c r="B62" s="34"/>
      <c r="C62" s="24"/>
      <c r="D62" s="25"/>
    </row>
    <row r="63" spans="1:4" ht="13.5" customHeight="1" x14ac:dyDescent="0.2">
      <c r="A63" t="s">
        <v>225</v>
      </c>
      <c r="B63" s="34" t="s">
        <v>387</v>
      </c>
      <c r="C63" s="135">
        <v>720.85</v>
      </c>
      <c r="D63" s="25"/>
    </row>
    <row r="64" spans="1:4" ht="13.5" customHeight="1" x14ac:dyDescent="0.2">
      <c r="B64" s="34"/>
      <c r="C64" s="113"/>
      <c r="D64" s="25"/>
    </row>
    <row r="65" spans="1:7" ht="13.5" customHeight="1" x14ac:dyDescent="0.2">
      <c r="B65" s="34"/>
      <c r="C65" s="113"/>
      <c r="D65" s="25"/>
    </row>
    <row r="66" spans="1:7" ht="13.5" customHeight="1" x14ac:dyDescent="0.2">
      <c r="A66" t="s">
        <v>242</v>
      </c>
      <c r="B66" s="34" t="s">
        <v>620</v>
      </c>
      <c r="C66" s="24">
        <v>-28.29</v>
      </c>
      <c r="D66" s="25"/>
    </row>
    <row r="67" spans="1:7" ht="13.5" customHeight="1" x14ac:dyDescent="0.2">
      <c r="A67" t="s">
        <v>242</v>
      </c>
      <c r="B67" s="34" t="s">
        <v>621</v>
      </c>
      <c r="C67" s="24">
        <v>-77.790000000000006</v>
      </c>
      <c r="D67" s="25"/>
    </row>
    <row r="68" spans="1:7" ht="13.5" customHeight="1" x14ac:dyDescent="0.2">
      <c r="A68" t="s">
        <v>242</v>
      </c>
      <c r="B68" s="34" t="s">
        <v>622</v>
      </c>
      <c r="C68" s="24">
        <v>-154.1</v>
      </c>
      <c r="D68" s="238"/>
      <c r="F68" s="34" t="s">
        <v>406</v>
      </c>
      <c r="G68" s="59">
        <v>25.5</v>
      </c>
    </row>
    <row r="69" spans="1:7" ht="13.5" customHeight="1" x14ac:dyDescent="0.2">
      <c r="A69" t="s">
        <v>242</v>
      </c>
      <c r="B69" s="34" t="s">
        <v>80</v>
      </c>
      <c r="C69" s="113">
        <v>67.91</v>
      </c>
      <c r="D69" s="25"/>
      <c r="F69" s="34" t="s">
        <v>406</v>
      </c>
      <c r="G69" s="59">
        <v>22.58</v>
      </c>
    </row>
    <row r="70" spans="1:7" ht="13.5" customHeight="1" x14ac:dyDescent="0.2">
      <c r="A70" t="s">
        <v>242</v>
      </c>
      <c r="B70" s="34" t="s">
        <v>127</v>
      </c>
      <c r="C70" s="113">
        <v>29.61</v>
      </c>
      <c r="D70" s="25"/>
      <c r="F70" s="34" t="s">
        <v>359</v>
      </c>
      <c r="G70" s="113">
        <v>320</v>
      </c>
    </row>
    <row r="71" spans="1:7" ht="13.5" customHeight="1" x14ac:dyDescent="0.2">
      <c r="A71" t="s">
        <v>242</v>
      </c>
      <c r="B71" s="34" t="s">
        <v>288</v>
      </c>
      <c r="C71" s="113">
        <v>17.559999999999999</v>
      </c>
      <c r="D71" s="238"/>
      <c r="F71" s="34" t="s">
        <v>113</v>
      </c>
      <c r="G71" s="113">
        <v>267</v>
      </c>
    </row>
    <row r="72" spans="1:7" ht="13.5" customHeight="1" x14ac:dyDescent="0.2">
      <c r="A72" t="s">
        <v>242</v>
      </c>
      <c r="B72" s="34" t="s">
        <v>109</v>
      </c>
      <c r="C72" s="113">
        <v>42.4</v>
      </c>
      <c r="D72" s="25"/>
    </row>
    <row r="73" spans="1:7" ht="13.5" customHeight="1" x14ac:dyDescent="0.2">
      <c r="A73" t="s">
        <v>242</v>
      </c>
      <c r="B73" s="34" t="s">
        <v>129</v>
      </c>
      <c r="C73" s="113">
        <v>49.37</v>
      </c>
      <c r="D73" s="25"/>
    </row>
    <row r="74" spans="1:7" ht="13.5" customHeight="1" x14ac:dyDescent="0.2">
      <c r="A74" t="s">
        <v>242</v>
      </c>
      <c r="B74" s="34" t="s">
        <v>330</v>
      </c>
      <c r="C74" s="113">
        <v>344.91</v>
      </c>
      <c r="D74" s="25"/>
    </row>
    <row r="75" spans="1:7" ht="13.5" customHeight="1" x14ac:dyDescent="0.2">
      <c r="A75" t="s">
        <v>242</v>
      </c>
      <c r="B75" s="34" t="s">
        <v>357</v>
      </c>
      <c r="C75" s="24">
        <v>13</v>
      </c>
      <c r="D75" s="25"/>
    </row>
    <row r="76" spans="1:7" ht="13.5" customHeight="1" x14ac:dyDescent="0.2">
      <c r="A76" t="s">
        <v>242</v>
      </c>
      <c r="B76" s="34" t="s">
        <v>87</v>
      </c>
      <c r="C76" s="113">
        <v>37.85</v>
      </c>
      <c r="D76" s="25"/>
    </row>
    <row r="77" spans="1:7" ht="13.5" customHeight="1" x14ac:dyDescent="0.2">
      <c r="A77" t="s">
        <v>242</v>
      </c>
      <c r="B77" s="34" t="s">
        <v>303</v>
      </c>
      <c r="C77" s="24">
        <v>-2100</v>
      </c>
      <c r="D77" s="25"/>
    </row>
    <row r="78" spans="1:7" ht="13.5" customHeight="1" x14ac:dyDescent="0.2">
      <c r="A78" t="s">
        <v>242</v>
      </c>
      <c r="B78" s="34" t="s">
        <v>624</v>
      </c>
      <c r="C78" s="24">
        <f>SUM(G68:G71)/2</f>
        <v>317.53999999999996</v>
      </c>
      <c r="D78" s="25"/>
    </row>
    <row r="79" spans="1:7" ht="13.5" customHeight="1" x14ac:dyDescent="0.2">
      <c r="B79" s="34"/>
      <c r="C79" s="135">
        <f>SUM(C66:C78)</f>
        <v>-1440.03</v>
      </c>
      <c r="D79" s="25"/>
    </row>
    <row r="80" spans="1:7" ht="12.75" customHeight="1" x14ac:dyDescent="0.2">
      <c r="B80" s="34"/>
      <c r="C80" s="113"/>
      <c r="D80" s="25"/>
    </row>
    <row r="81" spans="1:10" ht="12.75" customHeight="1" x14ac:dyDescent="0.2">
      <c r="A81" t="s">
        <v>242</v>
      </c>
      <c r="B81" s="34" t="s">
        <v>199</v>
      </c>
      <c r="C81" s="113">
        <v>254.16</v>
      </c>
      <c r="D81" s="25"/>
    </row>
    <row r="82" spans="1:10" ht="12.75" customHeight="1" x14ac:dyDescent="0.2">
      <c r="A82" t="s">
        <v>242</v>
      </c>
      <c r="B82" s="34" t="s">
        <v>367</v>
      </c>
      <c r="C82" s="24">
        <v>6.8</v>
      </c>
      <c r="D82" s="25"/>
    </row>
    <row r="83" spans="1:10" ht="13.5" customHeight="1" x14ac:dyDescent="0.2">
      <c r="A83" t="s">
        <v>242</v>
      </c>
      <c r="B83" s="34" t="s">
        <v>404</v>
      </c>
      <c r="C83" s="68">
        <v>44.99</v>
      </c>
      <c r="D83" s="71"/>
    </row>
    <row r="84" spans="1:10" ht="13.5" customHeight="1" x14ac:dyDescent="0.2">
      <c r="A84" t="s">
        <v>242</v>
      </c>
      <c r="B84" s="34" t="s">
        <v>180</v>
      </c>
      <c r="C84" s="113">
        <v>524.98</v>
      </c>
      <c r="D84" s="25"/>
    </row>
    <row r="85" spans="1:10" ht="13.5" customHeight="1" x14ac:dyDescent="0.2">
      <c r="A85" t="s">
        <v>242</v>
      </c>
      <c r="B85" s="34" t="s">
        <v>407</v>
      </c>
      <c r="C85" s="59">
        <v>140</v>
      </c>
      <c r="D85" s="71"/>
    </row>
    <row r="86" spans="1:10" ht="13.5" customHeight="1" x14ac:dyDescent="0.2">
      <c r="A86" t="s">
        <v>242</v>
      </c>
      <c r="B86" s="34" t="s">
        <v>269</v>
      </c>
      <c r="C86" s="24">
        <v>60.45</v>
      </c>
      <c r="D86" s="25"/>
    </row>
    <row r="87" spans="1:10" ht="13.5" customHeight="1" x14ac:dyDescent="0.2">
      <c r="A87" t="s">
        <v>242</v>
      </c>
      <c r="B87" s="34" t="s">
        <v>625</v>
      </c>
      <c r="C87" s="24">
        <f>C78</f>
        <v>317.53999999999996</v>
      </c>
      <c r="D87" s="25"/>
    </row>
    <row r="88" spans="1:10" ht="13.5" customHeight="1" x14ac:dyDescent="0.2">
      <c r="B88" s="34"/>
      <c r="C88" s="136">
        <f>SUM(C81:C87)</f>
        <v>1348.92</v>
      </c>
      <c r="D88" s="25"/>
    </row>
    <row r="89" spans="1:10" ht="13.5" customHeight="1" x14ac:dyDescent="0.2">
      <c r="B89" s="34"/>
      <c r="C89" s="24"/>
      <c r="D89" s="25"/>
      <c r="G89"/>
      <c r="H89" s="34"/>
      <c r="I89" s="113"/>
      <c r="J89" s="25"/>
    </row>
    <row r="90" spans="1:10" ht="13.5" customHeight="1" x14ac:dyDescent="0.2">
      <c r="A90" t="s">
        <v>243</v>
      </c>
      <c r="B90" s="34" t="s">
        <v>9</v>
      </c>
      <c r="C90" s="113">
        <v>900</v>
      </c>
      <c r="D90" s="25"/>
      <c r="G90"/>
      <c r="H90" s="34"/>
      <c r="I90" s="113"/>
      <c r="J90" s="25"/>
    </row>
    <row r="91" spans="1:10" ht="13.5" customHeight="1" x14ac:dyDescent="0.2">
      <c r="A91" t="s">
        <v>243</v>
      </c>
      <c r="B91" s="34" t="s">
        <v>338</v>
      </c>
      <c r="C91" s="113">
        <v>53.7</v>
      </c>
      <c r="D91" s="25"/>
      <c r="G91"/>
      <c r="H91" s="34"/>
      <c r="I91" s="24"/>
      <c r="J91" s="25"/>
    </row>
    <row r="92" spans="1:10" ht="13.5" customHeight="1" x14ac:dyDescent="0.2">
      <c r="A92" t="s">
        <v>243</v>
      </c>
      <c r="B92" s="34" t="s">
        <v>623</v>
      </c>
      <c r="C92" s="24">
        <v>200</v>
      </c>
      <c r="D92" s="25"/>
      <c r="G92"/>
      <c r="H92" s="34"/>
      <c r="I92" s="24"/>
      <c r="J92" s="25"/>
    </row>
    <row r="93" spans="1:10" ht="13.5" customHeight="1" x14ac:dyDescent="0.2">
      <c r="A93" t="s">
        <v>243</v>
      </c>
      <c r="B93" s="34" t="s">
        <v>293</v>
      </c>
      <c r="C93" s="24">
        <v>65</v>
      </c>
      <c r="D93" s="25"/>
    </row>
    <row r="94" spans="1:10" ht="13.5" customHeight="1" x14ac:dyDescent="0.2">
      <c r="A94" t="s">
        <v>243</v>
      </c>
      <c r="B94" s="34" t="s">
        <v>302</v>
      </c>
      <c r="C94" s="24">
        <v>26.8</v>
      </c>
      <c r="D94" s="25"/>
    </row>
    <row r="95" spans="1:10" ht="13.5" customHeight="1" x14ac:dyDescent="0.2">
      <c r="A95" t="s">
        <v>243</v>
      </c>
      <c r="B95" s="34" t="s">
        <v>110</v>
      </c>
      <c r="C95" s="24">
        <v>14.46</v>
      </c>
      <c r="D95" s="25"/>
    </row>
    <row r="96" spans="1:10" ht="13.5" customHeight="1" x14ac:dyDescent="0.2">
      <c r="A96" t="s">
        <v>243</v>
      </c>
      <c r="B96" s="34" t="s">
        <v>340</v>
      </c>
      <c r="C96" s="24">
        <v>8.98</v>
      </c>
      <c r="D96" s="25"/>
    </row>
    <row r="97" spans="1:8" ht="13.5" customHeight="1" x14ac:dyDescent="0.2">
      <c r="A97" t="s">
        <v>243</v>
      </c>
      <c r="B97" s="34" t="s">
        <v>315</v>
      </c>
      <c r="C97" s="24">
        <v>13.96</v>
      </c>
      <c r="D97" s="25"/>
    </row>
    <row r="98" spans="1:8" ht="13.5" customHeight="1" x14ac:dyDescent="0.2">
      <c r="A98" t="s">
        <v>243</v>
      </c>
      <c r="B98" s="34" t="s">
        <v>134</v>
      </c>
      <c r="C98" s="113">
        <v>119.9</v>
      </c>
      <c r="D98" s="25"/>
    </row>
    <row r="99" spans="1:8" ht="13.5" customHeight="1" x14ac:dyDescent="0.2">
      <c r="A99" t="s">
        <v>243</v>
      </c>
      <c r="B99" s="237" t="s">
        <v>81</v>
      </c>
      <c r="C99" s="113">
        <v>49.9</v>
      </c>
      <c r="D99" s="25"/>
    </row>
    <row r="100" spans="1:8" ht="13.5" customHeight="1" x14ac:dyDescent="0.2">
      <c r="A100" t="s">
        <v>243</v>
      </c>
      <c r="B100" s="34" t="s">
        <v>88</v>
      </c>
      <c r="C100" s="113">
        <v>99.98</v>
      </c>
      <c r="D100" s="25"/>
    </row>
    <row r="101" spans="1:8" ht="13.5" customHeight="1" x14ac:dyDescent="0.2">
      <c r="B101" s="34"/>
      <c r="C101" s="135">
        <f>SUM(C90:C100)</f>
        <v>1552.6800000000003</v>
      </c>
      <c r="D101" s="25">
        <v>776.34000000000015</v>
      </c>
    </row>
    <row r="102" spans="1:8" ht="13.5" customHeight="1" x14ac:dyDescent="0.2">
      <c r="B102" s="34"/>
      <c r="C102" s="113"/>
      <c r="D102" s="25"/>
    </row>
    <row r="103" spans="1:8" ht="13.5" customHeight="1" x14ac:dyDescent="0.2">
      <c r="A103" t="s">
        <v>230</v>
      </c>
      <c r="B103" s="34" t="s">
        <v>382</v>
      </c>
      <c r="C103" s="135">
        <v>314.93</v>
      </c>
      <c r="D103" s="25">
        <f>SUM(C103/2)</f>
        <v>157.465</v>
      </c>
    </row>
    <row r="104" spans="1:8" ht="13.5" customHeight="1" x14ac:dyDescent="0.2">
      <c r="B104" s="34"/>
      <c r="C104" s="113"/>
      <c r="D104" s="25"/>
    </row>
    <row r="105" spans="1:8" ht="13.5" customHeight="1" x14ac:dyDescent="0.2">
      <c r="B105" s="34"/>
      <c r="C105" s="113"/>
      <c r="D105" s="25"/>
    </row>
    <row r="106" spans="1:8" ht="13.5" customHeight="1" x14ac:dyDescent="0.2">
      <c r="A106" t="s">
        <v>231</v>
      </c>
      <c r="B106" s="34" t="s">
        <v>394</v>
      </c>
      <c r="C106" s="135">
        <v>1629</v>
      </c>
      <c r="D106" s="25">
        <f>SUM(C106/2)</f>
        <v>814.5</v>
      </c>
    </row>
    <row r="107" spans="1:8" ht="13.5" customHeight="1" x14ac:dyDescent="0.2">
      <c r="B107" s="34"/>
      <c r="C107" s="113"/>
      <c r="D107" s="25"/>
    </row>
    <row r="108" spans="1:8" ht="13.5" customHeight="1" x14ac:dyDescent="0.2">
      <c r="B108" s="34"/>
      <c r="C108" s="113"/>
      <c r="D108" s="25"/>
    </row>
    <row r="109" spans="1:8" ht="13.5" customHeight="1" x14ac:dyDescent="0.2">
      <c r="A109" t="s">
        <v>232</v>
      </c>
      <c r="B109" s="34" t="s">
        <v>596</v>
      </c>
      <c r="C109" s="113">
        <v>405.68</v>
      </c>
      <c r="D109" s="25"/>
    </row>
    <row r="110" spans="1:8" ht="13.5" customHeight="1" x14ac:dyDescent="0.2">
      <c r="A110" t="s">
        <v>232</v>
      </c>
      <c r="B110" s="34" t="s">
        <v>422</v>
      </c>
      <c r="C110" s="113">
        <f>SUM(H112:H118)/2</f>
        <v>1107.4050000000002</v>
      </c>
      <c r="D110" s="25"/>
    </row>
    <row r="111" spans="1:8" ht="13.5" customHeight="1" x14ac:dyDescent="0.2">
      <c r="B111" s="34"/>
      <c r="C111" s="135">
        <f>SUM(C109:C110)</f>
        <v>1513.0850000000003</v>
      </c>
      <c r="D111" s="25"/>
    </row>
    <row r="112" spans="1:8" ht="13.5" customHeight="1" x14ac:dyDescent="0.2">
      <c r="B112" s="34"/>
      <c r="C112" s="24"/>
      <c r="D112" s="25"/>
      <c r="F112" t="s">
        <v>232</v>
      </c>
      <c r="G112" s="34" t="s">
        <v>391</v>
      </c>
      <c r="H112" s="113">
        <v>715.61</v>
      </c>
    </row>
    <row r="113" spans="1:8" ht="13.5" customHeight="1" x14ac:dyDescent="0.2">
      <c r="A113" t="s">
        <v>232</v>
      </c>
      <c r="B113" s="34" t="s">
        <v>374</v>
      </c>
      <c r="C113" s="24">
        <v>110</v>
      </c>
      <c r="D113" s="25"/>
      <c r="F113" t="s">
        <v>232</v>
      </c>
      <c r="G113" s="34" t="s">
        <v>393</v>
      </c>
      <c r="H113" s="113">
        <v>464.84</v>
      </c>
    </row>
    <row r="114" spans="1:8" ht="13.5" customHeight="1" x14ac:dyDescent="0.2">
      <c r="A114" t="s">
        <v>232</v>
      </c>
      <c r="B114" s="34" t="s">
        <v>395</v>
      </c>
      <c r="C114" s="113">
        <v>763.32</v>
      </c>
      <c r="D114" s="25"/>
      <c r="F114" t="s">
        <v>232</v>
      </c>
      <c r="G114" s="34" t="s">
        <v>392</v>
      </c>
      <c r="H114" s="113">
        <v>507.1</v>
      </c>
    </row>
    <row r="115" spans="1:8" ht="13.5" customHeight="1" x14ac:dyDescent="0.2">
      <c r="A115" t="s">
        <v>232</v>
      </c>
      <c r="B115" s="34" t="s">
        <v>396</v>
      </c>
      <c r="C115" s="113">
        <v>405.68</v>
      </c>
      <c r="D115" s="25"/>
      <c r="F115" t="s">
        <v>232</v>
      </c>
      <c r="G115" s="138" t="s">
        <v>401</v>
      </c>
      <c r="H115" s="113">
        <v>150</v>
      </c>
    </row>
    <row r="116" spans="1:8" ht="13.5" customHeight="1" x14ac:dyDescent="0.2">
      <c r="A116" t="s">
        <v>232</v>
      </c>
      <c r="B116" s="34" t="s">
        <v>301</v>
      </c>
      <c r="C116" s="24">
        <v>52.8</v>
      </c>
      <c r="D116" s="25"/>
      <c r="F116" t="s">
        <v>232</v>
      </c>
      <c r="G116" s="138" t="s">
        <v>402</v>
      </c>
      <c r="H116" s="113">
        <v>150</v>
      </c>
    </row>
    <row r="117" spans="1:8" ht="13.5" customHeight="1" x14ac:dyDescent="0.2">
      <c r="A117" t="s">
        <v>232</v>
      </c>
      <c r="B117" s="34" t="s">
        <v>314</v>
      </c>
      <c r="C117" s="24">
        <v>8.98</v>
      </c>
      <c r="D117" s="25"/>
      <c r="F117" t="s">
        <v>232</v>
      </c>
      <c r="G117" s="34" t="s">
        <v>107</v>
      </c>
      <c r="H117" s="24">
        <v>200</v>
      </c>
    </row>
    <row r="118" spans="1:8" ht="13.5" customHeight="1" x14ac:dyDescent="0.2">
      <c r="A118" t="s">
        <v>232</v>
      </c>
      <c r="B118" s="34" t="s">
        <v>314</v>
      </c>
      <c r="C118" s="24">
        <v>21.77</v>
      </c>
      <c r="D118" s="25"/>
      <c r="F118" t="s">
        <v>417</v>
      </c>
      <c r="G118" s="34" t="s">
        <v>409</v>
      </c>
      <c r="H118" s="59">
        <v>27.26</v>
      </c>
    </row>
    <row r="119" spans="1:8" ht="13.5" customHeight="1" x14ac:dyDescent="0.2">
      <c r="A119" t="s">
        <v>232</v>
      </c>
      <c r="B119" s="34" t="s">
        <v>314</v>
      </c>
      <c r="C119" s="24">
        <v>39.72</v>
      </c>
      <c r="D119" s="25"/>
    </row>
    <row r="120" spans="1:8" ht="13.5" customHeight="1" x14ac:dyDescent="0.2">
      <c r="A120" t="s">
        <v>232</v>
      </c>
      <c r="B120" s="34" t="s">
        <v>339</v>
      </c>
      <c r="C120" s="24">
        <v>17.96</v>
      </c>
      <c r="D120" s="25"/>
    </row>
    <row r="121" spans="1:8" ht="13.5" customHeight="1" x14ac:dyDescent="0.2">
      <c r="A121" t="s">
        <v>232</v>
      </c>
      <c r="B121" s="34" t="s">
        <v>125</v>
      </c>
      <c r="C121" s="24">
        <v>30.63</v>
      </c>
      <c r="D121" s="25"/>
    </row>
    <row r="122" spans="1:8" ht="13.5" customHeight="1" x14ac:dyDescent="0.2">
      <c r="A122" t="s">
        <v>232</v>
      </c>
      <c r="B122" s="34" t="s">
        <v>125</v>
      </c>
      <c r="C122" s="24">
        <v>38.619999999999997</v>
      </c>
      <c r="D122" s="25"/>
    </row>
    <row r="123" spans="1:8" ht="13.5" customHeight="1" x14ac:dyDescent="0.2">
      <c r="A123" t="s">
        <v>232</v>
      </c>
      <c r="B123" s="45" t="s">
        <v>375</v>
      </c>
      <c r="C123" s="24">
        <v>100</v>
      </c>
      <c r="D123" s="25"/>
    </row>
    <row r="124" spans="1:8" ht="13.5" customHeight="1" x14ac:dyDescent="0.2">
      <c r="A124" t="s">
        <v>232</v>
      </c>
      <c r="B124" s="34" t="s">
        <v>36</v>
      </c>
      <c r="C124" s="24">
        <v>280</v>
      </c>
      <c r="D124" s="25"/>
    </row>
    <row r="125" spans="1:8" ht="13.5" customHeight="1" x14ac:dyDescent="0.2">
      <c r="A125" t="s">
        <v>232</v>
      </c>
      <c r="B125" s="34" t="s">
        <v>36</v>
      </c>
      <c r="C125" s="24">
        <v>280</v>
      </c>
      <c r="D125" s="25"/>
    </row>
    <row r="126" spans="1:8" ht="13.5" customHeight="1" x14ac:dyDescent="0.2">
      <c r="A126" t="s">
        <v>232</v>
      </c>
      <c r="B126" s="34" t="s">
        <v>36</v>
      </c>
      <c r="C126" s="24">
        <v>350</v>
      </c>
      <c r="D126" s="25"/>
    </row>
    <row r="127" spans="1:8" ht="13.5" customHeight="1" x14ac:dyDescent="0.2">
      <c r="A127" t="s">
        <v>232</v>
      </c>
      <c r="B127" s="34" t="s">
        <v>36</v>
      </c>
      <c r="C127" s="24">
        <v>350</v>
      </c>
      <c r="D127" s="25"/>
    </row>
    <row r="128" spans="1:8" ht="13.5" customHeight="1" x14ac:dyDescent="0.2">
      <c r="A128" t="s">
        <v>232</v>
      </c>
      <c r="B128" s="34" t="s">
        <v>36</v>
      </c>
      <c r="C128" s="24">
        <v>350</v>
      </c>
      <c r="D128" s="25"/>
    </row>
    <row r="129" spans="1:4" ht="13.5" customHeight="1" x14ac:dyDescent="0.2">
      <c r="A129" t="s">
        <v>232</v>
      </c>
      <c r="B129" s="36" t="s">
        <v>346</v>
      </c>
      <c r="C129" s="24">
        <v>125</v>
      </c>
      <c r="D129" s="25"/>
    </row>
    <row r="130" spans="1:4" ht="13.5" customHeight="1" x14ac:dyDescent="0.2">
      <c r="A130" t="s">
        <v>232</v>
      </c>
      <c r="B130" s="36" t="s">
        <v>76</v>
      </c>
      <c r="C130" s="24">
        <v>160</v>
      </c>
      <c r="D130" s="25"/>
    </row>
    <row r="131" spans="1:4" ht="13.5" customHeight="1" x14ac:dyDescent="0.2">
      <c r="A131" t="s">
        <v>232</v>
      </c>
      <c r="B131" s="34" t="s">
        <v>31</v>
      </c>
      <c r="C131" s="24">
        <v>740</v>
      </c>
      <c r="D131" s="238"/>
    </row>
    <row r="132" spans="1:4" ht="13.5" customHeight="1" x14ac:dyDescent="0.2">
      <c r="A132" t="s">
        <v>232</v>
      </c>
      <c r="B132" s="34" t="s">
        <v>31</v>
      </c>
      <c r="C132" s="24">
        <v>1100</v>
      </c>
      <c r="D132" s="25"/>
    </row>
    <row r="133" spans="1:4" ht="13.5" customHeight="1" x14ac:dyDescent="0.2">
      <c r="A133" t="s">
        <v>232</v>
      </c>
      <c r="B133" s="36" t="s">
        <v>323</v>
      </c>
      <c r="C133" s="103">
        <v>360</v>
      </c>
      <c r="D133" s="60"/>
    </row>
    <row r="134" spans="1:4" ht="13.5" customHeight="1" x14ac:dyDescent="0.2">
      <c r="A134" t="s">
        <v>232</v>
      </c>
      <c r="B134" s="34" t="s">
        <v>416</v>
      </c>
      <c r="C134" s="68">
        <v>15</v>
      </c>
      <c r="D134" s="71"/>
    </row>
    <row r="135" spans="1:4" ht="13.5" customHeight="1" x14ac:dyDescent="0.2">
      <c r="A135" t="s">
        <v>232</v>
      </c>
      <c r="B135" s="34" t="s">
        <v>318</v>
      </c>
      <c r="C135" s="24">
        <v>390</v>
      </c>
      <c r="D135" s="25"/>
    </row>
    <row r="136" spans="1:4" ht="13.5" customHeight="1" x14ac:dyDescent="0.2">
      <c r="A136" t="s">
        <v>232</v>
      </c>
      <c r="B136" s="45" t="s">
        <v>318</v>
      </c>
      <c r="C136" s="24">
        <v>650</v>
      </c>
      <c r="D136" s="25"/>
    </row>
    <row r="137" spans="1:4" ht="13.5" customHeight="1" x14ac:dyDescent="0.2">
      <c r="A137" t="s">
        <v>232</v>
      </c>
      <c r="B137" s="36" t="s">
        <v>318</v>
      </c>
      <c r="C137" s="24">
        <v>780</v>
      </c>
      <c r="D137" s="25"/>
    </row>
    <row r="138" spans="1:4" ht="13.5" customHeight="1" x14ac:dyDescent="0.2">
      <c r="A138" t="s">
        <v>232</v>
      </c>
      <c r="B138" s="237" t="s">
        <v>373</v>
      </c>
      <c r="C138" s="24">
        <v>300</v>
      </c>
      <c r="D138" s="238"/>
    </row>
    <row r="139" spans="1:4" ht="13.5" customHeight="1" x14ac:dyDescent="0.2">
      <c r="A139" t="s">
        <v>232</v>
      </c>
      <c r="B139" s="34" t="s">
        <v>43</v>
      </c>
      <c r="C139" s="24">
        <v>180</v>
      </c>
      <c r="D139" s="25"/>
    </row>
    <row r="140" spans="1:4" ht="13.5" customHeight="1" x14ac:dyDescent="0.2">
      <c r="A140" t="s">
        <v>232</v>
      </c>
      <c r="B140" s="36" t="s">
        <v>52</v>
      </c>
      <c r="C140" s="24">
        <v>360</v>
      </c>
      <c r="D140" s="25"/>
    </row>
    <row r="141" spans="1:4" ht="13.5" customHeight="1" x14ac:dyDescent="0.2">
      <c r="A141" t="s">
        <v>232</v>
      </c>
      <c r="B141" s="34" t="s">
        <v>52</v>
      </c>
      <c r="C141" s="24">
        <v>450</v>
      </c>
      <c r="D141" s="25"/>
    </row>
    <row r="142" spans="1:4" ht="13.5" customHeight="1" x14ac:dyDescent="0.2">
      <c r="A142" t="s">
        <v>232</v>
      </c>
      <c r="B142" s="34" t="s">
        <v>52</v>
      </c>
      <c r="C142" s="24">
        <v>450</v>
      </c>
      <c r="D142" s="25"/>
    </row>
    <row r="143" spans="1:4" ht="13.5" customHeight="1" x14ac:dyDescent="0.2">
      <c r="A143" t="s">
        <v>232</v>
      </c>
      <c r="B143" s="34" t="s">
        <v>52</v>
      </c>
      <c r="C143" s="24">
        <v>450</v>
      </c>
      <c r="D143" s="25"/>
    </row>
    <row r="144" spans="1:4" ht="13.5" customHeight="1" x14ac:dyDescent="0.2">
      <c r="A144" t="s">
        <v>232</v>
      </c>
      <c r="B144" s="34" t="s">
        <v>52</v>
      </c>
      <c r="C144" s="24">
        <v>480</v>
      </c>
      <c r="D144" s="25"/>
    </row>
    <row r="145" spans="1:4" ht="13.5" customHeight="1" x14ac:dyDescent="0.2">
      <c r="A145" t="s">
        <v>232</v>
      </c>
      <c r="B145" s="34" t="s">
        <v>319</v>
      </c>
      <c r="C145" s="24">
        <v>150</v>
      </c>
      <c r="D145" s="25"/>
    </row>
    <row r="146" spans="1:4" ht="13.5" customHeight="1" x14ac:dyDescent="0.2">
      <c r="A146" t="s">
        <v>232</v>
      </c>
      <c r="B146" s="34" t="s">
        <v>319</v>
      </c>
      <c r="C146" s="24">
        <v>250</v>
      </c>
      <c r="D146" s="25"/>
    </row>
    <row r="147" spans="1:4" ht="13.5" customHeight="1" x14ac:dyDescent="0.2">
      <c r="A147" t="s">
        <v>232</v>
      </c>
      <c r="B147" s="34" t="s">
        <v>423</v>
      </c>
      <c r="C147" s="24">
        <f>C110</f>
        <v>1107.4050000000002</v>
      </c>
      <c r="D147" s="25"/>
    </row>
    <row r="148" spans="1:4" ht="13.5" customHeight="1" x14ac:dyDescent="0.2">
      <c r="B148" s="34"/>
      <c r="C148" s="136">
        <f>SUM(C113:C147)</f>
        <v>11696.885</v>
      </c>
      <c r="D148" s="25"/>
    </row>
    <row r="149" spans="1:4" ht="13.5" customHeight="1" x14ac:dyDescent="0.2">
      <c r="B149" s="34"/>
      <c r="C149" s="24"/>
      <c r="D149" s="25"/>
    </row>
    <row r="150" spans="1:4" ht="13.5" customHeight="1" x14ac:dyDescent="0.2">
      <c r="A150" t="s">
        <v>245</v>
      </c>
      <c r="B150" s="34" t="s">
        <v>386</v>
      </c>
      <c r="C150" s="113">
        <v>173.88</v>
      </c>
      <c r="D150" s="25"/>
    </row>
    <row r="151" spans="1:4" ht="13.5" customHeight="1" x14ac:dyDescent="0.2">
      <c r="A151" t="s">
        <v>245</v>
      </c>
      <c r="B151" s="34" t="s">
        <v>306</v>
      </c>
      <c r="C151" s="24">
        <v>82</v>
      </c>
      <c r="D151" s="25"/>
    </row>
    <row r="152" spans="1:4" ht="13.5" customHeight="1" x14ac:dyDescent="0.2">
      <c r="A152" t="s">
        <v>245</v>
      </c>
      <c r="B152" s="34" t="s">
        <v>309</v>
      </c>
      <c r="C152" s="24">
        <v>13.65</v>
      </c>
      <c r="D152" s="25"/>
    </row>
    <row r="153" spans="1:4" ht="13.5" customHeight="1" x14ac:dyDescent="0.2">
      <c r="A153" t="s">
        <v>245</v>
      </c>
      <c r="B153" s="34" t="s">
        <v>351</v>
      </c>
      <c r="C153" s="24">
        <v>8.6999999999999993</v>
      </c>
      <c r="D153" s="25"/>
    </row>
    <row r="154" spans="1:4" ht="13.5" customHeight="1" x14ac:dyDescent="0.2">
      <c r="A154" t="s">
        <v>245</v>
      </c>
      <c r="B154" s="34" t="s">
        <v>356</v>
      </c>
      <c r="C154" s="24">
        <v>29.9</v>
      </c>
      <c r="D154" s="25"/>
    </row>
    <row r="155" spans="1:4" ht="13.5" customHeight="1" x14ac:dyDescent="0.2">
      <c r="A155" t="s">
        <v>245</v>
      </c>
      <c r="B155" s="34" t="s">
        <v>353</v>
      </c>
      <c r="C155" s="24">
        <v>2.4</v>
      </c>
      <c r="D155" s="25"/>
    </row>
    <row r="156" spans="1:4" ht="13.5" customHeight="1" x14ac:dyDescent="0.2">
      <c r="A156" t="s">
        <v>245</v>
      </c>
      <c r="B156" s="34" t="s">
        <v>358</v>
      </c>
      <c r="C156" s="24">
        <v>59</v>
      </c>
      <c r="D156" s="25"/>
    </row>
    <row r="157" spans="1:4" ht="13.5" customHeight="1" x14ac:dyDescent="0.2">
      <c r="A157" t="s">
        <v>245</v>
      </c>
      <c r="B157" s="34" t="s">
        <v>355</v>
      </c>
      <c r="C157" s="24">
        <v>19.5</v>
      </c>
      <c r="D157" s="25"/>
    </row>
    <row r="158" spans="1:4" ht="13.5" customHeight="1" x14ac:dyDescent="0.2">
      <c r="A158" t="s">
        <v>626</v>
      </c>
      <c r="B158" s="34" t="s">
        <v>408</v>
      </c>
      <c r="C158" s="59">
        <v>20.25</v>
      </c>
      <c r="D158" s="71"/>
    </row>
    <row r="159" spans="1:4" ht="13.5" customHeight="1" x14ac:dyDescent="0.2">
      <c r="A159" t="s">
        <v>626</v>
      </c>
      <c r="B159" s="34" t="s">
        <v>411</v>
      </c>
      <c r="C159" s="59">
        <v>40</v>
      </c>
      <c r="D159" s="71"/>
    </row>
    <row r="160" spans="1:4" ht="13.5" customHeight="1" x14ac:dyDescent="0.2">
      <c r="A160" t="s">
        <v>626</v>
      </c>
      <c r="B160" s="34" t="s">
        <v>410</v>
      </c>
      <c r="C160" s="59">
        <v>59.8</v>
      </c>
      <c r="D160" s="71"/>
    </row>
    <row r="161" spans="1:10" ht="13.5" customHeight="1" x14ac:dyDescent="0.2">
      <c r="A161" t="s">
        <v>245</v>
      </c>
      <c r="B161" s="34" t="s">
        <v>255</v>
      </c>
      <c r="C161" s="24">
        <v>110</v>
      </c>
      <c r="D161" s="25"/>
    </row>
    <row r="162" spans="1:10" ht="13.5" customHeight="1" x14ac:dyDescent="0.2">
      <c r="A162" t="s">
        <v>245</v>
      </c>
      <c r="B162" s="34" t="s">
        <v>308</v>
      </c>
      <c r="C162" s="24">
        <v>46</v>
      </c>
      <c r="D162" s="25"/>
    </row>
    <row r="163" spans="1:10" ht="13.5" customHeight="1" x14ac:dyDescent="0.2">
      <c r="A163" t="s">
        <v>245</v>
      </c>
      <c r="B163" s="34" t="s">
        <v>352</v>
      </c>
      <c r="C163" s="24">
        <v>29</v>
      </c>
      <c r="D163" s="25"/>
    </row>
    <row r="164" spans="1:10" ht="13.5" customHeight="1" x14ac:dyDescent="0.2">
      <c r="A164" t="s">
        <v>245</v>
      </c>
      <c r="B164" s="34" t="s">
        <v>307</v>
      </c>
      <c r="C164" s="24">
        <v>34</v>
      </c>
      <c r="D164" s="25"/>
    </row>
    <row r="165" spans="1:10" ht="13.5" customHeight="1" x14ac:dyDescent="0.2">
      <c r="A165" t="s">
        <v>245</v>
      </c>
      <c r="B165" s="34" t="s">
        <v>354</v>
      </c>
      <c r="C165" s="24">
        <v>6.7</v>
      </c>
      <c r="D165" s="25"/>
    </row>
    <row r="166" spans="1:10" ht="13.5" customHeight="1" x14ac:dyDescent="0.2">
      <c r="A166" t="s">
        <v>245</v>
      </c>
      <c r="B166" s="34" t="s">
        <v>384</v>
      </c>
      <c r="C166" s="113">
        <v>2570</v>
      </c>
      <c r="D166" s="25"/>
    </row>
    <row r="167" spans="1:10" ht="13.5" customHeight="1" x14ac:dyDescent="0.2">
      <c r="A167" t="s">
        <v>245</v>
      </c>
      <c r="B167" s="34" t="s">
        <v>274</v>
      </c>
      <c r="C167" s="24">
        <v>72</v>
      </c>
      <c r="D167" s="25"/>
    </row>
    <row r="168" spans="1:10" ht="13.5" customHeight="1" x14ac:dyDescent="0.2">
      <c r="A168" t="s">
        <v>245</v>
      </c>
      <c r="B168" s="34" t="s">
        <v>274</v>
      </c>
      <c r="C168" s="24">
        <v>192</v>
      </c>
      <c r="D168" s="25"/>
    </row>
    <row r="169" spans="1:10" ht="13.5" customHeight="1" x14ac:dyDescent="0.2">
      <c r="A169" t="s">
        <v>245</v>
      </c>
      <c r="B169" s="36" t="s">
        <v>390</v>
      </c>
      <c r="C169" s="69">
        <v>4437.7700000000004</v>
      </c>
      <c r="D169" s="60"/>
    </row>
    <row r="170" spans="1:10" ht="13.5" customHeight="1" x14ac:dyDescent="0.2">
      <c r="A170" t="s">
        <v>245</v>
      </c>
      <c r="B170" s="36" t="s">
        <v>400</v>
      </c>
      <c r="C170" s="69">
        <v>227.33</v>
      </c>
      <c r="D170" s="60"/>
    </row>
    <row r="171" spans="1:10" ht="13.5" customHeight="1" x14ac:dyDescent="0.2">
      <c r="A171" t="s">
        <v>626</v>
      </c>
      <c r="B171" s="34" t="s">
        <v>422</v>
      </c>
      <c r="C171" s="113">
        <f>SUM(I176:I180)/2</f>
        <v>628.68499999999995</v>
      </c>
      <c r="D171" s="25"/>
    </row>
    <row r="172" spans="1:10" ht="13.5" customHeight="1" x14ac:dyDescent="0.2">
      <c r="A172" t="s">
        <v>245</v>
      </c>
      <c r="B172" s="36" t="s">
        <v>254</v>
      </c>
      <c r="C172" s="103">
        <v>-266.75</v>
      </c>
      <c r="D172" s="60"/>
    </row>
    <row r="173" spans="1:10" ht="13.5" customHeight="1" x14ac:dyDescent="0.2">
      <c r="A173" t="s">
        <v>245</v>
      </c>
      <c r="B173" s="36" t="s">
        <v>389</v>
      </c>
      <c r="C173" s="69">
        <v>250</v>
      </c>
      <c r="D173" s="60"/>
    </row>
    <row r="174" spans="1:10" ht="13.5" customHeight="1" x14ac:dyDescent="0.2">
      <c r="B174" s="34"/>
      <c r="C174" s="135">
        <f>SUM(C150:C173)</f>
        <v>8845.8150000000005</v>
      </c>
      <c r="D174" s="25"/>
    </row>
    <row r="175" spans="1:10" ht="13.5" customHeight="1" x14ac:dyDescent="0.2">
      <c r="B175" s="34"/>
      <c r="C175" s="113"/>
      <c r="D175" s="25"/>
    </row>
    <row r="176" spans="1:10" ht="13.5" customHeight="1" x14ac:dyDescent="0.2">
      <c r="B176" s="34"/>
      <c r="C176" s="113"/>
      <c r="D176" s="25"/>
      <c r="G176" t="s">
        <v>245</v>
      </c>
      <c r="H176" s="138" t="s">
        <v>398</v>
      </c>
      <c r="I176" s="113">
        <v>419.37</v>
      </c>
      <c r="J176" s="25"/>
    </row>
    <row r="177" spans="1:10" ht="13.5" customHeight="1" x14ac:dyDescent="0.2">
      <c r="B177" s="34"/>
      <c r="C177" s="113"/>
      <c r="D177" s="25"/>
      <c r="G177" t="s">
        <v>245</v>
      </c>
      <c r="H177" s="34" t="s">
        <v>380</v>
      </c>
      <c r="I177" s="113">
        <v>480</v>
      </c>
      <c r="J177" s="25"/>
    </row>
    <row r="178" spans="1:10" ht="13.5" customHeight="1" x14ac:dyDescent="0.2">
      <c r="A178" t="s">
        <v>245</v>
      </c>
      <c r="B178" s="34" t="s">
        <v>260</v>
      </c>
      <c r="C178" s="24">
        <v>9.6999999999999993</v>
      </c>
      <c r="D178" s="25"/>
      <c r="G178" t="s">
        <v>245</v>
      </c>
      <c r="H178" s="34" t="s">
        <v>403</v>
      </c>
      <c r="I178" s="113">
        <v>340</v>
      </c>
      <c r="J178" s="25"/>
    </row>
    <row r="179" spans="1:10" ht="13.5" customHeight="1" x14ac:dyDescent="0.2">
      <c r="A179" t="s">
        <v>245</v>
      </c>
      <c r="B179" s="34" t="s">
        <v>345</v>
      </c>
      <c r="C179" s="24">
        <v>12</v>
      </c>
      <c r="D179" s="25"/>
      <c r="G179" t="s">
        <v>626</v>
      </c>
      <c r="H179" s="34" t="s">
        <v>415</v>
      </c>
      <c r="I179" s="68">
        <v>15</v>
      </c>
    </row>
    <row r="180" spans="1:10" ht="13.5" customHeight="1" x14ac:dyDescent="0.2">
      <c r="A180" t="s">
        <v>245</v>
      </c>
      <c r="B180" s="34" t="s">
        <v>297</v>
      </c>
      <c r="C180" s="24">
        <v>53</v>
      </c>
      <c r="D180" s="25"/>
      <c r="G180" t="s">
        <v>626</v>
      </c>
      <c r="H180" s="34" t="s">
        <v>412</v>
      </c>
      <c r="I180" s="68">
        <v>3</v>
      </c>
    </row>
    <row r="181" spans="1:10" ht="13.5" customHeight="1" x14ac:dyDescent="0.2">
      <c r="A181" t="s">
        <v>245</v>
      </c>
      <c r="B181" s="34" t="s">
        <v>281</v>
      </c>
      <c r="C181" s="24">
        <v>29.97</v>
      </c>
      <c r="D181" s="25"/>
    </row>
    <row r="182" spans="1:10" ht="13.5" customHeight="1" x14ac:dyDescent="0.2">
      <c r="A182" t="s">
        <v>245</v>
      </c>
      <c r="B182" s="34" t="s">
        <v>363</v>
      </c>
      <c r="C182" s="24">
        <v>4.7</v>
      </c>
      <c r="D182" s="25"/>
    </row>
    <row r="183" spans="1:10" ht="13.5" customHeight="1" x14ac:dyDescent="0.2">
      <c r="A183" t="s">
        <v>245</v>
      </c>
      <c r="B183" s="34" t="s">
        <v>364</v>
      </c>
      <c r="C183" s="24">
        <v>15.4</v>
      </c>
      <c r="D183" s="25"/>
    </row>
    <row r="184" spans="1:10" ht="13.5" customHeight="1" x14ac:dyDescent="0.2">
      <c r="A184" t="s">
        <v>245</v>
      </c>
      <c r="B184" s="34" t="s">
        <v>278</v>
      </c>
      <c r="C184" s="24">
        <v>6.5</v>
      </c>
      <c r="D184" s="25"/>
    </row>
    <row r="185" spans="1:10" ht="13.5" customHeight="1" x14ac:dyDescent="0.2">
      <c r="A185" t="s">
        <v>245</v>
      </c>
      <c r="B185" s="34" t="s">
        <v>349</v>
      </c>
      <c r="C185" s="24">
        <v>17.5</v>
      </c>
      <c r="D185" s="25"/>
    </row>
    <row r="186" spans="1:10" ht="13.5" customHeight="1" x14ac:dyDescent="0.2">
      <c r="A186" t="s">
        <v>245</v>
      </c>
      <c r="B186" s="34" t="s">
        <v>256</v>
      </c>
      <c r="C186" s="24">
        <v>30</v>
      </c>
      <c r="D186" s="25"/>
    </row>
    <row r="187" spans="1:10" ht="13.5" customHeight="1" x14ac:dyDescent="0.2">
      <c r="A187" t="s">
        <v>245</v>
      </c>
      <c r="B187" s="34" t="s">
        <v>372</v>
      </c>
      <c r="C187" s="24">
        <v>32</v>
      </c>
      <c r="D187" s="25"/>
    </row>
    <row r="188" spans="1:10" ht="13.5" customHeight="1" x14ac:dyDescent="0.2">
      <c r="A188" t="s">
        <v>245</v>
      </c>
      <c r="B188" s="34" t="s">
        <v>362</v>
      </c>
      <c r="C188" s="24">
        <v>25</v>
      </c>
      <c r="D188" s="25"/>
    </row>
    <row r="189" spans="1:10" ht="13.5" customHeight="1" x14ac:dyDescent="0.2">
      <c r="A189" t="s">
        <v>245</v>
      </c>
      <c r="B189" s="34" t="s">
        <v>282</v>
      </c>
      <c r="C189" s="24">
        <v>34.46</v>
      </c>
      <c r="D189" s="25"/>
    </row>
    <row r="190" spans="1:10" ht="13.5" customHeight="1" x14ac:dyDescent="0.2">
      <c r="A190" t="s">
        <v>245</v>
      </c>
      <c r="B190" s="34" t="s">
        <v>370</v>
      </c>
      <c r="C190" s="24">
        <v>6.9</v>
      </c>
      <c r="D190" s="238"/>
    </row>
    <row r="191" spans="1:10" ht="13.5" customHeight="1" x14ac:dyDescent="0.2">
      <c r="A191" t="s">
        <v>245</v>
      </c>
      <c r="B191" s="34" t="s">
        <v>268</v>
      </c>
      <c r="C191" s="24">
        <v>20</v>
      </c>
      <c r="D191" s="25"/>
    </row>
    <row r="192" spans="1:10" ht="13.5" customHeight="1" x14ac:dyDescent="0.2">
      <c r="A192" t="s">
        <v>245</v>
      </c>
      <c r="B192" s="34" t="s">
        <v>273</v>
      </c>
      <c r="C192" s="24">
        <v>10.35</v>
      </c>
      <c r="D192" s="25"/>
    </row>
    <row r="193" spans="1:5" ht="13.5" customHeight="1" x14ac:dyDescent="0.2">
      <c r="A193" t="s">
        <v>245</v>
      </c>
      <c r="B193" s="34" t="s">
        <v>299</v>
      </c>
      <c r="C193" s="24">
        <v>8.9499999999999993</v>
      </c>
      <c r="D193" s="25"/>
      <c r="E193" s="328"/>
    </row>
    <row r="194" spans="1:5" ht="13.5" customHeight="1" x14ac:dyDescent="0.2">
      <c r="A194" t="s">
        <v>245</v>
      </c>
      <c r="B194" s="34" t="s">
        <v>272</v>
      </c>
      <c r="C194" s="24">
        <v>21.96</v>
      </c>
      <c r="D194" s="25"/>
    </row>
    <row r="195" spans="1:5" ht="13.5" customHeight="1" x14ac:dyDescent="0.2">
      <c r="A195" t="s">
        <v>245</v>
      </c>
      <c r="B195" s="34" t="s">
        <v>361</v>
      </c>
      <c r="C195" s="24">
        <v>3.7</v>
      </c>
      <c r="D195" s="25"/>
    </row>
    <row r="196" spans="1:5" ht="13.5" customHeight="1" x14ac:dyDescent="0.2">
      <c r="A196" t="s">
        <v>245</v>
      </c>
      <c r="B196" s="34" t="s">
        <v>279</v>
      </c>
      <c r="C196" s="24">
        <v>19.899999999999999</v>
      </c>
      <c r="D196" s="25"/>
    </row>
    <row r="197" spans="1:5" ht="13.5" customHeight="1" x14ac:dyDescent="0.2">
      <c r="A197" t="s">
        <v>245</v>
      </c>
      <c r="B197" s="34" t="s">
        <v>258</v>
      </c>
      <c r="C197" s="24">
        <v>14.99</v>
      </c>
      <c r="D197" s="25"/>
    </row>
    <row r="198" spans="1:5" ht="13.5" customHeight="1" x14ac:dyDescent="0.2">
      <c r="A198" t="s">
        <v>245</v>
      </c>
      <c r="B198" s="34" t="s">
        <v>369</v>
      </c>
      <c r="C198" s="24">
        <v>1.6</v>
      </c>
      <c r="D198" s="25"/>
    </row>
    <row r="199" spans="1:5" ht="13.5" customHeight="1" x14ac:dyDescent="0.2">
      <c r="A199" t="s">
        <v>245</v>
      </c>
      <c r="B199" s="45" t="s">
        <v>163</v>
      </c>
      <c r="C199" s="24">
        <v>36</v>
      </c>
      <c r="D199" s="25"/>
    </row>
    <row r="200" spans="1:5" ht="13.5" customHeight="1" x14ac:dyDescent="0.2">
      <c r="A200" t="s">
        <v>245</v>
      </c>
      <c r="B200" s="34" t="s">
        <v>163</v>
      </c>
      <c r="C200" s="24">
        <v>112.5</v>
      </c>
      <c r="D200" s="25"/>
    </row>
    <row r="201" spans="1:5" ht="13.5" customHeight="1" x14ac:dyDescent="0.2">
      <c r="A201" t="s">
        <v>245</v>
      </c>
      <c r="B201" s="34" t="s">
        <v>298</v>
      </c>
      <c r="C201" s="24">
        <v>7.5</v>
      </c>
      <c r="D201" s="25"/>
    </row>
    <row r="202" spans="1:5" ht="13.5" customHeight="1" x14ac:dyDescent="0.2">
      <c r="A202" t="s">
        <v>245</v>
      </c>
      <c r="B202" s="34" t="s">
        <v>365</v>
      </c>
      <c r="C202" s="24">
        <v>3.9</v>
      </c>
      <c r="D202" s="25"/>
    </row>
    <row r="203" spans="1:5" ht="13.5" customHeight="1" x14ac:dyDescent="0.2">
      <c r="A203" t="s">
        <v>245</v>
      </c>
      <c r="B203" s="34" t="s">
        <v>296</v>
      </c>
      <c r="C203" s="24">
        <v>49</v>
      </c>
      <c r="D203" s="25"/>
    </row>
    <row r="204" spans="1:5" ht="13.5" customHeight="1" x14ac:dyDescent="0.2">
      <c r="A204" t="s">
        <v>245</v>
      </c>
      <c r="B204" s="34" t="s">
        <v>96</v>
      </c>
      <c r="C204" s="24">
        <v>4.2</v>
      </c>
      <c r="D204" s="25"/>
    </row>
    <row r="205" spans="1:5" ht="13.5" customHeight="1" x14ac:dyDescent="0.2">
      <c r="A205" t="s">
        <v>245</v>
      </c>
      <c r="B205" s="34" t="s">
        <v>283</v>
      </c>
      <c r="C205" s="24">
        <v>7.6</v>
      </c>
      <c r="D205" s="25"/>
    </row>
    <row r="206" spans="1:5" ht="13.5" customHeight="1" x14ac:dyDescent="0.2">
      <c r="A206" t="s">
        <v>245</v>
      </c>
      <c r="B206" s="34" t="s">
        <v>294</v>
      </c>
      <c r="C206" s="24">
        <v>19.899999999999999</v>
      </c>
      <c r="D206" s="25"/>
    </row>
    <row r="207" spans="1:5" ht="13.5" customHeight="1" x14ac:dyDescent="0.2">
      <c r="A207" t="s">
        <v>245</v>
      </c>
      <c r="B207" s="34" t="s">
        <v>261</v>
      </c>
      <c r="C207" s="24">
        <v>24.9</v>
      </c>
      <c r="D207" s="25"/>
    </row>
    <row r="208" spans="1:5" ht="13.5" customHeight="1" x14ac:dyDescent="0.2">
      <c r="A208" t="s">
        <v>245</v>
      </c>
      <c r="B208" s="34" t="s">
        <v>280</v>
      </c>
      <c r="C208" s="24">
        <v>35.799999999999997</v>
      </c>
      <c r="D208" s="25"/>
    </row>
    <row r="209" spans="1:4" ht="13.5" customHeight="1" x14ac:dyDescent="0.2">
      <c r="A209" t="s">
        <v>245</v>
      </c>
      <c r="B209" s="34" t="s">
        <v>313</v>
      </c>
      <c r="C209" s="24">
        <v>29.75</v>
      </c>
      <c r="D209" s="25"/>
    </row>
    <row r="210" spans="1:4" ht="13.5" customHeight="1" x14ac:dyDescent="0.2">
      <c r="A210" t="s">
        <v>245</v>
      </c>
      <c r="B210" s="34" t="s">
        <v>295</v>
      </c>
      <c r="C210" s="24">
        <v>230</v>
      </c>
      <c r="D210" s="25"/>
    </row>
    <row r="211" spans="1:4" ht="13.5" customHeight="1" x14ac:dyDescent="0.2">
      <c r="A211" t="s">
        <v>245</v>
      </c>
      <c r="B211" s="34" t="s">
        <v>311</v>
      </c>
      <c r="C211" s="24">
        <v>137.4</v>
      </c>
      <c r="D211" s="25"/>
    </row>
    <row r="212" spans="1:4" ht="13.5" customHeight="1" x14ac:dyDescent="0.2">
      <c r="A212" t="s">
        <v>245</v>
      </c>
      <c r="B212" s="34" t="s">
        <v>259</v>
      </c>
      <c r="C212" s="24">
        <v>4.8</v>
      </c>
      <c r="D212" s="25"/>
    </row>
    <row r="213" spans="1:4" ht="13.5" customHeight="1" x14ac:dyDescent="0.2">
      <c r="A213" t="s">
        <v>245</v>
      </c>
      <c r="B213" s="34" t="s">
        <v>350</v>
      </c>
      <c r="C213" s="24">
        <v>31.2</v>
      </c>
      <c r="D213" s="25"/>
    </row>
    <row r="214" spans="1:4" ht="13.5" customHeight="1" x14ac:dyDescent="0.2">
      <c r="A214" t="s">
        <v>245</v>
      </c>
      <c r="B214" s="34" t="s">
        <v>377</v>
      </c>
      <c r="C214" s="113">
        <v>68.510000000000005</v>
      </c>
      <c r="D214" s="25"/>
    </row>
    <row r="215" spans="1:4" ht="13.5" customHeight="1" x14ac:dyDescent="0.2">
      <c r="A215" t="s">
        <v>245</v>
      </c>
      <c r="B215" s="34" t="s">
        <v>312</v>
      </c>
      <c r="C215" s="24">
        <v>-42</v>
      </c>
      <c r="D215" s="25"/>
    </row>
    <row r="216" spans="1:4" ht="13.5" customHeight="1" x14ac:dyDescent="0.2">
      <c r="A216" t="s">
        <v>626</v>
      </c>
      <c r="B216" s="34" t="s">
        <v>413</v>
      </c>
      <c r="C216" s="68">
        <v>1.5</v>
      </c>
      <c r="D216" s="71"/>
    </row>
    <row r="217" spans="1:4" ht="13.5" customHeight="1" x14ac:dyDescent="0.2">
      <c r="A217" t="s">
        <v>245</v>
      </c>
      <c r="B217" s="36" t="s">
        <v>376</v>
      </c>
      <c r="C217" s="113">
        <v>734.43</v>
      </c>
      <c r="D217" s="25"/>
    </row>
    <row r="218" spans="1:4" ht="13.5" customHeight="1" x14ac:dyDescent="0.2">
      <c r="A218" t="s">
        <v>245</v>
      </c>
      <c r="B218" s="36" t="s">
        <v>383</v>
      </c>
      <c r="C218" s="24">
        <v>-494.26</v>
      </c>
      <c r="D218" s="25"/>
    </row>
    <row r="219" spans="1:4" ht="13.5" customHeight="1" x14ac:dyDescent="0.2">
      <c r="A219" t="s">
        <v>245</v>
      </c>
      <c r="B219" s="34" t="s">
        <v>381</v>
      </c>
      <c r="C219" s="113">
        <v>180.2</v>
      </c>
      <c r="D219" s="25"/>
    </row>
    <row r="220" spans="1:4" ht="13.5" customHeight="1" x14ac:dyDescent="0.2">
      <c r="A220" t="s">
        <v>245</v>
      </c>
      <c r="B220" s="36" t="s">
        <v>379</v>
      </c>
      <c r="C220" s="113">
        <v>352.4</v>
      </c>
      <c r="D220" s="60"/>
    </row>
    <row r="221" spans="1:4" ht="13.5" customHeight="1" x14ac:dyDescent="0.2">
      <c r="A221" t="s">
        <v>245</v>
      </c>
      <c r="B221" s="34" t="s">
        <v>397</v>
      </c>
      <c r="C221" s="113">
        <v>517.9</v>
      </c>
      <c r="D221" s="60"/>
    </row>
    <row r="222" spans="1:4" ht="13.5" customHeight="1" x14ac:dyDescent="0.2">
      <c r="A222" t="s">
        <v>626</v>
      </c>
      <c r="B222" s="138" t="s">
        <v>423</v>
      </c>
      <c r="C222" s="113">
        <f>C171</f>
        <v>628.68499999999995</v>
      </c>
      <c r="D222" s="25"/>
    </row>
    <row r="223" spans="1:4" ht="13.5" customHeight="1" x14ac:dyDescent="0.2">
      <c r="A223" t="s">
        <v>245</v>
      </c>
      <c r="B223" s="138" t="s">
        <v>388</v>
      </c>
      <c r="C223" s="113">
        <v>450</v>
      </c>
      <c r="D223" s="25"/>
    </row>
    <row r="224" spans="1:4" ht="13.5" customHeight="1" x14ac:dyDescent="0.2">
      <c r="B224" s="138"/>
      <c r="C224" s="135">
        <f>SUM(C178:C223)</f>
        <v>3510.395</v>
      </c>
      <c r="D224" s="60"/>
    </row>
    <row r="225" spans="1:4" ht="13.5" customHeight="1" x14ac:dyDescent="0.2">
      <c r="B225" s="138"/>
      <c r="C225" s="117"/>
      <c r="D225" s="25"/>
    </row>
    <row r="226" spans="1:4" ht="13.5" customHeight="1" x14ac:dyDescent="0.2">
      <c r="B226" s="138"/>
      <c r="C226" s="113"/>
      <c r="D226" s="25"/>
    </row>
    <row r="227" spans="1:4" ht="13.5" customHeight="1" x14ac:dyDescent="0.2">
      <c r="A227" t="s">
        <v>246</v>
      </c>
      <c r="B227" s="34" t="s">
        <v>195</v>
      </c>
      <c r="C227" s="113">
        <v>381.94</v>
      </c>
      <c r="D227" s="25"/>
    </row>
    <row r="228" spans="1:4" ht="13.5" customHeight="1" x14ac:dyDescent="0.2">
      <c r="A228" t="s">
        <v>246</v>
      </c>
      <c r="B228" s="36" t="s">
        <v>194</v>
      </c>
      <c r="C228" s="113">
        <v>82.75</v>
      </c>
      <c r="D228" s="254"/>
    </row>
    <row r="229" spans="1:4" ht="13.5" customHeight="1" x14ac:dyDescent="0.2">
      <c r="B229" s="36"/>
      <c r="C229" s="135">
        <f>SUM(C227:C228)</f>
        <v>464.69</v>
      </c>
      <c r="D229" s="254"/>
    </row>
    <row r="230" spans="1:4" ht="13.5" customHeight="1" x14ac:dyDescent="0.2">
      <c r="B230" s="34"/>
      <c r="C230" s="117"/>
      <c r="D230" s="324"/>
    </row>
    <row r="231" spans="1:4" ht="13.5" customHeight="1" x14ac:dyDescent="0.2">
      <c r="A231" t="s">
        <v>632</v>
      </c>
      <c r="B231" s="34" t="s">
        <v>405</v>
      </c>
      <c r="C231" s="135">
        <v>1600</v>
      </c>
      <c r="D231" s="71"/>
    </row>
    <row r="232" spans="1:4" ht="13.5" customHeight="1" x14ac:dyDescent="0.2">
      <c r="B232" s="36"/>
      <c r="C232" s="113"/>
      <c r="D232" s="235"/>
    </row>
    <row r="233" spans="1:4" ht="13.5" customHeight="1" x14ac:dyDescent="0.2">
      <c r="A233" t="s">
        <v>248</v>
      </c>
      <c r="B233" s="36" t="s">
        <v>132</v>
      </c>
      <c r="C233" s="113">
        <v>166.57</v>
      </c>
      <c r="D233" s="60"/>
    </row>
    <row r="234" spans="1:4" ht="13.5" customHeight="1" x14ac:dyDescent="0.2">
      <c r="A234" t="s">
        <v>248</v>
      </c>
      <c r="B234" s="34" t="s">
        <v>130</v>
      </c>
      <c r="C234" s="113">
        <v>139.47</v>
      </c>
      <c r="D234" s="60"/>
    </row>
    <row r="235" spans="1:4" ht="13.5" customHeight="1" x14ac:dyDescent="0.2">
      <c r="A235" t="s">
        <v>248</v>
      </c>
      <c r="B235" s="36" t="s">
        <v>368</v>
      </c>
      <c r="C235" s="113">
        <v>183.94</v>
      </c>
      <c r="D235" s="60"/>
    </row>
    <row r="236" spans="1:4" ht="13.5" customHeight="1" x14ac:dyDescent="0.2">
      <c r="A236" t="s">
        <v>248</v>
      </c>
      <c r="B236" s="36" t="s">
        <v>53</v>
      </c>
      <c r="C236" s="113">
        <v>511.71</v>
      </c>
      <c r="D236" s="60"/>
    </row>
    <row r="237" spans="1:4" ht="13.5" customHeight="1" x14ac:dyDescent="0.2">
      <c r="A237" t="s">
        <v>248</v>
      </c>
      <c r="B237" s="36" t="s">
        <v>55</v>
      </c>
      <c r="C237" s="113">
        <v>400</v>
      </c>
      <c r="D237" s="239"/>
    </row>
    <row r="238" spans="1:4" ht="13.5" customHeight="1" x14ac:dyDescent="0.2">
      <c r="A238" t="s">
        <v>248</v>
      </c>
      <c r="B238" s="36" t="s">
        <v>136</v>
      </c>
      <c r="C238" s="113">
        <v>37.9</v>
      </c>
      <c r="D238" s="60"/>
    </row>
    <row r="239" spans="1:4" ht="13.5" customHeight="1" x14ac:dyDescent="0.2">
      <c r="A239" t="s">
        <v>248</v>
      </c>
      <c r="B239" s="36" t="s">
        <v>334</v>
      </c>
      <c r="C239" s="113">
        <v>1225</v>
      </c>
      <c r="D239" s="60"/>
    </row>
    <row r="240" spans="1:4" ht="13.5" customHeight="1" x14ac:dyDescent="0.2">
      <c r="A240" t="s">
        <v>248</v>
      </c>
      <c r="B240" s="36" t="s">
        <v>264</v>
      </c>
      <c r="C240" s="113">
        <v>624.16</v>
      </c>
      <c r="D240" s="60"/>
    </row>
    <row r="241" spans="1:8" ht="13.5" customHeight="1" x14ac:dyDescent="0.2">
      <c r="A241" t="s">
        <v>248</v>
      </c>
      <c r="B241" s="36" t="s">
        <v>133</v>
      </c>
      <c r="C241" s="113">
        <v>1043.72</v>
      </c>
      <c r="D241" s="60"/>
    </row>
    <row r="242" spans="1:8" ht="13.5" customHeight="1" x14ac:dyDescent="0.2">
      <c r="A242" t="s">
        <v>248</v>
      </c>
      <c r="B242" s="34" t="s">
        <v>211</v>
      </c>
      <c r="C242" s="68">
        <v>2685.12</v>
      </c>
      <c r="D242" s="71"/>
    </row>
    <row r="243" spans="1:8" ht="13.5" customHeight="1" x14ac:dyDescent="0.2">
      <c r="A243" t="s">
        <v>248</v>
      </c>
      <c r="B243" s="34" t="s">
        <v>210</v>
      </c>
      <c r="C243" s="68">
        <v>1300</v>
      </c>
      <c r="D243" s="71"/>
    </row>
    <row r="244" spans="1:8" ht="13.5" customHeight="1" x14ac:dyDescent="0.2">
      <c r="A244" t="s">
        <v>248</v>
      </c>
      <c r="B244" s="36" t="s">
        <v>82</v>
      </c>
      <c r="C244" s="113">
        <v>337.47</v>
      </c>
      <c r="D244" s="60"/>
    </row>
    <row r="245" spans="1:8" ht="13.5" customHeight="1" x14ac:dyDescent="0.2">
      <c r="A245" t="s">
        <v>248</v>
      </c>
      <c r="B245" s="36" t="s">
        <v>18</v>
      </c>
      <c r="C245" s="113">
        <v>319.39999999999998</v>
      </c>
      <c r="D245" s="60"/>
    </row>
    <row r="246" spans="1:8" ht="13.5" customHeight="1" x14ac:dyDescent="0.2">
      <c r="A246" t="s">
        <v>248</v>
      </c>
      <c r="B246" s="36" t="s">
        <v>114</v>
      </c>
      <c r="C246" s="113">
        <v>226.89</v>
      </c>
      <c r="D246" s="60"/>
    </row>
    <row r="247" spans="1:8" ht="13.5" customHeight="1" x14ac:dyDescent="0.2">
      <c r="B247" s="36"/>
      <c r="C247" s="135">
        <f>SUM(C233:C246)</f>
        <v>9201.3499999999985</v>
      </c>
      <c r="D247" s="60"/>
    </row>
    <row r="248" spans="1:8" ht="13.5" customHeight="1" x14ac:dyDescent="0.2">
      <c r="B248" s="36"/>
      <c r="C248" s="113"/>
      <c r="D248" s="60"/>
    </row>
    <row r="249" spans="1:8" ht="13.5" customHeight="1" x14ac:dyDescent="0.2">
      <c r="A249" t="s">
        <v>248</v>
      </c>
      <c r="B249" s="36" t="s">
        <v>332</v>
      </c>
      <c r="C249" s="113">
        <v>1500</v>
      </c>
      <c r="D249" s="60"/>
    </row>
    <row r="250" spans="1:8" ht="13.5" customHeight="1" x14ac:dyDescent="0.2">
      <c r="A250" t="s">
        <v>248</v>
      </c>
      <c r="B250" s="36" t="s">
        <v>38</v>
      </c>
      <c r="C250" s="24">
        <v>5000</v>
      </c>
      <c r="D250" s="60"/>
      <c r="H250" s="117"/>
    </row>
    <row r="251" spans="1:8" ht="13.5" customHeight="1" x14ac:dyDescent="0.2">
      <c r="A251" t="s">
        <v>248</v>
      </c>
      <c r="B251" s="36" t="s">
        <v>343</v>
      </c>
      <c r="C251" s="113">
        <v>1239.01</v>
      </c>
      <c r="D251" s="60"/>
    </row>
    <row r="252" spans="1:8" ht="13.5" customHeight="1" x14ac:dyDescent="0.2">
      <c r="B252" s="36"/>
      <c r="C252" s="135">
        <f>SUM(C249:C251)</f>
        <v>7739.01</v>
      </c>
      <c r="D252" s="60"/>
    </row>
    <row r="253" spans="1:8" ht="13.5" customHeight="1" x14ac:dyDescent="0.2">
      <c r="B253" s="36"/>
      <c r="C253" s="113"/>
      <c r="D253" s="60"/>
    </row>
    <row r="254" spans="1:8" ht="13.5" customHeight="1" x14ac:dyDescent="0.2">
      <c r="A254" t="s">
        <v>249</v>
      </c>
      <c r="B254" s="36" t="s">
        <v>30</v>
      </c>
      <c r="C254" s="136">
        <v>2000</v>
      </c>
      <c r="D254" s="60"/>
    </row>
    <row r="255" spans="1:8" ht="13.5" customHeight="1" x14ac:dyDescent="0.2">
      <c r="B255" s="36"/>
      <c r="C255" s="24"/>
      <c r="D255" s="60"/>
    </row>
    <row r="256" spans="1:8" ht="13.5" customHeight="1" x14ac:dyDescent="0.2">
      <c r="B256" s="36"/>
      <c r="C256" s="24"/>
      <c r="D256" s="60"/>
    </row>
    <row r="257" spans="1:4" ht="13.5" customHeight="1" x14ac:dyDescent="0.2">
      <c r="A257" t="s">
        <v>250</v>
      </c>
      <c r="B257" s="36" t="s">
        <v>20</v>
      </c>
      <c r="C257" s="24">
        <v>-0.01</v>
      </c>
      <c r="D257" s="60"/>
    </row>
    <row r="258" spans="1:4" ht="13.5" customHeight="1" x14ac:dyDescent="0.2">
      <c r="A258" t="s">
        <v>250</v>
      </c>
      <c r="B258" s="36" t="s">
        <v>20</v>
      </c>
      <c r="C258" s="24">
        <v>-0.01</v>
      </c>
      <c r="D258" s="60"/>
    </row>
    <row r="259" spans="1:4" ht="13.5" customHeight="1" x14ac:dyDescent="0.2">
      <c r="A259" t="s">
        <v>250</v>
      </c>
      <c r="B259" s="36" t="s">
        <v>20</v>
      </c>
      <c r="C259" s="24">
        <v>-0.04</v>
      </c>
      <c r="D259" s="60"/>
    </row>
    <row r="260" spans="1:4" ht="13.5" customHeight="1" x14ac:dyDescent="0.2">
      <c r="A260" t="s">
        <v>250</v>
      </c>
      <c r="B260" s="36" t="s">
        <v>20</v>
      </c>
      <c r="C260" s="24">
        <v>-0.06</v>
      </c>
      <c r="D260" s="60"/>
    </row>
    <row r="261" spans="1:4" ht="13.5" customHeight="1" x14ac:dyDescent="0.2">
      <c r="A261" t="s">
        <v>250</v>
      </c>
      <c r="B261" s="36" t="s">
        <v>20</v>
      </c>
      <c r="C261" s="24">
        <v>-0.08</v>
      </c>
      <c r="D261" s="60"/>
    </row>
    <row r="262" spans="1:4" ht="13.5" customHeight="1" x14ac:dyDescent="0.2">
      <c r="A262" t="s">
        <v>250</v>
      </c>
      <c r="B262" s="34" t="s">
        <v>20</v>
      </c>
      <c r="C262" s="24">
        <v>-0.14000000000000001</v>
      </c>
      <c r="D262" s="60"/>
    </row>
    <row r="263" spans="1:4" ht="13.5" customHeight="1" x14ac:dyDescent="0.2">
      <c r="A263" t="s">
        <v>250</v>
      </c>
      <c r="B263" s="36" t="s">
        <v>20</v>
      </c>
      <c r="C263" s="24">
        <v>-0.2</v>
      </c>
      <c r="D263" s="60"/>
    </row>
    <row r="264" spans="1:4" ht="13.5" customHeight="1" x14ac:dyDescent="0.2">
      <c r="A264" t="s">
        <v>250</v>
      </c>
      <c r="B264" s="34" t="s">
        <v>20</v>
      </c>
      <c r="C264" s="24">
        <v>-0.22</v>
      </c>
      <c r="D264" s="60"/>
    </row>
    <row r="265" spans="1:4" ht="13.5" customHeight="1" x14ac:dyDescent="0.2">
      <c r="A265" t="s">
        <v>250</v>
      </c>
      <c r="B265" s="36" t="s">
        <v>20</v>
      </c>
      <c r="C265" s="24">
        <v>-0.27</v>
      </c>
      <c r="D265" s="60"/>
    </row>
    <row r="266" spans="1:4" ht="13.5" customHeight="1" x14ac:dyDescent="0.2">
      <c r="A266" t="s">
        <v>250</v>
      </c>
      <c r="B266" s="34" t="s">
        <v>20</v>
      </c>
      <c r="C266" s="24">
        <v>-0.31</v>
      </c>
      <c r="D266" s="60"/>
    </row>
    <row r="267" spans="1:4" ht="13.5" customHeight="1" x14ac:dyDescent="0.2">
      <c r="A267" t="s">
        <v>250</v>
      </c>
      <c r="B267" s="36" t="s">
        <v>20</v>
      </c>
      <c r="C267" s="24">
        <v>-0.38</v>
      </c>
      <c r="D267" s="60"/>
    </row>
    <row r="268" spans="1:4" ht="13.5" customHeight="1" x14ac:dyDescent="0.2">
      <c r="A268" t="s">
        <v>250</v>
      </c>
      <c r="B268" s="34" t="s">
        <v>20</v>
      </c>
      <c r="C268" s="113"/>
      <c r="D268" s="60"/>
    </row>
    <row r="269" spans="1:4" ht="12.75" customHeight="1" x14ac:dyDescent="0.2">
      <c r="A269" t="s">
        <v>250</v>
      </c>
      <c r="B269" s="36" t="s">
        <v>86</v>
      </c>
      <c r="C269" s="68">
        <v>78</v>
      </c>
      <c r="D269" s="60"/>
    </row>
    <row r="270" spans="1:4" ht="13.5" customHeight="1" x14ac:dyDescent="0.2">
      <c r="A270" t="s">
        <v>250</v>
      </c>
      <c r="B270" s="34" t="s">
        <v>86</v>
      </c>
      <c r="C270" s="68">
        <v>72.900000000000006</v>
      </c>
      <c r="D270" s="60"/>
    </row>
    <row r="271" spans="1:4" ht="13.5" customHeight="1" x14ac:dyDescent="0.2">
      <c r="A271" t="s">
        <v>250</v>
      </c>
      <c r="B271" s="34" t="s">
        <v>86</v>
      </c>
      <c r="C271" s="68">
        <v>11.9</v>
      </c>
      <c r="D271" s="60"/>
    </row>
    <row r="272" spans="1:4" ht="13.5" customHeight="1" x14ac:dyDescent="0.2">
      <c r="A272" t="s">
        <v>250</v>
      </c>
      <c r="B272" s="34" t="s">
        <v>86</v>
      </c>
      <c r="C272" s="68">
        <v>9.5</v>
      </c>
      <c r="D272" s="60"/>
    </row>
    <row r="273" spans="1:9" ht="13.5" customHeight="1" x14ac:dyDescent="0.2">
      <c r="A273" t="s">
        <v>250</v>
      </c>
      <c r="B273" s="34" t="s">
        <v>86</v>
      </c>
      <c r="C273" s="68">
        <v>9.5</v>
      </c>
      <c r="D273" s="60"/>
    </row>
    <row r="274" spans="1:9" ht="13.5" customHeight="1" x14ac:dyDescent="0.2">
      <c r="A274" t="s">
        <v>250</v>
      </c>
      <c r="B274" s="34" t="s">
        <v>86</v>
      </c>
      <c r="C274" s="68">
        <v>9.5</v>
      </c>
      <c r="D274" s="60"/>
    </row>
    <row r="275" spans="1:9" ht="13.5" customHeight="1" x14ac:dyDescent="0.2">
      <c r="B275" s="34"/>
      <c r="C275" s="139">
        <f>SUM(C257:C274)</f>
        <v>189.58</v>
      </c>
      <c r="D275" s="60">
        <f>SUM(C275/2)</f>
        <v>94.79</v>
      </c>
    </row>
    <row r="276" spans="1:9" ht="13.5" customHeight="1" x14ac:dyDescent="0.2">
      <c r="B276" s="34"/>
      <c r="C276" s="68"/>
      <c r="D276" s="60"/>
    </row>
    <row r="277" spans="1:9" ht="13.5" customHeight="1" x14ac:dyDescent="0.2">
      <c r="A277" t="s">
        <v>421</v>
      </c>
      <c r="B277" s="34" t="s">
        <v>399</v>
      </c>
      <c r="C277" s="68">
        <v>773.96</v>
      </c>
      <c r="D277" s="60"/>
    </row>
    <row r="278" spans="1:9" ht="13.5" customHeight="1" x14ac:dyDescent="0.2">
      <c r="A278" t="s">
        <v>421</v>
      </c>
      <c r="B278" s="34" t="s">
        <v>420</v>
      </c>
      <c r="C278" s="68">
        <f>SUM(H279)/2</f>
        <v>302.77499999999998</v>
      </c>
      <c r="D278" s="60"/>
    </row>
    <row r="279" spans="1:9" ht="13.5" customHeight="1" x14ac:dyDescent="0.2">
      <c r="B279" s="34"/>
      <c r="C279" s="139">
        <f>SUM(C277:C278)</f>
        <v>1076.7350000000001</v>
      </c>
      <c r="D279" s="60">
        <f>C279/2</f>
        <v>538.36750000000006</v>
      </c>
      <c r="F279" t="s">
        <v>421</v>
      </c>
      <c r="G279" s="32" t="s">
        <v>378</v>
      </c>
      <c r="H279" s="139">
        <v>605.54999999999995</v>
      </c>
      <c r="I279" s="60"/>
    </row>
    <row r="280" spans="1:9" ht="13.5" customHeight="1" x14ac:dyDescent="0.2">
      <c r="B280" s="34"/>
      <c r="C280" s="60"/>
      <c r="D280" s="60"/>
      <c r="G280" s="325"/>
      <c r="H280" s="326"/>
      <c r="I280" s="327"/>
    </row>
    <row r="281" spans="1:9" ht="13.5" customHeight="1" x14ac:dyDescent="0.2">
      <c r="A281" t="s">
        <v>421</v>
      </c>
      <c r="B281" s="34" t="s">
        <v>839</v>
      </c>
      <c r="C281" s="139">
        <f>C278</f>
        <v>302.77499999999998</v>
      </c>
      <c r="D281" s="60">
        <f>C281/2</f>
        <v>151.38749999999999</v>
      </c>
    </row>
    <row r="282" spans="1:9" ht="13.5" customHeight="1" x14ac:dyDescent="0.2">
      <c r="B282" s="36"/>
      <c r="C282" s="119"/>
      <c r="D282" s="60"/>
      <c r="F282" s="323">
        <f>SUM(C281,C279,C275,C254,C252,C229,C224,C174,C148,C111,C106,C103,C101,C88,C79,C55,C50,D33,D27,C63,C231,C247)</f>
        <v>92526.41</v>
      </c>
    </row>
    <row r="283" spans="1:9" ht="13.5" customHeight="1" x14ac:dyDescent="0.2">
      <c r="B283" s="36"/>
      <c r="C283" s="68"/>
      <c r="D283" s="60"/>
    </row>
    <row r="284" spans="1:9" ht="13.5" customHeight="1" x14ac:dyDescent="0.2">
      <c r="B284" s="36"/>
      <c r="C284" s="68"/>
      <c r="D284" s="60"/>
    </row>
    <row r="285" spans="1:9" ht="13.5" customHeight="1" x14ac:dyDescent="0.2">
      <c r="B285" s="36"/>
      <c r="C285" s="68"/>
      <c r="D285" s="60"/>
    </row>
    <row r="286" spans="1:9" ht="13.5" customHeight="1" x14ac:dyDescent="0.2">
      <c r="B286" s="36"/>
      <c r="C286" s="68"/>
      <c r="D286" s="60"/>
    </row>
    <row r="287" spans="1:9" ht="13.5" customHeight="1" x14ac:dyDescent="0.2">
      <c r="B287" s="36"/>
      <c r="C287" s="119"/>
      <c r="D287" s="60"/>
    </row>
    <row r="288" spans="1:9" ht="13.5" customHeight="1" x14ac:dyDescent="0.2">
      <c r="B288" s="36"/>
      <c r="C288" s="119"/>
      <c r="D288" s="60"/>
    </row>
    <row r="289" spans="2:4" ht="13.5" customHeight="1" x14ac:dyDescent="0.2">
      <c r="B289" s="36"/>
      <c r="C289" s="68"/>
      <c r="D289" s="60"/>
    </row>
    <row r="290" spans="2:4" ht="13.5" customHeight="1" x14ac:dyDescent="0.2">
      <c r="B290" s="34"/>
      <c r="C290" s="68"/>
      <c r="D290" s="60"/>
    </row>
    <row r="291" spans="2:4" ht="13.5" customHeight="1" x14ac:dyDescent="0.2">
      <c r="B291" s="34"/>
      <c r="C291" s="68"/>
      <c r="D291" s="60"/>
    </row>
    <row r="292" spans="2:4" ht="13.5" customHeight="1" x14ac:dyDescent="0.2">
      <c r="B292" s="32"/>
      <c r="C292" s="240"/>
      <c r="D292" s="60"/>
    </row>
    <row r="293" spans="2:4" ht="13.5" customHeight="1" x14ac:dyDescent="0.2">
      <c r="B293" s="32"/>
      <c r="C293" s="240"/>
      <c r="D293" s="211"/>
    </row>
    <row r="294" spans="2:4" ht="13.5" customHeight="1" x14ac:dyDescent="0.2">
      <c r="B294" s="32"/>
      <c r="C294" s="77"/>
      <c r="D294" s="77"/>
    </row>
    <row r="295" spans="2:4" ht="13.5" customHeight="1" x14ac:dyDescent="0.2">
      <c r="B295" s="78"/>
      <c r="C295" s="77"/>
      <c r="D295" s="240"/>
    </row>
    <row r="296" spans="2:4" ht="13.5" customHeight="1" x14ac:dyDescent="0.2">
      <c r="B296" s="78"/>
      <c r="C296" s="77"/>
      <c r="D296" s="240"/>
    </row>
    <row r="297" spans="2:4" ht="13.5" customHeight="1" x14ac:dyDescent="0.2">
      <c r="B297" s="78"/>
      <c r="C297" s="77"/>
      <c r="D297" s="77"/>
    </row>
    <row r="298" spans="2:4" ht="13.5" customHeight="1" x14ac:dyDescent="0.2">
      <c r="B298" s="241"/>
      <c r="C298" s="240"/>
      <c r="D298" s="77"/>
    </row>
    <row r="299" spans="2:4" ht="13.5" customHeight="1" x14ac:dyDescent="0.2">
      <c r="B299" s="78"/>
      <c r="C299" s="77"/>
      <c r="D299" s="77"/>
    </row>
    <row r="300" spans="2:4" ht="13.5" customHeight="1" x14ac:dyDescent="0.2">
      <c r="B300" s="78"/>
      <c r="C300" s="77"/>
      <c r="D300" s="77"/>
    </row>
    <row r="301" spans="2:4" ht="13.5" customHeight="1" x14ac:dyDescent="0.2">
      <c r="B301" s="78"/>
      <c r="C301" s="77"/>
      <c r="D301" s="240"/>
    </row>
    <row r="302" spans="2:4" ht="13.5" customHeight="1" x14ac:dyDescent="0.2">
      <c r="B302" s="78"/>
      <c r="C302" s="77"/>
      <c r="D302" s="77"/>
    </row>
    <row r="303" spans="2:4" ht="13.5" customHeight="1" x14ac:dyDescent="0.2">
      <c r="B303" s="78"/>
      <c r="C303" s="77"/>
      <c r="D303" s="77"/>
    </row>
    <row r="304" spans="2:4" ht="13.5" customHeight="1" x14ac:dyDescent="0.2">
      <c r="B304" s="78"/>
      <c r="C304" s="77"/>
      <c r="D304" s="77"/>
    </row>
    <row r="305" spans="2:4" ht="13.5" customHeight="1" x14ac:dyDescent="0.2">
      <c r="B305" s="78"/>
      <c r="C305" s="77"/>
      <c r="D305" s="77"/>
    </row>
    <row r="306" spans="2:4" ht="13.5" customHeight="1" x14ac:dyDescent="0.2">
      <c r="B306" s="78"/>
      <c r="C306" s="77"/>
      <c r="D306" s="77"/>
    </row>
    <row r="307" spans="2:4" ht="13.5" customHeight="1" x14ac:dyDescent="0.2">
      <c r="B307" s="32"/>
      <c r="C307" s="242"/>
      <c r="D307" s="77"/>
    </row>
    <row r="308" spans="2:4" ht="13.5" customHeight="1" x14ac:dyDescent="0.2">
      <c r="B308" s="32"/>
      <c r="C308" s="242"/>
      <c r="D308" s="77"/>
    </row>
    <row r="309" spans="2:4" ht="13.5" customHeight="1" x14ac:dyDescent="0.2">
      <c r="B309" s="32"/>
      <c r="C309" s="242"/>
      <c r="D309" s="77"/>
    </row>
    <row r="310" spans="2:4" ht="13.5" customHeight="1" x14ac:dyDescent="0.2">
      <c r="B310" s="32"/>
      <c r="C310" s="242"/>
      <c r="D310" s="240"/>
    </row>
    <row r="311" spans="2:4" ht="13.5" customHeight="1" x14ac:dyDescent="0.2">
      <c r="B311" s="32"/>
      <c r="C311" s="242"/>
      <c r="D311" s="240"/>
    </row>
    <row r="312" spans="2:4" ht="13.5" customHeight="1" x14ac:dyDescent="0.2">
      <c r="B312" s="32"/>
      <c r="C312" s="242"/>
      <c r="D312" s="240"/>
    </row>
    <row r="313" spans="2:4" ht="13.5" customHeight="1" x14ac:dyDescent="0.2">
      <c r="B313" s="32"/>
      <c r="C313" s="242"/>
      <c r="D313" s="240"/>
    </row>
    <row r="314" spans="2:4" ht="13.5" customHeight="1" x14ac:dyDescent="0.2">
      <c r="B314" s="32"/>
      <c r="C314" s="242"/>
      <c r="D314" s="240"/>
    </row>
    <row r="315" spans="2:4" ht="13.5" customHeight="1" x14ac:dyDescent="0.2">
      <c r="B315" s="32"/>
      <c r="C315" s="242"/>
      <c r="D315" s="240"/>
    </row>
    <row r="316" spans="2:4" ht="13.5" customHeight="1" x14ac:dyDescent="0.2">
      <c r="B316" s="32"/>
      <c r="C316" s="242"/>
      <c r="D316" s="240"/>
    </row>
    <row r="317" spans="2:4" ht="13.5" customHeight="1" x14ac:dyDescent="0.2">
      <c r="B317" s="32"/>
      <c r="C317" s="242"/>
      <c r="D317" s="240"/>
    </row>
    <row r="318" spans="2:4" ht="13.5" customHeight="1" x14ac:dyDescent="0.2">
      <c r="B318" s="32"/>
      <c r="C318" s="242"/>
      <c r="D318" s="240"/>
    </row>
    <row r="319" spans="2:4" ht="13.5" customHeight="1" x14ac:dyDescent="0.2">
      <c r="B319" s="32"/>
      <c r="C319" s="242"/>
      <c r="D319" s="240"/>
    </row>
    <row r="320" spans="2:4" ht="13.5" customHeight="1" x14ac:dyDescent="0.2">
      <c r="B320" s="32"/>
      <c r="C320" s="242"/>
      <c r="D320" s="240"/>
    </row>
    <row r="321" spans="2:4" ht="13.5" customHeight="1" x14ac:dyDescent="0.2">
      <c r="B321" s="32"/>
      <c r="C321" s="242"/>
      <c r="D321" s="240"/>
    </row>
    <row r="322" spans="2:4" ht="13.5" customHeight="1" x14ac:dyDescent="0.2">
      <c r="B322" s="32"/>
      <c r="C322" s="242"/>
      <c r="D322" s="240"/>
    </row>
    <row r="323" spans="2:4" ht="13.5" customHeight="1" x14ac:dyDescent="0.2">
      <c r="B323" s="32"/>
      <c r="C323" s="242"/>
      <c r="D323" s="240"/>
    </row>
    <row r="324" spans="2:4" ht="13.5" customHeight="1" x14ac:dyDescent="0.2">
      <c r="B324" s="32"/>
      <c r="C324" s="242"/>
      <c r="D324" s="240"/>
    </row>
    <row r="325" spans="2:4" ht="13.5" customHeight="1" x14ac:dyDescent="0.2">
      <c r="B325" s="32"/>
      <c r="C325" s="242"/>
      <c r="D325" s="240"/>
    </row>
    <row r="326" spans="2:4" ht="13.5" customHeight="1" x14ac:dyDescent="0.2">
      <c r="B326" s="32"/>
      <c r="C326" s="242"/>
      <c r="D326" s="240"/>
    </row>
    <row r="327" spans="2:4" ht="13.5" customHeight="1" x14ac:dyDescent="0.2">
      <c r="B327" s="32"/>
      <c r="C327" s="242"/>
      <c r="D327" s="240"/>
    </row>
    <row r="328" spans="2:4" ht="13.5" customHeight="1" x14ac:dyDescent="0.2">
      <c r="B328" s="32"/>
      <c r="C328" s="242"/>
      <c r="D328" s="240"/>
    </row>
    <row r="329" spans="2:4" ht="13.5" customHeight="1" x14ac:dyDescent="0.2">
      <c r="B329" s="32"/>
      <c r="C329" s="242"/>
      <c r="D329" s="240"/>
    </row>
    <row r="330" spans="2:4" ht="13.5" customHeight="1" x14ac:dyDescent="0.2">
      <c r="B330" s="32"/>
      <c r="C330" s="242"/>
      <c r="D330" s="240"/>
    </row>
    <row r="331" spans="2:4" ht="13.5" customHeight="1" x14ac:dyDescent="0.2">
      <c r="B331" s="32"/>
      <c r="C331" s="242"/>
      <c r="D331" s="240"/>
    </row>
    <row r="332" spans="2:4" ht="13.5" customHeight="1" x14ac:dyDescent="0.2">
      <c r="B332" s="32"/>
      <c r="C332" s="242"/>
      <c r="D332" s="240"/>
    </row>
    <row r="333" spans="2:4" ht="13.5" customHeight="1" x14ac:dyDescent="0.2">
      <c r="B333" s="32"/>
      <c r="C333" s="242"/>
      <c r="D333" s="240"/>
    </row>
    <row r="334" spans="2:4" ht="13.5" customHeight="1" x14ac:dyDescent="0.2">
      <c r="B334" s="32"/>
      <c r="C334" s="242"/>
      <c r="D334" s="240"/>
    </row>
    <row r="335" spans="2:4" ht="13.5" customHeight="1" x14ac:dyDescent="0.2">
      <c r="B335" s="32"/>
      <c r="C335" s="242"/>
      <c r="D335" s="240"/>
    </row>
    <row r="336" spans="2:4" ht="13.5" customHeight="1" x14ac:dyDescent="0.2">
      <c r="B336" s="32"/>
      <c r="C336" s="242"/>
      <c r="D336" s="240"/>
    </row>
    <row r="337" spans="2:4" ht="13.5" customHeight="1" x14ac:dyDescent="0.2">
      <c r="B337" s="32"/>
      <c r="C337" s="242"/>
      <c r="D337" s="240"/>
    </row>
    <row r="338" spans="2:4" ht="13.5" customHeight="1" x14ac:dyDescent="0.2">
      <c r="B338" s="32"/>
      <c r="C338" s="242"/>
      <c r="D338" s="240"/>
    </row>
    <row r="339" spans="2:4" ht="13.5" customHeight="1" x14ac:dyDescent="0.2">
      <c r="B339" s="32"/>
      <c r="C339" s="242"/>
      <c r="D339" s="240"/>
    </row>
    <row r="340" spans="2:4" ht="13.5" customHeight="1" x14ac:dyDescent="0.2">
      <c r="B340" s="32"/>
      <c r="C340" s="242"/>
      <c r="D340" s="240"/>
    </row>
    <row r="341" spans="2:4" ht="13.5" customHeight="1" x14ac:dyDescent="0.2">
      <c r="B341" s="32"/>
      <c r="C341" s="242"/>
      <c r="D341" s="240"/>
    </row>
    <row r="342" spans="2:4" ht="13.5" customHeight="1" x14ac:dyDescent="0.2">
      <c r="B342" s="32"/>
      <c r="C342" s="242"/>
      <c r="D342" s="240"/>
    </row>
    <row r="343" spans="2:4" ht="13.5" customHeight="1" x14ac:dyDescent="0.2">
      <c r="B343" s="32"/>
      <c r="C343" s="242"/>
      <c r="D343" s="240"/>
    </row>
    <row r="344" spans="2:4" ht="13.5" customHeight="1" x14ac:dyDescent="0.2">
      <c r="B344" s="32"/>
      <c r="C344" s="242"/>
      <c r="D344" s="240"/>
    </row>
    <row r="345" spans="2:4" ht="13.5" customHeight="1" x14ac:dyDescent="0.2">
      <c r="B345" s="32"/>
      <c r="C345" s="242"/>
      <c r="D345" s="240"/>
    </row>
    <row r="346" spans="2:4" ht="13.5" customHeight="1" x14ac:dyDescent="0.2">
      <c r="B346" s="32"/>
      <c r="C346" s="242"/>
      <c r="D346" s="240"/>
    </row>
    <row r="347" spans="2:4" ht="13.5" customHeight="1" x14ac:dyDescent="0.2">
      <c r="B347" s="32"/>
      <c r="C347" s="243"/>
      <c r="D347" s="240"/>
    </row>
    <row r="348" spans="2:4" ht="13.5" customHeight="1" x14ac:dyDescent="0.2">
      <c r="B348" s="32"/>
      <c r="C348" s="243"/>
      <c r="D348" s="240"/>
    </row>
    <row r="349" spans="2:4" ht="13.5" customHeight="1" x14ac:dyDescent="0.2">
      <c r="B349" s="244"/>
      <c r="C349" s="245"/>
      <c r="D349" s="240"/>
    </row>
    <row r="350" spans="2:4" ht="13.5" customHeight="1" x14ac:dyDescent="0.2">
      <c r="B350" s="32"/>
      <c r="C350" s="243"/>
      <c r="D350" s="240"/>
    </row>
    <row r="351" spans="2:4" ht="13.5" customHeight="1" x14ac:dyDescent="0.2">
      <c r="B351" s="32"/>
      <c r="C351" s="243"/>
      <c r="D351" s="240"/>
    </row>
    <row r="352" spans="2:4" ht="13.5" customHeight="1" x14ac:dyDescent="0.2">
      <c r="B352" s="246"/>
      <c r="C352" s="243"/>
      <c r="D352" s="240"/>
    </row>
    <row r="353" spans="2:4" ht="13.5" customHeight="1" x14ac:dyDescent="0.2">
      <c r="B353" s="32"/>
      <c r="C353" s="243"/>
      <c r="D353" s="240"/>
    </row>
    <row r="354" spans="2:4" ht="13.5" customHeight="1" x14ac:dyDescent="0.2">
      <c r="B354" s="32"/>
      <c r="C354" s="245"/>
      <c r="D354" s="240"/>
    </row>
    <row r="355" spans="2:4" ht="13.5" customHeight="1" x14ac:dyDescent="0.2">
      <c r="B355" s="244"/>
      <c r="C355" s="243"/>
      <c r="D355" s="240"/>
    </row>
    <row r="356" spans="2:4" ht="13.5" customHeight="1" x14ac:dyDescent="0.2">
      <c r="B356" s="32"/>
      <c r="C356" s="243"/>
      <c r="D356" s="240"/>
    </row>
    <row r="357" spans="2:4" ht="13.5" customHeight="1" x14ac:dyDescent="0.2">
      <c r="B357" s="32"/>
      <c r="C357" s="245"/>
      <c r="D357" s="240"/>
    </row>
    <row r="358" spans="2:4" ht="13.5" customHeight="1" x14ac:dyDescent="0.2">
      <c r="B358" s="244"/>
      <c r="C358" s="245"/>
      <c r="D358" s="240"/>
    </row>
    <row r="359" spans="2:4" ht="13.5" customHeight="1" x14ac:dyDescent="0.2">
      <c r="B359" s="32"/>
      <c r="C359" s="243"/>
      <c r="D359" s="240"/>
    </row>
    <row r="360" spans="2:4" ht="13.5" customHeight="1" x14ac:dyDescent="0.2">
      <c r="B360" s="32"/>
      <c r="C360" s="245"/>
      <c r="D360" s="240"/>
    </row>
    <row r="361" spans="2:4" ht="13.5" customHeight="1" x14ac:dyDescent="0.2">
      <c r="B361" s="244"/>
      <c r="C361" s="245"/>
      <c r="D361" s="240"/>
    </row>
    <row r="362" spans="2:4" ht="13.5" customHeight="1" x14ac:dyDescent="0.2">
      <c r="B362" s="32"/>
      <c r="C362" s="243"/>
      <c r="D362" s="240"/>
    </row>
    <row r="363" spans="2:4" ht="13.5" customHeight="1" x14ac:dyDescent="0.2">
      <c r="B363" s="32"/>
      <c r="C363" s="243"/>
      <c r="D363" s="240"/>
    </row>
    <row r="364" spans="2:4" ht="13.5" customHeight="1" x14ac:dyDescent="0.2">
      <c r="B364" s="32"/>
      <c r="C364" s="242"/>
      <c r="D364" s="240"/>
    </row>
    <row r="365" spans="2:4" ht="13.5" customHeight="1" x14ac:dyDescent="0.2">
      <c r="B365" s="247"/>
      <c r="C365" s="242"/>
      <c r="D365" s="240"/>
    </row>
    <row r="366" spans="2:4" ht="13.5" customHeight="1" x14ac:dyDescent="0.2">
      <c r="B366" s="246"/>
      <c r="C366" s="242"/>
      <c r="D366" s="240"/>
    </row>
    <row r="367" spans="2:4" ht="13.5" customHeight="1" x14ac:dyDescent="0.2">
      <c r="B367" s="247"/>
      <c r="C367" s="242"/>
      <c r="D367" s="240"/>
    </row>
    <row r="368" spans="2:4" ht="13.5" customHeight="1" x14ac:dyDescent="0.2">
      <c r="B368" s="248"/>
      <c r="C368" s="242"/>
      <c r="D368" s="240"/>
    </row>
    <row r="369" spans="2:4" ht="13.5" customHeight="1" x14ac:dyDescent="0.2">
      <c r="B369" s="36"/>
      <c r="C369" s="249"/>
      <c r="D369" s="240"/>
    </row>
    <row r="370" spans="2:4" ht="13.5" customHeight="1" x14ac:dyDescent="0.2">
      <c r="B370" s="36"/>
      <c r="C370" s="250"/>
      <c r="D370" s="240"/>
    </row>
    <row r="371" spans="2:4" ht="13.5" customHeight="1" x14ac:dyDescent="0.2">
      <c r="B371" s="36"/>
      <c r="C371" s="249"/>
      <c r="D371" s="240"/>
    </row>
    <row r="372" spans="2:4" ht="13.5" customHeight="1" x14ac:dyDescent="0.2">
      <c r="C372" s="249"/>
      <c r="D372" s="43"/>
    </row>
    <row r="373" spans="2:4" ht="13.5" customHeight="1" x14ac:dyDescent="0.2">
      <c r="B373" s="36"/>
      <c r="C373" s="250"/>
      <c r="D373" s="43"/>
    </row>
    <row r="374" spans="2:4" ht="13.5" customHeight="1" x14ac:dyDescent="0.2">
      <c r="B374" s="36"/>
      <c r="C374" s="250"/>
      <c r="D374" s="43"/>
    </row>
    <row r="375" spans="2:4" ht="13.5" customHeight="1" x14ac:dyDescent="0.2">
      <c r="B375" s="36"/>
      <c r="C375" s="250"/>
      <c r="D375" s="43"/>
    </row>
    <row r="376" spans="2:4" ht="13.5" customHeight="1" x14ac:dyDescent="0.2">
      <c r="B376" s="33"/>
      <c r="C376" s="251"/>
      <c r="D376" s="43"/>
    </row>
    <row r="377" spans="2:4" ht="13.5" customHeight="1" x14ac:dyDescent="0.2">
      <c r="B377" s="33"/>
      <c r="C377" s="250"/>
      <c r="D377" s="43"/>
    </row>
    <row r="378" spans="2:4" ht="13.5" customHeight="1" x14ac:dyDescent="0.2">
      <c r="C378" s="251"/>
      <c r="D378" s="43"/>
    </row>
    <row r="379" spans="2:4" ht="13.5" customHeight="1" x14ac:dyDescent="0.2">
      <c r="B379" s="36"/>
      <c r="C379" s="249"/>
      <c r="D379" s="43"/>
    </row>
    <row r="380" spans="2:4" ht="13.5" customHeight="1" x14ac:dyDescent="0.2">
      <c r="B380" s="36"/>
      <c r="C380" s="249"/>
      <c r="D380" s="43"/>
    </row>
    <row r="381" spans="2:4" ht="13.5" customHeight="1" x14ac:dyDescent="0.2">
      <c r="B381" s="36"/>
      <c r="C381" s="249"/>
      <c r="D381" s="43"/>
    </row>
    <row r="382" spans="2:4" ht="13.5" customHeight="1" x14ac:dyDescent="0.2">
      <c r="B382" s="36"/>
      <c r="C382" s="249"/>
      <c r="D382" s="43"/>
    </row>
    <row r="383" spans="2:4" ht="13.5" customHeight="1" x14ac:dyDescent="0.2">
      <c r="B383" s="252"/>
      <c r="C383" s="253"/>
      <c r="D383" s="43"/>
    </row>
    <row r="384" spans="2:4" ht="13.5" customHeight="1" x14ac:dyDescent="0.2">
      <c r="D384" s="43"/>
    </row>
    <row r="385" spans="4:4" ht="13.5" customHeight="1" x14ac:dyDescent="0.2">
      <c r="D385" s="43"/>
    </row>
    <row r="386" spans="4:4" ht="13.5" customHeight="1" x14ac:dyDescent="0.2">
      <c r="D386" s="200"/>
    </row>
    <row r="387" spans="4:4" ht="13.5" customHeight="1" x14ac:dyDescent="0.2"/>
    <row r="388" spans="4:4" ht="13.5" customHeight="1" x14ac:dyDescent="0.2"/>
    <row r="389" spans="4:4" ht="13.5" customHeight="1" x14ac:dyDescent="0.2"/>
    <row r="390" spans="4:4" ht="13.5" customHeight="1" x14ac:dyDescent="0.2"/>
    <row r="391" spans="4:4" ht="13.5" customHeight="1" x14ac:dyDescent="0.2"/>
    <row r="392" spans="4:4" ht="13.5" customHeight="1" x14ac:dyDescent="0.2"/>
    <row r="393" spans="4:4" ht="13.5" customHeight="1" x14ac:dyDescent="0.2"/>
    <row r="394" spans="4:4" ht="13.5" customHeight="1" x14ac:dyDescent="0.2"/>
    <row r="395" spans="4:4" ht="13.5" customHeight="1" x14ac:dyDescent="0.2"/>
  </sheetData>
  <sortState xmlns:xlrd2="http://schemas.microsoft.com/office/spreadsheetml/2017/richdata2" ref="A231:D231">
    <sortCondition ref="A231"/>
    <sortCondition ref="B231"/>
  </sortState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N377"/>
  <sheetViews>
    <sheetView topLeftCell="B245" zoomScale="80" zoomScaleNormal="80" workbookViewId="0">
      <selection activeCell="K181" sqref="K181"/>
    </sheetView>
  </sheetViews>
  <sheetFormatPr defaultColWidth="9" defaultRowHeight="12.75" x14ac:dyDescent="0.2"/>
  <cols>
    <col min="1" max="1" width="14" style="1" customWidth="1"/>
    <col min="2" max="2" width="1.875" style="1" customWidth="1"/>
    <col min="3" max="3" width="52.625" style="1" customWidth="1"/>
    <col min="4" max="4" width="12" style="1" customWidth="1"/>
    <col min="5" max="5" width="12.375" style="1" customWidth="1"/>
    <col min="6" max="6" width="10.75" style="1" customWidth="1"/>
    <col min="7" max="7" width="11.875" style="1" customWidth="1"/>
    <col min="8" max="8" width="13" style="283" customWidth="1"/>
    <col min="9" max="9" width="10.75" style="18" customWidth="1"/>
    <col min="10" max="10" width="10.875" style="66" customWidth="1"/>
    <col min="11" max="11" width="14.25" style="1" customWidth="1"/>
    <col min="12" max="12" width="11" style="1" customWidth="1"/>
    <col min="13" max="13" width="9" style="1"/>
    <col min="14" max="14" width="10.875" style="40" bestFit="1" customWidth="1"/>
    <col min="15" max="16384" width="9" style="1"/>
  </cols>
  <sheetData>
    <row r="1" spans="1:13" ht="13.5" customHeight="1" thickBot="1" x14ac:dyDescent="0.25">
      <c r="A1" s="1418" t="s">
        <v>634</v>
      </c>
      <c r="B1" s="1418"/>
      <c r="C1" s="1419"/>
      <c r="D1" s="1420" t="s">
        <v>0</v>
      </c>
      <c r="E1" s="1421"/>
      <c r="F1" s="1421"/>
      <c r="G1" s="1422"/>
      <c r="H1" s="1423" t="s">
        <v>1</v>
      </c>
      <c r="I1" s="1423"/>
      <c r="J1" s="1424"/>
    </row>
    <row r="2" spans="1:13" ht="13.5" customHeight="1" thickBot="1" x14ac:dyDescent="0.25">
      <c r="A2" s="2" t="s">
        <v>2</v>
      </c>
      <c r="B2" s="3"/>
      <c r="C2" s="3" t="s">
        <v>3</v>
      </c>
      <c r="D2" s="3" t="s">
        <v>4</v>
      </c>
      <c r="E2" s="3" t="s">
        <v>5</v>
      </c>
      <c r="F2" s="3" t="s">
        <v>6</v>
      </c>
      <c r="G2" s="5" t="s">
        <v>7</v>
      </c>
      <c r="H2" s="269" t="s">
        <v>5</v>
      </c>
      <c r="I2" s="4" t="s">
        <v>6</v>
      </c>
      <c r="J2" s="7" t="s">
        <v>7</v>
      </c>
      <c r="L2" s="18">
        <f>SUM(G3,J3,G171,J251,)</f>
        <v>21613.630000000005</v>
      </c>
      <c r="M2" t="s">
        <v>1801</v>
      </c>
    </row>
    <row r="3" spans="1:13" ht="13.5" customHeight="1" x14ac:dyDescent="0.2">
      <c r="A3" s="8">
        <v>43435</v>
      </c>
      <c r="B3" s="9"/>
      <c r="C3" s="10" t="s">
        <v>8</v>
      </c>
      <c r="D3" s="11"/>
      <c r="E3" s="12"/>
      <c r="F3" s="13"/>
      <c r="G3" s="14">
        <v>4708.7</v>
      </c>
      <c r="H3" s="270"/>
      <c r="I3" s="16"/>
      <c r="J3" s="17">
        <v>3904.9300000000067</v>
      </c>
      <c r="K3" s="18"/>
    </row>
    <row r="4" spans="1:13" ht="13.5" customHeight="1" x14ac:dyDescent="0.2">
      <c r="A4" s="19"/>
      <c r="B4" s="20"/>
      <c r="C4" s="21" t="s">
        <v>9</v>
      </c>
      <c r="D4" s="11"/>
      <c r="E4" s="12"/>
      <c r="F4" s="22">
        <v>0</v>
      </c>
      <c r="G4" s="23"/>
      <c r="H4" s="22"/>
      <c r="I4" s="25"/>
      <c r="J4" s="26"/>
      <c r="K4" s="18"/>
    </row>
    <row r="5" spans="1:13" ht="13.5" customHeight="1" x14ac:dyDescent="0.2">
      <c r="A5" s="19"/>
      <c r="B5" s="20"/>
      <c r="C5" s="21" t="s">
        <v>10</v>
      </c>
      <c r="D5" s="11"/>
      <c r="E5" s="12"/>
      <c r="F5" s="22">
        <v>0</v>
      </c>
      <c r="G5" s="23"/>
      <c r="H5" s="22"/>
      <c r="I5" s="25"/>
      <c r="J5" s="26"/>
      <c r="K5" s="18"/>
      <c r="L5" s="18">
        <f>J168</f>
        <v>1893.6600000000055</v>
      </c>
      <c r="M5" t="s">
        <v>1802</v>
      </c>
    </row>
    <row r="6" spans="1:13" ht="13.5" customHeight="1" x14ac:dyDescent="0.2">
      <c r="A6" s="171">
        <v>43437</v>
      </c>
      <c r="B6" s="172"/>
      <c r="C6" s="34" t="s">
        <v>635</v>
      </c>
      <c r="D6" s="42"/>
      <c r="E6" s="43"/>
      <c r="F6" s="173"/>
      <c r="G6" s="23"/>
      <c r="H6" s="22"/>
      <c r="I6" s="25">
        <v>1020</v>
      </c>
      <c r="J6" s="26"/>
      <c r="K6" s="18"/>
    </row>
    <row r="7" spans="1:13" ht="13.5" customHeight="1" x14ac:dyDescent="0.2">
      <c r="A7" s="171"/>
      <c r="B7" s="172"/>
      <c r="C7" s="34" t="s">
        <v>636</v>
      </c>
      <c r="D7" s="42"/>
      <c r="E7" s="43"/>
      <c r="F7" s="173"/>
      <c r="G7" s="23"/>
      <c r="H7" s="22"/>
      <c r="I7" s="25">
        <v>220</v>
      </c>
      <c r="J7" s="26"/>
      <c r="K7" s="18"/>
      <c r="L7" s="18">
        <f>SUM(E167,F167,H169,I169,E232,F232,H276,I276,)</f>
        <v>-18052.230000000014</v>
      </c>
      <c r="M7" t="s">
        <v>1803</v>
      </c>
    </row>
    <row r="8" spans="1:13" ht="13.5" customHeight="1" x14ac:dyDescent="0.2">
      <c r="A8" s="271"/>
      <c r="B8" s="172"/>
      <c r="C8" s="34" t="s">
        <v>470</v>
      </c>
      <c r="D8" s="42"/>
      <c r="E8" s="43"/>
      <c r="F8" s="173"/>
      <c r="G8" s="23"/>
      <c r="H8" s="162">
        <v>1250</v>
      </c>
      <c r="I8" s="25"/>
      <c r="J8" s="26"/>
      <c r="K8" s="18"/>
    </row>
    <row r="9" spans="1:13" ht="13.5" customHeight="1" x14ac:dyDescent="0.2">
      <c r="A9" s="271"/>
      <c r="B9" s="172"/>
      <c r="C9" s="34" t="s">
        <v>637</v>
      </c>
      <c r="D9" s="42"/>
      <c r="E9" s="43"/>
      <c r="F9" s="173"/>
      <c r="G9" s="23"/>
      <c r="H9" s="22">
        <v>150</v>
      </c>
      <c r="I9" s="25"/>
      <c r="J9" s="26"/>
      <c r="K9" s="18"/>
      <c r="L9" s="18">
        <f>SUM(G164,G231,J275)</f>
        <v>1667.7399999999986</v>
      </c>
      <c r="M9" t="s">
        <v>1797</v>
      </c>
    </row>
    <row r="10" spans="1:13" ht="13.5" customHeight="1" x14ac:dyDescent="0.2">
      <c r="A10" s="271"/>
      <c r="B10" s="172"/>
      <c r="C10" s="34" t="s">
        <v>638</v>
      </c>
      <c r="D10" s="42"/>
      <c r="E10" s="43"/>
      <c r="F10" s="173"/>
      <c r="G10" s="23"/>
      <c r="H10" s="22">
        <v>21.55</v>
      </c>
      <c r="I10" s="25"/>
      <c r="J10" s="26">
        <v>3723.3800000000065</v>
      </c>
      <c r="K10" s="18"/>
    </row>
    <row r="11" spans="1:13" ht="13.5" customHeight="1" x14ac:dyDescent="0.2">
      <c r="A11" s="19"/>
      <c r="B11" s="20"/>
      <c r="C11" s="34" t="s">
        <v>470</v>
      </c>
      <c r="D11" s="11"/>
      <c r="E11" s="12"/>
      <c r="F11" s="162">
        <v>1250</v>
      </c>
      <c r="G11" s="23">
        <v>5958.7</v>
      </c>
      <c r="H11" s="22"/>
      <c r="I11" s="25"/>
      <c r="J11" s="26"/>
      <c r="K11" s="18"/>
    </row>
    <row r="12" spans="1:13" ht="13.5" customHeight="1" x14ac:dyDescent="0.2">
      <c r="A12" s="19">
        <v>43438</v>
      </c>
      <c r="B12" s="20"/>
      <c r="C12" s="34" t="s">
        <v>639</v>
      </c>
      <c r="D12" s="11"/>
      <c r="E12" s="12"/>
      <c r="F12" s="22"/>
      <c r="G12" s="23"/>
      <c r="H12" s="22"/>
      <c r="I12" s="25">
        <v>190</v>
      </c>
      <c r="J12" s="26"/>
      <c r="K12" s="18"/>
    </row>
    <row r="13" spans="1:13" ht="13.5" customHeight="1" x14ac:dyDescent="0.2">
      <c r="A13" s="19"/>
      <c r="B13" s="20"/>
      <c r="C13" s="34" t="s">
        <v>640</v>
      </c>
      <c r="D13" s="11"/>
      <c r="E13" s="12"/>
      <c r="F13" s="22"/>
      <c r="G13" s="23"/>
      <c r="H13" s="22"/>
      <c r="I13" s="25">
        <v>190</v>
      </c>
      <c r="J13" s="26"/>
      <c r="K13" s="18"/>
      <c r="L13" s="18">
        <f>L2+L7-L5-L9</f>
        <v>-1.3642420526593924E-11</v>
      </c>
    </row>
    <row r="14" spans="1:13" ht="13.5" customHeight="1" x14ac:dyDescent="0.2">
      <c r="A14" s="19"/>
      <c r="B14" s="20"/>
      <c r="C14" s="34" t="s">
        <v>641</v>
      </c>
      <c r="D14" s="11"/>
      <c r="E14" s="12"/>
      <c r="F14" s="22"/>
      <c r="G14" s="23"/>
      <c r="H14" s="22"/>
      <c r="I14" s="25">
        <v>190</v>
      </c>
      <c r="J14" s="26"/>
      <c r="K14" s="18"/>
    </row>
    <row r="15" spans="1:13" ht="13.5" customHeight="1" x14ac:dyDescent="0.2">
      <c r="A15" s="19"/>
      <c r="B15" s="20"/>
      <c r="C15" s="34" t="s">
        <v>642</v>
      </c>
      <c r="D15" s="11"/>
      <c r="E15" s="12"/>
      <c r="F15" s="22"/>
      <c r="G15" s="23"/>
      <c r="H15" s="22">
        <v>6</v>
      </c>
      <c r="I15" s="25"/>
      <c r="J15" s="26"/>
      <c r="K15" s="18"/>
      <c r="L15" s="18"/>
    </row>
    <row r="16" spans="1:13" ht="13.5" customHeight="1" x14ac:dyDescent="0.2">
      <c r="A16" s="19"/>
      <c r="B16" s="20"/>
      <c r="C16" s="34" t="s">
        <v>643</v>
      </c>
      <c r="D16" s="11"/>
      <c r="E16" s="12"/>
      <c r="F16" s="22"/>
      <c r="G16" s="23"/>
      <c r="H16" s="22"/>
      <c r="I16" s="25">
        <v>1070</v>
      </c>
      <c r="J16" s="26"/>
      <c r="K16" s="18"/>
    </row>
    <row r="17" spans="1:11" ht="13.5" customHeight="1" x14ac:dyDescent="0.2">
      <c r="A17" s="19"/>
      <c r="B17" s="20"/>
      <c r="C17" s="34" t="s">
        <v>267</v>
      </c>
      <c r="D17" s="11"/>
      <c r="E17" s="12"/>
      <c r="F17" s="22"/>
      <c r="G17" s="23"/>
      <c r="H17" s="22"/>
      <c r="I17" s="25">
        <v>1500</v>
      </c>
      <c r="J17" s="26">
        <v>6857.3800000000065</v>
      </c>
      <c r="K17" s="18"/>
    </row>
    <row r="18" spans="1:11" ht="13.5" customHeight="1" x14ac:dyDescent="0.2">
      <c r="A18" s="19"/>
      <c r="B18" s="20"/>
      <c r="C18" s="34" t="s">
        <v>264</v>
      </c>
      <c r="D18" s="11"/>
      <c r="E18" s="12">
        <v>-624.16</v>
      </c>
      <c r="F18" s="22"/>
      <c r="G18" s="23"/>
      <c r="H18" s="22"/>
      <c r="I18" s="25"/>
      <c r="J18" s="26"/>
      <c r="K18" s="18"/>
    </row>
    <row r="19" spans="1:11" ht="13.5" customHeight="1" x14ac:dyDescent="0.2">
      <c r="A19" s="19"/>
      <c r="B19" s="20"/>
      <c r="C19" s="34" t="s">
        <v>20</v>
      </c>
      <c r="D19" s="11" t="s">
        <v>19</v>
      </c>
      <c r="E19" s="12"/>
      <c r="F19" s="22">
        <v>0.05</v>
      </c>
      <c r="G19" s="23">
        <v>5334.59</v>
      </c>
      <c r="H19" s="22"/>
      <c r="I19" s="25"/>
      <c r="J19" s="26"/>
      <c r="K19" s="18"/>
    </row>
    <row r="20" spans="1:11" ht="13.5" customHeight="1" x14ac:dyDescent="0.2">
      <c r="A20" s="19">
        <v>43439</v>
      </c>
      <c r="B20" s="20"/>
      <c r="C20" s="34" t="s">
        <v>644</v>
      </c>
      <c r="D20" s="11"/>
      <c r="E20" s="12"/>
      <c r="F20" s="22"/>
      <c r="G20" s="23"/>
      <c r="H20" s="22">
        <v>98</v>
      </c>
      <c r="I20" s="25"/>
      <c r="J20" s="39"/>
      <c r="K20" s="18"/>
    </row>
    <row r="21" spans="1:11" ht="13.5" customHeight="1" x14ac:dyDescent="0.2">
      <c r="A21" s="19"/>
      <c r="B21" s="20"/>
      <c r="C21" s="34" t="s">
        <v>645</v>
      </c>
      <c r="D21" s="11"/>
      <c r="E21" s="12"/>
      <c r="F21" s="22"/>
      <c r="G21" s="23"/>
      <c r="H21" s="22">
        <v>36.1</v>
      </c>
      <c r="I21" s="25"/>
      <c r="J21" s="26"/>
      <c r="K21" s="18"/>
    </row>
    <row r="22" spans="1:11" ht="13.5" customHeight="1" x14ac:dyDescent="0.2">
      <c r="A22" s="19"/>
      <c r="B22" s="20"/>
      <c r="C22" s="34" t="s">
        <v>646</v>
      </c>
      <c r="D22" s="11"/>
      <c r="E22" s="12"/>
      <c r="F22" s="22"/>
      <c r="G22" s="23"/>
      <c r="H22" s="22">
        <v>31.3</v>
      </c>
      <c r="I22" s="25"/>
      <c r="J22" s="26"/>
      <c r="K22" s="18"/>
    </row>
    <row r="23" spans="1:11" ht="13.5" customHeight="1" x14ac:dyDescent="0.2">
      <c r="A23" s="19"/>
      <c r="B23" s="20"/>
      <c r="C23" s="34" t="s">
        <v>647</v>
      </c>
      <c r="D23" s="11"/>
      <c r="E23" s="12"/>
      <c r="F23" s="22"/>
      <c r="G23" s="23"/>
      <c r="H23" s="22">
        <v>16.5</v>
      </c>
      <c r="I23" s="25"/>
      <c r="J23" s="26"/>
      <c r="K23" s="18"/>
    </row>
    <row r="24" spans="1:11" ht="13.5" customHeight="1" x14ac:dyDescent="0.2">
      <c r="A24" s="19"/>
      <c r="B24" s="20"/>
      <c r="C24" s="34" t="s">
        <v>648</v>
      </c>
      <c r="D24" s="11"/>
      <c r="E24" s="12"/>
      <c r="F24" s="22"/>
      <c r="G24" s="23"/>
      <c r="H24" s="22"/>
      <c r="I24" s="25">
        <v>80</v>
      </c>
      <c r="J24" s="39"/>
      <c r="K24" s="18"/>
    </row>
    <row r="25" spans="1:11" ht="13.5" customHeight="1" x14ac:dyDescent="0.2">
      <c r="A25" s="46"/>
      <c r="B25" s="46"/>
      <c r="C25" s="34" t="s">
        <v>649</v>
      </c>
      <c r="D25" s="42"/>
      <c r="E25" s="43"/>
      <c r="F25" s="43"/>
      <c r="G25" s="23"/>
      <c r="H25" s="22">
        <v>28.9</v>
      </c>
      <c r="I25" s="25"/>
      <c r="J25" s="26">
        <v>6726.5800000000063</v>
      </c>
      <c r="K25" s="18"/>
    </row>
    <row r="26" spans="1:11" ht="13.5" customHeight="1" x14ac:dyDescent="0.2">
      <c r="A26" s="19"/>
      <c r="B26" s="20"/>
      <c r="C26" s="34" t="s">
        <v>53</v>
      </c>
      <c r="D26" s="11" t="s">
        <v>650</v>
      </c>
      <c r="E26" s="12">
        <v>-532.21</v>
      </c>
      <c r="F26" s="22"/>
      <c r="G26" s="23"/>
      <c r="H26" s="22"/>
      <c r="I26" s="25"/>
      <c r="J26" s="26"/>
      <c r="K26" s="18"/>
    </row>
    <row r="27" spans="1:11" ht="13.5" customHeight="1" x14ac:dyDescent="0.2">
      <c r="A27" s="19"/>
      <c r="B27" s="20"/>
      <c r="C27" s="34" t="s">
        <v>20</v>
      </c>
      <c r="D27" s="11" t="s">
        <v>19</v>
      </c>
      <c r="E27" s="12"/>
      <c r="F27" s="22">
        <v>0.05</v>
      </c>
      <c r="G27" s="23">
        <v>4802.43</v>
      </c>
      <c r="H27" s="22"/>
      <c r="I27" s="25"/>
      <c r="J27" s="26"/>
      <c r="K27" s="18"/>
    </row>
    <row r="28" spans="1:11" ht="13.5" customHeight="1" x14ac:dyDescent="0.2">
      <c r="A28" s="19">
        <v>43440</v>
      </c>
      <c r="B28" s="46"/>
      <c r="C28" s="34" t="s">
        <v>564</v>
      </c>
      <c r="D28" s="42"/>
      <c r="E28" s="43"/>
      <c r="F28" s="43"/>
      <c r="G28" s="23"/>
      <c r="H28" s="162">
        <v>1000</v>
      </c>
      <c r="I28" s="25"/>
      <c r="J28" s="26"/>
      <c r="K28" s="18"/>
    </row>
    <row r="29" spans="1:11" ht="13.5" customHeight="1" x14ac:dyDescent="0.2">
      <c r="A29" s="19"/>
      <c r="B29" s="20"/>
      <c r="C29" s="34" t="s">
        <v>56</v>
      </c>
      <c r="D29" s="11"/>
      <c r="E29" s="12"/>
      <c r="F29" s="22"/>
      <c r="G29" s="23"/>
      <c r="H29" s="22">
        <v>39.82</v>
      </c>
      <c r="I29" s="25"/>
      <c r="J29" s="26"/>
      <c r="K29" s="18"/>
    </row>
    <row r="30" spans="1:11" ht="13.5" customHeight="1" x14ac:dyDescent="0.2">
      <c r="A30" s="19"/>
      <c r="B30" s="20"/>
      <c r="C30" s="34"/>
      <c r="D30" s="11"/>
      <c r="E30" s="12"/>
      <c r="F30" s="22"/>
      <c r="G30" s="23"/>
      <c r="H30" s="22">
        <v>150</v>
      </c>
      <c r="I30" s="25"/>
      <c r="J30" s="26"/>
      <c r="K30" s="18"/>
    </row>
    <row r="31" spans="1:11" ht="13.5" customHeight="1" x14ac:dyDescent="0.2">
      <c r="A31" s="19"/>
      <c r="B31" s="20"/>
      <c r="C31" s="34" t="s">
        <v>652</v>
      </c>
      <c r="D31" s="11"/>
      <c r="E31" s="12"/>
      <c r="F31" s="22"/>
      <c r="G31" s="23"/>
      <c r="H31" s="22">
        <v>150</v>
      </c>
      <c r="I31" s="25"/>
      <c r="J31" s="39">
        <v>5386.7600000000066</v>
      </c>
      <c r="K31" s="18"/>
    </row>
    <row r="32" spans="1:11" ht="13.5" customHeight="1" x14ac:dyDescent="0.2">
      <c r="A32" s="19"/>
      <c r="B32" s="20"/>
      <c r="C32" s="34" t="s">
        <v>55</v>
      </c>
      <c r="D32" s="11" t="s">
        <v>653</v>
      </c>
      <c r="E32" s="12">
        <v>-400</v>
      </c>
      <c r="F32" s="22"/>
      <c r="G32" s="23"/>
      <c r="H32" s="22"/>
      <c r="I32" s="25"/>
      <c r="J32" s="26"/>
      <c r="K32" s="18"/>
    </row>
    <row r="33" spans="1:11" ht="13.5" customHeight="1" x14ac:dyDescent="0.2">
      <c r="A33" s="19"/>
      <c r="B33" s="20"/>
      <c r="C33" s="34" t="s">
        <v>564</v>
      </c>
      <c r="D33" s="11" t="s">
        <v>654</v>
      </c>
      <c r="E33" s="12"/>
      <c r="F33" s="162">
        <v>1000</v>
      </c>
      <c r="G33" s="23">
        <v>5402.43</v>
      </c>
      <c r="H33" s="22"/>
      <c r="I33" s="25"/>
      <c r="J33" s="26"/>
      <c r="K33" s="18"/>
    </row>
    <row r="34" spans="1:11" ht="13.5" customHeight="1" x14ac:dyDescent="0.2">
      <c r="A34" s="19">
        <v>43441</v>
      </c>
      <c r="B34" s="20"/>
      <c r="C34" s="34" t="s">
        <v>655</v>
      </c>
      <c r="D34" s="11"/>
      <c r="E34" s="12"/>
      <c r="F34" s="22"/>
      <c r="G34" s="23"/>
      <c r="H34" s="22"/>
      <c r="I34" s="25">
        <v>1975.42</v>
      </c>
      <c r="J34" s="26"/>
      <c r="K34" s="18"/>
    </row>
    <row r="35" spans="1:11" ht="13.5" customHeight="1" x14ac:dyDescent="0.2">
      <c r="A35" s="19"/>
      <c r="B35" s="20"/>
      <c r="C35" s="21" t="s">
        <v>36</v>
      </c>
      <c r="D35" s="11"/>
      <c r="E35" s="12"/>
      <c r="F35" s="22"/>
      <c r="G35" s="23"/>
      <c r="H35" s="22">
        <v>350</v>
      </c>
      <c r="I35" s="25"/>
      <c r="J35" s="26"/>
      <c r="K35" s="18"/>
    </row>
    <row r="36" spans="1:11" ht="13.5" customHeight="1" x14ac:dyDescent="0.2">
      <c r="A36" s="19"/>
      <c r="B36" s="20"/>
      <c r="C36" s="21" t="s">
        <v>52</v>
      </c>
      <c r="D36" s="11"/>
      <c r="E36" s="12"/>
      <c r="F36" s="22"/>
      <c r="G36" s="23"/>
      <c r="H36" s="22">
        <v>405</v>
      </c>
      <c r="I36" s="25"/>
      <c r="J36" s="26"/>
      <c r="K36" s="18"/>
    </row>
    <row r="37" spans="1:11" ht="13.5" customHeight="1" x14ac:dyDescent="0.2">
      <c r="A37" s="19"/>
      <c r="B37" s="20"/>
      <c r="C37" s="34" t="s">
        <v>318</v>
      </c>
      <c r="D37" s="11"/>
      <c r="E37" s="12"/>
      <c r="F37" s="22"/>
      <c r="G37" s="23"/>
      <c r="H37" s="22">
        <v>260</v>
      </c>
      <c r="I37" s="25"/>
      <c r="J37" s="26"/>
      <c r="K37" s="18"/>
    </row>
    <row r="38" spans="1:11" ht="13.5" customHeight="1" x14ac:dyDescent="0.2">
      <c r="A38" s="19"/>
      <c r="B38" s="20"/>
      <c r="C38" s="21" t="s">
        <v>373</v>
      </c>
      <c r="D38" s="11"/>
      <c r="E38" s="12"/>
      <c r="F38" s="22"/>
      <c r="G38" s="23"/>
      <c r="H38" s="22">
        <v>180</v>
      </c>
      <c r="I38" s="25"/>
      <c r="J38" s="26"/>
      <c r="K38" s="18"/>
    </row>
    <row r="39" spans="1:11" ht="13.5" customHeight="1" x14ac:dyDescent="0.2">
      <c r="A39" s="19"/>
      <c r="B39" s="20"/>
      <c r="C39" s="21" t="s">
        <v>458</v>
      </c>
      <c r="D39" s="11"/>
      <c r="E39" s="12"/>
      <c r="F39" s="22"/>
      <c r="G39" s="23"/>
      <c r="H39" s="162">
        <v>190</v>
      </c>
      <c r="I39" s="25"/>
      <c r="J39" s="26"/>
      <c r="K39" s="18"/>
    </row>
    <row r="40" spans="1:11" ht="13.5" customHeight="1" x14ac:dyDescent="0.2">
      <c r="A40" s="19"/>
      <c r="B40" s="20"/>
      <c r="C40" s="21" t="s">
        <v>656</v>
      </c>
      <c r="D40" s="11"/>
      <c r="E40" s="12"/>
      <c r="F40" s="22"/>
      <c r="G40" s="23"/>
      <c r="H40" s="22">
        <v>12.86</v>
      </c>
      <c r="I40" s="25"/>
      <c r="J40" s="26"/>
      <c r="K40" s="18"/>
    </row>
    <row r="41" spans="1:11" ht="13.5" customHeight="1" x14ac:dyDescent="0.2">
      <c r="A41" s="19"/>
      <c r="B41" s="20"/>
      <c r="C41" s="34" t="s">
        <v>657</v>
      </c>
      <c r="D41" s="11"/>
      <c r="E41" s="12"/>
      <c r="F41" s="22"/>
      <c r="G41" s="23"/>
      <c r="H41" s="22">
        <v>12.85</v>
      </c>
      <c r="I41" s="25"/>
      <c r="J41" s="26"/>
      <c r="K41" s="18"/>
    </row>
    <row r="42" spans="1:11" ht="13.5" customHeight="1" x14ac:dyDescent="0.2">
      <c r="A42" s="19"/>
      <c r="B42" s="20"/>
      <c r="C42" s="34" t="s">
        <v>658</v>
      </c>
      <c r="D42" s="11"/>
      <c r="E42" s="12"/>
      <c r="F42" s="22"/>
      <c r="G42" s="23"/>
      <c r="H42" s="22">
        <v>45</v>
      </c>
      <c r="I42" s="25"/>
      <c r="J42" s="26"/>
      <c r="K42" s="18"/>
    </row>
    <row r="43" spans="1:11" ht="13.5" customHeight="1" x14ac:dyDescent="0.2">
      <c r="A43" s="19"/>
      <c r="B43" s="20"/>
      <c r="C43" s="34" t="s">
        <v>659</v>
      </c>
      <c r="D43" s="11"/>
      <c r="E43" s="12"/>
      <c r="F43" s="22"/>
      <c r="G43" s="23"/>
      <c r="H43" s="22">
        <v>30</v>
      </c>
      <c r="I43" s="25"/>
      <c r="J43" s="26"/>
      <c r="K43" s="18"/>
    </row>
    <row r="44" spans="1:11" ht="13.5" customHeight="1" x14ac:dyDescent="0.2">
      <c r="A44" s="19"/>
      <c r="B44" s="20"/>
      <c r="C44" s="21" t="s">
        <v>268</v>
      </c>
      <c r="D44" s="11"/>
      <c r="E44" s="12"/>
      <c r="F44" s="22"/>
      <c r="G44" s="23"/>
      <c r="H44" s="22">
        <v>20</v>
      </c>
      <c r="I44" s="25"/>
      <c r="J44" s="26">
        <v>5856.4700000000066</v>
      </c>
      <c r="K44" s="18"/>
    </row>
    <row r="45" spans="1:11" ht="13.5" customHeight="1" x14ac:dyDescent="0.2">
      <c r="A45" s="19"/>
      <c r="B45" s="20"/>
      <c r="C45" s="21" t="s">
        <v>458</v>
      </c>
      <c r="D45" s="11" t="s">
        <v>660</v>
      </c>
      <c r="E45" s="12"/>
      <c r="F45" s="162">
        <v>190</v>
      </c>
      <c r="G45" s="23">
        <v>5592.43</v>
      </c>
      <c r="H45" s="22"/>
      <c r="I45" s="25"/>
      <c r="J45" s="26"/>
      <c r="K45" s="18"/>
    </row>
    <row r="46" spans="1:11" ht="13.5" customHeight="1" x14ac:dyDescent="0.2">
      <c r="A46" s="19" t="s">
        <v>661</v>
      </c>
      <c r="B46" s="20"/>
      <c r="C46" s="34" t="s">
        <v>62</v>
      </c>
      <c r="D46" s="11" t="s">
        <v>19</v>
      </c>
      <c r="E46" s="12">
        <v>-438.92</v>
      </c>
      <c r="F46" s="22"/>
      <c r="G46" s="23"/>
      <c r="H46" s="22"/>
      <c r="I46" s="25"/>
      <c r="J46" s="26"/>
      <c r="K46" s="18"/>
    </row>
    <row r="47" spans="1:11" ht="13.5" customHeight="1" x14ac:dyDescent="0.2">
      <c r="A47" s="19"/>
      <c r="B47" s="20"/>
      <c r="C47" s="34" t="s">
        <v>68</v>
      </c>
      <c r="D47" s="11" t="s">
        <v>662</v>
      </c>
      <c r="E47" s="12">
        <v>-129.9</v>
      </c>
      <c r="F47" s="22"/>
      <c r="G47" s="23"/>
      <c r="H47" s="22"/>
      <c r="I47" s="25"/>
      <c r="J47" s="26"/>
      <c r="K47" s="18"/>
    </row>
    <row r="48" spans="1:11" ht="13.5" customHeight="1" x14ac:dyDescent="0.2">
      <c r="A48" s="19"/>
      <c r="B48" s="20"/>
      <c r="C48" s="34" t="s">
        <v>82</v>
      </c>
      <c r="D48" s="11" t="s">
        <v>663</v>
      </c>
      <c r="E48" s="12">
        <v>-337.47</v>
      </c>
      <c r="F48" s="22"/>
      <c r="G48" s="23"/>
      <c r="H48" s="22"/>
      <c r="I48" s="25"/>
      <c r="J48" s="26"/>
      <c r="K48" s="18"/>
    </row>
    <row r="49" spans="1:11" ht="13.5" customHeight="1" x14ac:dyDescent="0.2">
      <c r="A49" s="19"/>
      <c r="B49" s="20"/>
      <c r="C49" s="34" t="s">
        <v>20</v>
      </c>
      <c r="D49" s="11" t="s">
        <v>19</v>
      </c>
      <c r="E49" s="12"/>
      <c r="F49" s="22">
        <v>7.0000000000000007E-2</v>
      </c>
      <c r="G49" s="23">
        <v>4686.21</v>
      </c>
      <c r="H49" s="22"/>
      <c r="I49" s="25"/>
      <c r="J49" s="26"/>
      <c r="K49" s="18"/>
    </row>
    <row r="50" spans="1:11" ht="13.5" customHeight="1" x14ac:dyDescent="0.2">
      <c r="A50" s="19">
        <v>43445</v>
      </c>
      <c r="B50" s="20"/>
      <c r="C50" s="34" t="s">
        <v>664</v>
      </c>
      <c r="D50" s="11"/>
      <c r="E50" s="12"/>
      <c r="F50" s="22"/>
      <c r="G50" s="23"/>
      <c r="H50" s="22">
        <v>10.66</v>
      </c>
      <c r="I50" s="25"/>
      <c r="J50" s="26"/>
      <c r="K50" s="18"/>
    </row>
    <row r="51" spans="1:11" ht="13.5" customHeight="1" x14ac:dyDescent="0.2">
      <c r="A51" s="19"/>
      <c r="B51" s="20"/>
      <c r="C51" s="34" t="s">
        <v>665</v>
      </c>
      <c r="D51" s="11"/>
      <c r="E51" s="12"/>
      <c r="F51" s="22"/>
      <c r="G51" s="23"/>
      <c r="H51" s="22">
        <v>34.799999999999997</v>
      </c>
      <c r="I51" s="25"/>
      <c r="J51" s="39"/>
      <c r="K51" s="18"/>
    </row>
    <row r="52" spans="1:11" ht="13.5" customHeight="1" x14ac:dyDescent="0.2">
      <c r="A52" s="19"/>
      <c r="B52" s="20"/>
      <c r="C52" s="34" t="s">
        <v>666</v>
      </c>
      <c r="D52" s="11"/>
      <c r="E52" s="12"/>
      <c r="F52" s="22"/>
      <c r="G52" s="23"/>
      <c r="H52" s="22">
        <v>22.4</v>
      </c>
      <c r="I52" s="25"/>
      <c r="J52" s="26"/>
      <c r="K52" s="18"/>
    </row>
    <row r="53" spans="1:11" ht="13.5" customHeight="1" x14ac:dyDescent="0.2">
      <c r="A53" s="19"/>
      <c r="B53" s="20"/>
      <c r="C53" s="34" t="s">
        <v>667</v>
      </c>
      <c r="D53" s="11"/>
      <c r="E53" s="12"/>
      <c r="F53" s="22"/>
      <c r="G53" s="23"/>
      <c r="H53" s="22">
        <v>40.64</v>
      </c>
      <c r="I53" s="25"/>
      <c r="J53" s="26"/>
      <c r="K53" s="18"/>
    </row>
    <row r="54" spans="1:11" ht="13.5" customHeight="1" x14ac:dyDescent="0.2">
      <c r="A54" s="19"/>
      <c r="B54" s="20"/>
      <c r="C54" s="34" t="s">
        <v>668</v>
      </c>
      <c r="D54" s="11"/>
      <c r="E54" s="12"/>
      <c r="F54" s="22"/>
      <c r="G54" s="23"/>
      <c r="H54" s="22">
        <v>6.2</v>
      </c>
      <c r="I54" s="25"/>
      <c r="J54" s="26">
        <v>5741.7700000000068</v>
      </c>
      <c r="K54" s="18"/>
    </row>
    <row r="55" spans="1:11" ht="13.5" customHeight="1" x14ac:dyDescent="0.2">
      <c r="A55" s="19"/>
      <c r="B55" s="20"/>
      <c r="C55" s="34" t="s">
        <v>80</v>
      </c>
      <c r="D55" s="11" t="s">
        <v>19</v>
      </c>
      <c r="E55" s="12">
        <v>-34.56</v>
      </c>
      <c r="F55" s="22"/>
      <c r="G55" s="23">
        <v>4651.6499999999996</v>
      </c>
      <c r="H55" s="22"/>
      <c r="I55" s="25"/>
      <c r="J55" s="127"/>
      <c r="K55" s="18"/>
    </row>
    <row r="56" spans="1:11" ht="13.5" customHeight="1" x14ac:dyDescent="0.2">
      <c r="A56" s="19">
        <v>43446</v>
      </c>
      <c r="B56" s="20"/>
      <c r="C56" s="21" t="s">
        <v>36</v>
      </c>
      <c r="D56" s="11"/>
      <c r="E56" s="12"/>
      <c r="F56" s="22"/>
      <c r="G56" s="23"/>
      <c r="H56" s="22">
        <v>350</v>
      </c>
      <c r="I56" s="25"/>
      <c r="J56" s="26">
        <v>5391.7700000000068</v>
      </c>
      <c r="K56" s="18"/>
    </row>
    <row r="57" spans="1:11" ht="13.5" customHeight="1" x14ac:dyDescent="0.2">
      <c r="A57" s="19"/>
      <c r="B57" s="20"/>
      <c r="C57" s="34" t="s">
        <v>87</v>
      </c>
      <c r="D57" s="11" t="s">
        <v>19</v>
      </c>
      <c r="E57" s="12">
        <v>-37.93</v>
      </c>
      <c r="F57" s="22"/>
      <c r="G57" s="23">
        <v>4613.72</v>
      </c>
      <c r="H57" s="22"/>
      <c r="I57" s="25"/>
      <c r="J57" s="26"/>
      <c r="K57" s="18"/>
    </row>
    <row r="58" spans="1:11" ht="13.5" customHeight="1" x14ac:dyDescent="0.2">
      <c r="A58" s="19">
        <v>43447</v>
      </c>
      <c r="B58" s="20"/>
      <c r="C58" s="34" t="s">
        <v>669</v>
      </c>
      <c r="D58" s="11"/>
      <c r="E58" s="12"/>
      <c r="F58" s="22"/>
      <c r="G58" s="23"/>
      <c r="H58" s="22">
        <v>400</v>
      </c>
      <c r="I58" s="25"/>
      <c r="J58" s="26"/>
      <c r="K58" s="18"/>
    </row>
    <row r="59" spans="1:11" ht="13.5" customHeight="1" x14ac:dyDescent="0.2">
      <c r="A59" s="19"/>
      <c r="B59" s="20"/>
      <c r="C59" s="34" t="s">
        <v>670</v>
      </c>
      <c r="D59" s="11"/>
      <c r="E59" s="12"/>
      <c r="F59" s="22"/>
      <c r="G59" s="23"/>
      <c r="H59" s="22">
        <v>192.8</v>
      </c>
      <c r="I59" s="25"/>
      <c r="J59" s="26"/>
      <c r="K59" s="18"/>
    </row>
    <row r="60" spans="1:11" ht="13.5" customHeight="1" x14ac:dyDescent="0.2">
      <c r="A60" s="19"/>
      <c r="B60" s="20"/>
      <c r="C60" s="34" t="s">
        <v>671</v>
      </c>
      <c r="D60" s="11"/>
      <c r="E60" s="12"/>
      <c r="F60" s="22"/>
      <c r="G60" s="23"/>
      <c r="H60" s="22"/>
      <c r="I60" s="25">
        <v>190</v>
      </c>
      <c r="J60" s="26">
        <v>4988.9700000000066</v>
      </c>
      <c r="K60" s="18"/>
    </row>
    <row r="61" spans="1:11" ht="13.5" customHeight="1" x14ac:dyDescent="0.2">
      <c r="A61" s="19"/>
      <c r="B61" s="20"/>
      <c r="C61" s="34" t="s">
        <v>672</v>
      </c>
      <c r="D61" s="11" t="s">
        <v>19</v>
      </c>
      <c r="E61" s="12">
        <v>-329.9</v>
      </c>
      <c r="F61" s="22"/>
      <c r="G61" s="23"/>
      <c r="H61" s="22"/>
      <c r="I61" s="25"/>
      <c r="J61" s="26"/>
      <c r="K61" s="18"/>
    </row>
    <row r="62" spans="1:11" ht="13.5" customHeight="1" x14ac:dyDescent="0.2">
      <c r="A62" s="19"/>
      <c r="B62" s="20"/>
      <c r="C62" s="34" t="s">
        <v>673</v>
      </c>
      <c r="D62" s="11" t="s">
        <v>19</v>
      </c>
      <c r="E62" s="12">
        <v>-99.98</v>
      </c>
      <c r="F62" s="22"/>
      <c r="G62" s="23"/>
      <c r="H62" s="22"/>
      <c r="I62" s="25"/>
      <c r="J62" s="39"/>
      <c r="K62" s="18"/>
    </row>
    <row r="63" spans="1:11" ht="13.5" customHeight="1" x14ac:dyDescent="0.2">
      <c r="A63" s="19"/>
      <c r="B63" s="20"/>
      <c r="C63" s="33" t="s">
        <v>81</v>
      </c>
      <c r="D63" s="11" t="s">
        <v>19</v>
      </c>
      <c r="E63" s="12">
        <v>-49.9</v>
      </c>
      <c r="F63" s="22"/>
      <c r="G63" s="23"/>
      <c r="H63" s="22"/>
      <c r="I63" s="25"/>
      <c r="J63" s="26"/>
      <c r="K63" s="18"/>
    </row>
    <row r="64" spans="1:11" ht="13.5" customHeight="1" x14ac:dyDescent="0.2">
      <c r="A64" s="46"/>
      <c r="B64" s="46"/>
      <c r="C64" s="34" t="s">
        <v>20</v>
      </c>
      <c r="D64" s="42" t="s">
        <v>19</v>
      </c>
      <c r="E64" s="43"/>
      <c r="F64" s="43">
        <v>7.0000000000000007E-2</v>
      </c>
      <c r="G64" s="23">
        <v>4134.01</v>
      </c>
      <c r="H64" s="22"/>
      <c r="I64" s="25"/>
      <c r="J64" s="26"/>
      <c r="K64" s="18"/>
    </row>
    <row r="65" spans="1:11" ht="13.5" customHeight="1" x14ac:dyDescent="0.2">
      <c r="A65" s="19">
        <v>43448</v>
      </c>
      <c r="B65" s="20"/>
      <c r="C65" s="34" t="s">
        <v>674</v>
      </c>
      <c r="D65" s="11"/>
      <c r="E65" s="12"/>
      <c r="F65" s="22"/>
      <c r="G65" s="23"/>
      <c r="H65" s="22">
        <v>118</v>
      </c>
      <c r="I65" s="25"/>
      <c r="J65" s="26"/>
      <c r="K65" s="18"/>
    </row>
    <row r="66" spans="1:11" ht="13.5" customHeight="1" x14ac:dyDescent="0.2">
      <c r="A66" s="19"/>
      <c r="B66" s="20"/>
      <c r="C66" s="34" t="s">
        <v>458</v>
      </c>
      <c r="D66" s="11"/>
      <c r="E66" s="12"/>
      <c r="F66" s="22"/>
      <c r="G66" s="23"/>
      <c r="H66" s="162">
        <v>190</v>
      </c>
      <c r="I66" s="25"/>
      <c r="J66" s="26"/>
      <c r="K66" s="18"/>
    </row>
    <row r="67" spans="1:11" ht="13.5" customHeight="1" x14ac:dyDescent="0.2">
      <c r="A67" s="19"/>
      <c r="B67" s="20"/>
      <c r="C67" s="34" t="s">
        <v>675</v>
      </c>
      <c r="D67" s="11"/>
      <c r="E67" s="12"/>
      <c r="F67" s="22"/>
      <c r="G67" s="23"/>
      <c r="H67" s="22"/>
      <c r="I67" s="25">
        <v>1520.1</v>
      </c>
      <c r="J67" s="26"/>
      <c r="K67" s="18"/>
    </row>
    <row r="68" spans="1:11" ht="13.5" customHeight="1" x14ac:dyDescent="0.2">
      <c r="A68" s="19"/>
      <c r="B68" s="20"/>
      <c r="C68" s="34" t="s">
        <v>676</v>
      </c>
      <c r="D68" s="11"/>
      <c r="E68" s="12"/>
      <c r="F68" s="22"/>
      <c r="G68" s="23"/>
      <c r="H68" s="22"/>
      <c r="I68" s="25">
        <v>185</v>
      </c>
      <c r="J68" s="26"/>
      <c r="K68" s="18"/>
    </row>
    <row r="69" spans="1:11" ht="13.5" customHeight="1" x14ac:dyDescent="0.2">
      <c r="A69" s="19"/>
      <c r="B69" s="20"/>
      <c r="C69" s="34" t="s">
        <v>677</v>
      </c>
      <c r="D69" s="11"/>
      <c r="E69" s="12"/>
      <c r="F69" s="22"/>
      <c r="G69" s="23"/>
      <c r="H69" s="22">
        <v>100</v>
      </c>
      <c r="I69" s="25"/>
      <c r="J69" s="26"/>
      <c r="K69" s="18"/>
    </row>
    <row r="70" spans="1:11" ht="13.5" customHeight="1" x14ac:dyDescent="0.2">
      <c r="A70" s="19"/>
      <c r="B70" s="20"/>
      <c r="C70" s="34" t="s">
        <v>52</v>
      </c>
      <c r="D70" s="11"/>
      <c r="E70" s="12"/>
      <c r="F70" s="22"/>
      <c r="G70" s="23"/>
      <c r="H70" s="22">
        <v>450</v>
      </c>
      <c r="I70" s="25"/>
      <c r="J70" s="26"/>
      <c r="K70" s="18"/>
    </row>
    <row r="71" spans="1:11" ht="13.5" customHeight="1" x14ac:dyDescent="0.2">
      <c r="A71" s="19"/>
      <c r="B71" s="20"/>
      <c r="C71" s="34" t="s">
        <v>373</v>
      </c>
      <c r="D71" s="11"/>
      <c r="E71" s="12"/>
      <c r="F71" s="22"/>
      <c r="G71" s="23"/>
      <c r="H71" s="22">
        <v>190</v>
      </c>
      <c r="I71" s="25"/>
      <c r="J71" s="26"/>
      <c r="K71" s="18"/>
    </row>
    <row r="72" spans="1:11" ht="13.5" customHeight="1" x14ac:dyDescent="0.2">
      <c r="A72" s="19"/>
      <c r="B72" s="20"/>
      <c r="C72" s="34" t="s">
        <v>318</v>
      </c>
      <c r="D72" s="11"/>
      <c r="E72" s="12"/>
      <c r="F72" s="22"/>
      <c r="G72" s="23"/>
      <c r="H72" s="22">
        <v>390</v>
      </c>
      <c r="I72" s="25"/>
      <c r="J72" s="26"/>
      <c r="K72" s="18"/>
    </row>
    <row r="73" spans="1:11" ht="13.5" customHeight="1" x14ac:dyDescent="0.2">
      <c r="A73" s="19"/>
      <c r="B73" s="20"/>
      <c r="C73" s="34" t="s">
        <v>678</v>
      </c>
      <c r="D73" s="11"/>
      <c r="E73" s="12"/>
      <c r="F73" s="22"/>
      <c r="G73" s="23"/>
      <c r="H73" s="22"/>
      <c r="I73" s="25">
        <v>185</v>
      </c>
      <c r="J73" s="26"/>
      <c r="K73" s="18"/>
    </row>
    <row r="74" spans="1:11" ht="13.5" customHeight="1" x14ac:dyDescent="0.2">
      <c r="A74" s="19"/>
      <c r="B74" s="20"/>
      <c r="C74" s="34" t="s">
        <v>679</v>
      </c>
      <c r="D74" s="11"/>
      <c r="E74" s="12"/>
      <c r="F74" s="22"/>
      <c r="G74" s="23"/>
      <c r="H74" s="22"/>
      <c r="I74" s="25">
        <v>3500</v>
      </c>
      <c r="J74" s="26">
        <v>8941.070000000007</v>
      </c>
      <c r="K74" s="18"/>
    </row>
    <row r="75" spans="1:11" ht="13.5" customHeight="1" x14ac:dyDescent="0.2">
      <c r="A75" s="46"/>
      <c r="B75" s="46"/>
      <c r="C75" s="21" t="s">
        <v>113</v>
      </c>
      <c r="D75" s="42" t="s">
        <v>680</v>
      </c>
      <c r="E75" s="43">
        <v>-267</v>
      </c>
      <c r="F75" s="43"/>
      <c r="G75" s="23"/>
      <c r="H75" s="22"/>
      <c r="I75" s="25"/>
      <c r="J75" s="26"/>
      <c r="K75" s="18"/>
    </row>
    <row r="76" spans="1:11" ht="13.5" customHeight="1" x14ac:dyDescent="0.2">
      <c r="A76" s="46"/>
      <c r="B76" s="46"/>
      <c r="C76" s="34" t="s">
        <v>458</v>
      </c>
      <c r="D76" s="42" t="s">
        <v>681</v>
      </c>
      <c r="E76" s="43"/>
      <c r="F76" s="272">
        <v>190</v>
      </c>
      <c r="G76" s="23"/>
      <c r="H76" s="22"/>
      <c r="I76" s="25"/>
      <c r="J76" s="26"/>
      <c r="K76" s="18"/>
    </row>
    <row r="77" spans="1:11" ht="13.5" customHeight="1" x14ac:dyDescent="0.2">
      <c r="A77" s="46"/>
      <c r="B77" s="46"/>
      <c r="C77" s="34" t="s">
        <v>20</v>
      </c>
      <c r="D77" s="42" t="s">
        <v>19</v>
      </c>
      <c r="E77" s="43"/>
      <c r="F77" s="43">
        <v>0.01</v>
      </c>
      <c r="G77" s="23">
        <v>4057.02</v>
      </c>
      <c r="H77" s="22"/>
      <c r="I77" s="25"/>
      <c r="J77" s="26"/>
      <c r="K77" s="18"/>
    </row>
    <row r="78" spans="1:11" ht="13.5" customHeight="1" x14ac:dyDescent="0.2">
      <c r="A78" s="19">
        <v>43451</v>
      </c>
      <c r="B78" s="20"/>
      <c r="C78" s="34" t="s">
        <v>682</v>
      </c>
      <c r="D78" s="11"/>
      <c r="E78" s="12"/>
      <c r="F78" s="22"/>
      <c r="G78" s="23"/>
      <c r="H78" s="22"/>
      <c r="I78" s="25">
        <v>60</v>
      </c>
      <c r="J78" s="26"/>
      <c r="K78" s="18"/>
    </row>
    <row r="79" spans="1:11" ht="13.5" customHeight="1" x14ac:dyDescent="0.2">
      <c r="A79" s="19"/>
      <c r="B79" s="20"/>
      <c r="C79" s="34" t="s">
        <v>683</v>
      </c>
      <c r="D79" s="11"/>
      <c r="E79" s="12"/>
      <c r="F79" s="22"/>
      <c r="G79" s="23"/>
      <c r="H79" s="22">
        <v>1.78</v>
      </c>
      <c r="I79" s="25"/>
      <c r="J79" s="26"/>
      <c r="K79" s="18"/>
    </row>
    <row r="80" spans="1:11" ht="13.5" customHeight="1" x14ac:dyDescent="0.2">
      <c r="A80" s="19"/>
      <c r="B80" s="20"/>
      <c r="C80" s="34" t="s">
        <v>684</v>
      </c>
      <c r="D80" s="11"/>
      <c r="E80" s="12"/>
      <c r="F80" s="22"/>
      <c r="G80" s="23"/>
      <c r="H80" s="22">
        <v>80</v>
      </c>
      <c r="I80" s="25"/>
      <c r="J80" s="26"/>
      <c r="K80" s="18"/>
    </row>
    <row r="81" spans="1:11" ht="13.5" customHeight="1" x14ac:dyDescent="0.2">
      <c r="A81" s="19"/>
      <c r="B81" s="20"/>
      <c r="C81" s="34" t="s">
        <v>685</v>
      </c>
      <c r="D81" s="11"/>
      <c r="E81" s="12"/>
      <c r="F81" s="22"/>
      <c r="G81" s="23"/>
      <c r="H81" s="22"/>
      <c r="I81" s="25"/>
      <c r="J81" s="26"/>
      <c r="K81" s="18"/>
    </row>
    <row r="82" spans="1:11" ht="13.5" customHeight="1" x14ac:dyDescent="0.2">
      <c r="A82" s="19"/>
      <c r="B82" s="20"/>
      <c r="C82" s="34" t="s">
        <v>464</v>
      </c>
      <c r="D82" s="11"/>
      <c r="E82" s="12"/>
      <c r="F82" s="22"/>
      <c r="G82" s="23"/>
      <c r="H82" s="162">
        <v>1020</v>
      </c>
      <c r="I82" s="25"/>
      <c r="J82" s="26"/>
      <c r="K82" s="18"/>
    </row>
    <row r="83" spans="1:11" ht="13.5" customHeight="1" x14ac:dyDescent="0.2">
      <c r="A83" s="19"/>
      <c r="B83" s="20"/>
      <c r="C83" s="34" t="s">
        <v>567</v>
      </c>
      <c r="D83" s="11"/>
      <c r="E83" s="12"/>
      <c r="F83" s="22"/>
      <c r="G83" s="23"/>
      <c r="H83" s="162">
        <v>185</v>
      </c>
      <c r="I83" s="25"/>
      <c r="J83" s="26"/>
      <c r="K83" s="18"/>
    </row>
    <row r="84" spans="1:11" ht="13.5" customHeight="1" x14ac:dyDescent="0.2">
      <c r="A84" s="19"/>
      <c r="B84" s="20"/>
      <c r="C84" s="34" t="s">
        <v>686</v>
      </c>
      <c r="D84" s="11"/>
      <c r="E84" s="12"/>
      <c r="F84" s="22"/>
      <c r="G84" s="23"/>
      <c r="H84" s="22">
        <v>4.75</v>
      </c>
      <c r="I84" s="25"/>
      <c r="J84" s="26"/>
      <c r="K84" s="18"/>
    </row>
    <row r="85" spans="1:11" ht="13.5" customHeight="1" x14ac:dyDescent="0.2">
      <c r="A85" s="19"/>
      <c r="B85" s="20"/>
      <c r="C85" s="34" t="s">
        <v>687</v>
      </c>
      <c r="D85" s="11"/>
      <c r="E85" s="12"/>
      <c r="F85" s="22"/>
      <c r="G85" s="23"/>
      <c r="H85" s="22">
        <v>19</v>
      </c>
      <c r="I85" s="25"/>
      <c r="J85" s="26"/>
      <c r="K85" s="18"/>
    </row>
    <row r="86" spans="1:11" ht="13.5" customHeight="1" x14ac:dyDescent="0.2">
      <c r="A86" s="19"/>
      <c r="B86" s="20"/>
      <c r="C86" s="34" t="s">
        <v>688</v>
      </c>
      <c r="D86" s="11"/>
      <c r="E86" s="12"/>
      <c r="F86" s="22"/>
      <c r="G86" s="23"/>
      <c r="H86" s="22">
        <v>15.8</v>
      </c>
      <c r="I86" s="25"/>
      <c r="J86" s="26"/>
      <c r="K86" s="18"/>
    </row>
    <row r="87" spans="1:11" ht="13.5" customHeight="1" x14ac:dyDescent="0.2">
      <c r="A87" s="19"/>
      <c r="B87" s="20"/>
      <c r="C87" s="34" t="s">
        <v>689</v>
      </c>
      <c r="D87" s="11"/>
      <c r="E87" s="12"/>
      <c r="F87" s="22"/>
      <c r="G87" s="23"/>
      <c r="H87" s="22">
        <v>4.58</v>
      </c>
      <c r="I87" s="25"/>
      <c r="J87" s="26"/>
      <c r="K87" s="18"/>
    </row>
    <row r="88" spans="1:11" ht="13.5" customHeight="1" x14ac:dyDescent="0.2">
      <c r="A88" s="19"/>
      <c r="B88" s="20"/>
      <c r="C88" s="34" t="s">
        <v>690</v>
      </c>
      <c r="D88" s="11"/>
      <c r="E88" s="12"/>
      <c r="F88" s="22"/>
      <c r="G88" s="23"/>
      <c r="H88" s="22">
        <v>2.8</v>
      </c>
      <c r="I88" s="25"/>
      <c r="J88" s="26"/>
      <c r="K88" s="18"/>
    </row>
    <row r="89" spans="1:11" ht="13.5" customHeight="1" x14ac:dyDescent="0.2">
      <c r="A89" s="19"/>
      <c r="B89" s="20"/>
      <c r="C89" s="34" t="s">
        <v>691</v>
      </c>
      <c r="D89" s="11"/>
      <c r="E89" s="12"/>
      <c r="F89" s="22"/>
      <c r="G89" s="23"/>
      <c r="H89" s="22">
        <v>8</v>
      </c>
      <c r="I89" s="25"/>
      <c r="J89" s="26"/>
      <c r="K89" s="18"/>
    </row>
    <row r="90" spans="1:11" ht="13.5" customHeight="1" x14ac:dyDescent="0.2">
      <c r="A90" s="19"/>
      <c r="B90" s="20"/>
      <c r="C90" s="34" t="s">
        <v>692</v>
      </c>
      <c r="D90" s="11"/>
      <c r="E90" s="12"/>
      <c r="F90" s="22"/>
      <c r="G90" s="23"/>
      <c r="H90" s="22">
        <v>5.3</v>
      </c>
      <c r="I90" s="25"/>
      <c r="J90" s="26"/>
      <c r="K90" s="18"/>
    </row>
    <row r="91" spans="1:11" ht="13.5" customHeight="1" x14ac:dyDescent="0.2">
      <c r="A91" s="19"/>
      <c r="B91" s="20"/>
      <c r="C91" s="34" t="s">
        <v>693</v>
      </c>
      <c r="D91" s="11"/>
      <c r="E91" s="12"/>
      <c r="F91" s="22"/>
      <c r="G91" s="23"/>
      <c r="H91" s="22">
        <v>5.68</v>
      </c>
      <c r="I91" s="25"/>
      <c r="J91" s="26"/>
      <c r="K91" s="18"/>
    </row>
    <row r="92" spans="1:11" ht="13.5" customHeight="1" x14ac:dyDescent="0.2">
      <c r="A92" s="19"/>
      <c r="B92" s="20"/>
      <c r="C92" s="34" t="s">
        <v>694</v>
      </c>
      <c r="D92" s="11"/>
      <c r="E92" s="12"/>
      <c r="F92" s="22"/>
      <c r="G92" s="23"/>
      <c r="H92" s="22">
        <v>7.85</v>
      </c>
      <c r="I92" s="25"/>
      <c r="J92" s="26"/>
      <c r="K92" s="18"/>
    </row>
    <row r="93" spans="1:11" ht="13.5" customHeight="1" x14ac:dyDescent="0.2">
      <c r="A93" s="19"/>
      <c r="B93" s="20"/>
      <c r="C93" s="34" t="s">
        <v>355</v>
      </c>
      <c r="D93" s="11"/>
      <c r="E93" s="12"/>
      <c r="F93" s="22"/>
      <c r="G93" s="23"/>
      <c r="H93" s="22">
        <v>13</v>
      </c>
      <c r="I93" s="25"/>
      <c r="J93" s="26"/>
      <c r="K93" s="18"/>
    </row>
    <row r="94" spans="1:11" ht="13.5" customHeight="1" x14ac:dyDescent="0.2">
      <c r="A94" s="19"/>
      <c r="B94" s="20"/>
      <c r="C94" s="34" t="s">
        <v>695</v>
      </c>
      <c r="D94" s="11"/>
      <c r="E94" s="12"/>
      <c r="F94" s="22"/>
      <c r="G94" s="23"/>
      <c r="H94" s="22">
        <v>8.9499999999999993</v>
      </c>
      <c r="I94" s="25"/>
      <c r="J94" s="26"/>
      <c r="K94" s="18"/>
    </row>
    <row r="95" spans="1:11" ht="13.5" customHeight="1" x14ac:dyDescent="0.2">
      <c r="A95" s="19"/>
      <c r="B95" s="20"/>
      <c r="C95" s="34" t="s">
        <v>696</v>
      </c>
      <c r="D95" s="11"/>
      <c r="E95" s="12"/>
      <c r="F95" s="22"/>
      <c r="G95" s="23"/>
      <c r="H95" s="22">
        <v>7.3</v>
      </c>
      <c r="I95" s="25"/>
      <c r="J95" s="26"/>
      <c r="K95" s="18"/>
    </row>
    <row r="96" spans="1:11" ht="13.5" customHeight="1" x14ac:dyDescent="0.2">
      <c r="A96" s="19"/>
      <c r="B96" s="20"/>
      <c r="C96" s="34" t="s">
        <v>697</v>
      </c>
      <c r="D96" s="11"/>
      <c r="E96" s="12"/>
      <c r="F96" s="22"/>
      <c r="G96" s="23"/>
      <c r="H96" s="22">
        <v>1.78</v>
      </c>
      <c r="I96" s="25"/>
      <c r="J96" s="26"/>
      <c r="K96" s="18"/>
    </row>
    <row r="97" spans="1:11" ht="13.5" customHeight="1" x14ac:dyDescent="0.2">
      <c r="A97" s="19"/>
      <c r="B97" s="20"/>
      <c r="C97" s="34" t="s">
        <v>698</v>
      </c>
      <c r="D97" s="11"/>
      <c r="E97" s="12"/>
      <c r="F97" s="22"/>
      <c r="G97" s="23"/>
      <c r="H97" s="22">
        <v>1.29</v>
      </c>
      <c r="I97" s="25"/>
      <c r="J97" s="26"/>
      <c r="K97" s="18"/>
    </row>
    <row r="98" spans="1:11" ht="13.5" customHeight="1" x14ac:dyDescent="0.2">
      <c r="A98" s="19" t="s">
        <v>242</v>
      </c>
      <c r="B98" s="20" t="s">
        <v>625</v>
      </c>
      <c r="C98" s="34" t="str">
        <f>C83</f>
        <v>GV - Depósito conta Santander HON (Lucas Barreiros)</v>
      </c>
      <c r="D98" s="11"/>
      <c r="E98" s="12"/>
      <c r="F98" s="22"/>
      <c r="G98" s="23"/>
      <c r="H98" s="22"/>
      <c r="I98" s="25"/>
      <c r="J98" s="26"/>
      <c r="K98" s="18"/>
    </row>
    <row r="99" spans="1:11" ht="13.5" customHeight="1" x14ac:dyDescent="0.2">
      <c r="A99" s="19"/>
      <c r="B99" s="20"/>
      <c r="C99" s="34" t="s">
        <v>699</v>
      </c>
      <c r="D99" s="11"/>
      <c r="E99" s="12"/>
      <c r="F99" s="22"/>
      <c r="G99" s="23"/>
      <c r="H99" s="22">
        <v>21</v>
      </c>
      <c r="I99" s="25"/>
      <c r="J99" s="26"/>
      <c r="K99" s="18"/>
    </row>
    <row r="100" spans="1:11" ht="13.5" customHeight="1" x14ac:dyDescent="0.2">
      <c r="A100" s="19"/>
      <c r="B100" s="20"/>
      <c r="C100" s="34">
        <f>SUM(C86:C99)</f>
        <v>0</v>
      </c>
      <c r="D100" s="11"/>
      <c r="E100" s="12"/>
      <c r="F100" s="22"/>
      <c r="G100" s="23"/>
      <c r="H100" s="22">
        <v>6.7</v>
      </c>
      <c r="I100" s="25"/>
      <c r="J100" s="39"/>
      <c r="K100" s="18"/>
    </row>
    <row r="101" spans="1:11" ht="13.5" customHeight="1" x14ac:dyDescent="0.2">
      <c r="A101" s="19"/>
      <c r="B101" s="20"/>
      <c r="C101" s="34" t="s">
        <v>701</v>
      </c>
      <c r="D101" s="11"/>
      <c r="E101" s="12"/>
      <c r="F101" s="22"/>
      <c r="G101" s="23"/>
      <c r="H101" s="22">
        <v>18</v>
      </c>
      <c r="I101" s="25"/>
      <c r="J101" s="26"/>
      <c r="K101" s="18"/>
    </row>
    <row r="102" spans="1:11" ht="13.5" customHeight="1" x14ac:dyDescent="0.2">
      <c r="A102" s="19"/>
      <c r="B102" s="20"/>
      <c r="C102" s="36" t="s">
        <v>702</v>
      </c>
      <c r="D102" s="11"/>
      <c r="E102" s="12"/>
      <c r="F102" s="22"/>
      <c r="G102" s="23"/>
      <c r="H102" s="22">
        <v>18</v>
      </c>
      <c r="I102" s="25"/>
      <c r="J102" s="26"/>
      <c r="K102" s="18"/>
    </row>
    <row r="103" spans="1:11" ht="13.5" customHeight="1" x14ac:dyDescent="0.2">
      <c r="A103" s="19"/>
      <c r="B103" s="20"/>
      <c r="C103" s="36" t="s">
        <v>703</v>
      </c>
      <c r="D103" s="11"/>
      <c r="E103" s="12"/>
      <c r="F103" s="22"/>
      <c r="G103" s="23"/>
      <c r="H103" s="22">
        <v>15.6</v>
      </c>
      <c r="I103" s="25"/>
      <c r="J103" s="26"/>
      <c r="K103" s="18"/>
    </row>
    <row r="104" spans="1:11" ht="13.5" customHeight="1" x14ac:dyDescent="0.2">
      <c r="A104" s="19"/>
      <c r="B104" s="20"/>
      <c r="C104" s="34" t="s">
        <v>704</v>
      </c>
      <c r="D104" s="11"/>
      <c r="E104" s="12"/>
      <c r="F104" s="22"/>
      <c r="G104" s="23"/>
      <c r="H104" s="22">
        <v>5.9</v>
      </c>
      <c r="I104" s="25"/>
      <c r="J104" s="26"/>
      <c r="K104" s="18"/>
    </row>
    <row r="105" spans="1:11" ht="13.5" customHeight="1" x14ac:dyDescent="0.2">
      <c r="A105" s="19"/>
      <c r="B105" s="20"/>
      <c r="C105" s="34" t="s">
        <v>705</v>
      </c>
      <c r="D105" s="11"/>
      <c r="E105" s="12"/>
      <c r="F105" s="22"/>
      <c r="G105" s="23"/>
      <c r="H105" s="22">
        <v>9.9</v>
      </c>
      <c r="I105" s="25"/>
      <c r="J105" s="26"/>
      <c r="K105" s="18"/>
    </row>
    <row r="106" spans="1:11" ht="13.5" customHeight="1" x14ac:dyDescent="0.2">
      <c r="A106" s="19"/>
      <c r="B106" s="27"/>
      <c r="C106" s="36" t="s">
        <v>706</v>
      </c>
      <c r="D106" s="27"/>
      <c r="E106" s="27"/>
      <c r="F106" s="27"/>
      <c r="G106" s="23"/>
      <c r="H106" s="273">
        <v>11.8</v>
      </c>
      <c r="I106" s="38"/>
      <c r="J106" s="39"/>
      <c r="K106" s="18"/>
    </row>
    <row r="107" spans="1:11" ht="13.5" customHeight="1" x14ac:dyDescent="0.2">
      <c r="A107" s="27"/>
      <c r="B107" s="27"/>
      <c r="C107" s="36" t="s">
        <v>707</v>
      </c>
      <c r="D107" s="27"/>
      <c r="E107" s="27"/>
      <c r="F107" s="27"/>
      <c r="G107" s="23"/>
      <c r="H107" s="273">
        <v>9.98</v>
      </c>
      <c r="I107" s="38"/>
      <c r="J107" s="39"/>
      <c r="K107" s="18"/>
    </row>
    <row r="108" spans="1:11" ht="13.5" customHeight="1" x14ac:dyDescent="0.2">
      <c r="A108" s="27"/>
      <c r="B108" s="27"/>
      <c r="C108" s="33" t="s">
        <v>708</v>
      </c>
      <c r="D108" s="27"/>
      <c r="E108" s="27"/>
      <c r="F108" s="27"/>
      <c r="G108" s="23"/>
      <c r="H108" s="273">
        <v>9.5</v>
      </c>
      <c r="I108" s="38"/>
      <c r="J108" s="39"/>
      <c r="K108" s="18"/>
    </row>
    <row r="109" spans="1:11" ht="13.5" customHeight="1" x14ac:dyDescent="0.2">
      <c r="A109" s="27"/>
      <c r="B109" s="27"/>
      <c r="C109" s="36" t="s">
        <v>709</v>
      </c>
      <c r="D109" s="27"/>
      <c r="E109" s="27"/>
      <c r="F109" s="27"/>
      <c r="G109" s="23"/>
      <c r="H109" s="273">
        <v>23</v>
      </c>
      <c r="I109" s="38"/>
      <c r="J109" s="39"/>
      <c r="K109" s="18"/>
    </row>
    <row r="110" spans="1:11" ht="13.5" customHeight="1" x14ac:dyDescent="0.2">
      <c r="A110" s="27"/>
      <c r="B110" s="27"/>
      <c r="C110" s="36" t="s">
        <v>710</v>
      </c>
      <c r="D110" s="27"/>
      <c r="E110" s="27"/>
      <c r="F110" s="27"/>
      <c r="G110" s="23"/>
      <c r="H110" s="273"/>
      <c r="I110" s="38">
        <v>2050</v>
      </c>
      <c r="J110" s="39"/>
      <c r="K110" s="18"/>
    </row>
    <row r="111" spans="1:11" ht="13.5" customHeight="1" x14ac:dyDescent="0.2">
      <c r="A111" s="19"/>
      <c r="B111" s="20"/>
      <c r="C111" s="34" t="s">
        <v>711</v>
      </c>
      <c r="D111" s="11"/>
      <c r="E111" s="12"/>
      <c r="F111" s="22"/>
      <c r="G111" s="23"/>
      <c r="H111" s="22">
        <v>35.76</v>
      </c>
      <c r="I111" s="25"/>
      <c r="J111" s="26"/>
      <c r="K111" s="18"/>
    </row>
    <row r="112" spans="1:11" ht="13.5" customHeight="1" x14ac:dyDescent="0.2">
      <c r="A112" s="19"/>
      <c r="B112" s="20"/>
      <c r="C112" s="36" t="s">
        <v>711</v>
      </c>
      <c r="D112" s="11"/>
      <c r="E112" s="12"/>
      <c r="F112" s="22"/>
      <c r="G112" s="23"/>
      <c r="H112" s="22">
        <v>35.76</v>
      </c>
      <c r="I112" s="25"/>
      <c r="J112" s="26"/>
      <c r="K112" s="18"/>
    </row>
    <row r="113" spans="1:11" ht="13.5" customHeight="1" x14ac:dyDescent="0.2">
      <c r="A113" s="19"/>
      <c r="B113" s="20"/>
      <c r="C113" s="34" t="s">
        <v>107</v>
      </c>
      <c r="D113" s="11"/>
      <c r="E113" s="12"/>
      <c r="F113" s="22"/>
      <c r="G113" s="23"/>
      <c r="H113" s="22">
        <v>200</v>
      </c>
      <c r="I113" s="25"/>
      <c r="J113" s="26"/>
      <c r="K113" s="18"/>
    </row>
    <row r="114" spans="1:11" ht="13.5" customHeight="1" x14ac:dyDescent="0.2">
      <c r="A114" s="19"/>
      <c r="B114" s="27"/>
      <c r="C114" s="36" t="s">
        <v>77</v>
      </c>
      <c r="D114" s="27"/>
      <c r="E114" s="27"/>
      <c r="F114" s="27"/>
      <c r="G114" s="23"/>
      <c r="H114" s="274">
        <v>4000</v>
      </c>
      <c r="I114" s="38"/>
      <c r="J114" s="39">
        <v>5237.3100000000049</v>
      </c>
      <c r="K114" s="18"/>
    </row>
    <row r="115" spans="1:11" ht="13.5" customHeight="1" x14ac:dyDescent="0.2">
      <c r="A115" s="46"/>
      <c r="B115" s="46"/>
      <c r="C115" s="34" t="s">
        <v>86</v>
      </c>
      <c r="D115" s="42" t="s">
        <v>19</v>
      </c>
      <c r="E115" s="43">
        <v>-72.900000000000006</v>
      </c>
      <c r="F115" s="43"/>
      <c r="G115" s="23"/>
      <c r="H115" s="22"/>
      <c r="I115" s="25"/>
      <c r="J115" s="26"/>
      <c r="K115" s="18"/>
    </row>
    <row r="116" spans="1:11" ht="13.5" customHeight="1" x14ac:dyDescent="0.2">
      <c r="A116" s="46"/>
      <c r="B116" s="46"/>
      <c r="C116" s="34" t="s">
        <v>109</v>
      </c>
      <c r="D116" s="42" t="s">
        <v>19</v>
      </c>
      <c r="E116" s="43">
        <v>-56.71</v>
      </c>
      <c r="F116" s="43"/>
      <c r="G116" s="23"/>
      <c r="H116" s="22"/>
      <c r="I116" s="25"/>
      <c r="J116" s="26"/>
      <c r="K116" s="18"/>
    </row>
    <row r="117" spans="1:11" ht="13.5" customHeight="1" x14ac:dyDescent="0.2">
      <c r="A117" s="46"/>
      <c r="B117" s="46"/>
      <c r="C117" s="34" t="s">
        <v>114</v>
      </c>
      <c r="D117" s="42" t="s">
        <v>712</v>
      </c>
      <c r="E117" s="43">
        <v>-222.25</v>
      </c>
      <c r="F117" s="43"/>
      <c r="G117" s="23"/>
      <c r="H117" s="22"/>
      <c r="I117" s="25"/>
      <c r="J117" s="26"/>
      <c r="K117" s="18"/>
    </row>
    <row r="118" spans="1:11" ht="13.5" customHeight="1" x14ac:dyDescent="0.2">
      <c r="A118" s="46"/>
      <c r="B118" s="46"/>
      <c r="C118" s="34" t="s">
        <v>464</v>
      </c>
      <c r="D118" s="42" t="s">
        <v>713</v>
      </c>
      <c r="E118" s="43"/>
      <c r="F118" s="272">
        <v>1020</v>
      </c>
      <c r="G118" s="23"/>
      <c r="H118" s="22"/>
      <c r="I118" s="25"/>
      <c r="J118" s="26"/>
      <c r="K118" s="18"/>
    </row>
    <row r="119" spans="1:11" ht="13.5" customHeight="1" x14ac:dyDescent="0.2">
      <c r="A119" s="46"/>
      <c r="B119" s="46"/>
      <c r="C119" s="34" t="s">
        <v>567</v>
      </c>
      <c r="D119" s="42" t="s">
        <v>714</v>
      </c>
      <c r="E119" s="43"/>
      <c r="F119" s="272">
        <v>185</v>
      </c>
      <c r="G119" s="23">
        <v>4910.16</v>
      </c>
      <c r="H119" s="22"/>
      <c r="I119" s="25"/>
      <c r="J119" s="26"/>
      <c r="K119" s="18"/>
    </row>
    <row r="120" spans="1:11" ht="13.5" customHeight="1" x14ac:dyDescent="0.2">
      <c r="A120" s="19">
        <v>43452</v>
      </c>
      <c r="B120" s="27"/>
      <c r="C120" s="36" t="s">
        <v>715</v>
      </c>
      <c r="D120" s="27"/>
      <c r="E120" s="27"/>
      <c r="F120" s="27"/>
      <c r="G120" s="23"/>
      <c r="H120" s="273">
        <v>100</v>
      </c>
      <c r="I120" s="38"/>
      <c r="J120" s="39"/>
      <c r="K120" s="18"/>
    </row>
    <row r="121" spans="1:11" ht="13.5" customHeight="1" x14ac:dyDescent="0.2">
      <c r="A121" s="19"/>
      <c r="B121" s="20"/>
      <c r="C121" s="34" t="s">
        <v>716</v>
      </c>
      <c r="D121" s="11"/>
      <c r="E121" s="12"/>
      <c r="F121" s="22"/>
      <c r="G121" s="23"/>
      <c r="H121" s="22">
        <v>5</v>
      </c>
      <c r="I121" s="25"/>
      <c r="J121" s="26">
        <v>5132.3100000000049</v>
      </c>
      <c r="K121" s="18"/>
    </row>
    <row r="122" spans="1:11" ht="13.5" customHeight="1" x14ac:dyDescent="0.2">
      <c r="A122" s="19">
        <v>43453</v>
      </c>
      <c r="B122" s="27"/>
      <c r="C122" s="33" t="s">
        <v>717</v>
      </c>
      <c r="D122" s="27"/>
      <c r="E122" s="27"/>
      <c r="F122" s="27"/>
      <c r="G122" s="23"/>
      <c r="H122" s="273">
        <v>35</v>
      </c>
      <c r="I122" s="38"/>
      <c r="J122" s="39"/>
      <c r="K122" s="18"/>
    </row>
    <row r="123" spans="1:11" ht="13.5" customHeight="1" x14ac:dyDescent="0.2">
      <c r="A123" s="46"/>
      <c r="B123" s="46"/>
      <c r="C123" s="34" t="s">
        <v>718</v>
      </c>
      <c r="D123" s="42"/>
      <c r="E123" s="43"/>
      <c r="F123" s="43"/>
      <c r="G123" s="23"/>
      <c r="H123" s="22">
        <v>40.5</v>
      </c>
      <c r="I123" s="25"/>
      <c r="J123" s="26"/>
      <c r="K123" s="18"/>
    </row>
    <row r="124" spans="1:11" ht="13.5" customHeight="1" x14ac:dyDescent="0.2">
      <c r="A124" s="46"/>
      <c r="B124" s="46"/>
      <c r="C124" s="34" t="s">
        <v>36</v>
      </c>
      <c r="D124" s="42"/>
      <c r="E124" s="43"/>
      <c r="F124" s="43"/>
      <c r="G124" s="23"/>
      <c r="H124" s="22">
        <v>210</v>
      </c>
      <c r="I124" s="25"/>
      <c r="J124" s="26">
        <v>4846.8100000000049</v>
      </c>
      <c r="K124" s="18"/>
    </row>
    <row r="125" spans="1:11" ht="13.5" customHeight="1" x14ac:dyDescent="0.2">
      <c r="A125" s="46"/>
      <c r="B125" s="46"/>
      <c r="C125" s="34" t="s">
        <v>18</v>
      </c>
      <c r="D125" s="42" t="s">
        <v>19</v>
      </c>
      <c r="E125" s="43">
        <v>-353.97</v>
      </c>
      <c r="F125" s="43"/>
      <c r="G125" s="23"/>
      <c r="H125" s="22"/>
      <c r="I125" s="25"/>
      <c r="J125" s="26"/>
      <c r="K125" s="18"/>
    </row>
    <row r="126" spans="1:11" ht="13.5" customHeight="1" x14ac:dyDescent="0.2">
      <c r="A126" s="46"/>
      <c r="B126" s="46"/>
      <c r="C126" s="34" t="s">
        <v>719</v>
      </c>
      <c r="D126" s="42" t="s">
        <v>720</v>
      </c>
      <c r="E126" s="272">
        <v>-3000</v>
      </c>
      <c r="F126" s="43"/>
      <c r="G126" s="23"/>
      <c r="H126" s="22"/>
      <c r="I126" s="25"/>
      <c r="J126" s="26"/>
      <c r="K126" s="18"/>
    </row>
    <row r="127" spans="1:11" ht="13.5" customHeight="1" x14ac:dyDescent="0.2">
      <c r="A127" s="46"/>
      <c r="B127" s="46"/>
      <c r="C127" s="34" t="s">
        <v>20</v>
      </c>
      <c r="D127" s="42" t="s">
        <v>19</v>
      </c>
      <c r="E127" s="43"/>
      <c r="F127" s="43">
        <v>0.46</v>
      </c>
      <c r="G127" s="23">
        <v>1556.65</v>
      </c>
      <c r="H127" s="22"/>
      <c r="I127" s="25"/>
      <c r="J127" s="26"/>
      <c r="K127" s="18"/>
    </row>
    <row r="128" spans="1:11" ht="13.5" customHeight="1" x14ac:dyDescent="0.2">
      <c r="A128" s="171">
        <v>43454</v>
      </c>
      <c r="B128" s="46"/>
      <c r="C128" s="34" t="s">
        <v>649</v>
      </c>
      <c r="D128" s="42"/>
      <c r="E128" s="43"/>
      <c r="F128" s="43"/>
      <c r="G128" s="23"/>
      <c r="H128" s="22">
        <v>21.52</v>
      </c>
      <c r="I128" s="25"/>
      <c r="J128" s="26">
        <v>4825.2900000000045</v>
      </c>
      <c r="K128" s="18"/>
    </row>
    <row r="129" spans="1:11" ht="13.5" customHeight="1" x14ac:dyDescent="0.2">
      <c r="A129" s="46"/>
      <c r="B129" s="46"/>
      <c r="C129" s="34" t="s">
        <v>132</v>
      </c>
      <c r="D129" s="42" t="s">
        <v>721</v>
      </c>
      <c r="E129" s="43">
        <v>-303.95</v>
      </c>
      <c r="F129" s="43"/>
      <c r="G129" s="23"/>
      <c r="H129" s="22"/>
      <c r="I129" s="25"/>
      <c r="J129" s="26"/>
      <c r="K129" s="18"/>
    </row>
    <row r="130" spans="1:11" ht="13.5" customHeight="1" x14ac:dyDescent="0.2">
      <c r="A130" s="46"/>
      <c r="B130" s="46"/>
      <c r="C130" s="34" t="s">
        <v>134</v>
      </c>
      <c r="D130" s="42" t="s">
        <v>722</v>
      </c>
      <c r="E130" s="43">
        <v>-119.9</v>
      </c>
      <c r="F130" s="43"/>
      <c r="G130" s="23"/>
      <c r="H130" s="22"/>
      <c r="I130" s="25"/>
      <c r="J130" s="26"/>
      <c r="K130" s="18"/>
    </row>
    <row r="131" spans="1:11" ht="13.5" customHeight="1" x14ac:dyDescent="0.2">
      <c r="A131" s="46"/>
      <c r="B131" s="46"/>
      <c r="C131" s="34" t="s">
        <v>20</v>
      </c>
      <c r="D131" s="42" t="s">
        <v>19</v>
      </c>
      <c r="E131" s="43"/>
      <c r="F131" s="43">
        <v>0.03</v>
      </c>
      <c r="G131" s="23">
        <v>1132.83</v>
      </c>
      <c r="H131" s="22"/>
      <c r="I131" s="25"/>
      <c r="J131" s="26"/>
      <c r="K131" s="18"/>
    </row>
    <row r="132" spans="1:11" ht="13.5" customHeight="1" x14ac:dyDescent="0.2">
      <c r="A132" s="171">
        <v>43455</v>
      </c>
      <c r="B132" s="46"/>
      <c r="C132" s="34" t="s">
        <v>723</v>
      </c>
      <c r="D132" s="42"/>
      <c r="E132" s="43"/>
      <c r="F132" s="43"/>
      <c r="G132" s="23"/>
      <c r="H132" s="22">
        <v>1.9</v>
      </c>
      <c r="I132" s="25"/>
      <c r="J132" s="26"/>
      <c r="K132" s="18"/>
    </row>
    <row r="133" spans="1:11" ht="13.5" customHeight="1" x14ac:dyDescent="0.2">
      <c r="A133" s="46"/>
      <c r="B133" s="46"/>
      <c r="C133" s="34" t="s">
        <v>724</v>
      </c>
      <c r="D133" s="42"/>
      <c r="E133" s="43"/>
      <c r="F133" s="43"/>
      <c r="G133" s="23"/>
      <c r="H133" s="22">
        <v>5.9</v>
      </c>
      <c r="I133" s="25"/>
      <c r="J133" s="26"/>
      <c r="K133" s="18"/>
    </row>
    <row r="134" spans="1:11" ht="13.5" customHeight="1" x14ac:dyDescent="0.2">
      <c r="A134" s="46"/>
      <c r="B134" s="46"/>
      <c r="C134" s="34" t="s">
        <v>725</v>
      </c>
      <c r="D134" s="42"/>
      <c r="E134" s="43"/>
      <c r="F134" s="43"/>
      <c r="G134" s="23"/>
      <c r="H134" s="22">
        <v>7</v>
      </c>
      <c r="I134" s="25"/>
      <c r="J134" s="26"/>
      <c r="K134" s="18"/>
    </row>
    <row r="135" spans="1:11" ht="13.5" customHeight="1" x14ac:dyDescent="0.2">
      <c r="A135" s="46"/>
      <c r="B135" s="46"/>
      <c r="C135" s="34" t="s">
        <v>726</v>
      </c>
      <c r="D135" s="42"/>
      <c r="E135" s="43"/>
      <c r="F135" s="43"/>
      <c r="G135" s="23"/>
      <c r="H135" s="22">
        <v>9</v>
      </c>
      <c r="I135" s="25"/>
      <c r="J135" s="26"/>
      <c r="K135" s="18"/>
    </row>
    <row r="136" spans="1:11" ht="13.5" customHeight="1" x14ac:dyDescent="0.2">
      <c r="A136" s="46"/>
      <c r="B136" s="46"/>
      <c r="C136" s="34" t="s">
        <v>727</v>
      </c>
      <c r="D136" s="42"/>
      <c r="E136" s="43"/>
      <c r="F136" s="43"/>
      <c r="G136" s="23"/>
      <c r="H136" s="22">
        <v>7.5</v>
      </c>
      <c r="I136" s="25"/>
      <c r="J136" s="26"/>
      <c r="K136" s="18"/>
    </row>
    <row r="137" spans="1:11" ht="13.5" customHeight="1" x14ac:dyDescent="0.2">
      <c r="A137" s="46"/>
      <c r="B137" s="46"/>
      <c r="C137" s="34" t="s">
        <v>728</v>
      </c>
      <c r="D137" s="42"/>
      <c r="E137" s="43"/>
      <c r="F137" s="43"/>
      <c r="G137" s="23"/>
      <c r="H137" s="22">
        <v>3.9</v>
      </c>
      <c r="I137" s="25"/>
      <c r="J137" s="26"/>
      <c r="K137" s="18"/>
    </row>
    <row r="138" spans="1:11" ht="13.5" customHeight="1" x14ac:dyDescent="0.2">
      <c r="A138" s="46"/>
      <c r="B138" s="46"/>
      <c r="C138" s="34" t="s">
        <v>729</v>
      </c>
      <c r="D138" s="42"/>
      <c r="E138" s="43"/>
      <c r="F138" s="43"/>
      <c r="G138" s="23"/>
      <c r="H138" s="22">
        <v>53.7</v>
      </c>
      <c r="I138" s="25"/>
      <c r="J138" s="26"/>
      <c r="K138" s="18"/>
    </row>
    <row r="139" spans="1:11" ht="13.5" customHeight="1" x14ac:dyDescent="0.2">
      <c r="A139" s="46"/>
      <c r="B139" s="46"/>
      <c r="C139" s="34" t="s">
        <v>705</v>
      </c>
      <c r="D139" s="42"/>
      <c r="E139" s="43"/>
      <c r="F139" s="43"/>
      <c r="G139" s="23"/>
      <c r="H139" s="22">
        <v>5.9</v>
      </c>
      <c r="I139" s="25"/>
      <c r="J139" s="26"/>
      <c r="K139" s="18"/>
    </row>
    <row r="140" spans="1:11" ht="13.5" customHeight="1" x14ac:dyDescent="0.2">
      <c r="A140" s="46"/>
      <c r="B140" s="46"/>
      <c r="C140" s="34" t="s">
        <v>470</v>
      </c>
      <c r="D140" s="42"/>
      <c r="E140" s="43"/>
      <c r="F140" s="43"/>
      <c r="G140" s="23"/>
      <c r="H140" s="162">
        <v>1000</v>
      </c>
      <c r="I140" s="25"/>
      <c r="J140" s="26"/>
      <c r="K140" s="18"/>
    </row>
    <row r="141" spans="1:11" ht="13.5" customHeight="1" x14ac:dyDescent="0.2">
      <c r="A141" s="46"/>
      <c r="B141" s="46"/>
      <c r="C141" s="34" t="s">
        <v>730</v>
      </c>
      <c r="D141" s="42"/>
      <c r="E141" s="43"/>
      <c r="F141" s="43"/>
      <c r="G141" s="23"/>
      <c r="H141" s="22">
        <v>50</v>
      </c>
      <c r="I141" s="25"/>
      <c r="J141" s="26"/>
      <c r="K141" s="18"/>
    </row>
    <row r="142" spans="1:11" ht="13.5" customHeight="1" x14ac:dyDescent="0.2">
      <c r="A142" s="46"/>
      <c r="B142" s="46"/>
      <c r="C142" s="34" t="s">
        <v>731</v>
      </c>
      <c r="D142" s="42"/>
      <c r="E142" s="43"/>
      <c r="F142" s="43"/>
      <c r="G142" s="23"/>
      <c r="H142" s="22">
        <v>4.8</v>
      </c>
      <c r="I142" s="25"/>
      <c r="J142" s="26"/>
      <c r="K142" s="18"/>
    </row>
    <row r="143" spans="1:11" ht="13.5" customHeight="1" x14ac:dyDescent="0.2">
      <c r="A143" s="46"/>
      <c r="B143" s="46"/>
      <c r="C143" s="34" t="s">
        <v>732</v>
      </c>
      <c r="D143" s="42"/>
      <c r="E143" s="43"/>
      <c r="F143" s="43"/>
      <c r="G143" s="23"/>
      <c r="H143" s="22"/>
      <c r="I143" s="25">
        <v>1360</v>
      </c>
      <c r="J143" s="26"/>
      <c r="K143" s="18"/>
    </row>
    <row r="144" spans="1:11" ht="13.5" customHeight="1" x14ac:dyDescent="0.2">
      <c r="A144" s="46"/>
      <c r="B144" s="46"/>
      <c r="C144" s="34" t="s">
        <v>52</v>
      </c>
      <c r="D144" s="42"/>
      <c r="E144" s="43"/>
      <c r="F144" s="43"/>
      <c r="G144" s="23"/>
      <c r="H144" s="22">
        <v>405</v>
      </c>
      <c r="I144" s="25"/>
      <c r="J144" s="26"/>
      <c r="K144" s="18"/>
    </row>
    <row r="145" spans="1:11" ht="13.5" customHeight="1" x14ac:dyDescent="0.2">
      <c r="A145" s="46"/>
      <c r="B145" s="46"/>
      <c r="C145" s="34" t="s">
        <v>373</v>
      </c>
      <c r="D145" s="42"/>
      <c r="E145" s="43"/>
      <c r="F145" s="43"/>
      <c r="G145" s="23"/>
      <c r="H145" s="22">
        <v>240</v>
      </c>
      <c r="I145" s="25"/>
      <c r="J145" s="26"/>
      <c r="K145" s="18"/>
    </row>
    <row r="146" spans="1:11" ht="13.5" customHeight="1" x14ac:dyDescent="0.2">
      <c r="A146" s="46"/>
      <c r="B146" s="46"/>
      <c r="C146" s="34" t="s">
        <v>651</v>
      </c>
      <c r="D146" s="42"/>
      <c r="E146" s="43"/>
      <c r="F146" s="43"/>
      <c r="G146" s="23"/>
      <c r="H146" s="22">
        <v>150</v>
      </c>
      <c r="I146" s="25"/>
      <c r="J146" s="26"/>
      <c r="K146" s="18"/>
    </row>
    <row r="147" spans="1:11" ht="13.5" customHeight="1" x14ac:dyDescent="0.2">
      <c r="A147" s="46"/>
      <c r="B147" s="46"/>
      <c r="C147" s="34" t="s">
        <v>652</v>
      </c>
      <c r="D147" s="42"/>
      <c r="E147" s="43"/>
      <c r="F147" s="43"/>
      <c r="G147" s="23"/>
      <c r="H147" s="22">
        <v>150</v>
      </c>
      <c r="I147" s="25"/>
      <c r="J147" s="26"/>
      <c r="K147" s="18"/>
    </row>
    <row r="148" spans="1:11" ht="13.5" customHeight="1" x14ac:dyDescent="0.2">
      <c r="A148" s="46"/>
      <c r="B148" s="46"/>
      <c r="C148" s="34" t="s">
        <v>318</v>
      </c>
      <c r="D148" s="42"/>
      <c r="E148" s="43"/>
      <c r="F148" s="43"/>
      <c r="G148" s="23"/>
      <c r="H148" s="22">
        <v>520</v>
      </c>
      <c r="I148" s="25"/>
      <c r="J148" s="26">
        <v>3570.690000000006</v>
      </c>
      <c r="K148" s="18"/>
    </row>
    <row r="149" spans="1:11" ht="13.5" customHeight="1" x14ac:dyDescent="0.2">
      <c r="A149" s="46"/>
      <c r="B149" s="46"/>
      <c r="C149" s="34" t="s">
        <v>133</v>
      </c>
      <c r="D149" s="42" t="s">
        <v>733</v>
      </c>
      <c r="E149" s="43">
        <v>-1085.75</v>
      </c>
      <c r="F149" s="43"/>
      <c r="G149" s="23"/>
      <c r="H149" s="22"/>
      <c r="I149" s="25"/>
      <c r="J149" s="26"/>
      <c r="K149" s="18"/>
    </row>
    <row r="150" spans="1:11" ht="13.5" customHeight="1" x14ac:dyDescent="0.2">
      <c r="A150" s="46"/>
      <c r="B150" s="46"/>
      <c r="C150" s="34" t="s">
        <v>470</v>
      </c>
      <c r="D150" s="42" t="s">
        <v>734</v>
      </c>
      <c r="E150" s="43"/>
      <c r="F150" s="272">
        <v>1000</v>
      </c>
      <c r="G150" s="23"/>
      <c r="H150" s="22"/>
      <c r="I150" s="25"/>
      <c r="J150" s="26"/>
      <c r="K150" s="18"/>
    </row>
    <row r="151" spans="1:11" ht="13.5" customHeight="1" x14ac:dyDescent="0.2">
      <c r="A151" s="46"/>
      <c r="B151" s="46"/>
      <c r="C151" s="34" t="s">
        <v>20</v>
      </c>
      <c r="D151" s="42" t="s">
        <v>19</v>
      </c>
      <c r="E151" s="43"/>
      <c r="F151" s="43">
        <v>0.01</v>
      </c>
      <c r="G151" s="23">
        <v>1047.0899999999999</v>
      </c>
      <c r="H151" s="22"/>
      <c r="I151" s="25"/>
      <c r="J151" s="26"/>
      <c r="K151" s="18"/>
    </row>
    <row r="152" spans="1:11" ht="13.5" customHeight="1" x14ac:dyDescent="0.2">
      <c r="A152" s="46" t="s">
        <v>735</v>
      </c>
      <c r="B152" s="46"/>
      <c r="C152" s="36" t="s">
        <v>129</v>
      </c>
      <c r="D152" s="42" t="s">
        <v>19</v>
      </c>
      <c r="E152" s="43">
        <v>-48.06</v>
      </c>
      <c r="F152" s="43"/>
      <c r="G152" s="23"/>
      <c r="H152" s="22"/>
      <c r="I152" s="25"/>
      <c r="J152" s="26"/>
      <c r="K152" s="18"/>
    </row>
    <row r="153" spans="1:11" ht="13.5" customHeight="1" x14ac:dyDescent="0.2">
      <c r="A153" s="46"/>
      <c r="B153" s="46"/>
      <c r="C153" s="33" t="s">
        <v>736</v>
      </c>
      <c r="D153" s="42" t="s">
        <v>19</v>
      </c>
      <c r="E153" s="43">
        <v>-85.07</v>
      </c>
      <c r="F153" s="43"/>
      <c r="G153" s="23"/>
      <c r="H153" s="22"/>
      <c r="I153" s="25"/>
      <c r="J153" s="26"/>
      <c r="K153" s="18"/>
    </row>
    <row r="154" spans="1:11" ht="13.5" customHeight="1" x14ac:dyDescent="0.2">
      <c r="A154" s="46"/>
      <c r="B154" s="46"/>
      <c r="C154" s="36" t="s">
        <v>127</v>
      </c>
      <c r="D154" s="42" t="s">
        <v>19</v>
      </c>
      <c r="E154" s="43">
        <v>-88.67</v>
      </c>
      <c r="F154" s="43"/>
      <c r="G154" s="23"/>
      <c r="H154" s="22"/>
      <c r="I154" s="25"/>
      <c r="J154" s="26"/>
      <c r="K154" s="18"/>
    </row>
    <row r="155" spans="1:11" ht="13.5" customHeight="1" x14ac:dyDescent="0.2">
      <c r="A155" s="46"/>
      <c r="B155" s="46"/>
      <c r="C155" s="36" t="s">
        <v>130</v>
      </c>
      <c r="D155" s="42" t="s">
        <v>19</v>
      </c>
      <c r="E155" s="43">
        <v>-210.09</v>
      </c>
      <c r="F155" s="43"/>
      <c r="G155" s="23"/>
      <c r="H155" s="22"/>
      <c r="I155" s="25"/>
      <c r="J155" s="26"/>
      <c r="K155" s="18"/>
    </row>
    <row r="156" spans="1:11" ht="13.5" customHeight="1" x14ac:dyDescent="0.2">
      <c r="A156" s="46"/>
      <c r="B156" s="46"/>
      <c r="C156" s="33" t="s">
        <v>737</v>
      </c>
      <c r="D156" s="42" t="s">
        <v>19</v>
      </c>
      <c r="E156" s="43">
        <v>-409.6</v>
      </c>
      <c r="F156" s="43"/>
      <c r="G156" s="23"/>
      <c r="H156" s="22"/>
      <c r="I156" s="25"/>
      <c r="J156" s="26"/>
      <c r="K156" s="18"/>
    </row>
    <row r="157" spans="1:11" ht="13.5" customHeight="1" x14ac:dyDescent="0.2">
      <c r="A157" s="46"/>
      <c r="B157" s="46"/>
      <c r="C157" s="34" t="s">
        <v>20</v>
      </c>
      <c r="D157" s="42" t="s">
        <v>19</v>
      </c>
      <c r="E157" s="43"/>
      <c r="F157" s="43">
        <v>0.04</v>
      </c>
      <c r="G157" s="23">
        <v>205.64</v>
      </c>
      <c r="H157" s="22"/>
      <c r="I157" s="25"/>
      <c r="J157" s="26"/>
      <c r="K157" s="18"/>
    </row>
    <row r="158" spans="1:11" ht="13.5" customHeight="1" x14ac:dyDescent="0.2">
      <c r="A158" s="171">
        <v>43460</v>
      </c>
      <c r="B158" s="46"/>
      <c r="C158" s="34" t="s">
        <v>738</v>
      </c>
      <c r="D158" s="42"/>
      <c r="E158" s="43"/>
      <c r="F158" s="43"/>
      <c r="G158" s="23"/>
      <c r="H158" s="22">
        <v>13.3</v>
      </c>
      <c r="I158" s="25"/>
      <c r="J158" s="26"/>
      <c r="K158" s="18"/>
    </row>
    <row r="159" spans="1:11" ht="13.5" customHeight="1" x14ac:dyDescent="0.2">
      <c r="A159" s="46"/>
      <c r="B159" s="46"/>
      <c r="C159" s="34" t="s">
        <v>739</v>
      </c>
      <c r="D159" s="42"/>
      <c r="E159" s="43"/>
      <c r="F159" s="43"/>
      <c r="G159" s="23"/>
      <c r="H159" s="22">
        <v>34.299999999999997</v>
      </c>
      <c r="I159" s="25"/>
      <c r="J159" s="26"/>
      <c r="K159" s="18"/>
    </row>
    <row r="160" spans="1:11" ht="13.5" customHeight="1" x14ac:dyDescent="0.2">
      <c r="A160" s="46"/>
      <c r="B160" s="46"/>
      <c r="C160" s="34" t="s">
        <v>740</v>
      </c>
      <c r="D160" s="42"/>
      <c r="E160" s="43"/>
      <c r="F160" s="43"/>
      <c r="G160" s="23"/>
      <c r="H160" s="22">
        <v>7</v>
      </c>
      <c r="I160" s="25"/>
      <c r="J160" s="26"/>
      <c r="K160" s="18"/>
    </row>
    <row r="161" spans="1:11" ht="13.5" customHeight="1" x14ac:dyDescent="0.2">
      <c r="A161" s="46"/>
      <c r="B161" s="46"/>
      <c r="C161" s="34" t="s">
        <v>470</v>
      </c>
      <c r="D161" s="42"/>
      <c r="E161" s="43"/>
      <c r="F161" s="43"/>
      <c r="G161" s="23"/>
      <c r="H161" s="162">
        <v>1500</v>
      </c>
      <c r="I161" s="25"/>
      <c r="J161" s="26"/>
      <c r="K161" s="18"/>
    </row>
    <row r="162" spans="1:11" ht="13.5" customHeight="1" x14ac:dyDescent="0.2">
      <c r="A162" s="46"/>
      <c r="B162" s="46"/>
      <c r="C162" s="34" t="s">
        <v>741</v>
      </c>
      <c r="D162" s="42"/>
      <c r="E162" s="43"/>
      <c r="F162" s="43"/>
      <c r="G162" s="23"/>
      <c r="H162" s="22">
        <v>14</v>
      </c>
      <c r="I162" s="25"/>
      <c r="J162" s="26">
        <v>2002.0900000000056</v>
      </c>
      <c r="K162" s="18"/>
    </row>
    <row r="163" spans="1:11" ht="13.5" customHeight="1" x14ac:dyDescent="0.2">
      <c r="A163" s="46"/>
      <c r="B163" s="46"/>
      <c r="C163" s="34" t="s">
        <v>136</v>
      </c>
      <c r="D163" s="42" t="s">
        <v>19</v>
      </c>
      <c r="E163" s="43">
        <v>-37.9</v>
      </c>
      <c r="F163" s="43"/>
      <c r="G163" s="23">
        <v>167.74</v>
      </c>
      <c r="H163" s="22"/>
      <c r="I163" s="25"/>
      <c r="J163" s="26"/>
      <c r="K163" s="18"/>
    </row>
    <row r="164" spans="1:11" ht="13.5" customHeight="1" x14ac:dyDescent="0.2">
      <c r="A164" s="46"/>
      <c r="B164" s="46"/>
      <c r="C164" s="34" t="s">
        <v>470</v>
      </c>
      <c r="D164" s="42" t="s">
        <v>742</v>
      </c>
      <c r="E164" s="43"/>
      <c r="F164" s="272">
        <v>1500</v>
      </c>
      <c r="G164" s="275">
        <v>1667.74</v>
      </c>
      <c r="H164" s="22"/>
      <c r="I164" s="25"/>
      <c r="J164" s="26"/>
      <c r="K164" s="18"/>
    </row>
    <row r="165" spans="1:11" ht="13.5" customHeight="1" x14ac:dyDescent="0.2">
      <c r="A165" s="171">
        <v>43461</v>
      </c>
      <c r="B165" s="46"/>
      <c r="C165" s="34" t="s">
        <v>743</v>
      </c>
      <c r="D165" s="42"/>
      <c r="E165" s="43"/>
      <c r="F165" s="43"/>
      <c r="G165" s="23"/>
      <c r="H165" s="22">
        <v>13.45</v>
      </c>
      <c r="I165" s="25"/>
      <c r="J165" s="26"/>
      <c r="K165" s="18"/>
    </row>
    <row r="166" spans="1:11" ht="13.5" customHeight="1" x14ac:dyDescent="0.2">
      <c r="A166" s="46"/>
      <c r="B166" s="46"/>
      <c r="C166" s="34" t="s">
        <v>744</v>
      </c>
      <c r="D166" s="42"/>
      <c r="E166" s="43"/>
      <c r="F166" s="43"/>
      <c r="G166" s="23"/>
      <c r="H166" s="22">
        <v>4.9800000000000004</v>
      </c>
      <c r="I166" s="25"/>
      <c r="J166" s="26"/>
      <c r="K166" s="18"/>
    </row>
    <row r="167" spans="1:11" ht="13.5" customHeight="1" x14ac:dyDescent="0.2">
      <c r="A167" s="46"/>
      <c r="B167" s="46"/>
      <c r="C167" s="34" t="s">
        <v>745</v>
      </c>
      <c r="D167" s="42"/>
      <c r="E167" s="512">
        <f>SUM(E128:E164)+SUM(E2:E125)</f>
        <v>-6376.75</v>
      </c>
      <c r="F167" s="512">
        <f>F157+F151+F131+F127+F77+F64+F49+F27+F19</f>
        <v>0.79000000000000026</v>
      </c>
      <c r="G167" s="23"/>
      <c r="H167" s="22"/>
      <c r="I167" s="25">
        <v>60</v>
      </c>
      <c r="J167" s="26">
        <v>2043.6600000000055</v>
      </c>
      <c r="K167" s="18"/>
    </row>
    <row r="168" spans="1:11" ht="13.5" customHeight="1" x14ac:dyDescent="0.2">
      <c r="A168" s="171">
        <v>43462</v>
      </c>
      <c r="B168" s="46"/>
      <c r="C168" s="34" t="s">
        <v>746</v>
      </c>
      <c r="D168" s="42"/>
      <c r="E168" s="43"/>
      <c r="F168" s="43"/>
      <c r="G168" s="23"/>
      <c r="H168" s="22">
        <v>150</v>
      </c>
      <c r="I168" s="25"/>
      <c r="J168" s="276">
        <v>1893.6600000000055</v>
      </c>
      <c r="K168" s="18"/>
    </row>
    <row r="169" spans="1:11" ht="13.5" customHeight="1" thickBot="1" x14ac:dyDescent="0.25">
      <c r="A169" s="47"/>
      <c r="B169" s="48"/>
      <c r="C169" s="49"/>
      <c r="D169" s="50"/>
      <c r="E169" s="51"/>
      <c r="F169" s="52"/>
      <c r="G169" s="53"/>
      <c r="H169" s="516">
        <f>-(SUM(H162:H168)+SUM(H141:H160)+SUM(H115:H139)+SUM(H84:H113)+SUM(H67:H80)+SUM(H40:H65)+SUM(H29:H38)+SUM(H9:H25))</f>
        <v>-7221.79</v>
      </c>
      <c r="I169" s="517">
        <f>SUM(I6,I7,I12,I13,I14,I16,I17,I24,I34,I67,I68,I73,I74,I78,I110,I143,I167,I60)</f>
        <v>15545.52</v>
      </c>
      <c r="J169" s="52"/>
    </row>
    <row r="170" spans="1:11" ht="13.5" customHeight="1" thickBot="1" x14ac:dyDescent="0.25">
      <c r="A170" s="2" t="s">
        <v>2</v>
      </c>
      <c r="B170" s="3"/>
      <c r="C170" s="3" t="s">
        <v>481</v>
      </c>
      <c r="D170" s="3" t="s">
        <v>4</v>
      </c>
      <c r="E170" s="3" t="s">
        <v>5</v>
      </c>
      <c r="F170" s="3" t="s">
        <v>6</v>
      </c>
      <c r="G170" s="5" t="s">
        <v>7</v>
      </c>
      <c r="H170" s="1415" t="s">
        <v>482</v>
      </c>
      <c r="I170" s="1416"/>
      <c r="J170" s="1417"/>
    </row>
    <row r="171" spans="1:11" ht="13.5" customHeight="1" x14ac:dyDescent="0.2">
      <c r="A171" s="8">
        <v>43435</v>
      </c>
      <c r="B171" s="56"/>
      <c r="C171" s="10" t="s">
        <v>8</v>
      </c>
      <c r="D171" s="11">
        <v>0</v>
      </c>
      <c r="E171" s="51"/>
      <c r="F171" s="12"/>
      <c r="G171" s="178">
        <v>0</v>
      </c>
      <c r="H171" s="82"/>
      <c r="I171" s="57"/>
      <c r="J171" s="58">
        <v>5044.55</v>
      </c>
    </row>
    <row r="172" spans="1:11" ht="13.5" customHeight="1" x14ac:dyDescent="0.2">
      <c r="A172" s="180" t="s">
        <v>747</v>
      </c>
      <c r="B172" s="56" t="s">
        <v>483</v>
      </c>
      <c r="C172" s="36" t="s">
        <v>748</v>
      </c>
      <c r="D172" s="11" t="s">
        <v>488</v>
      </c>
      <c r="E172" s="181">
        <v>-1010</v>
      </c>
      <c r="F172" s="12"/>
      <c r="G172" s="182"/>
      <c r="H172" s="89"/>
      <c r="I172" s="60"/>
      <c r="J172" s="61">
        <v>5044.55</v>
      </c>
      <c r="K172" s="18"/>
    </row>
    <row r="173" spans="1:11" ht="13.5" customHeight="1" x14ac:dyDescent="0.2">
      <c r="A173" s="180"/>
      <c r="B173" s="56" t="s">
        <v>483</v>
      </c>
      <c r="C173" s="36" t="s">
        <v>749</v>
      </c>
      <c r="D173" s="11" t="s">
        <v>750</v>
      </c>
      <c r="E173" s="181">
        <v>-968.34</v>
      </c>
      <c r="F173" s="12"/>
      <c r="G173" s="182"/>
      <c r="H173" s="89"/>
      <c r="I173" s="60"/>
      <c r="J173" s="61">
        <v>5044.55</v>
      </c>
      <c r="K173" s="18"/>
    </row>
    <row r="174" spans="1:11" ht="13.5" customHeight="1" x14ac:dyDescent="0.2">
      <c r="A174" s="180"/>
      <c r="B174" s="56" t="s">
        <v>483</v>
      </c>
      <c r="C174" s="36" t="s">
        <v>751</v>
      </c>
      <c r="D174" s="11" t="s">
        <v>752</v>
      </c>
      <c r="E174" s="181">
        <v>-585.91</v>
      </c>
      <c r="F174" s="12"/>
      <c r="G174" s="182"/>
      <c r="H174" s="89"/>
      <c r="I174" s="60"/>
      <c r="J174" s="61">
        <v>5044.55</v>
      </c>
      <c r="K174" s="18"/>
    </row>
    <row r="175" spans="1:11" ht="13.5" customHeight="1" x14ac:dyDescent="0.2">
      <c r="A175" s="180"/>
      <c r="B175" s="56" t="s">
        <v>483</v>
      </c>
      <c r="C175" s="34" t="s">
        <v>753</v>
      </c>
      <c r="D175" s="11" t="s">
        <v>754</v>
      </c>
      <c r="E175" s="181">
        <v>-554.20000000000005</v>
      </c>
      <c r="F175" s="12"/>
      <c r="G175" s="182"/>
      <c r="H175" s="89"/>
      <c r="I175" s="60"/>
      <c r="J175" s="61">
        <v>5044.55</v>
      </c>
      <c r="K175" s="18"/>
    </row>
    <row r="176" spans="1:11" ht="13.5" customHeight="1" x14ac:dyDescent="0.2">
      <c r="A176" s="180"/>
      <c r="B176" s="56" t="s">
        <v>483</v>
      </c>
      <c r="C176" s="34" t="s">
        <v>637</v>
      </c>
      <c r="D176" s="11" t="s">
        <v>755</v>
      </c>
      <c r="E176" s="181">
        <v>-750</v>
      </c>
      <c r="F176" s="12"/>
      <c r="G176" s="182"/>
      <c r="H176" s="89"/>
      <c r="I176" s="60"/>
      <c r="J176" s="61">
        <v>5044.55</v>
      </c>
      <c r="K176" s="18"/>
    </row>
    <row r="177" spans="1:11" ht="13.5" customHeight="1" x14ac:dyDescent="0.2">
      <c r="A177" s="180"/>
      <c r="B177" s="56" t="s">
        <v>483</v>
      </c>
      <c r="C177" s="36" t="s">
        <v>86</v>
      </c>
      <c r="D177" s="11" t="s">
        <v>488</v>
      </c>
      <c r="E177" s="181">
        <v>-0.2</v>
      </c>
      <c r="F177" s="12"/>
      <c r="G177" s="182"/>
      <c r="H177" s="89"/>
      <c r="I177" s="60"/>
      <c r="J177" s="61">
        <v>5044.55</v>
      </c>
      <c r="K177" s="18"/>
    </row>
    <row r="178" spans="1:11" ht="13.5" customHeight="1" x14ac:dyDescent="0.2">
      <c r="A178" s="180"/>
      <c r="B178" s="56" t="s">
        <v>483</v>
      </c>
      <c r="C178" s="36" t="s">
        <v>86</v>
      </c>
      <c r="D178" s="11" t="s">
        <v>488</v>
      </c>
      <c r="E178" s="181">
        <v>-4.93</v>
      </c>
      <c r="F178" s="12"/>
      <c r="G178" s="182"/>
      <c r="H178" s="89"/>
      <c r="I178" s="60"/>
      <c r="J178" s="61">
        <v>5044.55</v>
      </c>
      <c r="K178" s="18"/>
    </row>
    <row r="179" spans="1:11" ht="13.5" customHeight="1" x14ac:dyDescent="0.2">
      <c r="A179" s="180"/>
      <c r="B179" s="56" t="s">
        <v>483</v>
      </c>
      <c r="C179" s="36" t="s">
        <v>174</v>
      </c>
      <c r="D179" s="11" t="s">
        <v>488</v>
      </c>
      <c r="E179" s="30"/>
      <c r="F179" s="183">
        <v>3873.58</v>
      </c>
      <c r="G179" s="182">
        <v>0</v>
      </c>
      <c r="H179" s="89">
        <v>3873.58</v>
      </c>
      <c r="I179" s="60"/>
      <c r="J179" s="61">
        <v>1170.9700000000003</v>
      </c>
      <c r="K179" s="18"/>
    </row>
    <row r="180" spans="1:11" ht="13.5" customHeight="1" x14ac:dyDescent="0.2">
      <c r="A180" s="180" t="s">
        <v>756</v>
      </c>
      <c r="B180" s="56" t="s">
        <v>483</v>
      </c>
      <c r="C180" s="36" t="s">
        <v>757</v>
      </c>
      <c r="D180" s="11" t="s">
        <v>494</v>
      </c>
      <c r="E180" s="181">
        <v>-53</v>
      </c>
      <c r="F180" s="12"/>
      <c r="G180" s="182" t="s">
        <v>483</v>
      </c>
      <c r="H180" s="89"/>
      <c r="I180" s="60"/>
      <c r="J180" s="61">
        <v>1170.9700000000003</v>
      </c>
      <c r="K180" s="18"/>
    </row>
    <row r="181" spans="1:11" ht="13.5" customHeight="1" x14ac:dyDescent="0.2">
      <c r="A181" s="180"/>
      <c r="B181" s="56" t="s">
        <v>483</v>
      </c>
      <c r="C181" s="36" t="s">
        <v>757</v>
      </c>
      <c r="D181" s="11" t="s">
        <v>488</v>
      </c>
      <c r="E181" s="181">
        <v>-53.3</v>
      </c>
      <c r="F181" s="12"/>
      <c r="G181" s="182" t="s">
        <v>483</v>
      </c>
      <c r="H181" s="89"/>
      <c r="I181" s="60"/>
      <c r="J181" s="61">
        <v>1170.9700000000003</v>
      </c>
      <c r="K181" s="18"/>
    </row>
    <row r="182" spans="1:11" ht="13.5" customHeight="1" x14ac:dyDescent="0.2">
      <c r="A182" s="180"/>
      <c r="B182" s="56" t="s">
        <v>483</v>
      </c>
      <c r="C182" s="34" t="s">
        <v>20</v>
      </c>
      <c r="D182" s="11" t="s">
        <v>488</v>
      </c>
      <c r="E182" s="181">
        <v>-15.52</v>
      </c>
      <c r="F182" s="12"/>
      <c r="G182" s="182" t="s">
        <v>483</v>
      </c>
      <c r="H182" s="89"/>
      <c r="I182" s="60"/>
      <c r="J182" s="61">
        <v>1170.9700000000003</v>
      </c>
      <c r="K182" s="18"/>
    </row>
    <row r="183" spans="1:11" ht="13.5" customHeight="1" x14ac:dyDescent="0.2">
      <c r="A183" s="180"/>
      <c r="B183" s="56" t="s">
        <v>483</v>
      </c>
      <c r="C183" s="36" t="s">
        <v>174</v>
      </c>
      <c r="D183" s="11" t="s">
        <v>488</v>
      </c>
      <c r="E183" s="30"/>
      <c r="F183" s="183">
        <v>121.82</v>
      </c>
      <c r="G183" s="182">
        <v>0</v>
      </c>
      <c r="H183" s="89">
        <v>121.82</v>
      </c>
      <c r="I183" s="60"/>
      <c r="J183" s="61">
        <v>1049.1500000000003</v>
      </c>
      <c r="K183" s="18"/>
    </row>
    <row r="184" spans="1:11" ht="13.5" customHeight="1" x14ac:dyDescent="0.2">
      <c r="A184" s="180" t="s">
        <v>758</v>
      </c>
      <c r="B184" s="56" t="s">
        <v>483</v>
      </c>
      <c r="C184" s="36" t="s">
        <v>382</v>
      </c>
      <c r="D184" s="11" t="s">
        <v>759</v>
      </c>
      <c r="E184" s="181">
        <v>-449.94</v>
      </c>
      <c r="F184" s="12"/>
      <c r="G184" s="182" t="s">
        <v>483</v>
      </c>
      <c r="H184" s="89"/>
      <c r="I184" s="60"/>
      <c r="J184" s="61">
        <v>1049.1500000000003</v>
      </c>
      <c r="K184" s="18"/>
    </row>
    <row r="185" spans="1:11" ht="13.5" customHeight="1" x14ac:dyDescent="0.2">
      <c r="A185" s="180"/>
      <c r="B185" s="56" t="s">
        <v>483</v>
      </c>
      <c r="C185" s="36" t="s">
        <v>760</v>
      </c>
      <c r="D185" s="11" t="s">
        <v>761</v>
      </c>
      <c r="E185" s="181">
        <v>-184.68</v>
      </c>
      <c r="F185" s="12"/>
      <c r="G185" s="182" t="s">
        <v>483</v>
      </c>
      <c r="H185" s="89"/>
      <c r="I185" s="60"/>
      <c r="J185" s="61">
        <v>1049.1500000000003</v>
      </c>
      <c r="K185" s="18"/>
    </row>
    <row r="186" spans="1:11" ht="13.5" customHeight="1" x14ac:dyDescent="0.2">
      <c r="A186" s="180"/>
      <c r="B186" s="56" t="s">
        <v>483</v>
      </c>
      <c r="C186" s="36" t="s">
        <v>762</v>
      </c>
      <c r="D186" s="11" t="s">
        <v>763</v>
      </c>
      <c r="E186" s="181">
        <v>-623.21</v>
      </c>
      <c r="F186" s="12"/>
      <c r="G186" s="182" t="s">
        <v>483</v>
      </c>
      <c r="H186" s="89"/>
      <c r="I186" s="60"/>
      <c r="J186" s="61">
        <v>1049.1500000000003</v>
      </c>
      <c r="K186" s="18"/>
    </row>
    <row r="187" spans="1:11" ht="13.5" customHeight="1" x14ac:dyDescent="0.2">
      <c r="A187" s="180"/>
      <c r="B187" s="56" t="s">
        <v>483</v>
      </c>
      <c r="C187" s="36" t="s">
        <v>174</v>
      </c>
      <c r="D187" s="11" t="s">
        <v>488</v>
      </c>
      <c r="E187" s="30"/>
      <c r="F187" s="183">
        <v>1049.17</v>
      </c>
      <c r="G187" s="182">
        <v>-208.66</v>
      </c>
      <c r="H187" s="89">
        <v>1049.17</v>
      </c>
      <c r="I187" s="60"/>
      <c r="J187" s="61">
        <v>-1.9999999999754436E-2</v>
      </c>
      <c r="K187" s="18"/>
    </row>
    <row r="188" spans="1:11" ht="13.5" customHeight="1" x14ac:dyDescent="0.2">
      <c r="A188" s="180" t="s">
        <v>764</v>
      </c>
      <c r="B188" s="56" t="s">
        <v>483</v>
      </c>
      <c r="C188" s="36" t="s">
        <v>180</v>
      </c>
      <c r="D188" s="11" t="s">
        <v>488</v>
      </c>
      <c r="E188" s="181">
        <v>-277.72000000000003</v>
      </c>
      <c r="F188" s="12"/>
      <c r="G188" s="182" t="s">
        <v>483</v>
      </c>
      <c r="H188" s="89"/>
      <c r="I188" s="60"/>
      <c r="J188" s="61">
        <v>-1.9999999999754436E-2</v>
      </c>
      <c r="K188" s="18"/>
    </row>
    <row r="189" spans="1:11" ht="13.5" customHeight="1" x14ac:dyDescent="0.2">
      <c r="A189" s="180"/>
      <c r="B189" s="56" t="s">
        <v>483</v>
      </c>
      <c r="C189" s="36" t="s">
        <v>765</v>
      </c>
      <c r="D189" s="11" t="s">
        <v>766</v>
      </c>
      <c r="E189" s="181">
        <v>-72.900000000000006</v>
      </c>
      <c r="F189" s="12"/>
      <c r="G189" s="182" t="s">
        <v>483</v>
      </c>
      <c r="H189" s="89"/>
      <c r="I189" s="60"/>
      <c r="J189" s="61">
        <v>-1.9999999999754436E-2</v>
      </c>
      <c r="K189" s="18"/>
    </row>
    <row r="190" spans="1:11" ht="13.5" customHeight="1" x14ac:dyDescent="0.2">
      <c r="A190" s="180"/>
      <c r="B190" s="56" t="s">
        <v>483</v>
      </c>
      <c r="C190" s="36" t="s">
        <v>767</v>
      </c>
      <c r="D190" s="11" t="s">
        <v>768</v>
      </c>
      <c r="E190" s="181">
        <v>-654.96</v>
      </c>
      <c r="F190" s="12"/>
      <c r="G190" s="182" t="s">
        <v>483</v>
      </c>
      <c r="H190" s="89"/>
      <c r="I190" s="60"/>
      <c r="J190" s="61">
        <v>-1.9999999999754436E-2</v>
      </c>
      <c r="K190" s="18"/>
    </row>
    <row r="191" spans="1:11" ht="13.5" customHeight="1" x14ac:dyDescent="0.2">
      <c r="A191" s="180"/>
      <c r="B191" s="56" t="s">
        <v>483</v>
      </c>
      <c r="C191" s="36" t="s">
        <v>769</v>
      </c>
      <c r="D191" s="11" t="s">
        <v>488</v>
      </c>
      <c r="E191" s="30"/>
      <c r="F191" s="183">
        <v>2500</v>
      </c>
      <c r="G191" s="182"/>
      <c r="H191" s="89"/>
      <c r="I191" s="60"/>
      <c r="J191" s="61">
        <v>-1.9999999999754436E-2</v>
      </c>
      <c r="K191" s="18"/>
    </row>
    <row r="192" spans="1:11" ht="13.5" customHeight="1" x14ac:dyDescent="0.2">
      <c r="A192" s="180"/>
      <c r="B192" s="56" t="s">
        <v>483</v>
      </c>
      <c r="C192" s="32" t="s">
        <v>398</v>
      </c>
      <c r="D192" s="11" t="s">
        <v>770</v>
      </c>
      <c r="E192" s="181">
        <v>-179</v>
      </c>
      <c r="F192" s="12"/>
      <c r="G192" s="182"/>
      <c r="H192" s="89"/>
      <c r="I192" s="60"/>
      <c r="J192" s="61">
        <v>-1.9999999999754436E-2</v>
      </c>
      <c r="K192" s="18"/>
    </row>
    <row r="193" spans="1:11" ht="13.5" customHeight="1" x14ac:dyDescent="0.2">
      <c r="A193" s="180"/>
      <c r="B193" s="56" t="s">
        <v>483</v>
      </c>
      <c r="C193" s="34" t="s">
        <v>189</v>
      </c>
      <c r="D193" s="11" t="s">
        <v>488</v>
      </c>
      <c r="E193" s="181">
        <v>-1106.76</v>
      </c>
      <c r="F193" s="12"/>
      <c r="G193" s="182">
        <v>0</v>
      </c>
      <c r="H193" s="89"/>
      <c r="I193" s="60">
        <v>1106.76</v>
      </c>
      <c r="J193" s="61">
        <v>1106.7400000000002</v>
      </c>
      <c r="K193" s="18"/>
    </row>
    <row r="194" spans="1:11" ht="13.5" customHeight="1" x14ac:dyDescent="0.2">
      <c r="A194" s="180" t="s">
        <v>771</v>
      </c>
      <c r="B194" s="56" t="s">
        <v>483</v>
      </c>
      <c r="C194" s="34" t="s">
        <v>772</v>
      </c>
      <c r="D194" s="11" t="s">
        <v>773</v>
      </c>
      <c r="E194" s="181">
        <v>-2139.69</v>
      </c>
      <c r="F194" s="12"/>
      <c r="G194" s="182" t="s">
        <v>483</v>
      </c>
      <c r="H194" s="89"/>
      <c r="I194" s="60"/>
      <c r="J194" s="61">
        <v>1106.7400000000002</v>
      </c>
      <c r="K194" s="18"/>
    </row>
    <row r="195" spans="1:11" ht="13.5" customHeight="1" x14ac:dyDescent="0.2">
      <c r="A195" s="180"/>
      <c r="B195" s="56" t="s">
        <v>483</v>
      </c>
      <c r="C195" s="36" t="s">
        <v>174</v>
      </c>
      <c r="D195" s="11" t="s">
        <v>488</v>
      </c>
      <c r="E195" s="30"/>
      <c r="F195" s="183">
        <v>1106.77</v>
      </c>
      <c r="G195" s="182">
        <v>-1032.92</v>
      </c>
      <c r="H195" s="89">
        <v>1106.77</v>
      </c>
      <c r="I195" s="60"/>
      <c r="J195" s="61">
        <v>-2.9999999999745341E-2</v>
      </c>
      <c r="K195" s="18"/>
    </row>
    <row r="196" spans="1:11" ht="13.5" customHeight="1" x14ac:dyDescent="0.2">
      <c r="A196" s="180" t="s">
        <v>774</v>
      </c>
      <c r="B196" s="56" t="s">
        <v>483</v>
      </c>
      <c r="C196" s="36" t="s">
        <v>769</v>
      </c>
      <c r="D196" s="11" t="s">
        <v>488</v>
      </c>
      <c r="E196" s="30"/>
      <c r="F196" s="183">
        <v>5061.99</v>
      </c>
      <c r="G196" s="182" t="s">
        <v>483</v>
      </c>
      <c r="H196" s="89"/>
      <c r="I196" s="60"/>
      <c r="J196" s="61">
        <v>-2.9999999999745341E-2</v>
      </c>
      <c r="K196" s="18"/>
    </row>
    <row r="197" spans="1:11" ht="13.5" customHeight="1" x14ac:dyDescent="0.2">
      <c r="A197" s="180"/>
      <c r="B197" s="56" t="s">
        <v>483</v>
      </c>
      <c r="C197" s="34" t="s">
        <v>194</v>
      </c>
      <c r="D197" s="11" t="s">
        <v>488</v>
      </c>
      <c r="E197" s="181">
        <v>-82.75</v>
      </c>
      <c r="F197" s="12"/>
      <c r="G197" s="182" t="s">
        <v>483</v>
      </c>
      <c r="H197" s="89"/>
      <c r="I197" s="60"/>
      <c r="J197" s="61">
        <v>-2.9999999999745341E-2</v>
      </c>
      <c r="K197" s="18"/>
    </row>
    <row r="198" spans="1:11" ht="13.5" customHeight="1" x14ac:dyDescent="0.2">
      <c r="A198" s="180"/>
      <c r="B198" s="56" t="s">
        <v>483</v>
      </c>
      <c r="C198" s="34" t="s">
        <v>195</v>
      </c>
      <c r="D198" s="11" t="s">
        <v>488</v>
      </c>
      <c r="E198" s="181">
        <v>-381.94</v>
      </c>
      <c r="F198" s="12"/>
      <c r="G198" s="182"/>
      <c r="H198" s="89"/>
      <c r="I198" s="60"/>
      <c r="J198" s="61">
        <v>-2.9999999999745341E-2</v>
      </c>
      <c r="K198" s="18"/>
    </row>
    <row r="199" spans="1:11" ht="13.5" customHeight="1" x14ac:dyDescent="0.2">
      <c r="A199" s="180"/>
      <c r="B199" s="56" t="s">
        <v>483</v>
      </c>
      <c r="C199" s="34" t="s">
        <v>189</v>
      </c>
      <c r="D199" s="11" t="s">
        <v>488</v>
      </c>
      <c r="E199" s="181">
        <v>-3564.38</v>
      </c>
      <c r="F199" s="12"/>
      <c r="G199" s="182">
        <v>0</v>
      </c>
      <c r="H199" s="89"/>
      <c r="I199" s="60">
        <v>3564.38</v>
      </c>
      <c r="J199" s="61">
        <v>3564.3500000000004</v>
      </c>
      <c r="K199" s="18"/>
    </row>
    <row r="200" spans="1:11" ht="13.5" customHeight="1" x14ac:dyDescent="0.2">
      <c r="A200" s="180" t="s">
        <v>775</v>
      </c>
      <c r="B200" s="56" t="s">
        <v>483</v>
      </c>
      <c r="C200" s="34" t="s">
        <v>776</v>
      </c>
      <c r="D200" s="11" t="s">
        <v>777</v>
      </c>
      <c r="E200" s="181">
        <v>-118.7</v>
      </c>
      <c r="F200" s="12"/>
      <c r="G200" s="182" t="s">
        <v>483</v>
      </c>
      <c r="H200" s="89"/>
      <c r="I200" s="60"/>
      <c r="J200" s="61">
        <v>3564.3500000000004</v>
      </c>
      <c r="K200" s="18"/>
    </row>
    <row r="201" spans="1:11" ht="13.5" customHeight="1" x14ac:dyDescent="0.2">
      <c r="A201" s="180"/>
      <c r="B201" s="56" t="s">
        <v>483</v>
      </c>
      <c r="C201" s="36" t="s">
        <v>174</v>
      </c>
      <c r="D201" s="11" t="s">
        <v>488</v>
      </c>
      <c r="E201" s="30"/>
      <c r="F201" s="183">
        <v>118.7</v>
      </c>
      <c r="G201" s="182">
        <v>0</v>
      </c>
      <c r="H201" s="89">
        <v>118.7</v>
      </c>
      <c r="I201" s="60"/>
      <c r="J201" s="61">
        <v>3445.6500000000005</v>
      </c>
      <c r="K201" s="18"/>
    </row>
    <row r="202" spans="1:11" ht="13.5" customHeight="1" x14ac:dyDescent="0.2">
      <c r="A202" s="180" t="s">
        <v>778</v>
      </c>
      <c r="B202" s="56" t="s">
        <v>483</v>
      </c>
      <c r="C202" s="34" t="s">
        <v>779</v>
      </c>
      <c r="D202" s="11" t="s">
        <v>780</v>
      </c>
      <c r="E202" s="181">
        <v>-720.85</v>
      </c>
      <c r="F202" s="12"/>
      <c r="G202" s="182" t="s">
        <v>483</v>
      </c>
      <c r="H202" s="89"/>
      <c r="I202" s="60"/>
      <c r="J202" s="61">
        <v>3445.6500000000005</v>
      </c>
      <c r="K202" s="18"/>
    </row>
    <row r="203" spans="1:11" ht="13.5" customHeight="1" x14ac:dyDescent="0.2">
      <c r="A203" s="180"/>
      <c r="B203" s="56" t="s">
        <v>483</v>
      </c>
      <c r="C203" s="34" t="s">
        <v>781</v>
      </c>
      <c r="D203" s="11" t="s">
        <v>782</v>
      </c>
      <c r="E203" s="181">
        <v>-720.85</v>
      </c>
      <c r="F203" s="12"/>
      <c r="G203" s="182" t="s">
        <v>483</v>
      </c>
      <c r="H203" s="89"/>
      <c r="I203" s="60"/>
      <c r="J203" s="61">
        <v>3445.6500000000005</v>
      </c>
      <c r="K203" s="18"/>
    </row>
    <row r="204" spans="1:11" ht="13.5" customHeight="1" x14ac:dyDescent="0.2">
      <c r="A204" s="180"/>
      <c r="B204" s="56" t="s">
        <v>483</v>
      </c>
      <c r="C204" s="34" t="s">
        <v>783</v>
      </c>
      <c r="D204" s="11" t="s">
        <v>488</v>
      </c>
      <c r="E204" s="181">
        <v>-549.44000000000005</v>
      </c>
      <c r="F204" s="12"/>
      <c r="G204" s="182" t="s">
        <v>483</v>
      </c>
      <c r="H204" s="89"/>
      <c r="I204" s="60"/>
      <c r="J204" s="61">
        <v>3445.6500000000005</v>
      </c>
      <c r="K204" s="18"/>
    </row>
    <row r="205" spans="1:11" ht="13.5" customHeight="1" x14ac:dyDescent="0.2">
      <c r="A205" s="180"/>
      <c r="B205" s="56" t="s">
        <v>483</v>
      </c>
      <c r="C205" s="36" t="s">
        <v>174</v>
      </c>
      <c r="D205" s="11" t="s">
        <v>488</v>
      </c>
      <c r="E205" s="30"/>
      <c r="F205" s="183">
        <v>1991.14</v>
      </c>
      <c r="G205" s="182">
        <v>0</v>
      </c>
      <c r="H205" s="89">
        <v>1991.14</v>
      </c>
      <c r="I205" s="60"/>
      <c r="J205" s="61">
        <v>1454.5100000000004</v>
      </c>
      <c r="K205" s="18"/>
    </row>
    <row r="206" spans="1:11" ht="13.5" customHeight="1" x14ac:dyDescent="0.2">
      <c r="A206" s="180" t="s">
        <v>784</v>
      </c>
      <c r="B206" s="56" t="s">
        <v>483</v>
      </c>
      <c r="C206" s="34" t="s">
        <v>785</v>
      </c>
      <c r="D206" s="11" t="s">
        <v>488</v>
      </c>
      <c r="E206" s="30"/>
      <c r="F206" s="183">
        <v>4980.5</v>
      </c>
      <c r="G206" s="182" t="s">
        <v>483</v>
      </c>
      <c r="H206" s="89"/>
      <c r="I206" s="60"/>
      <c r="J206" s="61">
        <v>1454.5100000000004</v>
      </c>
      <c r="K206" s="18"/>
    </row>
    <row r="207" spans="1:11" ht="13.5" customHeight="1" x14ac:dyDescent="0.2">
      <c r="A207" s="180"/>
      <c r="B207" s="56" t="s">
        <v>483</v>
      </c>
      <c r="C207" s="34" t="s">
        <v>719</v>
      </c>
      <c r="D207" s="11" t="s">
        <v>786</v>
      </c>
      <c r="E207" s="181"/>
      <c r="F207" s="168">
        <v>3000</v>
      </c>
      <c r="G207" s="182" t="s">
        <v>483</v>
      </c>
      <c r="H207" s="89"/>
      <c r="I207" s="60"/>
      <c r="J207" s="61">
        <v>1454.5100000000004</v>
      </c>
      <c r="K207" s="18"/>
    </row>
    <row r="208" spans="1:11" ht="13.5" customHeight="1" x14ac:dyDescent="0.2">
      <c r="A208" s="180"/>
      <c r="B208" s="56" t="s">
        <v>483</v>
      </c>
      <c r="C208" s="34" t="s">
        <v>719</v>
      </c>
      <c r="D208" s="11" t="s">
        <v>787</v>
      </c>
      <c r="E208" s="181"/>
      <c r="F208" s="277">
        <v>3000</v>
      </c>
      <c r="G208" s="182" t="s">
        <v>483</v>
      </c>
      <c r="H208" s="89"/>
      <c r="I208" s="60"/>
      <c r="J208" s="61">
        <v>1454.5100000000004</v>
      </c>
      <c r="K208" s="18"/>
    </row>
    <row r="209" spans="1:11" ht="13.5" customHeight="1" x14ac:dyDescent="0.2">
      <c r="A209" s="180"/>
      <c r="B209" s="56" t="s">
        <v>483</v>
      </c>
      <c r="C209" s="34" t="s">
        <v>719</v>
      </c>
      <c r="D209" s="11" t="s">
        <v>788</v>
      </c>
      <c r="E209" s="181"/>
      <c r="F209" s="277">
        <v>1500</v>
      </c>
      <c r="G209" s="182">
        <v>12480.5</v>
      </c>
      <c r="H209" s="89"/>
      <c r="I209" s="60"/>
      <c r="J209" s="61">
        <v>1454.5100000000004</v>
      </c>
      <c r="K209" s="18"/>
    </row>
    <row r="210" spans="1:11" ht="13.5" customHeight="1" x14ac:dyDescent="0.2">
      <c r="A210" s="180"/>
      <c r="B210" s="56" t="s">
        <v>483</v>
      </c>
      <c r="C210" s="32" t="s">
        <v>789</v>
      </c>
      <c r="D210" s="11" t="s">
        <v>790</v>
      </c>
      <c r="E210" s="181">
        <v>-750</v>
      </c>
      <c r="F210" s="12"/>
      <c r="G210" s="182" t="s">
        <v>483</v>
      </c>
      <c r="H210" s="89"/>
      <c r="I210" s="60"/>
      <c r="J210" s="61">
        <v>1454.5100000000004</v>
      </c>
      <c r="K210" s="18"/>
    </row>
    <row r="211" spans="1:11" ht="13.5" customHeight="1" x14ac:dyDescent="0.2">
      <c r="A211" s="180"/>
      <c r="B211" s="56" t="s">
        <v>483</v>
      </c>
      <c r="C211" s="34" t="s">
        <v>189</v>
      </c>
      <c r="D211" s="11" t="s">
        <v>488</v>
      </c>
      <c r="E211" s="181">
        <v>-11730.5</v>
      </c>
      <c r="F211" s="12"/>
      <c r="G211" s="182">
        <v>0</v>
      </c>
      <c r="H211" s="89"/>
      <c r="I211" s="60">
        <v>11730.5</v>
      </c>
      <c r="J211" s="61">
        <v>13185.01</v>
      </c>
      <c r="K211" s="18"/>
    </row>
    <row r="212" spans="1:11" ht="13.5" customHeight="1" x14ac:dyDescent="0.2">
      <c r="A212" s="180" t="s">
        <v>791</v>
      </c>
      <c r="B212" s="56" t="s">
        <v>483</v>
      </c>
      <c r="C212" s="32" t="s">
        <v>792</v>
      </c>
      <c r="D212" s="11" t="s">
        <v>793</v>
      </c>
      <c r="E212" s="181">
        <v>-1629</v>
      </c>
      <c r="F212" s="12"/>
      <c r="G212" s="182" t="s">
        <v>483</v>
      </c>
      <c r="H212" s="89"/>
      <c r="I212" s="60"/>
      <c r="J212" s="61">
        <v>13185.01</v>
      </c>
      <c r="K212" s="18"/>
    </row>
    <row r="213" spans="1:11" ht="13.5" customHeight="1" x14ac:dyDescent="0.2">
      <c r="A213" s="180"/>
      <c r="B213" s="56" t="s">
        <v>483</v>
      </c>
      <c r="C213" s="32" t="s">
        <v>794</v>
      </c>
      <c r="D213" s="11" t="s">
        <v>795</v>
      </c>
      <c r="E213" s="181">
        <v>-875.43</v>
      </c>
      <c r="F213" s="12"/>
      <c r="G213" s="182" t="s">
        <v>483</v>
      </c>
      <c r="H213" s="89"/>
      <c r="I213" s="60"/>
      <c r="J213" s="61">
        <v>13185.01</v>
      </c>
      <c r="K213" s="18"/>
    </row>
    <row r="214" spans="1:11" ht="13.5" customHeight="1" x14ac:dyDescent="0.2">
      <c r="A214" s="180"/>
      <c r="B214" s="56" t="s">
        <v>483</v>
      </c>
      <c r="C214" s="32" t="s">
        <v>796</v>
      </c>
      <c r="D214" s="11" t="s">
        <v>797</v>
      </c>
      <c r="E214" s="181">
        <v>-140</v>
      </c>
      <c r="F214" s="12"/>
      <c r="G214" s="182" t="s">
        <v>483</v>
      </c>
      <c r="H214" s="89"/>
      <c r="I214" s="60"/>
      <c r="J214" s="61">
        <v>13185.01</v>
      </c>
      <c r="K214" s="18"/>
    </row>
    <row r="215" spans="1:11" ht="13.5" customHeight="1" x14ac:dyDescent="0.2">
      <c r="A215" s="180"/>
      <c r="B215" s="56" t="s">
        <v>483</v>
      </c>
      <c r="C215" s="34" t="s">
        <v>798</v>
      </c>
      <c r="D215" s="11" t="s">
        <v>799</v>
      </c>
      <c r="E215" s="181">
        <v>-4377.21</v>
      </c>
      <c r="F215" s="12"/>
      <c r="G215" s="182" t="s">
        <v>483</v>
      </c>
      <c r="H215" s="89"/>
      <c r="I215" s="60"/>
      <c r="J215" s="61">
        <v>13185.01</v>
      </c>
      <c r="K215" s="18"/>
    </row>
    <row r="216" spans="1:11" ht="13.5" customHeight="1" x14ac:dyDescent="0.2">
      <c r="A216" s="180"/>
      <c r="B216" s="56" t="s">
        <v>483</v>
      </c>
      <c r="C216" s="32" t="s">
        <v>800</v>
      </c>
      <c r="D216" s="11" t="s">
        <v>801</v>
      </c>
      <c r="E216" s="181">
        <v>-2511.1</v>
      </c>
      <c r="F216" s="12"/>
      <c r="G216" s="182" t="s">
        <v>483</v>
      </c>
      <c r="H216" s="89"/>
      <c r="I216" s="60"/>
      <c r="J216" s="61">
        <v>13185.01</v>
      </c>
      <c r="K216" s="18"/>
    </row>
    <row r="217" spans="1:11" ht="13.5" customHeight="1" x14ac:dyDescent="0.2">
      <c r="A217" s="180"/>
      <c r="B217" s="56" t="s">
        <v>483</v>
      </c>
      <c r="C217" s="36" t="s">
        <v>174</v>
      </c>
      <c r="D217" s="11" t="s">
        <v>488</v>
      </c>
      <c r="E217" s="30"/>
      <c r="F217" s="183">
        <v>9532.74</v>
      </c>
      <c r="G217" s="182">
        <v>0</v>
      </c>
      <c r="H217" s="89">
        <v>9532.74</v>
      </c>
      <c r="I217" s="60"/>
      <c r="J217" s="61">
        <v>3652.2700000000004</v>
      </c>
      <c r="K217" s="18"/>
    </row>
    <row r="218" spans="1:11" ht="13.5" customHeight="1" x14ac:dyDescent="0.2">
      <c r="A218" s="180" t="s">
        <v>802</v>
      </c>
      <c r="B218" s="56" t="s">
        <v>483</v>
      </c>
      <c r="C218" s="34" t="s">
        <v>86</v>
      </c>
      <c r="D218" s="11" t="s">
        <v>488</v>
      </c>
      <c r="E218" s="181">
        <v>-78</v>
      </c>
      <c r="F218" s="12"/>
      <c r="G218" s="182" t="s">
        <v>483</v>
      </c>
      <c r="H218" s="89"/>
      <c r="I218" s="60"/>
      <c r="J218" s="61">
        <v>3652.2700000000004</v>
      </c>
      <c r="K218" s="18"/>
    </row>
    <row r="219" spans="1:11" ht="13.5" customHeight="1" x14ac:dyDescent="0.2">
      <c r="A219" s="180"/>
      <c r="B219" s="56" t="s">
        <v>483</v>
      </c>
      <c r="C219" s="32" t="s">
        <v>803</v>
      </c>
      <c r="D219" s="11" t="s">
        <v>766</v>
      </c>
      <c r="E219" s="181">
        <v>-522.54999999999995</v>
      </c>
      <c r="F219" s="12"/>
      <c r="G219" s="182" t="s">
        <v>483</v>
      </c>
      <c r="H219" s="89"/>
      <c r="I219" s="60"/>
      <c r="J219" s="61">
        <v>3652.2700000000004</v>
      </c>
      <c r="K219" s="18"/>
    </row>
    <row r="220" spans="1:11" ht="13.5" customHeight="1" x14ac:dyDescent="0.2">
      <c r="A220" s="180"/>
      <c r="B220" s="56" t="s">
        <v>483</v>
      </c>
      <c r="C220" s="32" t="s">
        <v>804</v>
      </c>
      <c r="D220" s="11" t="s">
        <v>484</v>
      </c>
      <c r="E220" s="181">
        <v>-622.51</v>
      </c>
      <c r="F220" s="12"/>
      <c r="G220" s="182" t="s">
        <v>483</v>
      </c>
      <c r="H220" s="89"/>
      <c r="I220" s="60"/>
      <c r="J220" s="61">
        <v>3652.2700000000004</v>
      </c>
      <c r="K220" s="18"/>
    </row>
    <row r="221" spans="1:11" ht="13.5" customHeight="1" x14ac:dyDescent="0.2">
      <c r="A221" s="180"/>
      <c r="B221" s="56" t="s">
        <v>483</v>
      </c>
      <c r="C221" s="41" t="s">
        <v>805</v>
      </c>
      <c r="D221" s="11" t="s">
        <v>806</v>
      </c>
      <c r="E221" s="181">
        <v>-330</v>
      </c>
      <c r="F221" s="12"/>
      <c r="G221" s="182" t="s">
        <v>483</v>
      </c>
      <c r="H221" s="89"/>
      <c r="I221" s="60"/>
      <c r="J221" s="61">
        <v>3652.2700000000004</v>
      </c>
      <c r="K221" s="18"/>
    </row>
    <row r="222" spans="1:11" ht="13.5" customHeight="1" x14ac:dyDescent="0.2">
      <c r="A222" s="180"/>
      <c r="B222" s="56" t="s">
        <v>483</v>
      </c>
      <c r="C222" s="36" t="s">
        <v>174</v>
      </c>
      <c r="D222" s="11" t="s">
        <v>488</v>
      </c>
      <c r="E222" s="30"/>
      <c r="F222" s="183">
        <v>1553.06</v>
      </c>
      <c r="G222" s="182">
        <v>0</v>
      </c>
      <c r="H222" s="89">
        <v>1553.06</v>
      </c>
      <c r="I222" s="60"/>
      <c r="J222" s="61">
        <v>2099.2100000000005</v>
      </c>
      <c r="K222" s="18"/>
    </row>
    <row r="223" spans="1:11" ht="13.5" customHeight="1" x14ac:dyDescent="0.2">
      <c r="A223" s="180" t="s">
        <v>807</v>
      </c>
      <c r="B223" s="56" t="s">
        <v>483</v>
      </c>
      <c r="C223" s="34" t="s">
        <v>199</v>
      </c>
      <c r="D223" s="11" t="s">
        <v>488</v>
      </c>
      <c r="E223" s="181">
        <v>-220.92</v>
      </c>
      <c r="F223" s="12"/>
      <c r="G223" s="182" t="s">
        <v>483</v>
      </c>
      <c r="H223" s="89"/>
      <c r="I223" s="60"/>
      <c r="J223" s="61">
        <v>2099.2100000000005</v>
      </c>
      <c r="K223" s="18"/>
    </row>
    <row r="224" spans="1:11" ht="13.5" customHeight="1" x14ac:dyDescent="0.2">
      <c r="A224" s="180"/>
      <c r="B224" s="56" t="s">
        <v>483</v>
      </c>
      <c r="C224" s="36" t="s">
        <v>174</v>
      </c>
      <c r="D224" s="11" t="s">
        <v>488</v>
      </c>
      <c r="E224" s="30"/>
      <c r="F224" s="183">
        <v>220.92</v>
      </c>
      <c r="G224" s="182">
        <v>0</v>
      </c>
      <c r="H224" s="89">
        <v>220.92</v>
      </c>
      <c r="I224" s="60"/>
      <c r="J224" s="61">
        <v>1878.2900000000004</v>
      </c>
      <c r="K224" s="18"/>
    </row>
    <row r="225" spans="1:14" ht="13.5" customHeight="1" x14ac:dyDescent="0.2">
      <c r="A225" s="180" t="s">
        <v>808</v>
      </c>
      <c r="B225" s="56" t="s">
        <v>483</v>
      </c>
      <c r="C225" s="32" t="s">
        <v>809</v>
      </c>
      <c r="D225" s="11" t="s">
        <v>810</v>
      </c>
      <c r="E225" s="181">
        <v>-157.5</v>
      </c>
      <c r="F225" s="12"/>
      <c r="G225" s="182" t="s">
        <v>483</v>
      </c>
      <c r="H225" s="89"/>
      <c r="I225" s="60"/>
      <c r="J225" s="61">
        <v>1878.2900000000004</v>
      </c>
      <c r="K225" s="18"/>
    </row>
    <row r="226" spans="1:14" ht="13.5" customHeight="1" x14ac:dyDescent="0.2">
      <c r="A226" s="180"/>
      <c r="B226" s="56" t="s">
        <v>483</v>
      </c>
      <c r="C226" s="36" t="s">
        <v>174</v>
      </c>
      <c r="D226" s="11" t="s">
        <v>488</v>
      </c>
      <c r="E226" s="30"/>
      <c r="F226" s="183">
        <v>157.5</v>
      </c>
      <c r="G226" s="182">
        <v>0</v>
      </c>
      <c r="H226" s="89">
        <v>157.5</v>
      </c>
      <c r="I226" s="60"/>
      <c r="J226" s="61">
        <v>1720.7900000000004</v>
      </c>
      <c r="K226" s="18"/>
    </row>
    <row r="227" spans="1:14" ht="13.5" customHeight="1" x14ac:dyDescent="0.2">
      <c r="A227" s="180" t="s">
        <v>811</v>
      </c>
      <c r="B227" s="56" t="s">
        <v>483</v>
      </c>
      <c r="C227" s="34" t="s">
        <v>86</v>
      </c>
      <c r="D227" s="11" t="s">
        <v>488</v>
      </c>
      <c r="E227" s="181">
        <v>-11.9</v>
      </c>
      <c r="F227" s="12"/>
      <c r="G227" s="182" t="s">
        <v>483</v>
      </c>
      <c r="H227" s="89"/>
      <c r="I227" s="60"/>
      <c r="J227" s="61">
        <v>1720.7900000000004</v>
      </c>
      <c r="K227" s="18"/>
    </row>
    <row r="228" spans="1:14" ht="13.5" customHeight="1" x14ac:dyDescent="0.2">
      <c r="A228" s="180"/>
      <c r="B228" s="56" t="s">
        <v>483</v>
      </c>
      <c r="C228" s="36" t="s">
        <v>174</v>
      </c>
      <c r="D228" s="11" t="s">
        <v>488</v>
      </c>
      <c r="E228" s="30"/>
      <c r="F228" s="183">
        <v>11.9</v>
      </c>
      <c r="G228" s="182">
        <v>0</v>
      </c>
      <c r="H228" s="12">
        <v>11.9</v>
      </c>
      <c r="I228" s="60"/>
      <c r="J228" s="61">
        <v>1708.8900000000003</v>
      </c>
      <c r="K228" s="18"/>
    </row>
    <row r="229" spans="1:14" ht="13.5" customHeight="1" x14ac:dyDescent="0.2">
      <c r="A229" s="180" t="s">
        <v>812</v>
      </c>
      <c r="B229" s="56" t="s">
        <v>483</v>
      </c>
      <c r="C229" s="32" t="s">
        <v>809</v>
      </c>
      <c r="D229" s="11" t="s">
        <v>609</v>
      </c>
      <c r="E229" s="181">
        <v>-422.19</v>
      </c>
      <c r="F229" s="12"/>
      <c r="G229" s="182" t="s">
        <v>483</v>
      </c>
      <c r="H229" s="89"/>
      <c r="I229" s="60"/>
      <c r="J229" s="61">
        <v>1708.8900000000003</v>
      </c>
      <c r="K229" s="18"/>
    </row>
    <row r="230" spans="1:14" ht="13.5" customHeight="1" x14ac:dyDescent="0.2">
      <c r="A230" s="180"/>
      <c r="B230" s="56" t="s">
        <v>483</v>
      </c>
      <c r="C230" s="32" t="s">
        <v>813</v>
      </c>
      <c r="D230" s="11" t="s">
        <v>814</v>
      </c>
      <c r="E230" s="181">
        <v>-75</v>
      </c>
      <c r="F230" s="12"/>
      <c r="G230" s="182" t="s">
        <v>483</v>
      </c>
      <c r="H230" s="89"/>
      <c r="I230" s="60"/>
      <c r="J230" s="61">
        <v>1708.8900000000003</v>
      </c>
      <c r="K230" s="18"/>
    </row>
    <row r="231" spans="1:14" ht="13.5" customHeight="1" x14ac:dyDescent="0.2">
      <c r="A231" s="180"/>
      <c r="B231" s="56" t="s">
        <v>483</v>
      </c>
      <c r="C231" s="36" t="s">
        <v>174</v>
      </c>
      <c r="D231" s="11" t="s">
        <v>488</v>
      </c>
      <c r="E231" s="30"/>
      <c r="F231" s="183">
        <v>497.19</v>
      </c>
      <c r="G231" s="205">
        <v>0</v>
      </c>
      <c r="H231" s="12">
        <v>497.19</v>
      </c>
      <c r="I231" s="60"/>
      <c r="J231" s="61">
        <v>1211.7000000000003</v>
      </c>
      <c r="K231" s="18"/>
    </row>
    <row r="232" spans="1:14" ht="13.5" customHeight="1" x14ac:dyDescent="0.2">
      <c r="A232" s="180"/>
      <c r="B232" s="56"/>
      <c r="C232" s="36" t="s">
        <v>20</v>
      </c>
      <c r="D232" s="11"/>
      <c r="E232" s="513">
        <f>SUM(E172:E231)</f>
        <v>-40276.98000000001</v>
      </c>
      <c r="F232" s="512">
        <f>SUM(F212:F231)+SUM(F175:F206)</f>
        <v>32776.979999999996</v>
      </c>
      <c r="G232" s="182"/>
      <c r="H232" s="89"/>
      <c r="I232" s="60">
        <v>0.12</v>
      </c>
      <c r="J232" s="186">
        <v>1211.8200000000002</v>
      </c>
      <c r="K232" s="18"/>
    </row>
    <row r="233" spans="1:14" s="64" customFormat="1" ht="13.5" customHeight="1" thickBot="1" x14ac:dyDescent="0.25">
      <c r="A233" s="184"/>
      <c r="B233" s="63"/>
      <c r="C233" s="63"/>
      <c r="D233" s="50"/>
      <c r="E233" s="51"/>
      <c r="F233" s="13"/>
      <c r="G233" s="53"/>
      <c r="H233" s="518"/>
      <c r="I233" s="519"/>
      <c r="J233" s="67"/>
      <c r="N233" s="65"/>
    </row>
    <row r="234" spans="1:14" ht="13.5" customHeight="1" thickBot="1" x14ac:dyDescent="0.25">
      <c r="A234" s="2" t="s">
        <v>2</v>
      </c>
      <c r="B234" s="3"/>
      <c r="C234" s="3" t="s">
        <v>525</v>
      </c>
      <c r="D234" s="3" t="s">
        <v>4</v>
      </c>
      <c r="E234" s="3" t="s">
        <v>5</v>
      </c>
      <c r="F234" s="3" t="s">
        <v>6</v>
      </c>
      <c r="G234" s="5" t="s">
        <v>7</v>
      </c>
      <c r="H234" s="187"/>
      <c r="I234" s="188"/>
      <c r="J234" s="189"/>
    </row>
    <row r="235" spans="1:14" ht="13.5" customHeight="1" x14ac:dyDescent="0.2">
      <c r="A235" s="8">
        <v>43435</v>
      </c>
      <c r="B235" s="56"/>
      <c r="C235" s="10" t="s">
        <v>8</v>
      </c>
      <c r="D235" s="11"/>
      <c r="E235" s="51"/>
      <c r="F235" s="12"/>
      <c r="G235" s="178">
        <v>199.64</v>
      </c>
      <c r="H235" s="82"/>
      <c r="I235" s="57"/>
      <c r="J235" s="67"/>
    </row>
    <row r="236" spans="1:14" ht="13.5" customHeight="1" x14ac:dyDescent="0.2">
      <c r="A236" s="180">
        <v>43439</v>
      </c>
      <c r="B236" s="56"/>
      <c r="C236" s="36" t="s">
        <v>611</v>
      </c>
      <c r="D236" s="11"/>
      <c r="E236" s="51"/>
      <c r="F236" s="183">
        <v>500</v>
      </c>
      <c r="G236" s="190">
        <f>G235-E236+F236</f>
        <v>699.64</v>
      </c>
      <c r="H236" s="82"/>
      <c r="I236" s="57"/>
      <c r="J236" s="67"/>
    </row>
    <row r="237" spans="1:14" ht="13.5" customHeight="1" x14ac:dyDescent="0.2">
      <c r="A237" s="180">
        <v>43451</v>
      </c>
      <c r="B237" s="56"/>
      <c r="C237" s="36" t="s">
        <v>815</v>
      </c>
      <c r="D237" s="11"/>
      <c r="E237" s="181">
        <v>849.06</v>
      </c>
      <c r="F237" s="12"/>
      <c r="G237" s="190">
        <f>G236-E237+F237</f>
        <v>-149.41999999999996</v>
      </c>
      <c r="H237" s="89"/>
      <c r="I237" s="60"/>
      <c r="J237" s="61"/>
    </row>
    <row r="238" spans="1:14" ht="13.5" customHeight="1" x14ac:dyDescent="0.2">
      <c r="A238" s="180"/>
      <c r="B238" s="56"/>
      <c r="C238" s="34" t="s">
        <v>816</v>
      </c>
      <c r="D238" s="11"/>
      <c r="E238" s="30"/>
      <c r="F238" s="183">
        <v>7500</v>
      </c>
      <c r="G238" s="190">
        <f>G237-E238+F238</f>
        <v>7350.58</v>
      </c>
      <c r="H238" s="89"/>
      <c r="I238" s="60"/>
      <c r="J238" s="61"/>
    </row>
    <row r="239" spans="1:14" ht="13.5" customHeight="1" x14ac:dyDescent="0.2">
      <c r="A239" s="180"/>
      <c r="B239" s="56"/>
      <c r="C239" s="34" t="s">
        <v>817</v>
      </c>
      <c r="D239" s="11"/>
      <c r="E239" s="30"/>
      <c r="F239" s="183">
        <v>500</v>
      </c>
      <c r="G239" s="190">
        <f>G238-E239+F239</f>
        <v>7850.58</v>
      </c>
      <c r="H239" s="89"/>
      <c r="I239" s="60"/>
      <c r="J239" s="61"/>
    </row>
    <row r="240" spans="1:14" ht="13.5" customHeight="1" x14ac:dyDescent="0.2">
      <c r="A240" s="180">
        <v>43453</v>
      </c>
      <c r="B240" s="56"/>
      <c r="C240" s="34" t="s">
        <v>719</v>
      </c>
      <c r="D240" s="11"/>
      <c r="E240" s="181">
        <v>7500</v>
      </c>
      <c r="F240" s="12"/>
      <c r="G240" s="178">
        <f>G239-E240+F240</f>
        <v>350.57999999999993</v>
      </c>
      <c r="H240" s="89"/>
      <c r="I240" s="60"/>
      <c r="J240" s="61"/>
    </row>
    <row r="241" spans="1:14" s="64" customFormat="1" ht="13.5" customHeight="1" thickBot="1" x14ac:dyDescent="0.25">
      <c r="A241" s="184"/>
      <c r="B241" s="63"/>
      <c r="C241" s="63"/>
      <c r="D241" s="50"/>
      <c r="E241" s="51"/>
      <c r="F241" s="13"/>
      <c r="G241" s="53"/>
      <c r="H241" s="82"/>
      <c r="I241" s="57"/>
      <c r="J241" s="67"/>
      <c r="N241" s="65"/>
    </row>
    <row r="242" spans="1:14" customFormat="1" ht="13.5" customHeight="1" thickBot="1" x14ac:dyDescent="0.25">
      <c r="A242" s="2" t="s">
        <v>2</v>
      </c>
      <c r="B242" s="3"/>
      <c r="C242" s="3" t="s">
        <v>534</v>
      </c>
      <c r="D242" s="191" t="s">
        <v>4</v>
      </c>
      <c r="E242" s="3" t="s">
        <v>5</v>
      </c>
      <c r="F242" s="3" t="s">
        <v>6</v>
      </c>
      <c r="G242" s="5" t="s">
        <v>7</v>
      </c>
      <c r="H242" s="192"/>
      <c r="I242" s="193"/>
      <c r="J242" s="194"/>
    </row>
    <row r="243" spans="1:14" customFormat="1" ht="13.5" customHeight="1" x14ac:dyDescent="0.2">
      <c r="A243" s="8">
        <v>42370</v>
      </c>
      <c r="B243" s="36"/>
      <c r="C243" s="10" t="s">
        <v>8</v>
      </c>
      <c r="D243" s="195"/>
      <c r="E243" s="196"/>
      <c r="F243" s="43"/>
      <c r="G243" s="178">
        <v>0</v>
      </c>
      <c r="H243" s="197"/>
      <c r="I243" s="57"/>
      <c r="J243" s="198"/>
    </row>
    <row r="244" spans="1:14" customFormat="1" ht="13.5" customHeight="1" x14ac:dyDescent="0.2">
      <c r="A244" s="180">
        <v>43649</v>
      </c>
      <c r="B244" s="32"/>
      <c r="C244" s="32" t="s">
        <v>535</v>
      </c>
      <c r="D244" s="195"/>
      <c r="E244" s="196"/>
      <c r="F244" s="199">
        <v>500</v>
      </c>
      <c r="G244" s="190">
        <v>500</v>
      </c>
      <c r="H244" s="197"/>
      <c r="I244" s="57"/>
      <c r="J244" s="198"/>
    </row>
    <row r="245" spans="1:14" customFormat="1" ht="13.5" customHeight="1" x14ac:dyDescent="0.2">
      <c r="A245" s="180">
        <v>43711</v>
      </c>
      <c r="B245" s="36"/>
      <c r="C245" s="32" t="s">
        <v>535</v>
      </c>
      <c r="D245" s="195"/>
      <c r="E245" s="200"/>
      <c r="F245" s="199">
        <v>3000</v>
      </c>
      <c r="G245" s="190">
        <v>3500</v>
      </c>
      <c r="H245" s="68"/>
      <c r="I245" s="60"/>
      <c r="J245" s="69"/>
    </row>
    <row r="246" spans="1:14" customFormat="1" ht="13.5" customHeight="1" x14ac:dyDescent="0.2">
      <c r="A246" s="180">
        <v>43739</v>
      </c>
      <c r="B246" s="36"/>
      <c r="C246" s="32" t="s">
        <v>535</v>
      </c>
      <c r="D246" s="195"/>
      <c r="E246" s="200"/>
      <c r="F246" s="199">
        <v>2000</v>
      </c>
      <c r="G246" s="190">
        <v>5500</v>
      </c>
      <c r="H246" s="68"/>
      <c r="I246" s="60"/>
      <c r="J246" s="69"/>
    </row>
    <row r="247" spans="1:14" customFormat="1" ht="13.5" customHeight="1" x14ac:dyDescent="0.2">
      <c r="A247" s="180">
        <v>43774</v>
      </c>
      <c r="B247" s="36"/>
      <c r="C247" s="32" t="s">
        <v>535</v>
      </c>
      <c r="D247" s="195"/>
      <c r="E247" s="200"/>
      <c r="F247" s="199">
        <v>1000</v>
      </c>
      <c r="G247" s="190">
        <v>6500</v>
      </c>
      <c r="H247" s="68"/>
      <c r="I247" s="60"/>
      <c r="J247" s="69"/>
    </row>
    <row r="248" spans="1:14" customFormat="1" ht="13.5" customHeight="1" x14ac:dyDescent="0.2">
      <c r="A248" s="180">
        <v>43439</v>
      </c>
      <c r="B248" s="36"/>
      <c r="C248" s="32" t="s">
        <v>535</v>
      </c>
      <c r="D248" s="195"/>
      <c r="E248" s="200"/>
      <c r="F248" s="199">
        <v>500</v>
      </c>
      <c r="G248" s="178">
        <v>7000</v>
      </c>
      <c r="H248" s="68"/>
      <c r="I248" s="60"/>
      <c r="J248" s="69"/>
    </row>
    <row r="249" spans="1:14" ht="13.5" customHeight="1" thickBot="1" x14ac:dyDescent="0.25">
      <c r="A249" s="180"/>
      <c r="B249" s="56"/>
      <c r="C249" s="56"/>
      <c r="D249" s="11"/>
      <c r="E249" s="30"/>
      <c r="F249" s="12"/>
      <c r="G249" s="182"/>
      <c r="H249" s="89"/>
      <c r="I249" s="60"/>
      <c r="J249" s="61"/>
    </row>
    <row r="250" spans="1:14" ht="13.5" customHeight="1" thickBot="1" x14ac:dyDescent="0.25">
      <c r="A250" s="2" t="s">
        <v>2</v>
      </c>
      <c r="B250" s="3"/>
      <c r="C250" s="3" t="s">
        <v>536</v>
      </c>
      <c r="D250" s="3"/>
      <c r="E250" s="3"/>
      <c r="F250" s="3"/>
      <c r="G250" s="5" t="s">
        <v>7</v>
      </c>
      <c r="H250" s="269" t="s">
        <v>5</v>
      </c>
      <c r="I250" s="4" t="s">
        <v>6</v>
      </c>
      <c r="J250" s="7" t="s">
        <v>7</v>
      </c>
    </row>
    <row r="251" spans="1:14" ht="13.5" customHeight="1" x14ac:dyDescent="0.2">
      <c r="A251" s="8">
        <v>43435</v>
      </c>
      <c r="B251" s="70"/>
      <c r="C251" s="10" t="s">
        <v>537</v>
      </c>
      <c r="D251" s="125"/>
      <c r="E251" s="67"/>
      <c r="F251" s="67"/>
      <c r="G251" s="178"/>
      <c r="H251" s="82"/>
      <c r="I251" s="57"/>
      <c r="J251" s="58">
        <v>13000</v>
      </c>
    </row>
    <row r="252" spans="1:14" customFormat="1" ht="13.5" customHeight="1" x14ac:dyDescent="0.2">
      <c r="A252" s="180">
        <v>43437</v>
      </c>
      <c r="B252" s="46"/>
      <c r="C252" s="34" t="s">
        <v>211</v>
      </c>
      <c r="D252" s="229"/>
      <c r="E252" s="69"/>
      <c r="F252" s="69"/>
      <c r="G252" s="203"/>
      <c r="H252" s="249">
        <v>1767.0300000000002</v>
      </c>
      <c r="I252" s="71"/>
      <c r="J252" s="69">
        <v>11232.97</v>
      </c>
      <c r="K252" s="72"/>
      <c r="N252" s="40"/>
    </row>
    <row r="253" spans="1:14" customFormat="1" ht="13.5" customHeight="1" x14ac:dyDescent="0.2">
      <c r="A253" s="180">
        <v>43438</v>
      </c>
      <c r="B253" s="46"/>
      <c r="C253" s="34" t="s">
        <v>818</v>
      </c>
      <c r="D253" s="229"/>
      <c r="E253" s="69"/>
      <c r="F253" s="69"/>
      <c r="G253" s="203"/>
      <c r="H253" s="249">
        <v>4000</v>
      </c>
      <c r="I253" s="71"/>
      <c r="J253" s="69">
        <v>7232.9699999999993</v>
      </c>
      <c r="K253" s="72"/>
      <c r="N253" s="40"/>
    </row>
    <row r="254" spans="1:14" customFormat="1" ht="13.5" customHeight="1" x14ac:dyDescent="0.2">
      <c r="A254" s="180"/>
      <c r="B254" s="46"/>
      <c r="C254" s="34" t="s">
        <v>819</v>
      </c>
      <c r="D254" s="229"/>
      <c r="E254" s="69"/>
      <c r="F254" s="69"/>
      <c r="G254" s="203"/>
      <c r="H254" s="249">
        <v>1500</v>
      </c>
      <c r="I254" s="71"/>
      <c r="J254" s="69">
        <v>5732.9699999999993</v>
      </c>
      <c r="K254" s="72"/>
      <c r="N254" s="40"/>
    </row>
    <row r="255" spans="1:14" customFormat="1" ht="13.5" customHeight="1" x14ac:dyDescent="0.2">
      <c r="A255" s="180">
        <v>42125</v>
      </c>
      <c r="B255" s="46"/>
      <c r="C255" s="34" t="s">
        <v>820</v>
      </c>
      <c r="D255" s="229"/>
      <c r="E255" s="69"/>
      <c r="F255" s="69"/>
      <c r="G255" s="203"/>
      <c r="H255" s="249">
        <v>9.49</v>
      </c>
      <c r="I255" s="71"/>
      <c r="J255" s="69">
        <v>5723.48</v>
      </c>
      <c r="K255" s="72"/>
      <c r="N255" s="40"/>
    </row>
    <row r="256" spans="1:14" customFormat="1" ht="13.5" customHeight="1" x14ac:dyDescent="0.2">
      <c r="A256" s="180"/>
      <c r="B256" s="46"/>
      <c r="C256" s="34" t="s">
        <v>821</v>
      </c>
      <c r="D256" s="229"/>
      <c r="E256" s="69"/>
      <c r="F256" s="69"/>
      <c r="G256" s="203"/>
      <c r="H256" s="249">
        <v>12.97</v>
      </c>
      <c r="I256" s="71"/>
      <c r="J256" s="69">
        <v>5710.5099999999993</v>
      </c>
      <c r="K256" s="72"/>
      <c r="N256" s="40"/>
    </row>
    <row r="257" spans="1:12" ht="13.5" customHeight="1" x14ac:dyDescent="0.2">
      <c r="A257" s="180">
        <v>43440</v>
      </c>
      <c r="B257" s="9"/>
      <c r="C257" s="34" t="s">
        <v>822</v>
      </c>
      <c r="D257" s="230"/>
      <c r="E257" s="61"/>
      <c r="F257" s="61"/>
      <c r="G257" s="205"/>
      <c r="H257" s="89"/>
      <c r="I257" s="71">
        <v>350</v>
      </c>
      <c r="J257" s="69">
        <v>6060.5099999999993</v>
      </c>
      <c r="K257" s="72"/>
    </row>
    <row r="258" spans="1:12" ht="13.5" customHeight="1" x14ac:dyDescent="0.2">
      <c r="A258" s="180"/>
      <c r="B258" s="9"/>
      <c r="C258" s="34" t="s">
        <v>823</v>
      </c>
      <c r="D258" s="230"/>
      <c r="E258" s="61"/>
      <c r="F258" s="61"/>
      <c r="G258" s="205"/>
      <c r="H258" s="89"/>
      <c r="I258" s="71">
        <v>5000</v>
      </c>
      <c r="J258" s="69">
        <v>11060.509999999998</v>
      </c>
      <c r="K258" s="72"/>
    </row>
    <row r="259" spans="1:12" ht="13.5" customHeight="1" x14ac:dyDescent="0.2">
      <c r="A259" s="180"/>
      <c r="B259" s="9"/>
      <c r="C259" s="34" t="s">
        <v>824</v>
      </c>
      <c r="D259" s="230"/>
      <c r="E259" s="61"/>
      <c r="F259" s="61"/>
      <c r="G259" s="205"/>
      <c r="H259" s="89">
        <v>700</v>
      </c>
      <c r="I259" s="71"/>
      <c r="J259" s="69">
        <v>10360.509999999998</v>
      </c>
      <c r="K259" s="72"/>
    </row>
    <row r="260" spans="1:12" ht="13.5" customHeight="1" x14ac:dyDescent="0.2">
      <c r="A260" s="180">
        <v>43444</v>
      </c>
      <c r="B260" s="9"/>
      <c r="C260" s="34" t="s">
        <v>825</v>
      </c>
      <c r="D260" s="230"/>
      <c r="E260" s="61"/>
      <c r="F260" s="61"/>
      <c r="G260" s="205"/>
      <c r="H260" s="89">
        <v>5000</v>
      </c>
      <c r="I260" s="71"/>
      <c r="J260" s="69">
        <v>5360.5099999999984</v>
      </c>
      <c r="K260" s="72"/>
    </row>
    <row r="261" spans="1:12" ht="13.5" customHeight="1" x14ac:dyDescent="0.2">
      <c r="A261" s="180">
        <v>43448</v>
      </c>
      <c r="B261" s="9"/>
      <c r="C261" s="34" t="s">
        <v>826</v>
      </c>
      <c r="D261" s="230"/>
      <c r="E261" s="61"/>
      <c r="F261" s="61"/>
      <c r="G261" s="205"/>
      <c r="H261" s="89">
        <v>90</v>
      </c>
      <c r="I261" s="71"/>
      <c r="J261" s="69">
        <v>5270.5099999999984</v>
      </c>
      <c r="K261" s="72"/>
    </row>
    <row r="262" spans="1:12" ht="13.5" customHeight="1" x14ac:dyDescent="0.2">
      <c r="A262" s="180">
        <v>43451</v>
      </c>
      <c r="B262" s="9"/>
      <c r="C262" s="34" t="s">
        <v>827</v>
      </c>
      <c r="D262" s="230"/>
      <c r="E262" s="61"/>
      <c r="F262" s="61"/>
      <c r="G262" s="205"/>
      <c r="H262" s="89">
        <v>387.45</v>
      </c>
      <c r="I262" s="71"/>
      <c r="J262" s="69">
        <v>4883.0599999999986</v>
      </c>
      <c r="K262" s="72"/>
    </row>
    <row r="263" spans="1:12" ht="13.5" customHeight="1" x14ac:dyDescent="0.2">
      <c r="A263" s="180"/>
      <c r="B263" s="9"/>
      <c r="C263" s="34" t="s">
        <v>828</v>
      </c>
      <c r="D263" s="230"/>
      <c r="E263" s="61"/>
      <c r="F263" s="61"/>
      <c r="G263" s="205"/>
      <c r="H263" s="89">
        <v>7000</v>
      </c>
      <c r="I263" s="71"/>
      <c r="J263" s="69">
        <v>-2116.9400000000014</v>
      </c>
      <c r="K263" s="72"/>
    </row>
    <row r="264" spans="1:12" ht="13.5" customHeight="1" x14ac:dyDescent="0.2">
      <c r="A264" s="180"/>
      <c r="B264" s="56"/>
      <c r="C264" s="34" t="s">
        <v>816</v>
      </c>
      <c r="D264" s="56"/>
      <c r="E264" s="34"/>
      <c r="F264" s="69"/>
      <c r="G264" s="203"/>
      <c r="H264" s="249"/>
      <c r="I264" s="71">
        <v>7500</v>
      </c>
      <c r="J264" s="69">
        <v>5383.0599999999986</v>
      </c>
      <c r="K264" s="72"/>
    </row>
    <row r="265" spans="1:12" ht="13.5" customHeight="1" x14ac:dyDescent="0.2">
      <c r="A265" s="180"/>
      <c r="B265" s="56"/>
      <c r="C265" s="34" t="s">
        <v>817</v>
      </c>
      <c r="D265" s="56"/>
      <c r="E265" s="34"/>
      <c r="F265" s="69"/>
      <c r="G265" s="203"/>
      <c r="H265" s="249"/>
      <c r="I265" s="71">
        <v>500</v>
      </c>
      <c r="J265" s="69">
        <v>5883.0599999999986</v>
      </c>
      <c r="K265" s="72"/>
    </row>
    <row r="266" spans="1:12" ht="13.5" customHeight="1" x14ac:dyDescent="0.2">
      <c r="A266" s="180"/>
      <c r="B266" s="46"/>
      <c r="C266" s="34" t="s">
        <v>829</v>
      </c>
      <c r="D266" s="229"/>
      <c r="E266" s="69"/>
      <c r="F266" s="69"/>
      <c r="G266" s="203"/>
      <c r="H266" s="249">
        <v>1200</v>
      </c>
      <c r="I266" s="71"/>
      <c r="J266" s="69">
        <v>4683.0599999999986</v>
      </c>
      <c r="K266" s="72"/>
    </row>
    <row r="267" spans="1:12" ht="13.5" customHeight="1" x14ac:dyDescent="0.2">
      <c r="A267" s="180"/>
      <c r="B267" s="46"/>
      <c r="C267" s="34" t="s">
        <v>830</v>
      </c>
      <c r="D267" s="229"/>
      <c r="E267" s="69"/>
      <c r="F267" s="69"/>
      <c r="G267" s="203"/>
      <c r="H267" s="249">
        <v>2950</v>
      </c>
      <c r="I267" s="71"/>
      <c r="J267" s="69">
        <v>1733.0599999999986</v>
      </c>
      <c r="K267" s="72"/>
    </row>
    <row r="268" spans="1:12" ht="13.5" customHeight="1" x14ac:dyDescent="0.2">
      <c r="A268" s="180"/>
      <c r="B268" s="46"/>
      <c r="C268" s="36" t="s">
        <v>77</v>
      </c>
      <c r="D268" s="229"/>
      <c r="E268" s="69"/>
      <c r="F268" s="69"/>
      <c r="G268" s="203"/>
      <c r="H268" s="249"/>
      <c r="I268" s="73">
        <v>4000</v>
      </c>
      <c r="J268" s="69">
        <v>5733.0599999999986</v>
      </c>
      <c r="K268" s="72"/>
    </row>
    <row r="269" spans="1:12" ht="13.5" customHeight="1" x14ac:dyDescent="0.2">
      <c r="A269" s="171">
        <v>43453</v>
      </c>
      <c r="B269" s="46"/>
      <c r="C269" s="34" t="s">
        <v>719</v>
      </c>
      <c r="D269" s="229"/>
      <c r="E269" s="69"/>
      <c r="F269" s="69"/>
      <c r="G269" s="203"/>
      <c r="H269" s="278">
        <v>4500</v>
      </c>
      <c r="I269" s="68"/>
      <c r="J269" s="69">
        <v>1233.0599999999986</v>
      </c>
      <c r="K269" s="72"/>
      <c r="L269" s="18"/>
    </row>
    <row r="270" spans="1:12" ht="13.5" customHeight="1" x14ac:dyDescent="0.2">
      <c r="A270" s="171"/>
      <c r="B270" s="46"/>
      <c r="C270" s="34" t="s">
        <v>831</v>
      </c>
      <c r="D270" s="229"/>
      <c r="E270" s="322">
        <f>SUM(C266,C264,C241,C239,C237,C233,C217,C213,C189,C157,C136,C130,C126,C122,C100,C84,C64,C54,D29,D24,C260,C48)</f>
        <v>0</v>
      </c>
      <c r="F270" s="69"/>
      <c r="G270" s="203"/>
      <c r="H270" s="249">
        <v>200</v>
      </c>
      <c r="I270" s="68"/>
      <c r="J270" s="69">
        <v>1033.0599999999986</v>
      </c>
      <c r="K270" s="72"/>
      <c r="L270" s="18"/>
    </row>
    <row r="271" spans="1:12" ht="13.5" customHeight="1" x14ac:dyDescent="0.2">
      <c r="A271" s="171"/>
      <c r="B271" s="46"/>
      <c r="C271" s="34" t="s">
        <v>832</v>
      </c>
      <c r="D271" s="229"/>
      <c r="E271" s="69"/>
      <c r="F271" s="69"/>
      <c r="G271" s="203"/>
      <c r="H271" s="249">
        <v>289.05</v>
      </c>
      <c r="I271" s="68"/>
      <c r="J271" s="69">
        <v>744.00999999999863</v>
      </c>
      <c r="K271" s="72"/>
      <c r="L271" s="18"/>
    </row>
    <row r="272" spans="1:12" ht="13.5" customHeight="1" x14ac:dyDescent="0.2">
      <c r="A272" s="171"/>
      <c r="B272" s="46"/>
      <c r="C272" s="34" t="s">
        <v>833</v>
      </c>
      <c r="D272" s="229"/>
      <c r="E272" s="69"/>
      <c r="F272" s="69"/>
      <c r="G272" s="203"/>
      <c r="H272" s="249">
        <v>56.31</v>
      </c>
      <c r="I272" s="68"/>
      <c r="J272" s="69">
        <v>687.69999999999868</v>
      </c>
      <c r="K272" s="72"/>
      <c r="L272" s="18"/>
    </row>
    <row r="273" spans="1:12" ht="13.5" customHeight="1" x14ac:dyDescent="0.2">
      <c r="A273" s="171">
        <v>43822</v>
      </c>
      <c r="B273" s="46"/>
      <c r="C273" s="34" t="s">
        <v>834</v>
      </c>
      <c r="D273" s="229"/>
      <c r="E273" s="69"/>
      <c r="F273" s="69"/>
      <c r="G273" s="203"/>
      <c r="H273" s="249">
        <v>200</v>
      </c>
      <c r="I273" s="68"/>
      <c r="J273" s="69">
        <v>487.69999999999868</v>
      </c>
      <c r="K273" s="72"/>
      <c r="L273" s="18"/>
    </row>
    <row r="274" spans="1:12" ht="13.5" customHeight="1" x14ac:dyDescent="0.2">
      <c r="A274" s="171">
        <v>43827</v>
      </c>
      <c r="B274" s="46"/>
      <c r="C274" s="34" t="s">
        <v>835</v>
      </c>
      <c r="D274" s="229"/>
      <c r="E274" s="69"/>
      <c r="F274" s="69"/>
      <c r="G274" s="203"/>
      <c r="H274" s="249">
        <v>107.7</v>
      </c>
      <c r="I274" s="68"/>
      <c r="J274" s="69">
        <v>379.99999999999869</v>
      </c>
      <c r="K274" s="72"/>
      <c r="L274" s="18"/>
    </row>
    <row r="275" spans="1:12" ht="13.5" customHeight="1" x14ac:dyDescent="0.2">
      <c r="A275" s="171"/>
      <c r="B275" s="46"/>
      <c r="C275" s="45" t="s">
        <v>836</v>
      </c>
      <c r="D275" s="229"/>
      <c r="E275" s="69"/>
      <c r="F275" s="69"/>
      <c r="G275" s="203"/>
      <c r="H275" s="249">
        <v>380</v>
      </c>
      <c r="I275" s="68"/>
      <c r="J275" s="186">
        <v>-1.3073986337985843E-12</v>
      </c>
      <c r="K275" s="72"/>
      <c r="L275" s="18"/>
    </row>
    <row r="276" spans="1:12" ht="13.5" customHeight="1" thickBot="1" x14ac:dyDescent="0.25">
      <c r="A276" s="207"/>
      <c r="B276" s="207"/>
      <c r="C276" s="208"/>
      <c r="D276" s="208"/>
      <c r="E276" s="208"/>
      <c r="F276" s="208"/>
      <c r="G276" s="210"/>
      <c r="H276" s="515">
        <f>-(SUM(H252:H267)+SUM(H270:H275))</f>
        <v>-25850.000000000004</v>
      </c>
      <c r="I276" s="515">
        <f>SUM(I251:I265)</f>
        <v>13350</v>
      </c>
      <c r="J276" s="212"/>
    </row>
    <row r="277" spans="1:12" ht="13.5" customHeight="1" thickBot="1" x14ac:dyDescent="0.25">
      <c r="A277" s="213"/>
      <c r="B277" s="214"/>
      <c r="C277" s="215" t="s">
        <v>539</v>
      </c>
      <c r="D277" s="216"/>
      <c r="E277" s="187"/>
      <c r="F277" s="187"/>
      <c r="G277" s="217" t="s">
        <v>7</v>
      </c>
      <c r="H277" s="514"/>
      <c r="I277" s="187"/>
      <c r="J277" s="189"/>
    </row>
    <row r="278" spans="1:12" ht="13.5" customHeight="1" x14ac:dyDescent="0.2">
      <c r="A278" s="74" t="s">
        <v>540</v>
      </c>
      <c r="B278" s="74"/>
      <c r="C278" s="218" t="s">
        <v>541</v>
      </c>
      <c r="D278" s="219"/>
      <c r="E278" s="220"/>
      <c r="F278" s="220"/>
      <c r="G278" s="75">
        <v>0</v>
      </c>
      <c r="H278" s="220"/>
      <c r="I278" s="220"/>
      <c r="J278" s="220"/>
    </row>
    <row r="279" spans="1:12" ht="13.5" customHeight="1" x14ac:dyDescent="0.2">
      <c r="A279" s="221" t="s">
        <v>540</v>
      </c>
      <c r="B279" s="70"/>
      <c r="C279" s="63" t="s">
        <v>542</v>
      </c>
      <c r="D279" s="50"/>
      <c r="E279" s="13"/>
      <c r="F279" s="13"/>
      <c r="G279" s="75">
        <v>1211.8200000000002</v>
      </c>
      <c r="H279" s="13"/>
      <c r="I279" s="13"/>
      <c r="J279" s="13"/>
    </row>
    <row r="280" spans="1:12" ht="13.5" customHeight="1" x14ac:dyDescent="0.2">
      <c r="A280" s="70"/>
      <c r="B280" s="70"/>
      <c r="C280" s="222" t="s">
        <v>543</v>
      </c>
      <c r="D280" s="50"/>
      <c r="E280" s="13"/>
      <c r="F280" s="13"/>
      <c r="G280" s="14">
        <v>1211.8200000000002</v>
      </c>
      <c r="H280" s="13"/>
      <c r="I280" s="13"/>
      <c r="J280" s="13"/>
    </row>
    <row r="281" spans="1:12" ht="13.5" customHeight="1" x14ac:dyDescent="0.2">
      <c r="A281" s="70"/>
      <c r="B281" s="70"/>
      <c r="C281" s="63"/>
      <c r="D281" s="50"/>
      <c r="E281" s="13"/>
      <c r="F281" s="13"/>
      <c r="G281" s="14"/>
      <c r="H281" s="13"/>
      <c r="I281" s="13"/>
      <c r="J281" s="13"/>
    </row>
    <row r="282" spans="1:12" ht="13.5" customHeight="1" x14ac:dyDescent="0.2">
      <c r="A282" s="70"/>
      <c r="B282" s="70"/>
      <c r="C282" s="222" t="s">
        <v>544</v>
      </c>
      <c r="D282" s="50"/>
      <c r="E282" s="13"/>
      <c r="F282" s="13"/>
      <c r="G282" s="14">
        <v>3561.4000000000055</v>
      </c>
      <c r="H282" s="13"/>
      <c r="I282" s="13"/>
      <c r="J282" s="13"/>
    </row>
    <row r="283" spans="1:12" ht="13.5" customHeight="1" x14ac:dyDescent="0.2">
      <c r="A283" s="70"/>
      <c r="B283" s="70"/>
      <c r="C283" s="63"/>
      <c r="D283" s="50"/>
      <c r="E283" s="13"/>
      <c r="F283" s="13"/>
      <c r="G283" s="75"/>
      <c r="H283" s="13"/>
      <c r="I283" s="13"/>
      <c r="J283" s="13"/>
    </row>
    <row r="284" spans="1:12" ht="13.5" customHeight="1" x14ac:dyDescent="0.2">
      <c r="A284" s="76"/>
      <c r="B284" s="76"/>
      <c r="C284" s="222" t="s">
        <v>545</v>
      </c>
      <c r="D284" s="78"/>
      <c r="E284" s="78"/>
      <c r="F284" s="78"/>
      <c r="G284" s="14">
        <v>4773.2200000000057</v>
      </c>
      <c r="H284" s="279"/>
      <c r="I284" s="77"/>
      <c r="J284" s="13"/>
    </row>
    <row r="285" spans="1:12" ht="13.5" customHeight="1" x14ac:dyDescent="0.2">
      <c r="A285" s="76"/>
      <c r="B285" s="76"/>
      <c r="C285" s="78"/>
      <c r="D285" s="78"/>
      <c r="E285" s="78"/>
      <c r="F285" s="78"/>
      <c r="G285" s="75"/>
      <c r="H285" s="279"/>
      <c r="I285" s="77"/>
      <c r="J285" s="13"/>
    </row>
    <row r="286" spans="1:12" ht="13.5" customHeight="1" x14ac:dyDescent="0.2">
      <c r="A286" s="70"/>
      <c r="B286" s="70"/>
      <c r="C286" s="63"/>
      <c r="D286" s="50"/>
      <c r="E286" s="13"/>
      <c r="F286" s="13"/>
      <c r="G286" s="75"/>
      <c r="H286" s="13"/>
      <c r="I286" s="13"/>
      <c r="J286" s="13"/>
    </row>
    <row r="287" spans="1:12" ht="13.5" customHeight="1" x14ac:dyDescent="0.2">
      <c r="A287" s="79"/>
      <c r="B287" s="70"/>
      <c r="C287" s="63"/>
      <c r="D287" s="50"/>
      <c r="E287" s="13"/>
      <c r="F287" s="13"/>
      <c r="G287" s="75"/>
      <c r="H287" s="13"/>
      <c r="I287" s="13"/>
      <c r="J287" s="13"/>
    </row>
    <row r="288" spans="1:12" ht="13.5" customHeight="1" x14ac:dyDescent="0.2">
      <c r="A288" s="79"/>
      <c r="B288" s="79"/>
      <c r="C288" s="63"/>
      <c r="D288" s="78"/>
      <c r="E288" s="13"/>
      <c r="F288" s="13"/>
      <c r="G288" s="75"/>
      <c r="H288" s="279"/>
      <c r="I288" s="77"/>
      <c r="J288" s="13"/>
    </row>
    <row r="289" spans="1:10" ht="13.5" customHeight="1" x14ac:dyDescent="0.2">
      <c r="A289" s="79"/>
      <c r="B289" s="79"/>
      <c r="C289" s="78"/>
      <c r="D289" s="78"/>
      <c r="E289" s="78"/>
      <c r="F289" s="78"/>
      <c r="G289" s="75"/>
      <c r="H289" s="279"/>
      <c r="I289" s="77"/>
      <c r="J289" s="13"/>
    </row>
    <row r="290" spans="1:10" ht="13.5" customHeight="1" x14ac:dyDescent="0.2">
      <c r="A290" s="79"/>
      <c r="B290" s="79"/>
      <c r="C290" s="78"/>
      <c r="D290" s="78"/>
      <c r="E290" s="78"/>
      <c r="F290" s="78"/>
      <c r="G290" s="75"/>
      <c r="H290" s="279"/>
      <c r="I290" s="77"/>
      <c r="J290" s="13"/>
    </row>
    <row r="291" spans="1:10" ht="13.5" customHeight="1" x14ac:dyDescent="0.2">
      <c r="A291" s="79"/>
      <c r="B291" s="79"/>
      <c r="C291" s="78"/>
      <c r="D291" s="78"/>
      <c r="E291" s="13"/>
      <c r="F291" s="13"/>
      <c r="G291" s="75"/>
      <c r="H291" s="279"/>
      <c r="I291" s="77"/>
      <c r="J291" s="13"/>
    </row>
    <row r="292" spans="1:10" ht="13.5" customHeight="1" x14ac:dyDescent="0.2">
      <c r="A292" s="74"/>
      <c r="B292" s="80"/>
      <c r="C292" s="81"/>
      <c r="D292" s="50"/>
      <c r="E292" s="13"/>
      <c r="F292" s="13"/>
      <c r="G292" s="75"/>
      <c r="H292" s="13"/>
      <c r="I292" s="13"/>
      <c r="J292" s="13"/>
    </row>
    <row r="293" spans="1:10" ht="13.5" customHeight="1" x14ac:dyDescent="0.2">
      <c r="A293" s="79"/>
      <c r="B293" s="79"/>
      <c r="C293" s="78"/>
      <c r="D293" s="78"/>
      <c r="E293" s="13"/>
      <c r="F293" s="13"/>
      <c r="G293" s="75"/>
      <c r="H293" s="279"/>
      <c r="I293" s="77"/>
      <c r="J293" s="13"/>
    </row>
    <row r="294" spans="1:10" ht="13.5" customHeight="1" x14ac:dyDescent="0.2">
      <c r="A294" s="79"/>
      <c r="B294" s="79"/>
      <c r="C294" s="78"/>
      <c r="D294" s="78"/>
      <c r="E294" s="13"/>
      <c r="F294" s="13"/>
      <c r="G294" s="75"/>
      <c r="H294" s="279"/>
      <c r="I294" s="77"/>
      <c r="J294" s="13"/>
    </row>
    <row r="295" spans="1:10" ht="13.5" customHeight="1" x14ac:dyDescent="0.2">
      <c r="A295" s="79"/>
      <c r="B295" s="79"/>
      <c r="C295" s="78"/>
      <c r="D295" s="78"/>
      <c r="E295" s="78"/>
      <c r="F295" s="78"/>
      <c r="G295" s="75"/>
      <c r="H295" s="279"/>
      <c r="I295" s="77"/>
      <c r="J295" s="13"/>
    </row>
    <row r="296" spans="1:10" ht="13.5" customHeight="1" x14ac:dyDescent="0.2">
      <c r="A296" s="79"/>
      <c r="B296" s="79"/>
      <c r="C296" s="78"/>
      <c r="D296" s="78"/>
      <c r="E296" s="78"/>
      <c r="F296" s="78"/>
      <c r="G296" s="75"/>
      <c r="H296" s="279"/>
      <c r="I296" s="77"/>
      <c r="J296" s="13"/>
    </row>
    <row r="297" spans="1:10" ht="13.5" customHeight="1" x14ac:dyDescent="0.2">
      <c r="A297" s="79"/>
      <c r="B297" s="79"/>
      <c r="C297" s="78"/>
      <c r="D297" s="78"/>
      <c r="E297" s="78"/>
      <c r="F297" s="78"/>
      <c r="G297" s="75"/>
      <c r="H297" s="279"/>
      <c r="I297" s="77"/>
      <c r="J297" s="13"/>
    </row>
    <row r="298" spans="1:10" ht="13.5" customHeight="1" x14ac:dyDescent="0.2">
      <c r="A298" s="79"/>
      <c r="B298" s="79"/>
      <c r="C298" s="78"/>
      <c r="D298" s="78"/>
      <c r="E298" s="78"/>
      <c r="F298" s="78"/>
      <c r="G298" s="75"/>
      <c r="H298" s="279"/>
      <c r="I298" s="77"/>
      <c r="J298" s="13"/>
    </row>
    <row r="299" spans="1:10" ht="13.5" customHeight="1" x14ac:dyDescent="0.2">
      <c r="A299" s="79"/>
      <c r="B299" s="79"/>
      <c r="C299" s="78"/>
      <c r="D299" s="78"/>
      <c r="E299" s="78"/>
      <c r="F299" s="78"/>
      <c r="G299" s="75"/>
      <c r="H299" s="279"/>
      <c r="I299" s="77"/>
      <c r="J299" s="13"/>
    </row>
    <row r="300" spans="1:10" ht="13.5" customHeight="1" x14ac:dyDescent="0.2">
      <c r="A300" s="79"/>
      <c r="B300" s="79"/>
      <c r="C300" s="78"/>
      <c r="D300" s="78"/>
      <c r="E300" s="78"/>
      <c r="F300" s="78"/>
      <c r="G300" s="14"/>
      <c r="H300" s="279"/>
      <c r="I300" s="77"/>
      <c r="J300" s="130"/>
    </row>
    <row r="301" spans="1:10" ht="13.5" customHeight="1" x14ac:dyDescent="0.2">
      <c r="A301" s="70"/>
      <c r="B301" s="70"/>
      <c r="C301" s="63"/>
      <c r="D301" s="50"/>
      <c r="E301" s="13"/>
      <c r="F301" s="13"/>
      <c r="G301" s="75"/>
      <c r="H301" s="82"/>
      <c r="I301" s="13"/>
      <c r="J301" s="13"/>
    </row>
    <row r="302" spans="1:10" ht="13.5" customHeight="1" x14ac:dyDescent="0.2">
      <c r="A302" s="70"/>
      <c r="B302" s="70"/>
      <c r="C302" s="63"/>
      <c r="D302" s="50"/>
      <c r="E302" s="13"/>
      <c r="F302" s="13"/>
      <c r="G302" s="75"/>
      <c r="H302" s="82"/>
      <c r="I302" s="13"/>
      <c r="J302" s="13"/>
    </row>
    <row r="303" spans="1:10" ht="13.5" customHeight="1" x14ac:dyDescent="0.2">
      <c r="A303" s="70"/>
      <c r="B303" s="70"/>
      <c r="C303" s="63"/>
      <c r="D303" s="50"/>
      <c r="E303" s="13"/>
      <c r="F303" s="13"/>
      <c r="G303" s="75"/>
      <c r="H303" s="82"/>
      <c r="I303" s="13"/>
      <c r="J303" s="13"/>
    </row>
    <row r="304" spans="1:10" ht="13.5" customHeight="1" x14ac:dyDescent="0.2">
      <c r="A304" s="70"/>
      <c r="B304" s="70"/>
      <c r="C304" s="63"/>
      <c r="D304" s="50"/>
      <c r="E304" s="13"/>
      <c r="F304" s="13"/>
      <c r="G304" s="75"/>
      <c r="H304" s="82"/>
      <c r="I304" s="13"/>
      <c r="J304" s="13"/>
    </row>
    <row r="305" spans="1:10" ht="13.5" customHeight="1" x14ac:dyDescent="0.2">
      <c r="A305" s="70"/>
      <c r="B305" s="70"/>
      <c r="C305" s="63"/>
      <c r="D305" s="50"/>
      <c r="E305" s="13"/>
      <c r="F305" s="13"/>
      <c r="G305" s="75"/>
      <c r="H305" s="82"/>
      <c r="I305" s="13"/>
      <c r="J305" s="13"/>
    </row>
    <row r="306" spans="1:10" ht="13.5" customHeight="1" x14ac:dyDescent="0.2">
      <c r="A306" s="70"/>
      <c r="B306" s="70"/>
      <c r="C306" s="63"/>
      <c r="D306" s="50"/>
      <c r="E306" s="13"/>
      <c r="F306" s="13"/>
      <c r="G306" s="75"/>
      <c r="H306" s="82"/>
      <c r="I306" s="13"/>
      <c r="J306" s="13"/>
    </row>
    <row r="307" spans="1:10" ht="13.5" customHeight="1" x14ac:dyDescent="0.2">
      <c r="A307" s="70"/>
      <c r="B307" s="70"/>
      <c r="C307" s="63"/>
      <c r="D307" s="50"/>
      <c r="E307" s="13"/>
      <c r="F307" s="13"/>
      <c r="G307" s="75"/>
      <c r="H307" s="82"/>
      <c r="I307" s="13"/>
      <c r="J307" s="13"/>
    </row>
    <row r="308" spans="1:10" ht="13.5" customHeight="1" x14ac:dyDescent="0.2">
      <c r="A308" s="70"/>
      <c r="B308" s="70"/>
      <c r="C308" s="63"/>
      <c r="D308" s="50"/>
      <c r="E308" s="13"/>
      <c r="F308" s="13"/>
      <c r="G308" s="75"/>
      <c r="H308" s="82"/>
      <c r="I308" s="13"/>
      <c r="J308" s="13"/>
    </row>
    <row r="309" spans="1:10" ht="13.5" customHeight="1" x14ac:dyDescent="0.2">
      <c r="A309" s="70"/>
      <c r="B309" s="70"/>
      <c r="C309" s="63"/>
      <c r="D309" s="50"/>
      <c r="E309" s="13"/>
      <c r="F309" s="13"/>
      <c r="G309" s="75"/>
      <c r="H309" s="82"/>
      <c r="I309" s="13"/>
      <c r="J309" s="13"/>
    </row>
    <row r="310" spans="1:10" ht="13.5" customHeight="1" x14ac:dyDescent="0.2">
      <c r="A310" s="70"/>
      <c r="B310" s="70"/>
      <c r="C310" s="63"/>
      <c r="D310" s="50"/>
      <c r="E310" s="13"/>
      <c r="F310" s="13"/>
      <c r="G310" s="75"/>
      <c r="H310" s="82"/>
      <c r="I310" s="13"/>
      <c r="J310" s="13"/>
    </row>
    <row r="311" spans="1:10" ht="13.5" customHeight="1" x14ac:dyDescent="0.2">
      <c r="A311" s="70"/>
      <c r="B311" s="70"/>
      <c r="C311" s="63"/>
      <c r="D311" s="50"/>
      <c r="E311" s="13"/>
      <c r="F311" s="13"/>
      <c r="G311" s="75"/>
      <c r="H311" s="82"/>
      <c r="I311" s="13"/>
      <c r="J311" s="13"/>
    </row>
    <row r="312" spans="1:10" ht="13.5" customHeight="1" x14ac:dyDescent="0.2">
      <c r="A312" s="70"/>
      <c r="B312" s="70"/>
      <c r="C312" s="63"/>
      <c r="D312" s="50"/>
      <c r="E312" s="13"/>
      <c r="F312" s="13"/>
      <c r="G312" s="75"/>
      <c r="H312" s="82"/>
      <c r="I312" s="13"/>
      <c r="J312" s="13"/>
    </row>
    <row r="313" spans="1:10" ht="13.5" customHeight="1" x14ac:dyDescent="0.2">
      <c r="A313" s="70"/>
      <c r="B313" s="70"/>
      <c r="C313" s="63"/>
      <c r="D313" s="50"/>
      <c r="E313" s="13"/>
      <c r="F313" s="13"/>
      <c r="G313" s="75"/>
      <c r="H313" s="82"/>
      <c r="I313" s="13"/>
      <c r="J313" s="13"/>
    </row>
    <row r="314" spans="1:10" ht="13.5" customHeight="1" x14ac:dyDescent="0.2">
      <c r="A314" s="70"/>
      <c r="B314" s="70"/>
      <c r="C314" s="63"/>
      <c r="D314" s="50"/>
      <c r="E314" s="13"/>
      <c r="F314" s="13"/>
      <c r="G314" s="75"/>
      <c r="H314" s="82"/>
      <c r="I314" s="13"/>
      <c r="J314" s="13"/>
    </row>
    <row r="315" spans="1:10" ht="13.5" customHeight="1" x14ac:dyDescent="0.2">
      <c r="A315" s="70"/>
      <c r="B315" s="70"/>
      <c r="C315" s="63"/>
      <c r="D315" s="50"/>
      <c r="E315" s="13"/>
      <c r="F315" s="13"/>
      <c r="G315" s="75"/>
      <c r="H315" s="82"/>
      <c r="I315" s="13"/>
      <c r="J315" s="13"/>
    </row>
    <row r="316" spans="1:10" ht="13.5" customHeight="1" x14ac:dyDescent="0.2">
      <c r="A316" s="70"/>
      <c r="B316" s="70"/>
      <c r="C316" s="63"/>
      <c r="D316" s="50"/>
      <c r="E316" s="13"/>
      <c r="F316" s="13"/>
      <c r="G316" s="75"/>
      <c r="H316" s="82"/>
      <c r="I316" s="13"/>
      <c r="J316" s="13"/>
    </row>
    <row r="317" spans="1:10" ht="13.5" customHeight="1" x14ac:dyDescent="0.2">
      <c r="A317" s="70"/>
      <c r="B317" s="70"/>
      <c r="C317" s="63"/>
      <c r="D317" s="50"/>
      <c r="E317" s="13"/>
      <c r="F317" s="13"/>
      <c r="G317" s="75"/>
      <c r="H317" s="82"/>
      <c r="I317" s="13"/>
      <c r="J317" s="13"/>
    </row>
    <row r="318" spans="1:10" ht="13.5" customHeight="1" x14ac:dyDescent="0.2">
      <c r="A318" s="70"/>
      <c r="B318" s="70"/>
      <c r="C318" s="63"/>
      <c r="D318" s="50"/>
      <c r="E318" s="13"/>
      <c r="F318" s="13"/>
      <c r="G318" s="75"/>
      <c r="H318" s="82"/>
      <c r="I318" s="13"/>
      <c r="J318" s="13"/>
    </row>
    <row r="319" spans="1:10" ht="13.5" customHeight="1" x14ac:dyDescent="0.2">
      <c r="A319" s="70"/>
      <c r="B319" s="70"/>
      <c r="C319" s="63"/>
      <c r="D319" s="50"/>
      <c r="E319" s="13"/>
      <c r="F319" s="13"/>
      <c r="G319" s="75"/>
      <c r="H319" s="82"/>
      <c r="I319" s="13"/>
      <c r="J319" s="13"/>
    </row>
    <row r="320" spans="1:10" ht="13.5" customHeight="1" x14ac:dyDescent="0.2">
      <c r="A320" s="70"/>
      <c r="B320" s="70"/>
      <c r="C320" s="63"/>
      <c r="D320" s="50"/>
      <c r="E320" s="13"/>
      <c r="F320" s="13"/>
      <c r="G320" s="75"/>
      <c r="H320" s="82"/>
      <c r="I320" s="13"/>
      <c r="J320" s="13"/>
    </row>
    <row r="321" spans="1:10" ht="13.5" customHeight="1" x14ac:dyDescent="0.2">
      <c r="A321" s="70"/>
      <c r="B321" s="70"/>
      <c r="C321" s="63"/>
      <c r="D321" s="50"/>
      <c r="E321" s="13"/>
      <c r="F321" s="13"/>
      <c r="G321" s="75"/>
      <c r="H321" s="82"/>
      <c r="I321" s="13"/>
      <c r="J321" s="13"/>
    </row>
    <row r="322" spans="1:10" ht="13.5" customHeight="1" x14ac:dyDescent="0.2">
      <c r="A322" s="70"/>
      <c r="B322" s="70"/>
      <c r="C322" s="63"/>
      <c r="D322" s="50"/>
      <c r="E322" s="13"/>
      <c r="F322" s="13"/>
      <c r="G322" s="75"/>
      <c r="H322" s="82"/>
      <c r="I322" s="13"/>
      <c r="J322" s="13"/>
    </row>
    <row r="323" spans="1:10" ht="13.5" customHeight="1" x14ac:dyDescent="0.2">
      <c r="A323" s="70"/>
      <c r="B323" s="70"/>
      <c r="C323" s="63"/>
      <c r="D323" s="50"/>
      <c r="E323" s="13"/>
      <c r="F323" s="13"/>
      <c r="G323" s="75"/>
      <c r="H323" s="82"/>
      <c r="I323" s="13"/>
      <c r="J323" s="13"/>
    </row>
    <row r="324" spans="1:10" ht="13.5" customHeight="1" x14ac:dyDescent="0.2">
      <c r="A324" s="70"/>
      <c r="B324" s="70"/>
      <c r="C324" s="63"/>
      <c r="D324" s="50"/>
      <c r="E324" s="13"/>
      <c r="F324" s="13"/>
      <c r="G324" s="75"/>
      <c r="H324" s="82"/>
      <c r="I324" s="13"/>
      <c r="J324" s="13"/>
    </row>
    <row r="325" spans="1:10" ht="13.5" customHeight="1" x14ac:dyDescent="0.2">
      <c r="A325" s="70"/>
      <c r="B325" s="70"/>
      <c r="C325" s="63"/>
      <c r="D325" s="50"/>
      <c r="E325" s="13"/>
      <c r="F325" s="13"/>
      <c r="G325" s="75"/>
      <c r="H325" s="82"/>
      <c r="I325" s="13"/>
      <c r="J325" s="13"/>
    </row>
    <row r="326" spans="1:10" ht="13.5" customHeight="1" x14ac:dyDescent="0.2">
      <c r="A326" s="70"/>
      <c r="B326" s="70"/>
      <c r="C326" s="63"/>
      <c r="D326" s="50"/>
      <c r="E326" s="13"/>
      <c r="F326" s="13"/>
      <c r="G326" s="75"/>
      <c r="H326" s="82"/>
      <c r="I326" s="13"/>
      <c r="J326" s="13"/>
    </row>
    <row r="327" spans="1:10" ht="13.5" customHeight="1" x14ac:dyDescent="0.2">
      <c r="A327" s="70"/>
      <c r="B327" s="70"/>
      <c r="C327" s="63"/>
      <c r="D327" s="50"/>
      <c r="E327" s="13"/>
      <c r="F327" s="13"/>
      <c r="G327" s="75"/>
      <c r="H327" s="82"/>
      <c r="I327" s="13"/>
      <c r="J327" s="13"/>
    </row>
    <row r="328" spans="1:10" ht="13.5" customHeight="1" x14ac:dyDescent="0.2">
      <c r="A328" s="70"/>
      <c r="B328" s="70"/>
      <c r="C328" s="63"/>
      <c r="D328" s="50"/>
      <c r="E328" s="13"/>
      <c r="F328" s="13"/>
      <c r="G328" s="75"/>
      <c r="H328" s="82"/>
      <c r="I328" s="13"/>
      <c r="J328" s="13"/>
    </row>
    <row r="329" spans="1:10" ht="13.5" customHeight="1" x14ac:dyDescent="0.2">
      <c r="A329" s="70"/>
      <c r="B329" s="70"/>
      <c r="C329" s="63"/>
      <c r="D329" s="50"/>
      <c r="E329" s="13"/>
      <c r="F329" s="13"/>
      <c r="G329" s="75"/>
      <c r="H329" s="82"/>
      <c r="I329" s="13"/>
      <c r="J329" s="13"/>
    </row>
    <row r="330" spans="1:10" ht="13.5" customHeight="1" x14ac:dyDescent="0.2">
      <c r="A330" s="70"/>
      <c r="B330" s="70"/>
      <c r="C330" s="63"/>
      <c r="D330" s="50"/>
      <c r="E330" s="13"/>
      <c r="F330" s="13"/>
      <c r="G330" s="75"/>
      <c r="H330" s="82"/>
      <c r="I330" s="13"/>
      <c r="J330" s="13"/>
    </row>
    <row r="331" spans="1:10" ht="13.5" customHeight="1" x14ac:dyDescent="0.2">
      <c r="A331" s="70"/>
      <c r="B331" s="70"/>
      <c r="C331" s="63"/>
      <c r="D331" s="50"/>
      <c r="E331" s="13"/>
      <c r="F331" s="13"/>
      <c r="G331" s="75"/>
      <c r="H331" s="82"/>
      <c r="I331" s="13"/>
      <c r="J331" s="13"/>
    </row>
    <row r="332" spans="1:10" ht="13.5" customHeight="1" x14ac:dyDescent="0.2">
      <c r="A332" s="70"/>
      <c r="B332" s="70"/>
      <c r="C332" s="63"/>
      <c r="D332" s="50"/>
      <c r="E332" s="13"/>
      <c r="F332" s="13"/>
      <c r="G332" s="75"/>
      <c r="H332" s="82"/>
      <c r="I332" s="13"/>
      <c r="J332" s="13"/>
    </row>
    <row r="333" spans="1:10" ht="13.5" customHeight="1" x14ac:dyDescent="0.2">
      <c r="A333" s="70"/>
      <c r="B333" s="70"/>
      <c r="C333" s="63"/>
      <c r="D333" s="50"/>
      <c r="E333" s="13"/>
      <c r="F333" s="13"/>
      <c r="G333" s="75"/>
      <c r="H333" s="82"/>
      <c r="I333" s="13"/>
      <c r="J333" s="13"/>
    </row>
    <row r="334" spans="1:10" ht="13.5" customHeight="1" x14ac:dyDescent="0.2">
      <c r="A334" s="70"/>
      <c r="B334" s="70"/>
      <c r="C334" s="63"/>
      <c r="D334" s="50"/>
      <c r="E334" s="13"/>
      <c r="F334" s="13"/>
      <c r="G334" s="75"/>
      <c r="H334" s="82"/>
      <c r="I334" s="13"/>
      <c r="J334" s="13"/>
    </row>
    <row r="335" spans="1:10" ht="13.5" customHeight="1" x14ac:dyDescent="0.2">
      <c r="A335" s="70"/>
      <c r="B335" s="70"/>
      <c r="C335" s="63"/>
      <c r="D335" s="50"/>
      <c r="E335" s="13"/>
      <c r="F335" s="13"/>
      <c r="G335" s="75"/>
      <c r="H335" s="82"/>
      <c r="I335" s="13"/>
      <c r="J335" s="13"/>
    </row>
    <row r="336" spans="1:10" ht="13.5" customHeight="1" x14ac:dyDescent="0.2">
      <c r="A336" s="70"/>
      <c r="B336" s="70"/>
      <c r="C336" s="63"/>
      <c r="D336" s="50"/>
      <c r="E336" s="13"/>
      <c r="F336" s="13"/>
      <c r="G336" s="75"/>
      <c r="H336" s="82"/>
      <c r="I336" s="13"/>
      <c r="J336" s="13"/>
    </row>
    <row r="337" spans="1:10" ht="13.5" customHeight="1" x14ac:dyDescent="0.2">
      <c r="A337" s="70"/>
      <c r="B337" s="70"/>
      <c r="C337" s="63"/>
      <c r="D337" s="50"/>
      <c r="E337" s="13"/>
      <c r="F337" s="13"/>
      <c r="G337" s="75"/>
      <c r="H337" s="82"/>
      <c r="I337" s="13"/>
      <c r="J337" s="13"/>
    </row>
    <row r="338" spans="1:10" ht="13.5" customHeight="1" x14ac:dyDescent="0.2">
      <c r="A338" s="70"/>
      <c r="B338" s="70"/>
      <c r="C338" s="63"/>
      <c r="D338" s="50"/>
      <c r="E338" s="13"/>
      <c r="F338" s="13"/>
      <c r="G338" s="75"/>
      <c r="H338" s="82"/>
      <c r="I338" s="13"/>
      <c r="J338" s="13"/>
    </row>
    <row r="339" spans="1:10" ht="13.5" customHeight="1" x14ac:dyDescent="0.2">
      <c r="A339" s="70"/>
      <c r="B339" s="70"/>
      <c r="C339" s="63"/>
      <c r="D339" s="50"/>
      <c r="E339" s="13"/>
      <c r="F339" s="13"/>
      <c r="G339" s="75"/>
      <c r="H339" s="82"/>
      <c r="I339" s="13"/>
      <c r="J339" s="13"/>
    </row>
    <row r="340" spans="1:10" ht="13.5" customHeight="1" x14ac:dyDescent="0.2">
      <c r="A340" s="70"/>
      <c r="B340" s="70"/>
      <c r="C340" s="63"/>
      <c r="D340" s="50"/>
      <c r="E340" s="13"/>
      <c r="F340" s="13"/>
      <c r="G340" s="75"/>
      <c r="H340" s="82"/>
      <c r="I340" s="13"/>
      <c r="J340" s="13"/>
    </row>
    <row r="341" spans="1:10" ht="13.5" customHeight="1" x14ac:dyDescent="0.2">
      <c r="A341" s="70"/>
      <c r="B341" s="70"/>
      <c r="C341" s="63"/>
      <c r="D341" s="50"/>
      <c r="E341" s="13"/>
      <c r="F341" s="13"/>
      <c r="G341" s="75"/>
      <c r="H341" s="82"/>
      <c r="I341" s="13"/>
      <c r="J341" s="13"/>
    </row>
    <row r="342" spans="1:10" ht="13.5" customHeight="1" x14ac:dyDescent="0.2">
      <c r="A342" s="70"/>
      <c r="B342" s="70"/>
      <c r="C342" s="63"/>
      <c r="D342" s="50"/>
      <c r="E342" s="13"/>
      <c r="F342" s="13"/>
      <c r="G342" s="75"/>
      <c r="H342" s="82"/>
      <c r="I342" s="13"/>
      <c r="J342" s="13"/>
    </row>
    <row r="343" spans="1:10" ht="13.5" customHeight="1" x14ac:dyDescent="0.2">
      <c r="A343" s="131"/>
      <c r="B343" s="70"/>
      <c r="C343" s="64"/>
      <c r="D343" s="50"/>
      <c r="E343" s="13"/>
      <c r="F343" s="13"/>
      <c r="G343" s="75"/>
      <c r="H343" s="280"/>
      <c r="I343" s="13"/>
      <c r="J343" s="13"/>
    </row>
    <row r="344" spans="1:10" ht="13.5" customHeight="1" x14ac:dyDescent="0.2">
      <c r="A344" s="70"/>
      <c r="B344" s="70"/>
      <c r="C344" s="63"/>
      <c r="D344" s="50"/>
      <c r="E344" s="13"/>
      <c r="F344" s="13"/>
      <c r="G344" s="75"/>
      <c r="H344" s="82"/>
      <c r="I344" s="13"/>
      <c r="J344" s="13"/>
    </row>
    <row r="345" spans="1:10" ht="13.5" customHeight="1" x14ac:dyDescent="0.2">
      <c r="A345" s="70"/>
      <c r="B345" s="70"/>
      <c r="C345" s="63"/>
      <c r="D345" s="50"/>
      <c r="E345" s="13"/>
      <c r="F345" s="13"/>
      <c r="G345" s="75"/>
      <c r="H345" s="82"/>
      <c r="I345" s="13"/>
      <c r="J345" s="13"/>
    </row>
    <row r="346" spans="1:10" ht="13.5" customHeight="1" x14ac:dyDescent="0.2">
      <c r="A346" s="131"/>
      <c r="B346" s="70"/>
      <c r="C346" s="85"/>
      <c r="D346" s="50"/>
      <c r="E346" s="13"/>
      <c r="F346" s="13"/>
      <c r="G346" s="75"/>
      <c r="H346" s="82"/>
      <c r="I346" s="13"/>
      <c r="J346" s="13"/>
    </row>
    <row r="347" spans="1:10" ht="13.5" customHeight="1" x14ac:dyDescent="0.2">
      <c r="A347" s="131"/>
      <c r="B347" s="70"/>
      <c r="C347" s="63"/>
      <c r="D347" s="50"/>
      <c r="E347" s="13"/>
      <c r="F347" s="13"/>
      <c r="G347" s="75"/>
      <c r="H347" s="82"/>
      <c r="I347" s="13"/>
      <c r="J347" s="13"/>
    </row>
    <row r="348" spans="1:10" ht="13.5" customHeight="1" x14ac:dyDescent="0.2">
      <c r="A348" s="131"/>
      <c r="B348" s="70"/>
      <c r="C348" s="63"/>
      <c r="D348" s="50"/>
      <c r="E348" s="13"/>
      <c r="F348" s="13"/>
      <c r="G348" s="75"/>
      <c r="H348" s="280"/>
      <c r="I348" s="13"/>
      <c r="J348" s="13"/>
    </row>
    <row r="349" spans="1:10" ht="13.5" customHeight="1" x14ac:dyDescent="0.2">
      <c r="A349" s="131"/>
      <c r="B349" s="70"/>
      <c r="C349" s="64"/>
      <c r="D349" s="50"/>
      <c r="E349" s="13"/>
      <c r="F349" s="13"/>
      <c r="G349" s="75"/>
      <c r="H349" s="82"/>
      <c r="I349" s="13"/>
      <c r="J349" s="13"/>
    </row>
    <row r="350" spans="1:10" ht="13.5" customHeight="1" x14ac:dyDescent="0.2">
      <c r="A350" s="70"/>
      <c r="B350" s="70"/>
      <c r="C350" s="63"/>
      <c r="D350" s="50"/>
      <c r="E350" s="13"/>
      <c r="F350" s="13"/>
      <c r="G350" s="75"/>
      <c r="H350" s="82"/>
      <c r="I350" s="13"/>
      <c r="J350" s="13"/>
    </row>
    <row r="351" spans="1:10" ht="13.5" customHeight="1" x14ac:dyDescent="0.2">
      <c r="A351" s="131"/>
      <c r="B351" s="70"/>
      <c r="C351" s="63"/>
      <c r="D351" s="50"/>
      <c r="E351" s="13"/>
      <c r="F351" s="13"/>
      <c r="G351" s="75"/>
      <c r="H351" s="280"/>
      <c r="I351" s="13"/>
      <c r="J351" s="13"/>
    </row>
    <row r="352" spans="1:10" ht="13.5" customHeight="1" x14ac:dyDescent="0.2">
      <c r="A352" s="131"/>
      <c r="B352" s="70"/>
      <c r="C352" s="64"/>
      <c r="D352" s="50"/>
      <c r="E352" s="13"/>
      <c r="F352" s="13"/>
      <c r="G352" s="75"/>
      <c r="H352" s="280"/>
      <c r="I352" s="13"/>
      <c r="J352" s="13"/>
    </row>
    <row r="353" spans="1:10" ht="13.5" customHeight="1" x14ac:dyDescent="0.2">
      <c r="A353" s="70"/>
      <c r="B353" s="70"/>
      <c r="C353" s="63"/>
      <c r="D353" s="50"/>
      <c r="E353" s="13"/>
      <c r="F353" s="13"/>
      <c r="G353" s="75"/>
      <c r="H353" s="82"/>
      <c r="I353" s="13"/>
      <c r="J353" s="13"/>
    </row>
    <row r="354" spans="1:10" ht="13.5" customHeight="1" x14ac:dyDescent="0.2">
      <c r="A354" s="131"/>
      <c r="B354" s="70"/>
      <c r="C354" s="63"/>
      <c r="D354" s="50"/>
      <c r="E354" s="13"/>
      <c r="F354" s="13"/>
      <c r="G354" s="75"/>
      <c r="H354" s="280"/>
      <c r="I354" s="13"/>
      <c r="J354" s="13"/>
    </row>
    <row r="355" spans="1:10" ht="13.5" customHeight="1" x14ac:dyDescent="0.2">
      <c r="A355" s="131"/>
      <c r="B355" s="70"/>
      <c r="C355" s="64"/>
      <c r="D355" s="50"/>
      <c r="E355" s="13"/>
      <c r="F355" s="13"/>
      <c r="G355" s="75"/>
      <c r="H355" s="280"/>
      <c r="I355" s="13"/>
      <c r="J355" s="13"/>
    </row>
    <row r="356" spans="1:10" ht="13.5" customHeight="1" x14ac:dyDescent="0.2">
      <c r="A356" s="70"/>
      <c r="B356" s="70"/>
      <c r="C356" s="63"/>
      <c r="D356" s="50"/>
      <c r="E356" s="13"/>
      <c r="F356" s="13"/>
      <c r="G356" s="75"/>
      <c r="H356" s="82"/>
      <c r="I356" s="13"/>
      <c r="J356" s="13"/>
    </row>
    <row r="357" spans="1:10" ht="13.5" customHeight="1" x14ac:dyDescent="0.2">
      <c r="A357" s="70"/>
      <c r="B357" s="70"/>
      <c r="C357" s="63"/>
      <c r="D357" s="50"/>
      <c r="E357" s="13"/>
      <c r="F357" s="13"/>
      <c r="G357" s="75"/>
      <c r="H357" s="82"/>
      <c r="I357" s="13"/>
      <c r="J357" s="13"/>
    </row>
    <row r="358" spans="1:10" ht="13.5" customHeight="1" x14ac:dyDescent="0.2">
      <c r="A358" s="70"/>
      <c r="B358" s="70"/>
      <c r="C358" s="63"/>
      <c r="D358" s="50"/>
      <c r="E358" s="13"/>
      <c r="F358" s="13"/>
      <c r="G358" s="75"/>
      <c r="H358" s="82"/>
      <c r="I358" s="13"/>
      <c r="J358" s="13"/>
    </row>
    <row r="359" spans="1:10" ht="13.5" customHeight="1" x14ac:dyDescent="0.2">
      <c r="A359" s="131"/>
      <c r="B359" s="70"/>
      <c r="C359" s="86"/>
      <c r="D359" s="50"/>
      <c r="E359" s="13"/>
      <c r="F359" s="13"/>
      <c r="G359" s="75"/>
      <c r="H359" s="82"/>
      <c r="I359" s="13"/>
      <c r="J359" s="13"/>
    </row>
    <row r="360" spans="1:10" ht="13.5" customHeight="1" x14ac:dyDescent="0.2">
      <c r="A360" s="131"/>
      <c r="B360" s="70"/>
      <c r="C360" s="85"/>
      <c r="D360" s="50"/>
      <c r="E360" s="13"/>
      <c r="F360" s="13"/>
      <c r="G360" s="75"/>
      <c r="H360" s="82"/>
      <c r="I360" s="13"/>
      <c r="J360" s="13"/>
    </row>
    <row r="361" spans="1:10" ht="13.5" customHeight="1" x14ac:dyDescent="0.2">
      <c r="A361" s="131"/>
      <c r="B361" s="70"/>
      <c r="C361" s="87"/>
      <c r="D361" s="50"/>
      <c r="E361" s="13"/>
      <c r="F361" s="13"/>
      <c r="G361" s="75"/>
      <c r="H361" s="82"/>
      <c r="I361" s="13"/>
      <c r="J361" s="13"/>
    </row>
    <row r="362" spans="1:10" ht="13.5" customHeight="1" x14ac:dyDescent="0.2">
      <c r="A362" s="131"/>
      <c r="B362" s="70"/>
      <c r="C362" s="88"/>
      <c r="D362" s="50"/>
      <c r="E362" s="13"/>
      <c r="F362" s="13"/>
      <c r="G362" s="75"/>
      <c r="H362" s="82"/>
      <c r="I362" s="13"/>
      <c r="J362" s="13"/>
    </row>
    <row r="363" spans="1:10" ht="13.5" customHeight="1" x14ac:dyDescent="0.2">
      <c r="A363" s="91"/>
      <c r="B363" s="9"/>
      <c r="C363" s="56"/>
      <c r="D363" s="11"/>
      <c r="E363" s="12"/>
      <c r="F363" s="12"/>
      <c r="G363" s="23"/>
      <c r="H363" s="89"/>
      <c r="I363" s="12"/>
      <c r="J363" s="13"/>
    </row>
    <row r="364" spans="1:10" ht="13.5" customHeight="1" x14ac:dyDescent="0.2">
      <c r="A364" s="9"/>
      <c r="B364" s="9"/>
      <c r="C364" s="56"/>
      <c r="D364" s="11"/>
      <c r="E364" s="12"/>
      <c r="F364" s="12"/>
      <c r="G364" s="23"/>
      <c r="H364" s="89"/>
      <c r="I364" s="12"/>
      <c r="J364" s="13"/>
    </row>
    <row r="365" spans="1:10" ht="13.5" customHeight="1" x14ac:dyDescent="0.2">
      <c r="A365" s="9"/>
      <c r="B365" s="9"/>
      <c r="C365" s="56"/>
      <c r="D365" s="11"/>
      <c r="E365" s="12"/>
      <c r="F365" s="12"/>
      <c r="G365" s="23"/>
      <c r="H365" s="89"/>
      <c r="I365" s="12"/>
      <c r="J365" s="13"/>
    </row>
    <row r="366" spans="1:10" ht="13.5" customHeight="1" x14ac:dyDescent="0.2">
      <c r="A366" s="91"/>
      <c r="B366" s="9"/>
      <c r="D366" s="11"/>
      <c r="E366" s="12"/>
      <c r="F366" s="12"/>
      <c r="G366" s="23"/>
      <c r="H366" s="89"/>
      <c r="I366" s="12"/>
      <c r="J366" s="13"/>
    </row>
    <row r="367" spans="1:10" ht="13.5" customHeight="1" x14ac:dyDescent="0.2">
      <c r="A367" s="9"/>
      <c r="B367" s="9"/>
      <c r="C367" s="56"/>
      <c r="D367" s="11"/>
      <c r="E367" s="12"/>
      <c r="F367" s="12"/>
      <c r="G367" s="23"/>
      <c r="H367" s="89"/>
      <c r="I367" s="12"/>
      <c r="J367" s="13"/>
    </row>
    <row r="368" spans="1:10" ht="13.5" customHeight="1" x14ac:dyDescent="0.2">
      <c r="A368" s="9"/>
      <c r="B368" s="9"/>
      <c r="C368" s="56"/>
      <c r="D368" s="11"/>
      <c r="E368" s="12"/>
      <c r="F368" s="12"/>
      <c r="G368" s="23"/>
      <c r="H368" s="89"/>
      <c r="I368" s="12"/>
      <c r="J368" s="13"/>
    </row>
    <row r="369" spans="1:10" ht="13.5" customHeight="1" x14ac:dyDescent="0.2">
      <c r="A369" s="9"/>
      <c r="B369" s="9"/>
      <c r="C369" s="56"/>
      <c r="D369" s="11"/>
      <c r="E369" s="12"/>
      <c r="F369" s="12"/>
      <c r="G369" s="23"/>
      <c r="H369" s="89"/>
      <c r="I369" s="12"/>
      <c r="J369" s="13"/>
    </row>
    <row r="370" spans="1:10" ht="13.5" customHeight="1" x14ac:dyDescent="0.2">
      <c r="A370" s="91"/>
      <c r="B370" s="9"/>
      <c r="C370" s="27"/>
      <c r="D370" s="11"/>
      <c r="E370" s="12"/>
      <c r="F370" s="12"/>
      <c r="G370" s="23"/>
      <c r="H370" s="281"/>
      <c r="I370" s="12"/>
      <c r="J370" s="13"/>
    </row>
    <row r="371" spans="1:10" ht="13.5" customHeight="1" x14ac:dyDescent="0.2">
      <c r="A371" s="91"/>
      <c r="B371" s="9"/>
      <c r="C371" s="27"/>
      <c r="D371" s="11"/>
      <c r="E371" s="12"/>
      <c r="F371" s="12"/>
      <c r="G371" s="23"/>
      <c r="H371" s="89"/>
      <c r="I371" s="12"/>
      <c r="J371" s="13"/>
    </row>
    <row r="372" spans="1:10" ht="13.5" customHeight="1" x14ac:dyDescent="0.2">
      <c r="A372" s="91"/>
      <c r="B372" s="9"/>
      <c r="D372" s="11"/>
      <c r="E372" s="12"/>
      <c r="F372" s="12"/>
      <c r="G372" s="23"/>
      <c r="H372" s="281"/>
      <c r="I372" s="12"/>
      <c r="J372" s="13"/>
    </row>
    <row r="373" spans="1:10" ht="13.5" customHeight="1" x14ac:dyDescent="0.2">
      <c r="A373" s="9"/>
      <c r="B373" s="9"/>
      <c r="C373" s="56"/>
      <c r="D373" s="11"/>
      <c r="E373" s="12"/>
      <c r="F373" s="12"/>
      <c r="G373" s="23"/>
      <c r="H373" s="89"/>
      <c r="I373" s="12"/>
      <c r="J373" s="13"/>
    </row>
    <row r="374" spans="1:10" ht="13.5" customHeight="1" x14ac:dyDescent="0.2">
      <c r="A374" s="9"/>
      <c r="B374" s="9"/>
      <c r="C374" s="56"/>
      <c r="D374" s="11"/>
      <c r="E374" s="12"/>
      <c r="F374" s="12"/>
      <c r="G374" s="23"/>
      <c r="H374" s="89"/>
      <c r="I374" s="12"/>
      <c r="J374" s="13"/>
    </row>
    <row r="375" spans="1:10" ht="13.5" customHeight="1" x14ac:dyDescent="0.2">
      <c r="A375" s="9"/>
      <c r="B375" s="9"/>
      <c r="C375" s="56"/>
      <c r="D375" s="11"/>
      <c r="E375" s="12"/>
      <c r="F375" s="12"/>
      <c r="G375" s="23"/>
      <c r="H375" s="89"/>
      <c r="I375" s="12"/>
      <c r="J375" s="13"/>
    </row>
    <row r="376" spans="1:10" ht="13.5" customHeight="1" x14ac:dyDescent="0.2">
      <c r="A376" s="9"/>
      <c r="B376" s="9"/>
      <c r="C376" s="56"/>
      <c r="D376" s="11"/>
      <c r="E376" s="12"/>
      <c r="F376" s="12"/>
      <c r="G376" s="23"/>
      <c r="H376" s="89"/>
      <c r="I376" s="12"/>
      <c r="J376" s="13"/>
    </row>
    <row r="377" spans="1:10" x14ac:dyDescent="0.2">
      <c r="A377" s="132"/>
      <c r="B377" s="93"/>
      <c r="C377" s="94"/>
      <c r="D377" s="27"/>
      <c r="E377" s="27"/>
      <c r="F377" s="27"/>
      <c r="G377" s="27"/>
      <c r="H377" s="282"/>
      <c r="I377" s="30"/>
      <c r="J377" s="51"/>
    </row>
  </sheetData>
  <mergeCells count="4">
    <mergeCell ref="A1:C1"/>
    <mergeCell ref="D1:G1"/>
    <mergeCell ref="H1:J1"/>
    <mergeCell ref="H170:J170"/>
  </mergeCells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J398"/>
  <sheetViews>
    <sheetView topLeftCell="A61" zoomScale="90" zoomScaleNormal="90" workbookViewId="0">
      <selection activeCell="B88" sqref="B88"/>
    </sheetView>
  </sheetViews>
  <sheetFormatPr defaultColWidth="9" defaultRowHeight="12.75" x14ac:dyDescent="0.2"/>
  <cols>
    <col min="1" max="1" width="15.875" style="1" customWidth="1"/>
    <col min="2" max="2" width="95.875" style="1" customWidth="1"/>
    <col min="3" max="3" width="14" style="283" customWidth="1"/>
    <col min="4" max="4" width="12" style="27" customWidth="1"/>
    <col min="5" max="5" width="12" style="1" customWidth="1"/>
    <col min="6" max="6" width="9" style="1"/>
    <col min="7" max="7" width="10.875" style="40" bestFit="1" customWidth="1"/>
    <col min="8" max="9" width="9" style="1"/>
    <col min="10" max="10" width="12" style="1" customWidth="1"/>
    <col min="11" max="16384" width="9" style="1"/>
  </cols>
  <sheetData>
    <row r="1" spans="1:10" x14ac:dyDescent="0.2">
      <c r="C1" s="34"/>
      <c r="E1" s="40"/>
      <c r="F1" s="97" t="s">
        <v>218</v>
      </c>
      <c r="G1" s="97" t="s">
        <v>219</v>
      </c>
      <c r="H1" s="97" t="s">
        <v>220</v>
      </c>
      <c r="I1" s="97" t="s">
        <v>221</v>
      </c>
      <c r="J1" s="97" t="s">
        <v>222</v>
      </c>
    </row>
    <row r="2" spans="1:10" ht="15" x14ac:dyDescent="0.2">
      <c r="A2" s="126" t="s">
        <v>240</v>
      </c>
      <c r="B2" s="34" t="s">
        <v>635</v>
      </c>
      <c r="C2" s="34"/>
      <c r="D2" s="286">
        <v>940</v>
      </c>
      <c r="E2" s="40"/>
      <c r="F2" s="71">
        <v>1020</v>
      </c>
      <c r="G2" s="101">
        <v>80</v>
      </c>
      <c r="H2" s="102"/>
      <c r="I2" s="103"/>
      <c r="J2" s="104">
        <f>F2-G2-H2-I2</f>
        <v>940</v>
      </c>
    </row>
    <row r="3" spans="1:10" ht="15" x14ac:dyDescent="0.2">
      <c r="A3" s="126" t="s">
        <v>240</v>
      </c>
      <c r="B3" s="34" t="s">
        <v>643</v>
      </c>
      <c r="C3" s="34"/>
      <c r="D3" s="286">
        <v>990</v>
      </c>
      <c r="E3" s="40"/>
      <c r="F3" s="314">
        <v>1070</v>
      </c>
      <c r="G3" s="101">
        <v>80</v>
      </c>
      <c r="H3" s="102"/>
      <c r="I3" s="103"/>
      <c r="J3" s="104">
        <f t="shared" ref="J3:J12" si="0">F3-G3-H3-I3</f>
        <v>990</v>
      </c>
    </row>
    <row r="4" spans="1:10" ht="15" x14ac:dyDescent="0.2">
      <c r="A4" s="126" t="s">
        <v>240</v>
      </c>
      <c r="B4" s="21" t="s">
        <v>9</v>
      </c>
      <c r="C4" s="34"/>
      <c r="D4" s="286">
        <v>900</v>
      </c>
      <c r="E4" s="40"/>
      <c r="F4" s="314">
        <v>900</v>
      </c>
      <c r="G4" s="101"/>
      <c r="H4" s="102"/>
      <c r="I4" s="103"/>
      <c r="J4" s="104">
        <f t="shared" si="0"/>
        <v>900</v>
      </c>
    </row>
    <row r="5" spans="1:10" ht="15" x14ac:dyDescent="0.2">
      <c r="A5" s="126" t="s">
        <v>240</v>
      </c>
      <c r="B5" s="34" t="s">
        <v>267</v>
      </c>
      <c r="C5" s="34"/>
      <c r="D5" s="286">
        <v>1500</v>
      </c>
      <c r="E5" s="40"/>
      <c r="F5" s="314">
        <v>1500</v>
      </c>
      <c r="G5" s="101"/>
      <c r="H5" s="102"/>
      <c r="I5" s="103"/>
      <c r="J5" s="104">
        <f t="shared" si="0"/>
        <v>1500</v>
      </c>
    </row>
    <row r="6" spans="1:10" ht="15" x14ac:dyDescent="0.2">
      <c r="A6" s="126" t="s">
        <v>240</v>
      </c>
      <c r="B6" s="34" t="s">
        <v>840</v>
      </c>
      <c r="C6" s="34"/>
      <c r="D6" s="286">
        <v>160</v>
      </c>
      <c r="E6" s="40"/>
      <c r="F6" s="314"/>
      <c r="G6" s="101"/>
      <c r="H6" s="102"/>
      <c r="I6" s="103"/>
      <c r="J6" s="104">
        <f t="shared" si="0"/>
        <v>0</v>
      </c>
    </row>
    <row r="7" spans="1:10" ht="15" x14ac:dyDescent="0.2">
      <c r="A7" s="126" t="s">
        <v>240</v>
      </c>
      <c r="B7" s="34" t="s">
        <v>675</v>
      </c>
      <c r="C7" s="34"/>
      <c r="D7" s="286">
        <v>1500</v>
      </c>
      <c r="E7" s="40"/>
      <c r="F7" s="314">
        <v>1520.1</v>
      </c>
      <c r="G7" s="101"/>
      <c r="H7" s="102"/>
      <c r="I7" s="103">
        <v>20.100000000000001</v>
      </c>
      <c r="J7" s="104">
        <f t="shared" si="0"/>
        <v>1500</v>
      </c>
    </row>
    <row r="8" spans="1:10" ht="15" x14ac:dyDescent="0.2">
      <c r="A8" s="126" t="s">
        <v>240</v>
      </c>
      <c r="B8" s="34" t="s">
        <v>655</v>
      </c>
      <c r="C8" s="34"/>
      <c r="D8" s="286">
        <v>1975.42</v>
      </c>
      <c r="E8" s="40"/>
      <c r="F8" s="314">
        <v>1975.42</v>
      </c>
      <c r="G8" s="101"/>
      <c r="H8" s="102"/>
      <c r="I8" s="103"/>
      <c r="J8" s="104">
        <f t="shared" si="0"/>
        <v>1975.42</v>
      </c>
    </row>
    <row r="9" spans="1:10" ht="15" x14ac:dyDescent="0.2">
      <c r="A9" s="126" t="s">
        <v>240</v>
      </c>
      <c r="B9" s="34" t="s">
        <v>732</v>
      </c>
      <c r="C9" s="34"/>
      <c r="D9" s="286">
        <v>1360</v>
      </c>
      <c r="E9" s="40"/>
      <c r="F9" s="314">
        <v>1360</v>
      </c>
      <c r="G9" s="101"/>
      <c r="H9" s="102"/>
      <c r="I9" s="103"/>
      <c r="J9" s="104">
        <f t="shared" si="0"/>
        <v>1360</v>
      </c>
    </row>
    <row r="10" spans="1:10" ht="15" x14ac:dyDescent="0.2">
      <c r="A10" s="126" t="s">
        <v>240</v>
      </c>
      <c r="B10" s="34" t="s">
        <v>679</v>
      </c>
      <c r="C10" s="34"/>
      <c r="D10" s="286">
        <v>3500</v>
      </c>
      <c r="E10" s="40"/>
      <c r="F10" s="314">
        <v>3500</v>
      </c>
      <c r="G10" s="101"/>
      <c r="H10" s="102"/>
      <c r="I10" s="103"/>
      <c r="J10" s="104">
        <f t="shared" si="0"/>
        <v>3500</v>
      </c>
    </row>
    <row r="11" spans="1:10" ht="15" x14ac:dyDescent="0.2">
      <c r="A11" s="126" t="s">
        <v>240</v>
      </c>
      <c r="B11" s="34" t="s">
        <v>710</v>
      </c>
      <c r="C11" s="34"/>
      <c r="D11" s="286">
        <v>2050</v>
      </c>
      <c r="E11" s="40"/>
      <c r="F11" s="314">
        <v>2050</v>
      </c>
      <c r="G11" s="101"/>
      <c r="H11" s="102"/>
      <c r="I11" s="103"/>
      <c r="J11" s="104">
        <f t="shared" si="0"/>
        <v>2050</v>
      </c>
    </row>
    <row r="12" spans="1:10" ht="15" x14ac:dyDescent="0.2">
      <c r="A12" s="126" t="s">
        <v>240</v>
      </c>
      <c r="B12" s="34" t="s">
        <v>823</v>
      </c>
      <c r="C12" s="34"/>
      <c r="D12" s="286">
        <v>5000</v>
      </c>
      <c r="E12" s="40"/>
      <c r="F12" s="314">
        <v>5000</v>
      </c>
      <c r="G12" s="101"/>
      <c r="H12" s="102"/>
      <c r="I12" s="103"/>
      <c r="J12" s="104">
        <f t="shared" si="0"/>
        <v>5000</v>
      </c>
    </row>
    <row r="13" spans="1:10" ht="15" x14ac:dyDescent="0.2">
      <c r="A13" s="126" t="s">
        <v>240</v>
      </c>
      <c r="B13" s="34" t="s">
        <v>676</v>
      </c>
      <c r="C13" s="34"/>
      <c r="D13" s="287">
        <v>185</v>
      </c>
      <c r="E13" s="40"/>
      <c r="G13" s="107">
        <f>SUM(G2:G11)</f>
        <v>160</v>
      </c>
      <c r="H13" s="107">
        <f>SUM(H8:H11)</f>
        <v>0</v>
      </c>
      <c r="I13" s="107">
        <f>SUM(I8:I11)</f>
        <v>0</v>
      </c>
    </row>
    <row r="14" spans="1:10" ht="15" x14ac:dyDescent="0.2">
      <c r="A14" s="126" t="s">
        <v>240</v>
      </c>
      <c r="B14" s="34" t="s">
        <v>678</v>
      </c>
      <c r="C14" s="34"/>
      <c r="D14" s="287">
        <v>185</v>
      </c>
      <c r="E14" s="40"/>
    </row>
    <row r="15" spans="1:10" ht="15" x14ac:dyDescent="0.2">
      <c r="A15" s="126" t="s">
        <v>240</v>
      </c>
      <c r="B15" s="34" t="s">
        <v>640</v>
      </c>
      <c r="C15" s="34"/>
      <c r="D15" s="287">
        <v>190</v>
      </c>
      <c r="E15" s="40"/>
    </row>
    <row r="16" spans="1:10" ht="15" x14ac:dyDescent="0.2">
      <c r="A16" s="126" t="s">
        <v>240</v>
      </c>
      <c r="B16" s="34" t="s">
        <v>671</v>
      </c>
      <c r="C16" s="34"/>
      <c r="D16" s="287">
        <v>190</v>
      </c>
      <c r="E16" s="40"/>
    </row>
    <row r="17" spans="1:10" ht="15" x14ac:dyDescent="0.2">
      <c r="A17" s="126" t="s">
        <v>240</v>
      </c>
      <c r="B17" s="34" t="s">
        <v>641</v>
      </c>
      <c r="C17" s="34"/>
      <c r="D17" s="287">
        <v>190</v>
      </c>
      <c r="E17" s="40"/>
    </row>
    <row r="18" spans="1:10" ht="15" x14ac:dyDescent="0.2">
      <c r="A18" s="126" t="s">
        <v>240</v>
      </c>
      <c r="B18" s="34" t="s">
        <v>639</v>
      </c>
      <c r="C18" s="34"/>
      <c r="D18" s="287">
        <v>190</v>
      </c>
      <c r="E18" s="40"/>
    </row>
    <row r="19" spans="1:10" ht="15" x14ac:dyDescent="0.2">
      <c r="A19" s="126" t="s">
        <v>240</v>
      </c>
      <c r="B19" s="34" t="s">
        <v>636</v>
      </c>
      <c r="C19" s="34"/>
      <c r="D19" s="287">
        <v>220</v>
      </c>
      <c r="E19" s="40"/>
    </row>
    <row r="20" spans="1:10" ht="15" x14ac:dyDescent="0.2">
      <c r="A20" s="126" t="s">
        <v>240</v>
      </c>
      <c r="B20" s="34" t="s">
        <v>682</v>
      </c>
      <c r="C20" s="34"/>
      <c r="D20" s="287">
        <v>60</v>
      </c>
      <c r="E20" s="40"/>
    </row>
    <row r="21" spans="1:10" ht="15" x14ac:dyDescent="0.2">
      <c r="A21" s="126" t="s">
        <v>240</v>
      </c>
      <c r="B21" s="34" t="s">
        <v>745</v>
      </c>
      <c r="C21" s="34"/>
      <c r="D21" s="287">
        <v>60</v>
      </c>
      <c r="E21" s="40"/>
    </row>
    <row r="22" spans="1:10" ht="15" x14ac:dyDescent="0.2">
      <c r="A22" s="126" t="s">
        <v>240</v>
      </c>
      <c r="B22" s="34" t="s">
        <v>648</v>
      </c>
      <c r="C22" s="34"/>
      <c r="D22" s="287">
        <v>80</v>
      </c>
      <c r="E22" s="315">
        <f>SUM(D13:D22)</f>
        <v>1550</v>
      </c>
    </row>
    <row r="23" spans="1:10" ht="15" x14ac:dyDescent="0.2">
      <c r="A23" s="126" t="s">
        <v>843</v>
      </c>
      <c r="B23" s="34" t="s">
        <v>844</v>
      </c>
      <c r="C23" s="34"/>
      <c r="D23" s="287">
        <v>20.100000000000001</v>
      </c>
      <c r="E23" s="40"/>
    </row>
    <row r="24" spans="1:10" ht="15" x14ac:dyDescent="0.2">
      <c r="A24" s="126"/>
      <c r="B24" s="34"/>
      <c r="C24" s="34"/>
      <c r="D24" s="288">
        <f>SUM(D2:D23)</f>
        <v>21445.519999999997</v>
      </c>
      <c r="E24" s="40"/>
    </row>
    <row r="25" spans="1:10" ht="15" x14ac:dyDescent="0.2">
      <c r="A25" s="126"/>
      <c r="B25" s="34"/>
      <c r="C25" s="286"/>
      <c r="E25" s="40"/>
    </row>
    <row r="26" spans="1:10" ht="15" x14ac:dyDescent="0.2">
      <c r="A26" s="126" t="s">
        <v>240</v>
      </c>
      <c r="B26" s="34" t="s">
        <v>816</v>
      </c>
      <c r="C26" s="286"/>
      <c r="D26" s="27">
        <v>7500</v>
      </c>
      <c r="E26" s="40"/>
      <c r="F26" s="71">
        <v>7500</v>
      </c>
      <c r="G26" s="109"/>
      <c r="H26" s="109"/>
      <c r="I26" s="109"/>
      <c r="J26" s="104">
        <f>F26-G26-H26-I26</f>
        <v>7500</v>
      </c>
    </row>
    <row r="27" spans="1:10" ht="13.5" customHeight="1" x14ac:dyDescent="0.2">
      <c r="A27" s="126" t="s">
        <v>240</v>
      </c>
      <c r="B27" s="34" t="s">
        <v>817</v>
      </c>
      <c r="C27" s="286"/>
      <c r="D27" s="27">
        <v>500</v>
      </c>
      <c r="E27" s="40"/>
      <c r="F27" s="314">
        <v>500</v>
      </c>
      <c r="G27" s="109"/>
      <c r="H27" s="109"/>
      <c r="I27" s="109"/>
      <c r="J27" s="104">
        <f>F27-G27-H27-I27</f>
        <v>500</v>
      </c>
    </row>
    <row r="28" spans="1:10" ht="13.5" customHeight="1" x14ac:dyDescent="0.2">
      <c r="A28" s="126" t="s">
        <v>240</v>
      </c>
      <c r="B28" s="34" t="s">
        <v>785</v>
      </c>
      <c r="C28" s="286"/>
      <c r="D28" s="27">
        <v>4980.5</v>
      </c>
      <c r="E28" s="40"/>
      <c r="F28" s="314">
        <v>4980.5</v>
      </c>
      <c r="G28" s="109"/>
      <c r="H28" s="109"/>
      <c r="I28" s="109"/>
      <c r="J28" s="104">
        <f>F28-G28-H28-I28</f>
        <v>4980.5</v>
      </c>
    </row>
    <row r="29" spans="1:10" ht="13.5" customHeight="1" x14ac:dyDescent="0.2">
      <c r="A29"/>
      <c r="B29" s="34"/>
      <c r="C29" s="319"/>
      <c r="D29" s="318">
        <v>12980.5</v>
      </c>
      <c r="E29" s="40"/>
    </row>
    <row r="30" spans="1:10" ht="13.5" customHeight="1" x14ac:dyDescent="0.2">
      <c r="A30"/>
      <c r="B30" s="34"/>
      <c r="C30" s="286"/>
    </row>
    <row r="31" spans="1:10" ht="13.5" customHeight="1" x14ac:dyDescent="0.2">
      <c r="A31" s="126" t="s">
        <v>241</v>
      </c>
      <c r="B31" s="34" t="s">
        <v>189</v>
      </c>
      <c r="C31" s="289">
        <v>11730.5</v>
      </c>
    </row>
    <row r="32" spans="1:10" ht="13.5" customHeight="1" x14ac:dyDescent="0.2">
      <c r="A32" s="126" t="s">
        <v>241</v>
      </c>
      <c r="B32" s="34" t="s">
        <v>189</v>
      </c>
      <c r="C32" s="289">
        <v>3564.38</v>
      </c>
    </row>
    <row r="33" spans="1:3" ht="13.5" customHeight="1" x14ac:dyDescent="0.2">
      <c r="A33" s="126" t="s">
        <v>241</v>
      </c>
      <c r="B33" s="34" t="s">
        <v>189</v>
      </c>
      <c r="C33" s="289">
        <v>1106.76</v>
      </c>
    </row>
    <row r="34" spans="1:3" ht="13.5" customHeight="1" x14ac:dyDescent="0.2">
      <c r="A34" s="126" t="s">
        <v>241</v>
      </c>
      <c r="B34" s="34" t="s">
        <v>769</v>
      </c>
      <c r="C34" s="286">
        <v>-2500</v>
      </c>
    </row>
    <row r="35" spans="1:3" ht="13.5" customHeight="1" x14ac:dyDescent="0.2">
      <c r="A35" s="126" t="s">
        <v>241</v>
      </c>
      <c r="B35" s="34" t="s">
        <v>769</v>
      </c>
      <c r="C35" s="286">
        <v>-5061.99</v>
      </c>
    </row>
    <row r="36" spans="1:3" ht="13.5" customHeight="1" x14ac:dyDescent="0.2">
      <c r="A36" s="126" t="s">
        <v>241</v>
      </c>
      <c r="B36" s="34" t="s">
        <v>174</v>
      </c>
      <c r="C36" s="286">
        <v>-11.9</v>
      </c>
    </row>
    <row r="37" spans="1:3" ht="13.5" customHeight="1" x14ac:dyDescent="0.2">
      <c r="A37" s="126" t="s">
        <v>241</v>
      </c>
      <c r="B37" s="34" t="s">
        <v>174</v>
      </c>
      <c r="C37" s="286">
        <v>-118.7</v>
      </c>
    </row>
    <row r="38" spans="1:3" ht="13.5" customHeight="1" x14ac:dyDescent="0.2">
      <c r="A38" s="126" t="s">
        <v>241</v>
      </c>
      <c r="B38" s="34" t="s">
        <v>174</v>
      </c>
      <c r="C38" s="286">
        <v>-121.82</v>
      </c>
    </row>
    <row r="39" spans="1:3" ht="13.5" customHeight="1" x14ac:dyDescent="0.2">
      <c r="A39" s="126" t="s">
        <v>241</v>
      </c>
      <c r="B39" s="34" t="s">
        <v>174</v>
      </c>
      <c r="C39" s="286">
        <v>-157.5</v>
      </c>
    </row>
    <row r="40" spans="1:3" ht="13.5" customHeight="1" x14ac:dyDescent="0.2">
      <c r="A40" s="126" t="s">
        <v>241</v>
      </c>
      <c r="B40" s="34" t="s">
        <v>174</v>
      </c>
      <c r="C40" s="286">
        <v>-220.92</v>
      </c>
    </row>
    <row r="41" spans="1:3" ht="13.5" customHeight="1" x14ac:dyDescent="0.2">
      <c r="A41" s="126" t="s">
        <v>241</v>
      </c>
      <c r="B41" s="34" t="s">
        <v>174</v>
      </c>
      <c r="C41" s="286">
        <v>-497.19</v>
      </c>
    </row>
    <row r="42" spans="1:3" ht="13.5" customHeight="1" x14ac:dyDescent="0.2">
      <c r="A42" s="126" t="s">
        <v>241</v>
      </c>
      <c r="B42" s="34" t="s">
        <v>174</v>
      </c>
      <c r="C42" s="286">
        <v>-1049.17</v>
      </c>
    </row>
    <row r="43" spans="1:3" ht="13.5" customHeight="1" x14ac:dyDescent="0.2">
      <c r="A43" s="126" t="s">
        <v>241</v>
      </c>
      <c r="B43" s="34" t="s">
        <v>174</v>
      </c>
      <c r="C43" s="286">
        <v>-1106.77</v>
      </c>
    </row>
    <row r="44" spans="1:3" ht="13.5" customHeight="1" x14ac:dyDescent="0.2">
      <c r="A44" s="126" t="s">
        <v>241</v>
      </c>
      <c r="B44" s="34" t="s">
        <v>174</v>
      </c>
      <c r="C44" s="286">
        <v>-1553.06</v>
      </c>
    </row>
    <row r="45" spans="1:3" ht="13.5" customHeight="1" x14ac:dyDescent="0.2">
      <c r="A45" s="126" t="s">
        <v>241</v>
      </c>
      <c r="B45" s="34" t="s">
        <v>174</v>
      </c>
      <c r="C45" s="286">
        <v>-1991.14</v>
      </c>
    </row>
    <row r="46" spans="1:3" ht="13.5" customHeight="1" x14ac:dyDescent="0.2">
      <c r="A46" s="126" t="s">
        <v>241</v>
      </c>
      <c r="B46" s="34" t="s">
        <v>174</v>
      </c>
      <c r="C46" s="286">
        <v>-3873.58</v>
      </c>
    </row>
    <row r="47" spans="1:3" ht="13.5" customHeight="1" x14ac:dyDescent="0.2">
      <c r="A47" s="126" t="s">
        <v>241</v>
      </c>
      <c r="B47" s="34" t="s">
        <v>174</v>
      </c>
      <c r="C47" s="286">
        <v>-9532.74</v>
      </c>
    </row>
    <row r="48" spans="1:3" ht="13.5" customHeight="1" x14ac:dyDescent="0.2">
      <c r="A48" s="126"/>
      <c r="B48" s="34"/>
      <c r="C48" s="288">
        <f>SUM(C31:C47)</f>
        <v>-11394.84</v>
      </c>
    </row>
    <row r="49" spans="1:3" ht="13.5" customHeight="1" x14ac:dyDescent="0.2">
      <c r="A49" s="126"/>
      <c r="B49" s="34"/>
      <c r="C49" s="286"/>
    </row>
    <row r="50" spans="1:3" ht="13.5" customHeight="1" x14ac:dyDescent="0.2">
      <c r="A50" s="126" t="s">
        <v>224</v>
      </c>
      <c r="B50" s="34" t="s">
        <v>62</v>
      </c>
      <c r="C50" s="289">
        <v>438.92</v>
      </c>
    </row>
    <row r="51" spans="1:3" ht="13.5" customHeight="1" x14ac:dyDescent="0.2">
      <c r="A51" s="126" t="s">
        <v>224</v>
      </c>
      <c r="B51" s="34" t="s">
        <v>68</v>
      </c>
      <c r="C51" s="289">
        <v>129.9</v>
      </c>
    </row>
    <row r="52" spans="1:3" ht="13.5" customHeight="1" x14ac:dyDescent="0.2">
      <c r="A52" s="126" t="s">
        <v>224</v>
      </c>
      <c r="B52" s="237" t="s">
        <v>736</v>
      </c>
      <c r="C52" s="290">
        <v>85.07</v>
      </c>
    </row>
    <row r="53" spans="1:3" ht="13.5" customHeight="1" x14ac:dyDescent="0.2">
      <c r="A53" s="126" t="s">
        <v>224</v>
      </c>
      <c r="B53" s="237" t="s">
        <v>841</v>
      </c>
      <c r="C53" s="289">
        <f>SUM(C58:C59)</f>
        <v>300</v>
      </c>
    </row>
    <row r="54" spans="1:3" ht="13.5" customHeight="1" x14ac:dyDescent="0.2">
      <c r="A54" s="126"/>
      <c r="B54" s="34"/>
      <c r="C54" s="291">
        <f>SUM(C50:C53)</f>
        <v>953.8900000000001</v>
      </c>
    </row>
    <row r="55" spans="1:3" ht="13.5" customHeight="1" x14ac:dyDescent="0.2">
      <c r="A55" s="126"/>
      <c r="B55" s="34"/>
      <c r="C55" s="289"/>
    </row>
    <row r="56" spans="1:3" ht="13.5" customHeight="1" x14ac:dyDescent="0.2">
      <c r="A56" s="126" t="s">
        <v>224</v>
      </c>
      <c r="B56" s="34" t="s">
        <v>651</v>
      </c>
      <c r="C56" s="286">
        <v>150</v>
      </c>
    </row>
    <row r="57" spans="1:3" ht="13.5" customHeight="1" x14ac:dyDescent="0.2">
      <c r="A57" s="126" t="s">
        <v>224</v>
      </c>
      <c r="B57" s="34" t="s">
        <v>651</v>
      </c>
      <c r="C57" s="286">
        <v>150</v>
      </c>
    </row>
    <row r="58" spans="1:3" ht="13.5" customHeight="1" x14ac:dyDescent="0.2">
      <c r="A58" s="126" t="s">
        <v>224</v>
      </c>
      <c r="B58" s="34" t="s">
        <v>652</v>
      </c>
      <c r="C58" s="286">
        <v>150</v>
      </c>
    </row>
    <row r="59" spans="1:3" ht="13.5" customHeight="1" x14ac:dyDescent="0.2">
      <c r="A59" s="126" t="s">
        <v>224</v>
      </c>
      <c r="B59" s="34" t="s">
        <v>652</v>
      </c>
      <c r="C59" s="286">
        <v>150</v>
      </c>
    </row>
    <row r="60" spans="1:3" ht="13.5" customHeight="1" x14ac:dyDescent="0.2">
      <c r="A60" s="126"/>
      <c r="B60" s="34"/>
      <c r="C60" s="320">
        <f>SUM(C56:C59)</f>
        <v>600</v>
      </c>
    </row>
    <row r="61" spans="1:3" ht="13.5" customHeight="1" x14ac:dyDescent="0.2">
      <c r="A61" s="126"/>
      <c r="B61" s="34"/>
      <c r="C61" s="286"/>
    </row>
    <row r="62" spans="1:3" ht="13.5" customHeight="1" x14ac:dyDescent="0.2">
      <c r="A62" t="s">
        <v>225</v>
      </c>
      <c r="B62" s="34" t="s">
        <v>781</v>
      </c>
      <c r="C62" s="289">
        <v>720.85</v>
      </c>
    </row>
    <row r="63" spans="1:3" ht="13.5" customHeight="1" x14ac:dyDescent="0.2">
      <c r="A63" t="s">
        <v>225</v>
      </c>
      <c r="B63" s="34" t="s">
        <v>779</v>
      </c>
      <c r="C63" s="289">
        <v>720.85</v>
      </c>
    </row>
    <row r="64" spans="1:3" ht="13.5" customHeight="1" x14ac:dyDescent="0.2">
      <c r="A64"/>
      <c r="B64" s="34"/>
      <c r="C64" s="291">
        <f>SUM(C62:C63)</f>
        <v>1441.7</v>
      </c>
    </row>
    <row r="65" spans="1:3" ht="13.5" customHeight="1" x14ac:dyDescent="0.2">
      <c r="A65"/>
      <c r="B65" s="34"/>
      <c r="C65" s="289"/>
    </row>
    <row r="66" spans="1:3" ht="13.5" customHeight="1" x14ac:dyDescent="0.2">
      <c r="A66" s="126" t="s">
        <v>242</v>
      </c>
      <c r="B66" s="34" t="s">
        <v>822</v>
      </c>
      <c r="C66" s="286">
        <v>-350</v>
      </c>
    </row>
    <row r="67" spans="1:3" ht="13.5" customHeight="1" x14ac:dyDescent="0.2">
      <c r="A67" s="126" t="s">
        <v>242</v>
      </c>
      <c r="B67" s="34" t="s">
        <v>80</v>
      </c>
      <c r="C67" s="289">
        <v>34.56</v>
      </c>
    </row>
    <row r="68" spans="1:3" ht="13.5" customHeight="1" x14ac:dyDescent="0.2">
      <c r="A68" s="126" t="s">
        <v>242</v>
      </c>
      <c r="B68" s="36" t="s">
        <v>127</v>
      </c>
      <c r="C68" s="289">
        <v>88.67</v>
      </c>
    </row>
    <row r="69" spans="1:3" ht="13.5" customHeight="1" x14ac:dyDescent="0.2">
      <c r="A69" s="126" t="s">
        <v>242</v>
      </c>
      <c r="B69" s="34" t="s">
        <v>109</v>
      </c>
      <c r="C69" s="289">
        <v>56.71</v>
      </c>
    </row>
    <row r="70" spans="1:3" ht="13.5" customHeight="1" x14ac:dyDescent="0.2">
      <c r="A70" s="126" t="s">
        <v>242</v>
      </c>
      <c r="B70" s="34" t="s">
        <v>129</v>
      </c>
      <c r="C70" s="289">
        <v>48.06</v>
      </c>
    </row>
    <row r="71" spans="1:3" ht="13.5" customHeight="1" x14ac:dyDescent="0.2">
      <c r="A71" s="126" t="s">
        <v>242</v>
      </c>
      <c r="B71" s="237" t="s">
        <v>737</v>
      </c>
      <c r="C71" s="289">
        <v>409.6</v>
      </c>
    </row>
    <row r="72" spans="1:3" ht="13.5" customHeight="1" x14ac:dyDescent="0.2">
      <c r="A72" s="126" t="s">
        <v>242</v>
      </c>
      <c r="B72" s="34" t="s">
        <v>697</v>
      </c>
      <c r="C72" s="286">
        <v>1.78</v>
      </c>
    </row>
    <row r="73" spans="1:3" ht="13.5" customHeight="1" x14ac:dyDescent="0.2">
      <c r="A73" s="126" t="s">
        <v>242</v>
      </c>
      <c r="B73" s="34" t="s">
        <v>667</v>
      </c>
      <c r="C73" s="286">
        <v>40.64</v>
      </c>
    </row>
    <row r="74" spans="1:3" ht="13.5" customHeight="1" x14ac:dyDescent="0.2">
      <c r="A74" s="126" t="s">
        <v>242</v>
      </c>
      <c r="B74" s="34" t="s">
        <v>698</v>
      </c>
      <c r="C74" s="286">
        <v>1.29</v>
      </c>
    </row>
    <row r="75" spans="1:3" ht="13.5" customHeight="1" x14ac:dyDescent="0.2">
      <c r="A75" s="126" t="s">
        <v>242</v>
      </c>
      <c r="B75" s="34" t="s">
        <v>740</v>
      </c>
      <c r="C75" s="286">
        <v>7</v>
      </c>
    </row>
    <row r="76" spans="1:3" ht="13.5" customHeight="1" x14ac:dyDescent="0.2">
      <c r="A76" s="126" t="s">
        <v>242</v>
      </c>
      <c r="B76" s="34" t="s">
        <v>689</v>
      </c>
      <c r="C76" s="286">
        <v>4.58</v>
      </c>
    </row>
    <row r="77" spans="1:3" ht="13.5" customHeight="1" x14ac:dyDescent="0.2">
      <c r="A77" s="126" t="s">
        <v>242</v>
      </c>
      <c r="B77" s="34" t="s">
        <v>56</v>
      </c>
      <c r="C77" s="286">
        <v>39.82</v>
      </c>
    </row>
    <row r="78" spans="1:3" ht="13.5" customHeight="1" x14ac:dyDescent="0.2">
      <c r="A78" s="126" t="s">
        <v>242</v>
      </c>
      <c r="B78" s="34" t="s">
        <v>704</v>
      </c>
      <c r="C78" s="286">
        <v>5.9</v>
      </c>
    </row>
    <row r="79" spans="1:3" ht="13.5" customHeight="1" x14ac:dyDescent="0.2">
      <c r="A79" s="126" t="s">
        <v>242</v>
      </c>
      <c r="B79" s="34" t="s">
        <v>87</v>
      </c>
      <c r="C79" s="289">
        <v>37.93</v>
      </c>
    </row>
    <row r="80" spans="1:3" ht="13.5" customHeight="1" x14ac:dyDescent="0.2">
      <c r="A80" s="126" t="s">
        <v>242</v>
      </c>
      <c r="B80" s="34" t="s">
        <v>657</v>
      </c>
      <c r="C80" s="286">
        <v>12.85</v>
      </c>
    </row>
    <row r="81" spans="1:8" ht="13.5" customHeight="1" x14ac:dyDescent="0.2">
      <c r="A81" s="126" t="s">
        <v>242</v>
      </c>
      <c r="B81" s="21" t="s">
        <v>656</v>
      </c>
      <c r="C81" s="286">
        <v>12.86</v>
      </c>
    </row>
    <row r="82" spans="1:8" ht="13.5" customHeight="1" x14ac:dyDescent="0.2">
      <c r="A82" s="126" t="s">
        <v>242</v>
      </c>
      <c r="B82" s="34" t="s">
        <v>741</v>
      </c>
      <c r="C82" s="286">
        <v>14</v>
      </c>
    </row>
    <row r="83" spans="1:8" ht="13.5" customHeight="1" x14ac:dyDescent="0.2">
      <c r="A83" s="126" t="s">
        <v>242</v>
      </c>
      <c r="B83" s="34" t="s">
        <v>624</v>
      </c>
      <c r="C83" s="286">
        <f t="array" ref="C83">SUM(H85:H92/2)</f>
        <v>2157.4049999999997</v>
      </c>
    </row>
    <row r="84" spans="1:8" ht="13.5" customHeight="1" x14ac:dyDescent="0.2">
      <c r="A84" s="126"/>
      <c r="B84" s="34"/>
      <c r="C84" s="288">
        <f>SUM(C66:C83)</f>
        <v>2623.6549999999997</v>
      </c>
    </row>
    <row r="85" spans="1:8" ht="13.5" customHeight="1" x14ac:dyDescent="0.2">
      <c r="A85" s="126"/>
      <c r="B85" s="34"/>
      <c r="C85" s="292"/>
      <c r="F85" s="126" t="s">
        <v>242</v>
      </c>
      <c r="G85" s="34" t="s">
        <v>826</v>
      </c>
      <c r="H85" s="284">
        <v>90</v>
      </c>
    </row>
    <row r="86" spans="1:8" ht="13.5" customHeight="1" x14ac:dyDescent="0.2">
      <c r="A86" s="126" t="s">
        <v>242</v>
      </c>
      <c r="B86" s="34" t="s">
        <v>199</v>
      </c>
      <c r="C86" s="289">
        <v>220.92</v>
      </c>
      <c r="F86" s="126" t="s">
        <v>242</v>
      </c>
      <c r="G86" s="34" t="s">
        <v>827</v>
      </c>
      <c r="H86" s="284">
        <v>387.45</v>
      </c>
    </row>
    <row r="87" spans="1:8" ht="13.5" customHeight="1" x14ac:dyDescent="0.2">
      <c r="A87" s="126" t="s">
        <v>242</v>
      </c>
      <c r="B87" s="34" t="s">
        <v>674</v>
      </c>
      <c r="C87" s="286">
        <v>118</v>
      </c>
      <c r="F87" s="126" t="s">
        <v>242</v>
      </c>
      <c r="G87" s="34" t="s">
        <v>830</v>
      </c>
      <c r="H87" s="173">
        <v>2950</v>
      </c>
    </row>
    <row r="88" spans="1:8" ht="13.5" customHeight="1" x14ac:dyDescent="0.2">
      <c r="A88" s="126" t="s">
        <v>242</v>
      </c>
      <c r="B88" s="34" t="s">
        <v>700</v>
      </c>
      <c r="C88" s="286">
        <v>6.7</v>
      </c>
      <c r="F88" s="126" t="s">
        <v>242</v>
      </c>
      <c r="G88" s="34" t="s">
        <v>833</v>
      </c>
      <c r="H88" s="249">
        <v>56.31</v>
      </c>
    </row>
    <row r="89" spans="1:8" ht="13.5" customHeight="1" x14ac:dyDescent="0.2">
      <c r="A89" s="126" t="s">
        <v>242</v>
      </c>
      <c r="B89" s="34" t="s">
        <v>706</v>
      </c>
      <c r="C89" s="293">
        <v>11.8</v>
      </c>
      <c r="D89" s="30"/>
      <c r="E89" s="18"/>
      <c r="F89" s="126" t="s">
        <v>242</v>
      </c>
      <c r="G89" s="138" t="s">
        <v>813</v>
      </c>
      <c r="H89" s="284">
        <v>75</v>
      </c>
    </row>
    <row r="90" spans="1:8" ht="13.5" customHeight="1" x14ac:dyDescent="0.2">
      <c r="A90" s="126" t="s">
        <v>242</v>
      </c>
      <c r="B90" s="34" t="s">
        <v>711</v>
      </c>
      <c r="C90" s="286">
        <v>35.76</v>
      </c>
      <c r="F90" s="126" t="s">
        <v>242</v>
      </c>
      <c r="G90" s="34" t="s">
        <v>831</v>
      </c>
      <c r="H90" s="173">
        <v>200</v>
      </c>
    </row>
    <row r="91" spans="1:8" ht="13.5" customHeight="1" x14ac:dyDescent="0.2">
      <c r="A91" s="126" t="s">
        <v>242</v>
      </c>
      <c r="B91" s="34" t="s">
        <v>711</v>
      </c>
      <c r="C91" s="286">
        <v>35.76</v>
      </c>
      <c r="D91" s="30"/>
      <c r="E91" s="18"/>
      <c r="F91" s="126" t="s">
        <v>242</v>
      </c>
      <c r="G91" s="21" t="s">
        <v>113</v>
      </c>
      <c r="H91" s="284">
        <v>267</v>
      </c>
    </row>
    <row r="92" spans="1:8" ht="13.5" customHeight="1" x14ac:dyDescent="0.2">
      <c r="A92" s="126" t="s">
        <v>242</v>
      </c>
      <c r="B92" s="34" t="s">
        <v>670</v>
      </c>
      <c r="C92" s="286">
        <v>192.8</v>
      </c>
      <c r="D92" s="30"/>
      <c r="E92" s="18"/>
      <c r="F92" s="126" t="s">
        <v>242</v>
      </c>
      <c r="G92" s="34" t="s">
        <v>832</v>
      </c>
      <c r="H92" s="173">
        <v>289.05</v>
      </c>
    </row>
    <row r="93" spans="1:8" ht="13.5" customHeight="1" x14ac:dyDescent="0.2">
      <c r="A93" s="126" t="s">
        <v>242</v>
      </c>
      <c r="B93" s="34" t="s">
        <v>683</v>
      </c>
      <c r="C93" s="286">
        <v>1.78</v>
      </c>
      <c r="D93" s="30"/>
      <c r="E93" s="18"/>
    </row>
    <row r="94" spans="1:8" ht="13.5" customHeight="1" x14ac:dyDescent="0.2">
      <c r="A94" s="126" t="s">
        <v>242</v>
      </c>
      <c r="B94" s="34" t="s">
        <v>705</v>
      </c>
      <c r="C94" s="286">
        <v>5.9</v>
      </c>
    </row>
    <row r="95" spans="1:8" ht="13.5" customHeight="1" x14ac:dyDescent="0.2">
      <c r="A95" s="126" t="s">
        <v>242</v>
      </c>
      <c r="B95" s="34" t="s">
        <v>705</v>
      </c>
      <c r="C95" s="286">
        <v>9.9</v>
      </c>
    </row>
    <row r="96" spans="1:8" ht="13.5" customHeight="1" x14ac:dyDescent="0.2">
      <c r="A96" s="126" t="s">
        <v>242</v>
      </c>
      <c r="B96" s="34" t="s">
        <v>180</v>
      </c>
      <c r="C96" s="289">
        <v>277.72000000000003</v>
      </c>
    </row>
    <row r="97" spans="1:3" ht="13.5" customHeight="1" x14ac:dyDescent="0.2">
      <c r="A97" s="126" t="s">
        <v>242</v>
      </c>
      <c r="B97" s="34" t="s">
        <v>677</v>
      </c>
      <c r="C97" s="286">
        <v>100</v>
      </c>
    </row>
    <row r="98" spans="1:3" ht="13.5" customHeight="1" x14ac:dyDescent="0.2">
      <c r="A98" s="126" t="s">
        <v>242</v>
      </c>
      <c r="B98" s="34" t="s">
        <v>625</v>
      </c>
      <c r="C98" s="286">
        <f>C83</f>
        <v>2157.4049999999997</v>
      </c>
    </row>
    <row r="99" spans="1:3" ht="13.5" customHeight="1" x14ac:dyDescent="0.2">
      <c r="A99" s="126" t="s">
        <v>242</v>
      </c>
      <c r="B99" s="34" t="s">
        <v>729</v>
      </c>
      <c r="C99" s="286">
        <v>53.7</v>
      </c>
    </row>
    <row r="100" spans="1:3" ht="13.5" customHeight="1" x14ac:dyDescent="0.2">
      <c r="A100" s="126"/>
      <c r="B100" s="34"/>
      <c r="C100" s="288">
        <f>SUM(C86:C99)</f>
        <v>3228.1449999999995</v>
      </c>
    </row>
    <row r="101" spans="1:3" ht="13.5" customHeight="1" x14ac:dyDescent="0.2">
      <c r="A101" s="126"/>
      <c r="B101" s="34"/>
      <c r="C101" s="286"/>
    </row>
    <row r="102" spans="1:3" ht="13.5" customHeight="1" x14ac:dyDescent="0.2">
      <c r="A102" t="s">
        <v>243</v>
      </c>
      <c r="B102" s="36" t="s">
        <v>9</v>
      </c>
      <c r="C102" s="286">
        <v>900</v>
      </c>
    </row>
    <row r="103" spans="1:3" ht="13.5" customHeight="1" x14ac:dyDescent="0.2">
      <c r="A103" t="s">
        <v>243</v>
      </c>
      <c r="B103" s="36" t="s">
        <v>842</v>
      </c>
      <c r="C103" s="286">
        <f>SUM('Dez 18 (2)'!C58:C59)</f>
        <v>300</v>
      </c>
    </row>
    <row r="104" spans="1:3" ht="13.5" customHeight="1" x14ac:dyDescent="0.2">
      <c r="A104" t="s">
        <v>243</v>
      </c>
      <c r="B104" s="34" t="s">
        <v>666</v>
      </c>
      <c r="C104" s="286">
        <v>22.4</v>
      </c>
    </row>
    <row r="105" spans="1:3" ht="13.5" customHeight="1" x14ac:dyDescent="0.2">
      <c r="A105" t="s">
        <v>243</v>
      </c>
      <c r="B105" s="34" t="s">
        <v>718</v>
      </c>
      <c r="C105" s="286">
        <v>40.5</v>
      </c>
    </row>
    <row r="106" spans="1:3" ht="13.5" customHeight="1" x14ac:dyDescent="0.2">
      <c r="A106" t="s">
        <v>243</v>
      </c>
      <c r="B106" s="36" t="s">
        <v>645</v>
      </c>
      <c r="C106" s="294">
        <v>36.1</v>
      </c>
    </row>
    <row r="107" spans="1:3" ht="13.5" customHeight="1" x14ac:dyDescent="0.2">
      <c r="A107" t="s">
        <v>243</v>
      </c>
      <c r="B107" s="36" t="s">
        <v>739</v>
      </c>
      <c r="C107" s="294">
        <v>34.299999999999997</v>
      </c>
    </row>
    <row r="108" spans="1:3" ht="13.5" customHeight="1" x14ac:dyDescent="0.2">
      <c r="A108" t="s">
        <v>243</v>
      </c>
      <c r="B108" s="36" t="s">
        <v>829</v>
      </c>
      <c r="C108" s="295">
        <v>1200</v>
      </c>
    </row>
    <row r="109" spans="1:3" ht="13.5" customHeight="1" x14ac:dyDescent="0.2">
      <c r="A109" t="s">
        <v>243</v>
      </c>
      <c r="B109" s="36" t="s">
        <v>638</v>
      </c>
      <c r="C109" s="294">
        <v>21.55</v>
      </c>
    </row>
    <row r="110" spans="1:3" ht="13.5" customHeight="1" x14ac:dyDescent="0.2">
      <c r="A110" t="s">
        <v>243</v>
      </c>
      <c r="B110" s="36" t="s">
        <v>134</v>
      </c>
      <c r="C110" s="296">
        <v>119.9</v>
      </c>
    </row>
    <row r="111" spans="1:3" ht="13.5" customHeight="1" x14ac:dyDescent="0.2">
      <c r="A111" t="s">
        <v>243</v>
      </c>
      <c r="B111" s="138" t="s">
        <v>789</v>
      </c>
      <c r="C111" s="289">
        <v>750</v>
      </c>
    </row>
    <row r="112" spans="1:3" ht="13.5" customHeight="1" x14ac:dyDescent="0.2">
      <c r="A112" t="s">
        <v>243</v>
      </c>
      <c r="B112" s="36" t="s">
        <v>746</v>
      </c>
      <c r="C112" s="286">
        <v>150</v>
      </c>
    </row>
    <row r="113" spans="1:6" ht="13.5" customHeight="1" x14ac:dyDescent="0.2">
      <c r="A113" t="s">
        <v>243</v>
      </c>
      <c r="B113" s="34" t="s">
        <v>637</v>
      </c>
      <c r="C113" s="289">
        <v>750</v>
      </c>
    </row>
    <row r="114" spans="1:6" ht="13.5" customHeight="1" x14ac:dyDescent="0.2">
      <c r="A114" t="s">
        <v>243</v>
      </c>
      <c r="B114" s="34" t="s">
        <v>637</v>
      </c>
      <c r="C114" s="286">
        <v>150</v>
      </c>
    </row>
    <row r="115" spans="1:6" ht="13.5" customHeight="1" x14ac:dyDescent="0.2">
      <c r="A115" t="s">
        <v>243</v>
      </c>
      <c r="B115" s="34" t="s">
        <v>820</v>
      </c>
      <c r="C115" s="292">
        <v>9.49</v>
      </c>
    </row>
    <row r="116" spans="1:6" ht="13.5" customHeight="1" x14ac:dyDescent="0.2">
      <c r="A116" t="s">
        <v>243</v>
      </c>
      <c r="B116" s="237" t="s">
        <v>81</v>
      </c>
      <c r="C116" s="289">
        <v>49.9</v>
      </c>
    </row>
    <row r="117" spans="1:6" ht="13.5" customHeight="1" x14ac:dyDescent="0.2">
      <c r="A117" t="s">
        <v>243</v>
      </c>
      <c r="B117" s="36" t="s">
        <v>673</v>
      </c>
      <c r="C117" s="296">
        <v>99.98</v>
      </c>
    </row>
    <row r="118" spans="1:6" ht="13.5" customHeight="1" x14ac:dyDescent="0.2">
      <c r="A118"/>
      <c r="B118" s="34"/>
      <c r="C118" s="288">
        <f>SUM(C102:C117)</f>
        <v>4634.119999999999</v>
      </c>
      <c r="D118" s="27">
        <f>C118/2</f>
        <v>2317.0599999999995</v>
      </c>
      <c r="F118"/>
    </row>
    <row r="119" spans="1:6" ht="13.5" customHeight="1" x14ac:dyDescent="0.2">
      <c r="A119"/>
      <c r="B119" s="34"/>
      <c r="C119" s="286"/>
    </row>
    <row r="120" spans="1:6" ht="13.5" customHeight="1" x14ac:dyDescent="0.2">
      <c r="A120" s="126" t="s">
        <v>230</v>
      </c>
      <c r="B120" s="34" t="s">
        <v>382</v>
      </c>
      <c r="C120" s="289">
        <v>449.94</v>
      </c>
    </row>
    <row r="121" spans="1:6" ht="13.5" customHeight="1" x14ac:dyDescent="0.2">
      <c r="A121" s="126" t="s">
        <v>230</v>
      </c>
      <c r="B121" s="34" t="s">
        <v>783</v>
      </c>
      <c r="C121" s="289">
        <v>549.44000000000005</v>
      </c>
    </row>
    <row r="122" spans="1:6" ht="13.5" customHeight="1" x14ac:dyDescent="0.2">
      <c r="A122" s="126"/>
      <c r="B122" s="34"/>
      <c r="C122" s="291">
        <f>SUM(C120:C121)</f>
        <v>999.38000000000011</v>
      </c>
      <c r="D122" s="27">
        <f t="array" ref="D122">SUM(C120:C121/2)</f>
        <v>499.69000000000005</v>
      </c>
    </row>
    <row r="123" spans="1:6" ht="13.5" customHeight="1" x14ac:dyDescent="0.2">
      <c r="A123" s="126"/>
      <c r="B123" s="34"/>
      <c r="C123" s="289"/>
    </row>
    <row r="124" spans="1:6" ht="13.5" customHeight="1" x14ac:dyDescent="0.2">
      <c r="A124" t="s">
        <v>231</v>
      </c>
      <c r="B124" s="138" t="s">
        <v>794</v>
      </c>
      <c r="C124" s="289">
        <v>875.43</v>
      </c>
    </row>
    <row r="125" spans="1:6" ht="13.5" customHeight="1" x14ac:dyDescent="0.2">
      <c r="A125" t="s">
        <v>231</v>
      </c>
      <c r="B125" s="138" t="s">
        <v>792</v>
      </c>
      <c r="C125" s="289">
        <v>1629</v>
      </c>
    </row>
    <row r="126" spans="1:6" ht="13.5" customHeight="1" x14ac:dyDescent="0.2">
      <c r="A126"/>
      <c r="B126" s="138"/>
      <c r="C126" s="291">
        <f>SUM(C124:C125)</f>
        <v>2504.4299999999998</v>
      </c>
      <c r="D126" s="30">
        <f>SUM(C126/2)</f>
        <v>1252.2149999999999</v>
      </c>
    </row>
    <row r="127" spans="1:6" ht="13.5" customHeight="1" x14ac:dyDescent="0.2">
      <c r="A127"/>
      <c r="B127" s="138"/>
      <c r="C127" s="289"/>
    </row>
    <row r="128" spans="1:6" ht="13.5" customHeight="1" x14ac:dyDescent="0.2">
      <c r="A128" t="s">
        <v>417</v>
      </c>
      <c r="B128" s="34" t="s">
        <v>749</v>
      </c>
      <c r="C128" s="289">
        <v>968.34</v>
      </c>
    </row>
    <row r="129" spans="1:8" ht="13.5" customHeight="1" x14ac:dyDescent="0.2">
      <c r="A129" t="s">
        <v>417</v>
      </c>
      <c r="B129" s="34" t="s">
        <v>753</v>
      </c>
      <c r="C129" s="289">
        <v>554.20000000000005</v>
      </c>
    </row>
    <row r="130" spans="1:8" ht="13.5" customHeight="1" x14ac:dyDescent="0.2">
      <c r="A130" t="s">
        <v>417</v>
      </c>
      <c r="B130" s="34" t="s">
        <v>751</v>
      </c>
      <c r="C130" s="289">
        <v>585.91</v>
      </c>
    </row>
    <row r="131" spans="1:8" ht="13.5" customHeight="1" x14ac:dyDescent="0.2">
      <c r="A131" t="s">
        <v>417</v>
      </c>
      <c r="B131" s="34" t="s">
        <v>624</v>
      </c>
      <c r="C131" s="289">
        <f t="array" ref="C131">SUM(H136:H140/2)</f>
        <v>4614</v>
      </c>
    </row>
    <row r="132" spans="1:8" ht="13.5" customHeight="1" x14ac:dyDescent="0.2">
      <c r="A132"/>
      <c r="B132" s="34"/>
      <c r="C132" s="291">
        <f>SUM(C128:C131)</f>
        <v>6722.45</v>
      </c>
    </row>
    <row r="133" spans="1:8" ht="13.5" customHeight="1" x14ac:dyDescent="0.2">
      <c r="A133"/>
      <c r="B133" s="34"/>
      <c r="C133" s="289"/>
    </row>
    <row r="134" spans="1:8" ht="13.5" customHeight="1" x14ac:dyDescent="0.2">
      <c r="A134"/>
      <c r="B134" s="138"/>
      <c r="C134" s="289"/>
    </row>
    <row r="135" spans="1:8" ht="13.5" customHeight="1" x14ac:dyDescent="0.2">
      <c r="A135" t="s">
        <v>417</v>
      </c>
      <c r="B135" s="34" t="s">
        <v>707</v>
      </c>
      <c r="C135" s="293">
        <v>9.98</v>
      </c>
    </row>
    <row r="136" spans="1:8" ht="13.5" customHeight="1" x14ac:dyDescent="0.2">
      <c r="A136" t="s">
        <v>417</v>
      </c>
      <c r="B136" s="34" t="s">
        <v>664</v>
      </c>
      <c r="C136" s="286">
        <v>10.66</v>
      </c>
      <c r="F136"/>
      <c r="G136" s="34"/>
      <c r="H136" s="173"/>
    </row>
    <row r="137" spans="1:8" ht="13.5" customHeight="1" x14ac:dyDescent="0.2">
      <c r="A137" t="s">
        <v>417</v>
      </c>
      <c r="B137" s="34" t="s">
        <v>649</v>
      </c>
      <c r="C137" s="286">
        <v>21.52</v>
      </c>
      <c r="F137" t="s">
        <v>417</v>
      </c>
      <c r="G137" s="34" t="s">
        <v>107</v>
      </c>
      <c r="H137" s="22">
        <v>200</v>
      </c>
    </row>
    <row r="138" spans="1:8" ht="13.5" customHeight="1" x14ac:dyDescent="0.2">
      <c r="A138" t="s">
        <v>417</v>
      </c>
      <c r="B138" s="34" t="s">
        <v>649</v>
      </c>
      <c r="C138" s="286">
        <v>28.9</v>
      </c>
      <c r="F138" t="s">
        <v>417</v>
      </c>
      <c r="G138" s="34" t="s">
        <v>772</v>
      </c>
      <c r="H138" s="284">
        <v>2139.69</v>
      </c>
    </row>
    <row r="139" spans="1:8" ht="13.5" customHeight="1" x14ac:dyDescent="0.2">
      <c r="A139" t="s">
        <v>417</v>
      </c>
      <c r="B139" s="45" t="s">
        <v>836</v>
      </c>
      <c r="C139" s="292">
        <v>380</v>
      </c>
      <c r="F139" t="s">
        <v>417</v>
      </c>
      <c r="G139" s="34" t="s">
        <v>798</v>
      </c>
      <c r="H139" s="284">
        <v>4377.21</v>
      </c>
    </row>
    <row r="140" spans="1:8" ht="13.5" customHeight="1" x14ac:dyDescent="0.2">
      <c r="A140" t="s">
        <v>417</v>
      </c>
      <c r="B140" s="34" t="s">
        <v>36</v>
      </c>
      <c r="C140" s="286">
        <v>210</v>
      </c>
      <c r="F140" t="s">
        <v>417</v>
      </c>
      <c r="G140" s="138" t="s">
        <v>800</v>
      </c>
      <c r="H140" s="284">
        <v>2511.1</v>
      </c>
    </row>
    <row r="141" spans="1:8" ht="13.5" customHeight="1" x14ac:dyDescent="0.2">
      <c r="A141" t="s">
        <v>417</v>
      </c>
      <c r="B141" s="21" t="s">
        <v>36</v>
      </c>
      <c r="C141" s="286">
        <v>350</v>
      </c>
    </row>
    <row r="142" spans="1:8" ht="13.5" customHeight="1" x14ac:dyDescent="0.2">
      <c r="A142" t="s">
        <v>417</v>
      </c>
      <c r="B142" s="21" t="s">
        <v>36</v>
      </c>
      <c r="C142" s="286">
        <v>350</v>
      </c>
    </row>
    <row r="143" spans="1:8" ht="13.5" customHeight="1" x14ac:dyDescent="0.2">
      <c r="A143" t="s">
        <v>417</v>
      </c>
      <c r="B143" s="34" t="s">
        <v>665</v>
      </c>
      <c r="C143" s="286">
        <v>34.799999999999997</v>
      </c>
    </row>
    <row r="144" spans="1:8" ht="13.5" customHeight="1" x14ac:dyDescent="0.2">
      <c r="A144" t="s">
        <v>417</v>
      </c>
      <c r="B144" s="33" t="s">
        <v>717</v>
      </c>
      <c r="C144" s="297">
        <v>35</v>
      </c>
    </row>
    <row r="145" spans="1:5" ht="13.5" customHeight="1" x14ac:dyDescent="0.2">
      <c r="A145" t="s">
        <v>417</v>
      </c>
      <c r="B145" s="34" t="s">
        <v>644</v>
      </c>
      <c r="C145" s="286">
        <v>98</v>
      </c>
    </row>
    <row r="146" spans="1:5" ht="13.5" customHeight="1" x14ac:dyDescent="0.2">
      <c r="A146" t="s">
        <v>417</v>
      </c>
      <c r="B146" s="34" t="s">
        <v>738</v>
      </c>
      <c r="C146" s="286">
        <v>13.3</v>
      </c>
      <c r="D146" s="33"/>
      <c r="E146"/>
    </row>
    <row r="147" spans="1:5" ht="13.5" customHeight="1" x14ac:dyDescent="0.2">
      <c r="A147" t="s">
        <v>417</v>
      </c>
      <c r="B147" s="34" t="s">
        <v>318</v>
      </c>
      <c r="C147" s="286">
        <v>260</v>
      </c>
      <c r="D147" s="30"/>
      <c r="E147" s="18"/>
    </row>
    <row r="148" spans="1:5" ht="13.5" customHeight="1" x14ac:dyDescent="0.2">
      <c r="A148" t="s">
        <v>417</v>
      </c>
      <c r="B148" s="34" t="s">
        <v>318</v>
      </c>
      <c r="C148" s="286">
        <v>390</v>
      </c>
    </row>
    <row r="149" spans="1:5" ht="13.5" customHeight="1" x14ac:dyDescent="0.2">
      <c r="A149" t="s">
        <v>417</v>
      </c>
      <c r="B149" s="34" t="s">
        <v>318</v>
      </c>
      <c r="C149" s="286">
        <v>520</v>
      </c>
    </row>
    <row r="150" spans="1:5" ht="13.5" customHeight="1" x14ac:dyDescent="0.2">
      <c r="A150" t="s">
        <v>417</v>
      </c>
      <c r="B150" s="21" t="s">
        <v>373</v>
      </c>
      <c r="C150" s="286">
        <v>180</v>
      </c>
    </row>
    <row r="151" spans="1:5" ht="13.5" customHeight="1" x14ac:dyDescent="0.2">
      <c r="A151" t="s">
        <v>417</v>
      </c>
      <c r="B151" s="34" t="s">
        <v>373</v>
      </c>
      <c r="C151" s="286">
        <v>190</v>
      </c>
    </row>
    <row r="152" spans="1:5" ht="13.5" customHeight="1" x14ac:dyDescent="0.2">
      <c r="A152" t="s">
        <v>417</v>
      </c>
      <c r="B152" s="36" t="s">
        <v>373</v>
      </c>
      <c r="C152" s="286">
        <v>240</v>
      </c>
    </row>
    <row r="153" spans="1:5" ht="13.5" customHeight="1" x14ac:dyDescent="0.2">
      <c r="A153" t="s">
        <v>417</v>
      </c>
      <c r="B153" s="56" t="s">
        <v>52</v>
      </c>
      <c r="C153" s="286">
        <v>405</v>
      </c>
    </row>
    <row r="154" spans="1:5" ht="13.5" customHeight="1" x14ac:dyDescent="0.2">
      <c r="A154" t="s">
        <v>417</v>
      </c>
      <c r="B154" s="36" t="s">
        <v>52</v>
      </c>
      <c r="C154" s="286">
        <v>405</v>
      </c>
    </row>
    <row r="155" spans="1:5" ht="13.5" customHeight="1" x14ac:dyDescent="0.2">
      <c r="A155" t="s">
        <v>417</v>
      </c>
      <c r="B155" s="36" t="s">
        <v>52</v>
      </c>
      <c r="C155" s="286">
        <v>450</v>
      </c>
    </row>
    <row r="156" spans="1:5" ht="13.5" customHeight="1" x14ac:dyDescent="0.2">
      <c r="A156" t="s">
        <v>417</v>
      </c>
      <c r="B156" s="36" t="s">
        <v>423</v>
      </c>
      <c r="C156" s="286">
        <f>C131</f>
        <v>4614</v>
      </c>
      <c r="D156" s="30"/>
      <c r="E156" s="18"/>
    </row>
    <row r="157" spans="1:5" ht="13.5" customHeight="1" x14ac:dyDescent="0.2">
      <c r="A157"/>
      <c r="B157" s="36"/>
      <c r="C157" s="288">
        <f>SUM(C135:C156)</f>
        <v>9196.16</v>
      </c>
      <c r="D157" s="30"/>
      <c r="E157" s="18"/>
    </row>
    <row r="158" spans="1:5" ht="13.5" customHeight="1" x14ac:dyDescent="0.2">
      <c r="A158"/>
      <c r="B158" s="36"/>
      <c r="C158" s="298"/>
      <c r="D158" s="30"/>
      <c r="E158" s="18"/>
    </row>
    <row r="159" spans="1:5" ht="13.5" customHeight="1" x14ac:dyDescent="0.2">
      <c r="A159" s="126" t="s">
        <v>245</v>
      </c>
      <c r="B159" s="36" t="s">
        <v>702</v>
      </c>
      <c r="C159" s="286">
        <v>18</v>
      </c>
    </row>
    <row r="160" spans="1:5" ht="13.5" customHeight="1" x14ac:dyDescent="0.2">
      <c r="A160" s="126" t="s">
        <v>245</v>
      </c>
      <c r="B160" s="34" t="s">
        <v>693</v>
      </c>
      <c r="C160" s="286">
        <v>5.68</v>
      </c>
    </row>
    <row r="161" spans="1:3" ht="13.5" customHeight="1" x14ac:dyDescent="0.2">
      <c r="A161" s="126" t="s">
        <v>245</v>
      </c>
      <c r="B161" s="34" t="s">
        <v>731</v>
      </c>
      <c r="C161" s="286">
        <v>4.8</v>
      </c>
    </row>
    <row r="162" spans="1:3" ht="13.5" customHeight="1" x14ac:dyDescent="0.2">
      <c r="A162" s="126" t="s">
        <v>245</v>
      </c>
      <c r="B162" s="34" t="s">
        <v>696</v>
      </c>
      <c r="C162" s="286">
        <v>7.3</v>
      </c>
    </row>
    <row r="163" spans="1:3" ht="13.5" customHeight="1" x14ac:dyDescent="0.2">
      <c r="A163" s="126" t="s">
        <v>245</v>
      </c>
      <c r="B163" s="34" t="s">
        <v>723</v>
      </c>
      <c r="C163" s="286">
        <v>1.9</v>
      </c>
    </row>
    <row r="164" spans="1:3" ht="13.5" customHeight="1" x14ac:dyDescent="0.2">
      <c r="A164" s="126" t="s">
        <v>245</v>
      </c>
      <c r="B164" s="34" t="s">
        <v>701</v>
      </c>
      <c r="C164" s="286">
        <v>18</v>
      </c>
    </row>
    <row r="165" spans="1:3" ht="13.5" customHeight="1" x14ac:dyDescent="0.2">
      <c r="A165" s="126" t="s">
        <v>245</v>
      </c>
      <c r="B165" s="34" t="s">
        <v>690</v>
      </c>
      <c r="C165" s="286">
        <v>2.8</v>
      </c>
    </row>
    <row r="166" spans="1:3" ht="13.5" customHeight="1" x14ac:dyDescent="0.2">
      <c r="A166" s="126" t="s">
        <v>245</v>
      </c>
      <c r="B166" s="34" t="s">
        <v>688</v>
      </c>
      <c r="C166" s="286">
        <v>15.8</v>
      </c>
    </row>
    <row r="167" spans="1:3" ht="13.5" customHeight="1" x14ac:dyDescent="0.2">
      <c r="A167" s="126" t="s">
        <v>245</v>
      </c>
      <c r="B167" s="34" t="s">
        <v>726</v>
      </c>
      <c r="C167" s="286">
        <v>9</v>
      </c>
    </row>
    <row r="168" spans="1:3" ht="13.5" customHeight="1" x14ac:dyDescent="0.2">
      <c r="A168" s="126" t="s">
        <v>245</v>
      </c>
      <c r="B168" s="34" t="s">
        <v>355</v>
      </c>
      <c r="C168" s="286">
        <v>13</v>
      </c>
    </row>
    <row r="169" spans="1:3" ht="13.5" customHeight="1" x14ac:dyDescent="0.2">
      <c r="A169" s="126" t="s">
        <v>245</v>
      </c>
      <c r="B169" s="34" t="s">
        <v>695</v>
      </c>
      <c r="C169" s="286">
        <v>8.9499999999999993</v>
      </c>
    </row>
    <row r="170" spans="1:3" ht="13.5" customHeight="1" x14ac:dyDescent="0.2">
      <c r="A170" s="126" t="s">
        <v>245</v>
      </c>
      <c r="B170" s="34" t="s">
        <v>744</v>
      </c>
      <c r="C170" s="299">
        <v>4.9800000000000004</v>
      </c>
    </row>
    <row r="171" spans="1:3" ht="13.5" customHeight="1" x14ac:dyDescent="0.2">
      <c r="A171" s="126" t="s">
        <v>245</v>
      </c>
      <c r="B171" s="36" t="s">
        <v>692</v>
      </c>
      <c r="C171" s="300">
        <v>5.3</v>
      </c>
    </row>
    <row r="172" spans="1:3" ht="13.5" customHeight="1" x14ac:dyDescent="0.2">
      <c r="A172" s="126" t="s">
        <v>245</v>
      </c>
      <c r="B172" s="36" t="s">
        <v>724</v>
      </c>
      <c r="C172" s="300">
        <v>5.9</v>
      </c>
    </row>
    <row r="173" spans="1:3" ht="13.5" customHeight="1" x14ac:dyDescent="0.2">
      <c r="A173" s="126" t="s">
        <v>245</v>
      </c>
      <c r="B173" s="36" t="s">
        <v>694</v>
      </c>
      <c r="C173" s="300">
        <v>7.85</v>
      </c>
    </row>
    <row r="174" spans="1:3" ht="13.5" customHeight="1" x14ac:dyDescent="0.2">
      <c r="A174" s="126" t="s">
        <v>245</v>
      </c>
      <c r="B174" s="34" t="s">
        <v>743</v>
      </c>
      <c r="C174" s="300">
        <v>13.45</v>
      </c>
    </row>
    <row r="175" spans="1:3" ht="13.5" customHeight="1" x14ac:dyDescent="0.2">
      <c r="A175" s="126" t="s">
        <v>245</v>
      </c>
      <c r="B175" s="34" t="s">
        <v>699</v>
      </c>
      <c r="C175" s="300">
        <v>21</v>
      </c>
    </row>
    <row r="176" spans="1:3" ht="13.5" customHeight="1" x14ac:dyDescent="0.2">
      <c r="A176" s="126" t="s">
        <v>245</v>
      </c>
      <c r="B176" s="36" t="s">
        <v>691</v>
      </c>
      <c r="C176" s="300">
        <v>8</v>
      </c>
    </row>
    <row r="177" spans="1:8" ht="13.5" customHeight="1" x14ac:dyDescent="0.2">
      <c r="A177" s="126" t="s">
        <v>245</v>
      </c>
      <c r="B177" s="36" t="s">
        <v>703</v>
      </c>
      <c r="C177" s="300">
        <v>15.6</v>
      </c>
    </row>
    <row r="178" spans="1:8" ht="13.5" customHeight="1" x14ac:dyDescent="0.2">
      <c r="A178" s="126" t="s">
        <v>245</v>
      </c>
      <c r="B178" s="36" t="s">
        <v>642</v>
      </c>
      <c r="C178" s="300">
        <v>6</v>
      </c>
    </row>
    <row r="179" spans="1:8" ht="13.5" customHeight="1" x14ac:dyDescent="0.2">
      <c r="A179" s="126" t="s">
        <v>245</v>
      </c>
      <c r="B179" s="32" t="s">
        <v>804</v>
      </c>
      <c r="C179" s="290">
        <v>622.51</v>
      </c>
    </row>
    <row r="180" spans="1:8" ht="13.5" customHeight="1" x14ac:dyDescent="0.2">
      <c r="A180" s="126" t="s">
        <v>245</v>
      </c>
      <c r="B180" s="32" t="s">
        <v>809</v>
      </c>
      <c r="C180" s="290">
        <v>422.19</v>
      </c>
    </row>
    <row r="181" spans="1:8" ht="13.5" customHeight="1" x14ac:dyDescent="0.2">
      <c r="A181" s="126" t="s">
        <v>245</v>
      </c>
      <c r="B181" s="138" t="s">
        <v>809</v>
      </c>
      <c r="C181" s="290">
        <v>157.5</v>
      </c>
    </row>
    <row r="182" spans="1:8" ht="13.5" customHeight="1" x14ac:dyDescent="0.2">
      <c r="A182" s="126" t="s">
        <v>245</v>
      </c>
      <c r="B182" s="36" t="s">
        <v>765</v>
      </c>
      <c r="C182" s="290">
        <v>72.900000000000006</v>
      </c>
    </row>
    <row r="183" spans="1:8" ht="13.5" customHeight="1" x14ac:dyDescent="0.2">
      <c r="A183" s="126" t="s">
        <v>245</v>
      </c>
      <c r="B183" s="36" t="s">
        <v>767</v>
      </c>
      <c r="C183" s="290">
        <v>654.96</v>
      </c>
    </row>
    <row r="184" spans="1:8" ht="13.5" customHeight="1" x14ac:dyDescent="0.2">
      <c r="A184" s="126" t="s">
        <v>245</v>
      </c>
      <c r="B184" s="32" t="s">
        <v>796</v>
      </c>
      <c r="C184" s="290">
        <v>140</v>
      </c>
    </row>
    <row r="185" spans="1:8" ht="13.5" customHeight="1" x14ac:dyDescent="0.2">
      <c r="A185" s="126" t="s">
        <v>245</v>
      </c>
      <c r="B185" s="36" t="s">
        <v>748</v>
      </c>
      <c r="C185" s="290">
        <v>1010</v>
      </c>
    </row>
    <row r="186" spans="1:8" ht="13.5" customHeight="1" x14ac:dyDescent="0.2">
      <c r="A186" s="126" t="s">
        <v>245</v>
      </c>
      <c r="B186" s="36" t="s">
        <v>687</v>
      </c>
      <c r="C186" s="300">
        <v>19</v>
      </c>
    </row>
    <row r="187" spans="1:8" ht="13.5" customHeight="1" x14ac:dyDescent="0.2">
      <c r="A187" s="126" t="s">
        <v>245</v>
      </c>
      <c r="B187" s="36" t="s">
        <v>686</v>
      </c>
      <c r="C187" s="300">
        <v>4.75</v>
      </c>
    </row>
    <row r="188" spans="1:8" ht="13.5" customHeight="1" x14ac:dyDescent="0.2">
      <c r="A188" s="126" t="s">
        <v>245</v>
      </c>
      <c r="B188" s="36" t="s">
        <v>1017</v>
      </c>
      <c r="C188" s="300">
        <f t="array" ref="C188">SUM(H191:H194/2)</f>
        <v>416.61</v>
      </c>
    </row>
    <row r="189" spans="1:8" ht="13.5" customHeight="1" x14ac:dyDescent="0.2">
      <c r="A189" s="126"/>
      <c r="B189" s="36"/>
      <c r="C189" s="301">
        <f>SUM(C159:C188)</f>
        <v>3713.73</v>
      </c>
    </row>
    <row r="190" spans="1:8" ht="13.5" customHeight="1" x14ac:dyDescent="0.2">
      <c r="A190" s="126"/>
      <c r="B190" s="34"/>
      <c r="C190" s="302"/>
    </row>
    <row r="191" spans="1:8" ht="13.5" customHeight="1" x14ac:dyDescent="0.2">
      <c r="A191" s="126"/>
      <c r="B191" s="34"/>
      <c r="C191" s="302"/>
      <c r="F191" s="126" t="s">
        <v>245</v>
      </c>
      <c r="G191" s="36" t="s">
        <v>776</v>
      </c>
      <c r="H191" s="89">
        <v>118.7</v>
      </c>
    </row>
    <row r="192" spans="1:8" ht="13.5" customHeight="1" x14ac:dyDescent="0.2">
      <c r="A192" s="126" t="s">
        <v>245</v>
      </c>
      <c r="B192" s="237" t="s">
        <v>708</v>
      </c>
      <c r="C192" s="303">
        <v>9.5</v>
      </c>
      <c r="F192" s="126" t="s">
        <v>245</v>
      </c>
      <c r="G192" s="32" t="s">
        <v>398</v>
      </c>
      <c r="H192" s="89">
        <v>179</v>
      </c>
    </row>
    <row r="193" spans="1:8" ht="13.5" customHeight="1" x14ac:dyDescent="0.2">
      <c r="A193" s="126" t="s">
        <v>245</v>
      </c>
      <c r="B193" s="34" t="s">
        <v>716</v>
      </c>
      <c r="C193" s="300">
        <v>5</v>
      </c>
      <c r="F193" s="126" t="s">
        <v>245</v>
      </c>
      <c r="G193" s="32" t="s">
        <v>803</v>
      </c>
      <c r="H193" s="89">
        <v>522.54999999999995</v>
      </c>
    </row>
    <row r="194" spans="1:8" ht="13.5" customHeight="1" x14ac:dyDescent="0.2">
      <c r="A194" s="126" t="s">
        <v>245</v>
      </c>
      <c r="B194" s="56" t="s">
        <v>268</v>
      </c>
      <c r="C194" s="300">
        <v>20</v>
      </c>
      <c r="F194" s="126" t="s">
        <v>245</v>
      </c>
      <c r="G194" s="36" t="s">
        <v>821</v>
      </c>
      <c r="H194" s="249">
        <v>12.97</v>
      </c>
    </row>
    <row r="195" spans="1:8" ht="13.5" customHeight="1" x14ac:dyDescent="0.2">
      <c r="A195" s="126" t="s">
        <v>245</v>
      </c>
      <c r="B195" s="36" t="s">
        <v>669</v>
      </c>
      <c r="C195" s="300">
        <v>400</v>
      </c>
    </row>
    <row r="196" spans="1:8" ht="13.5" customHeight="1" x14ac:dyDescent="0.2">
      <c r="A196" s="126" t="s">
        <v>245</v>
      </c>
      <c r="B196" s="34" t="s">
        <v>684</v>
      </c>
      <c r="C196" s="300">
        <v>80</v>
      </c>
    </row>
    <row r="197" spans="1:8" ht="13.5" customHeight="1" x14ac:dyDescent="0.2">
      <c r="A197" s="126" t="s">
        <v>245</v>
      </c>
      <c r="B197" s="34" t="s">
        <v>658</v>
      </c>
      <c r="C197" s="300">
        <v>45</v>
      </c>
    </row>
    <row r="198" spans="1:8" ht="13.5" customHeight="1" x14ac:dyDescent="0.2">
      <c r="A198" s="126" t="s">
        <v>245</v>
      </c>
      <c r="B198" s="34" t="s">
        <v>647</v>
      </c>
      <c r="C198" s="300">
        <v>16.5</v>
      </c>
    </row>
    <row r="199" spans="1:8" ht="13.5" customHeight="1" x14ac:dyDescent="0.2">
      <c r="A199" s="126" t="s">
        <v>245</v>
      </c>
      <c r="B199" s="34" t="s">
        <v>728</v>
      </c>
      <c r="C199" s="300">
        <v>3.9</v>
      </c>
    </row>
    <row r="200" spans="1:8" ht="13.5" customHeight="1" x14ac:dyDescent="0.2">
      <c r="A200" s="126" t="s">
        <v>245</v>
      </c>
      <c r="B200" s="36" t="s">
        <v>727</v>
      </c>
      <c r="C200" s="300">
        <v>7.5</v>
      </c>
    </row>
    <row r="201" spans="1:8" ht="13.5" customHeight="1" x14ac:dyDescent="0.2">
      <c r="A201" s="126" t="s">
        <v>245</v>
      </c>
      <c r="B201" s="34" t="s">
        <v>725</v>
      </c>
      <c r="C201" s="300">
        <v>7</v>
      </c>
    </row>
    <row r="202" spans="1:8" ht="13.5" customHeight="1" x14ac:dyDescent="0.2">
      <c r="A202" s="126" t="s">
        <v>245</v>
      </c>
      <c r="B202" s="34" t="s">
        <v>668</v>
      </c>
      <c r="C202" s="300">
        <v>6.2</v>
      </c>
    </row>
    <row r="203" spans="1:8" ht="13.5" customHeight="1" x14ac:dyDescent="0.2">
      <c r="A203" s="126" t="s">
        <v>245</v>
      </c>
      <c r="B203" s="34" t="s">
        <v>646</v>
      </c>
      <c r="C203" s="300">
        <v>31.3</v>
      </c>
    </row>
    <row r="204" spans="1:8" ht="13.5" customHeight="1" x14ac:dyDescent="0.2">
      <c r="A204" s="126" t="s">
        <v>245</v>
      </c>
      <c r="B204" s="36" t="s">
        <v>709</v>
      </c>
      <c r="C204" s="303">
        <v>23</v>
      </c>
    </row>
    <row r="205" spans="1:8" ht="13.5" customHeight="1" x14ac:dyDescent="0.2">
      <c r="A205" s="126" t="s">
        <v>245</v>
      </c>
      <c r="B205" s="34" t="s">
        <v>730</v>
      </c>
      <c r="C205" s="300">
        <v>50</v>
      </c>
    </row>
    <row r="206" spans="1:8" ht="13.5" customHeight="1" x14ac:dyDescent="0.2">
      <c r="A206" s="126" t="s">
        <v>245</v>
      </c>
      <c r="B206" s="36" t="s">
        <v>659</v>
      </c>
      <c r="C206" s="300">
        <v>30</v>
      </c>
    </row>
    <row r="207" spans="1:8" ht="13.5" customHeight="1" x14ac:dyDescent="0.2">
      <c r="A207" s="126" t="s">
        <v>245</v>
      </c>
      <c r="B207" s="34" t="s">
        <v>757</v>
      </c>
      <c r="C207" s="290">
        <v>53.3</v>
      </c>
    </row>
    <row r="208" spans="1:8" ht="13.5" customHeight="1" x14ac:dyDescent="0.2">
      <c r="A208" s="126" t="s">
        <v>245</v>
      </c>
      <c r="B208" s="36" t="s">
        <v>757</v>
      </c>
      <c r="C208" s="290">
        <v>53</v>
      </c>
    </row>
    <row r="209" spans="1:6" ht="13.5" customHeight="1" x14ac:dyDescent="0.2">
      <c r="A209" s="126" t="s">
        <v>245</v>
      </c>
      <c r="B209" s="36" t="s">
        <v>762</v>
      </c>
      <c r="C209" s="290">
        <v>623.21</v>
      </c>
      <c r="D209" s="33"/>
      <c r="E209"/>
    </row>
    <row r="210" spans="1:6" ht="13.5" customHeight="1" x14ac:dyDescent="0.2">
      <c r="A210" s="126" t="s">
        <v>245</v>
      </c>
      <c r="B210" s="36" t="s">
        <v>824</v>
      </c>
      <c r="C210" s="290">
        <v>700</v>
      </c>
      <c r="F210"/>
    </row>
    <row r="211" spans="1:6" ht="13.5" customHeight="1" x14ac:dyDescent="0.2">
      <c r="A211" s="126" t="s">
        <v>245</v>
      </c>
      <c r="B211" s="36" t="s">
        <v>715</v>
      </c>
      <c r="C211" s="303">
        <v>100</v>
      </c>
    </row>
    <row r="212" spans="1:6" ht="13.5" customHeight="1" x14ac:dyDescent="0.2">
      <c r="A212" s="126" t="s">
        <v>245</v>
      </c>
      <c r="B212" s="36" t="s">
        <v>625</v>
      </c>
      <c r="C212" s="303">
        <v>416.61</v>
      </c>
    </row>
    <row r="213" spans="1:6" ht="13.5" customHeight="1" x14ac:dyDescent="0.2">
      <c r="A213" s="126"/>
      <c r="B213" s="36"/>
      <c r="C213" s="304">
        <f>SUM(C192:C212)</f>
        <v>2681.02</v>
      </c>
    </row>
    <row r="214" spans="1:6" ht="13.5" customHeight="1" x14ac:dyDescent="0.2">
      <c r="A214" s="126"/>
      <c r="B214" s="36"/>
      <c r="C214" s="303"/>
    </row>
    <row r="215" spans="1:6" ht="13.5" customHeight="1" x14ac:dyDescent="0.2">
      <c r="A215" t="s">
        <v>246</v>
      </c>
      <c r="B215" s="36" t="s">
        <v>195</v>
      </c>
      <c r="C215" s="290">
        <v>381.94</v>
      </c>
    </row>
    <row r="216" spans="1:6" ht="13.5" customHeight="1" x14ac:dyDescent="0.2">
      <c r="A216" t="s">
        <v>246</v>
      </c>
      <c r="B216" s="34" t="s">
        <v>194</v>
      </c>
      <c r="C216" s="290">
        <v>82.75</v>
      </c>
    </row>
    <row r="217" spans="1:6" ht="13.5" customHeight="1" x14ac:dyDescent="0.2">
      <c r="A217"/>
      <c r="B217" s="34"/>
      <c r="C217" s="305">
        <f>SUM(C215:C216)</f>
        <v>464.69</v>
      </c>
    </row>
    <row r="218" spans="1:6" ht="13.5" customHeight="1" x14ac:dyDescent="0.2">
      <c r="A218"/>
      <c r="B218" s="34"/>
      <c r="C218" s="290"/>
    </row>
    <row r="219" spans="1:6" ht="13.5" customHeight="1" x14ac:dyDescent="0.2">
      <c r="A219" t="s">
        <v>248</v>
      </c>
      <c r="B219" s="36" t="s">
        <v>818</v>
      </c>
      <c r="C219" s="302">
        <v>4000</v>
      </c>
    </row>
    <row r="220" spans="1:6" ht="13.5" customHeight="1" x14ac:dyDescent="0.2">
      <c r="A220" t="s">
        <v>248</v>
      </c>
      <c r="B220" s="36" t="s">
        <v>132</v>
      </c>
      <c r="C220" s="290">
        <v>303.95</v>
      </c>
    </row>
    <row r="221" spans="1:6" ht="13.5" customHeight="1" x14ac:dyDescent="0.2">
      <c r="A221" t="s">
        <v>248</v>
      </c>
      <c r="B221" s="36" t="s">
        <v>130</v>
      </c>
      <c r="C221" s="290">
        <v>210.09</v>
      </c>
    </row>
    <row r="222" spans="1:6" ht="13.5" customHeight="1" x14ac:dyDescent="0.2">
      <c r="A222" t="s">
        <v>248</v>
      </c>
      <c r="B222" s="36" t="s">
        <v>53</v>
      </c>
      <c r="C222" s="290">
        <v>532.21</v>
      </c>
    </row>
    <row r="223" spans="1:6" ht="13.5" customHeight="1" x14ac:dyDescent="0.2">
      <c r="A223" t="s">
        <v>248</v>
      </c>
      <c r="B223" s="34" t="s">
        <v>55</v>
      </c>
      <c r="C223" s="290">
        <v>400</v>
      </c>
    </row>
    <row r="224" spans="1:6" ht="13.5" customHeight="1" x14ac:dyDescent="0.2">
      <c r="A224" t="s">
        <v>248</v>
      </c>
      <c r="B224" s="36" t="s">
        <v>211</v>
      </c>
      <c r="C224" s="302">
        <v>1767.0300000000002</v>
      </c>
    </row>
    <row r="225" spans="1:6" ht="13.5" customHeight="1" x14ac:dyDescent="0.2">
      <c r="A225" t="s">
        <v>248</v>
      </c>
      <c r="B225" s="36" t="s">
        <v>819</v>
      </c>
      <c r="C225" s="302">
        <v>1500</v>
      </c>
    </row>
    <row r="226" spans="1:6" ht="13.5" customHeight="1" x14ac:dyDescent="0.2">
      <c r="A226" t="s">
        <v>248</v>
      </c>
      <c r="B226" s="36" t="s">
        <v>136</v>
      </c>
      <c r="C226" s="290">
        <v>37.9</v>
      </c>
    </row>
    <row r="227" spans="1:6" ht="13.5" customHeight="1" x14ac:dyDescent="0.2">
      <c r="A227" t="s">
        <v>248</v>
      </c>
      <c r="B227" s="34" t="s">
        <v>672</v>
      </c>
      <c r="C227" s="290">
        <v>329.9</v>
      </c>
    </row>
    <row r="228" spans="1:6" ht="13.5" customHeight="1" x14ac:dyDescent="0.2">
      <c r="A228" t="s">
        <v>248</v>
      </c>
      <c r="B228" s="36" t="s">
        <v>264</v>
      </c>
      <c r="C228" s="290">
        <v>624.16</v>
      </c>
    </row>
    <row r="229" spans="1:6" ht="13.5" customHeight="1" x14ac:dyDescent="0.2">
      <c r="A229" t="s">
        <v>248</v>
      </c>
      <c r="B229" s="36" t="s">
        <v>133</v>
      </c>
      <c r="C229" s="290">
        <v>1085.75</v>
      </c>
    </row>
    <row r="230" spans="1:6" ht="13.5" customHeight="1" x14ac:dyDescent="0.2">
      <c r="A230" t="s">
        <v>248</v>
      </c>
      <c r="B230" s="36" t="s">
        <v>82</v>
      </c>
      <c r="C230" s="290">
        <v>337.47</v>
      </c>
    </row>
    <row r="231" spans="1:6" ht="13.5" customHeight="1" x14ac:dyDescent="0.2">
      <c r="A231" t="s">
        <v>248</v>
      </c>
      <c r="B231" s="36" t="s">
        <v>18</v>
      </c>
      <c r="C231" s="290">
        <v>353.97</v>
      </c>
    </row>
    <row r="232" spans="1:6" ht="13.5" customHeight="1" x14ac:dyDescent="0.2">
      <c r="A232" t="s">
        <v>248</v>
      </c>
      <c r="B232" s="36" t="s">
        <v>114</v>
      </c>
      <c r="C232" s="290">
        <v>222.25</v>
      </c>
    </row>
    <row r="233" spans="1:6" ht="13.5" customHeight="1" x14ac:dyDescent="0.2">
      <c r="A233"/>
      <c r="B233" s="34"/>
      <c r="C233" s="305">
        <f>SUM(C219:C232)</f>
        <v>11704.679999999998</v>
      </c>
    </row>
    <row r="234" spans="1:6" ht="13.5" customHeight="1" x14ac:dyDescent="0.2">
      <c r="A234"/>
      <c r="B234" s="34"/>
      <c r="C234" s="290"/>
    </row>
    <row r="235" spans="1:6" ht="13.5" customHeight="1" x14ac:dyDescent="0.2">
      <c r="A235" t="s">
        <v>248</v>
      </c>
      <c r="B235" s="34" t="s">
        <v>828</v>
      </c>
      <c r="C235" s="302">
        <v>5000</v>
      </c>
    </row>
    <row r="236" spans="1:6" ht="13.5" customHeight="1" x14ac:dyDescent="0.2">
      <c r="A236" t="s">
        <v>248</v>
      </c>
      <c r="B236" s="34" t="s">
        <v>825</v>
      </c>
      <c r="C236" s="289">
        <v>7000</v>
      </c>
    </row>
    <row r="237" spans="1:6" ht="13.5" customHeight="1" x14ac:dyDescent="0.2">
      <c r="A237"/>
      <c r="B237" s="34"/>
      <c r="C237" s="305">
        <f>SUM(C235:C236)</f>
        <v>12000</v>
      </c>
      <c r="D237" s="33"/>
      <c r="E237"/>
    </row>
    <row r="238" spans="1:6" ht="13.5" customHeight="1" x14ac:dyDescent="0.2">
      <c r="A238"/>
      <c r="B238" s="34"/>
      <c r="C238" s="290"/>
      <c r="F238"/>
    </row>
    <row r="239" spans="1:6" ht="14.25" customHeight="1" x14ac:dyDescent="0.2">
      <c r="A239" t="s">
        <v>249</v>
      </c>
      <c r="B239" s="45" t="s">
        <v>805</v>
      </c>
      <c r="C239" s="305">
        <v>330</v>
      </c>
    </row>
    <row r="240" spans="1:6" ht="14.25" customHeight="1" x14ac:dyDescent="0.2">
      <c r="A240"/>
      <c r="B240" s="34"/>
      <c r="C240" s="290"/>
    </row>
    <row r="241" spans="1:6" ht="13.5" customHeight="1" x14ac:dyDescent="0.2">
      <c r="A241" t="s">
        <v>249</v>
      </c>
      <c r="B241" s="34" t="s">
        <v>760</v>
      </c>
      <c r="C241" s="305">
        <v>184.68</v>
      </c>
    </row>
    <row r="242" spans="1:6" ht="13.5" customHeight="1" x14ac:dyDescent="0.2">
      <c r="A242"/>
      <c r="B242" s="34"/>
      <c r="C242" s="306"/>
    </row>
    <row r="243" spans="1:6" ht="13.5" customHeight="1" x14ac:dyDescent="0.2">
      <c r="A243"/>
      <c r="B243" s="34"/>
      <c r="C243" s="290"/>
    </row>
    <row r="244" spans="1:6" ht="13.5" customHeight="1" x14ac:dyDescent="0.2">
      <c r="A244" s="1" t="s">
        <v>250</v>
      </c>
      <c r="B244" s="34" t="s">
        <v>20</v>
      </c>
      <c r="C244" s="290">
        <v>15.52</v>
      </c>
      <c r="D244" s="33"/>
      <c r="E244"/>
    </row>
    <row r="245" spans="1:6" ht="13.5" customHeight="1" x14ac:dyDescent="0.2">
      <c r="A245" s="1" t="s">
        <v>250</v>
      </c>
      <c r="B245" s="34" t="s">
        <v>20</v>
      </c>
      <c r="C245" s="300">
        <v>-0.01</v>
      </c>
      <c r="D245" s="33"/>
      <c r="E245"/>
      <c r="F245"/>
    </row>
    <row r="246" spans="1:6" ht="13.5" customHeight="1" x14ac:dyDescent="0.2">
      <c r="A246" s="1" t="s">
        <v>250</v>
      </c>
      <c r="B246" s="34" t="s">
        <v>20</v>
      </c>
      <c r="C246" s="300">
        <v>-0.01</v>
      </c>
      <c r="F246"/>
    </row>
    <row r="247" spans="1:6" ht="13.5" customHeight="1" x14ac:dyDescent="0.2">
      <c r="A247" s="1" t="s">
        <v>250</v>
      </c>
      <c r="B247" s="34" t="s">
        <v>20</v>
      </c>
      <c r="C247" s="300">
        <v>-0.03</v>
      </c>
    </row>
    <row r="248" spans="1:6" ht="13.5" customHeight="1" x14ac:dyDescent="0.2">
      <c r="A248" s="1" t="s">
        <v>250</v>
      </c>
      <c r="B248" s="34" t="s">
        <v>20</v>
      </c>
      <c r="C248" s="300">
        <v>-0.04</v>
      </c>
    </row>
    <row r="249" spans="1:6" ht="13.5" customHeight="1" x14ac:dyDescent="0.2">
      <c r="A249" s="1" t="s">
        <v>250</v>
      </c>
      <c r="B249" s="34" t="s">
        <v>20</v>
      </c>
      <c r="C249" s="300">
        <v>-0.05</v>
      </c>
    </row>
    <row r="250" spans="1:6" ht="13.5" customHeight="1" x14ac:dyDescent="0.2">
      <c r="A250" s="1" t="s">
        <v>250</v>
      </c>
      <c r="B250" s="34" t="s">
        <v>20</v>
      </c>
      <c r="C250" s="300">
        <v>-0.05</v>
      </c>
    </row>
    <row r="251" spans="1:6" ht="13.5" customHeight="1" x14ac:dyDescent="0.2">
      <c r="A251" s="1" t="s">
        <v>250</v>
      </c>
      <c r="B251" s="34" t="s">
        <v>20</v>
      </c>
      <c r="C251" s="300">
        <v>-7.0000000000000007E-2</v>
      </c>
    </row>
    <row r="252" spans="1:6" ht="13.5" customHeight="1" x14ac:dyDescent="0.2">
      <c r="A252" s="1" t="s">
        <v>250</v>
      </c>
      <c r="B252" s="34" t="s">
        <v>20</v>
      </c>
      <c r="C252" s="300">
        <v>-7.0000000000000007E-2</v>
      </c>
    </row>
    <row r="253" spans="1:6" ht="13.5" customHeight="1" x14ac:dyDescent="0.2">
      <c r="A253" s="1" t="s">
        <v>250</v>
      </c>
      <c r="B253" s="34" t="s">
        <v>20</v>
      </c>
      <c r="C253" s="300">
        <v>-0.46</v>
      </c>
    </row>
    <row r="254" spans="1:6" ht="13.5" customHeight="1" x14ac:dyDescent="0.2">
      <c r="A254" s="1" t="s">
        <v>250</v>
      </c>
      <c r="B254" s="34" t="s">
        <v>20</v>
      </c>
      <c r="C254" s="290"/>
    </row>
    <row r="255" spans="1:6" ht="13.5" customHeight="1" x14ac:dyDescent="0.2">
      <c r="A255" s="1" t="s">
        <v>250</v>
      </c>
      <c r="B255" s="34" t="s">
        <v>86</v>
      </c>
      <c r="C255" s="290">
        <v>78</v>
      </c>
    </row>
    <row r="256" spans="1:6" ht="13.5" customHeight="1" x14ac:dyDescent="0.2">
      <c r="A256" s="1" t="s">
        <v>250</v>
      </c>
      <c r="B256" s="34" t="s">
        <v>86</v>
      </c>
      <c r="C256" s="290">
        <v>72.900000000000006</v>
      </c>
    </row>
    <row r="257" spans="1:8" ht="13.5" customHeight="1" x14ac:dyDescent="0.2">
      <c r="A257" s="1" t="s">
        <v>250</v>
      </c>
      <c r="B257" s="34" t="s">
        <v>86</v>
      </c>
      <c r="C257" s="290">
        <v>11.9</v>
      </c>
    </row>
    <row r="258" spans="1:8" ht="13.5" customHeight="1" x14ac:dyDescent="0.2">
      <c r="A258" s="1" t="s">
        <v>250</v>
      </c>
      <c r="B258" s="34" t="s">
        <v>86</v>
      </c>
      <c r="C258" s="290">
        <v>4.93</v>
      </c>
    </row>
    <row r="259" spans="1:8" ht="13.5" customHeight="1" x14ac:dyDescent="0.2">
      <c r="A259" s="1" t="s">
        <v>250</v>
      </c>
      <c r="B259" s="34" t="s">
        <v>86</v>
      </c>
      <c r="C259" s="290">
        <v>0.2</v>
      </c>
    </row>
    <row r="260" spans="1:8" ht="13.5" customHeight="1" x14ac:dyDescent="0.2">
      <c r="B260" s="34"/>
      <c r="C260" s="305">
        <f>SUM(C244:C259)</f>
        <v>182.66</v>
      </c>
      <c r="D260" s="316">
        <f>SUM(C260/2)</f>
        <v>91.33</v>
      </c>
      <c r="E260" s="317"/>
    </row>
    <row r="261" spans="1:8" ht="13.5" customHeight="1" x14ac:dyDescent="0.2">
      <c r="B261" s="34"/>
      <c r="C261" s="290"/>
    </row>
    <row r="262" spans="1:8" ht="13.5" customHeight="1" x14ac:dyDescent="0.2">
      <c r="A262" t="s">
        <v>421</v>
      </c>
      <c r="B262" s="34" t="s">
        <v>834</v>
      </c>
      <c r="C262" s="302">
        <v>200</v>
      </c>
    </row>
    <row r="263" spans="1:8" ht="13.5" customHeight="1" x14ac:dyDescent="0.2">
      <c r="A263" t="s">
        <v>421</v>
      </c>
      <c r="B263" s="34" t="s">
        <v>624</v>
      </c>
      <c r="C263" s="292">
        <v>53.85</v>
      </c>
    </row>
    <row r="264" spans="1:8" ht="13.5" customHeight="1" x14ac:dyDescent="0.2">
      <c r="A264"/>
      <c r="B264" s="34"/>
      <c r="C264" s="291">
        <f>SUM(C262:C263)</f>
        <v>253.85</v>
      </c>
    </row>
    <row r="265" spans="1:8" ht="13.5" customHeight="1" x14ac:dyDescent="0.2">
      <c r="A265"/>
      <c r="B265" s="34"/>
      <c r="C265" s="292"/>
    </row>
    <row r="266" spans="1:8" ht="13.5" customHeight="1" x14ac:dyDescent="0.2">
      <c r="A266" t="s">
        <v>421</v>
      </c>
      <c r="B266" s="34" t="s">
        <v>625</v>
      </c>
      <c r="C266" s="285">
        <f>H267/2</f>
        <v>53.85</v>
      </c>
    </row>
    <row r="267" spans="1:8" ht="13.5" customHeight="1" x14ac:dyDescent="0.2">
      <c r="B267" s="208"/>
      <c r="C267" s="307"/>
      <c r="G267" s="34" t="s">
        <v>835</v>
      </c>
      <c r="H267" s="173">
        <v>107.7</v>
      </c>
    </row>
    <row r="268" spans="1:8" ht="13.5" customHeight="1" x14ac:dyDescent="0.2">
      <c r="B268" s="78"/>
      <c r="C268" s="308"/>
    </row>
    <row r="269" spans="1:8" ht="13.5" customHeight="1" x14ac:dyDescent="0.2">
      <c r="B269" s="63"/>
      <c r="C269" s="309"/>
    </row>
    <row r="270" spans="1:8" ht="13.5" customHeight="1" x14ac:dyDescent="0.2">
      <c r="B270" s="63"/>
      <c r="C270" s="309"/>
      <c r="E270" s="321">
        <f>SUM(C266,C264,C241,C239,C237,C233,C217,C213,C189,C157,C132,C126,C122,C118,C100,C84,C64,C54,D29,D24,C260,C48)</f>
        <v>86904.26999999999</v>
      </c>
    </row>
    <row r="271" spans="1:8" ht="13.5" customHeight="1" x14ac:dyDescent="0.2">
      <c r="B271" s="63"/>
      <c r="C271" s="308"/>
      <c r="E271" s="18"/>
    </row>
    <row r="272" spans="1:8" ht="13.5" customHeight="1" x14ac:dyDescent="0.2">
      <c r="B272" s="78"/>
      <c r="C272" s="308"/>
      <c r="E272" s="18"/>
    </row>
    <row r="273" spans="1:8" ht="13.5" customHeight="1" x14ac:dyDescent="0.2">
      <c r="B273" s="78"/>
      <c r="C273" s="308"/>
      <c r="E273" s="18"/>
    </row>
    <row r="274" spans="1:8" ht="13.5" customHeight="1" x14ac:dyDescent="0.2">
      <c r="B274" s="78"/>
      <c r="C274" s="308"/>
      <c r="E274" s="18"/>
    </row>
    <row r="275" spans="1:8" ht="13.5" customHeight="1" x14ac:dyDescent="0.2">
      <c r="B275" s="81"/>
      <c r="C275" s="309"/>
      <c r="E275" s="18"/>
    </row>
    <row r="276" spans="1:8" ht="13.5" customHeight="1" x14ac:dyDescent="0.2">
      <c r="B276" s="78"/>
      <c r="C276" s="308"/>
      <c r="E276" s="18"/>
    </row>
    <row r="277" spans="1:8" ht="13.5" customHeight="1" x14ac:dyDescent="0.2">
      <c r="B277" s="78"/>
      <c r="C277" s="308"/>
      <c r="E277" s="18"/>
    </row>
    <row r="278" spans="1:8" ht="13.5" customHeight="1" x14ac:dyDescent="0.2">
      <c r="B278" s="78"/>
      <c r="C278" s="308"/>
    </row>
    <row r="279" spans="1:8" ht="13.5" customHeight="1" x14ac:dyDescent="0.2">
      <c r="B279" s="78"/>
      <c r="C279" s="308"/>
    </row>
    <row r="280" spans="1:8" ht="13.5" customHeight="1" x14ac:dyDescent="0.2">
      <c r="B280" s="78"/>
      <c r="C280" s="308"/>
    </row>
    <row r="281" spans="1:8" ht="13.5" customHeight="1" x14ac:dyDescent="0.2">
      <c r="B281" s="78"/>
      <c r="C281" s="308"/>
    </row>
    <row r="282" spans="1:8" ht="13.5" customHeight="1" x14ac:dyDescent="0.2">
      <c r="B282" s="78"/>
      <c r="C282" s="308"/>
    </row>
    <row r="283" spans="1:8" ht="13.5" customHeight="1" x14ac:dyDescent="0.2">
      <c r="B283" s="78"/>
      <c r="C283" s="308"/>
      <c r="D283" s="30"/>
      <c r="E283" s="18"/>
    </row>
    <row r="284" spans="1:8" customFormat="1" ht="13.5" customHeight="1" x14ac:dyDescent="0.2">
      <c r="A284" s="1"/>
      <c r="B284" s="63"/>
      <c r="C284" s="310"/>
      <c r="D284" s="27"/>
      <c r="E284" s="1"/>
      <c r="F284" s="1"/>
      <c r="G284" s="40"/>
      <c r="H284" s="1"/>
    </row>
    <row r="285" spans="1:8" customFormat="1" ht="13.5" customHeight="1" x14ac:dyDescent="0.2">
      <c r="A285" s="1"/>
      <c r="B285" s="63"/>
      <c r="C285" s="310"/>
      <c r="D285" s="27"/>
      <c r="E285" s="1"/>
      <c r="F285" s="1"/>
      <c r="G285" s="40"/>
    </row>
    <row r="286" spans="1:8" customFormat="1" ht="13.5" customHeight="1" x14ac:dyDescent="0.2">
      <c r="A286" s="1"/>
      <c r="B286" s="63"/>
      <c r="C286" s="310"/>
      <c r="D286" s="27"/>
      <c r="E286" s="1"/>
      <c r="F286" s="1"/>
      <c r="G286" s="40"/>
    </row>
    <row r="287" spans="1:8" customFormat="1" ht="13.5" customHeight="1" x14ac:dyDescent="0.2">
      <c r="A287" s="1"/>
      <c r="B287" s="63"/>
      <c r="C287" s="310"/>
      <c r="D287" s="27"/>
      <c r="E287" s="1"/>
      <c r="F287" s="1"/>
      <c r="G287" s="40"/>
    </row>
    <row r="288" spans="1:8" customFormat="1" ht="13.5" customHeight="1" x14ac:dyDescent="0.2">
      <c r="A288" s="1"/>
      <c r="B288" s="63"/>
      <c r="C288" s="310"/>
      <c r="D288" s="27"/>
      <c r="E288" s="1"/>
      <c r="F288" s="1"/>
      <c r="G288" s="40"/>
    </row>
    <row r="289" spans="2:8" ht="13.5" customHeight="1" x14ac:dyDescent="0.2">
      <c r="B289" s="63"/>
      <c r="C289" s="310"/>
      <c r="H289"/>
    </row>
    <row r="290" spans="2:8" ht="13.5" customHeight="1" x14ac:dyDescent="0.2">
      <c r="B290" s="63"/>
      <c r="C290" s="310"/>
    </row>
    <row r="291" spans="2:8" ht="13.5" customHeight="1" x14ac:dyDescent="0.2">
      <c r="B291" s="63"/>
      <c r="C291" s="310"/>
    </row>
    <row r="292" spans="2:8" ht="13.5" customHeight="1" x14ac:dyDescent="0.2">
      <c r="B292" s="63"/>
      <c r="C292" s="310"/>
    </row>
    <row r="293" spans="2:8" ht="13.5" customHeight="1" x14ac:dyDescent="0.2">
      <c r="B293" s="63"/>
      <c r="C293" s="310"/>
    </row>
    <row r="294" spans="2:8" ht="13.5" customHeight="1" x14ac:dyDescent="0.2">
      <c r="B294" s="63"/>
      <c r="C294" s="310"/>
    </row>
    <row r="295" spans="2:8" ht="13.5" customHeight="1" x14ac:dyDescent="0.2">
      <c r="B295" s="63"/>
      <c r="C295" s="310"/>
    </row>
    <row r="296" spans="2:8" ht="13.5" customHeight="1" x14ac:dyDescent="0.2">
      <c r="B296" s="63"/>
      <c r="C296" s="310"/>
    </row>
    <row r="297" spans="2:8" ht="13.5" customHeight="1" x14ac:dyDescent="0.2">
      <c r="B297" s="63"/>
      <c r="C297" s="310"/>
    </row>
    <row r="298" spans="2:8" ht="13.5" customHeight="1" x14ac:dyDescent="0.2">
      <c r="B298" s="63"/>
      <c r="C298" s="310"/>
    </row>
    <row r="299" spans="2:8" ht="13.5" customHeight="1" x14ac:dyDescent="0.2">
      <c r="B299" s="63"/>
      <c r="C299" s="310"/>
    </row>
    <row r="300" spans="2:8" ht="13.5" customHeight="1" x14ac:dyDescent="0.2">
      <c r="B300" s="63"/>
      <c r="C300" s="310"/>
    </row>
    <row r="301" spans="2:8" ht="13.5" customHeight="1" x14ac:dyDescent="0.2">
      <c r="B301" s="63"/>
      <c r="C301" s="310"/>
    </row>
    <row r="302" spans="2:8" ht="13.5" customHeight="1" x14ac:dyDescent="0.2">
      <c r="B302" s="63"/>
      <c r="C302" s="310"/>
    </row>
    <row r="303" spans="2:8" ht="13.5" customHeight="1" x14ac:dyDescent="0.2">
      <c r="B303" s="63"/>
      <c r="C303" s="310"/>
    </row>
    <row r="304" spans="2:8" ht="13.5" customHeight="1" x14ac:dyDescent="0.2">
      <c r="B304" s="63"/>
      <c r="C304" s="310"/>
    </row>
    <row r="305" spans="2:3" ht="13.5" customHeight="1" x14ac:dyDescent="0.2">
      <c r="B305" s="63"/>
      <c r="C305" s="310"/>
    </row>
    <row r="306" spans="2:3" ht="13.5" customHeight="1" x14ac:dyDescent="0.2">
      <c r="B306" s="63"/>
      <c r="C306" s="310"/>
    </row>
    <row r="307" spans="2:3" ht="13.5" customHeight="1" x14ac:dyDescent="0.2">
      <c r="B307" s="63"/>
      <c r="C307" s="310"/>
    </row>
    <row r="308" spans="2:3" ht="13.5" customHeight="1" x14ac:dyDescent="0.2">
      <c r="B308" s="63"/>
      <c r="C308" s="310"/>
    </row>
    <row r="309" spans="2:3" ht="13.5" customHeight="1" x14ac:dyDescent="0.2">
      <c r="B309" s="63"/>
      <c r="C309" s="310"/>
    </row>
    <row r="310" spans="2:3" ht="13.5" customHeight="1" x14ac:dyDescent="0.2">
      <c r="B310" s="63"/>
      <c r="C310" s="310"/>
    </row>
    <row r="311" spans="2:3" ht="13.5" customHeight="1" x14ac:dyDescent="0.2">
      <c r="B311" s="63"/>
      <c r="C311" s="310"/>
    </row>
    <row r="312" spans="2:3" ht="13.5" customHeight="1" x14ac:dyDescent="0.2">
      <c r="B312" s="63"/>
      <c r="C312" s="310"/>
    </row>
    <row r="313" spans="2:3" ht="13.5" customHeight="1" x14ac:dyDescent="0.2">
      <c r="B313" s="63"/>
      <c r="C313" s="310"/>
    </row>
    <row r="314" spans="2:3" ht="13.5" customHeight="1" x14ac:dyDescent="0.2">
      <c r="B314" s="63"/>
      <c r="C314" s="310"/>
    </row>
    <row r="315" spans="2:3" ht="13.5" customHeight="1" x14ac:dyDescent="0.2">
      <c r="B315" s="63"/>
      <c r="C315" s="310"/>
    </row>
    <row r="316" spans="2:3" ht="13.5" customHeight="1" x14ac:dyDescent="0.2">
      <c r="B316" s="63"/>
      <c r="C316" s="310"/>
    </row>
    <row r="317" spans="2:3" ht="13.5" customHeight="1" x14ac:dyDescent="0.2">
      <c r="B317" s="63"/>
      <c r="C317" s="310"/>
    </row>
    <row r="318" spans="2:3" ht="13.5" customHeight="1" x14ac:dyDescent="0.2">
      <c r="B318" s="63"/>
      <c r="C318" s="310"/>
    </row>
    <row r="319" spans="2:3" ht="13.5" customHeight="1" x14ac:dyDescent="0.2">
      <c r="B319" s="63"/>
      <c r="C319" s="310"/>
    </row>
    <row r="320" spans="2:3" ht="13.5" customHeight="1" x14ac:dyDescent="0.2">
      <c r="B320" s="63"/>
      <c r="C320" s="310"/>
    </row>
    <row r="321" spans="2:3" ht="13.5" customHeight="1" x14ac:dyDescent="0.2">
      <c r="B321" s="63"/>
      <c r="C321" s="310"/>
    </row>
    <row r="322" spans="2:3" ht="13.5" customHeight="1" x14ac:dyDescent="0.2">
      <c r="B322" s="63"/>
      <c r="C322" s="310"/>
    </row>
    <row r="323" spans="2:3" ht="13.5" customHeight="1" x14ac:dyDescent="0.2">
      <c r="B323" s="63"/>
      <c r="C323" s="310"/>
    </row>
    <row r="324" spans="2:3" ht="13.5" customHeight="1" x14ac:dyDescent="0.2">
      <c r="B324" s="63"/>
      <c r="C324" s="310"/>
    </row>
    <row r="325" spans="2:3" ht="13.5" customHeight="1" x14ac:dyDescent="0.2">
      <c r="B325" s="63"/>
      <c r="C325" s="310"/>
    </row>
    <row r="326" spans="2:3" ht="13.5" customHeight="1" x14ac:dyDescent="0.2">
      <c r="B326" s="64"/>
      <c r="C326" s="311"/>
    </row>
    <row r="327" spans="2:3" ht="13.5" customHeight="1" x14ac:dyDescent="0.2">
      <c r="B327" s="63"/>
      <c r="C327" s="310"/>
    </row>
    <row r="328" spans="2:3" ht="13.5" customHeight="1" x14ac:dyDescent="0.2">
      <c r="B328" s="63"/>
      <c r="C328" s="310"/>
    </row>
    <row r="329" spans="2:3" ht="13.5" customHeight="1" x14ac:dyDescent="0.2">
      <c r="B329" s="85"/>
      <c r="C329" s="310"/>
    </row>
    <row r="330" spans="2:3" ht="13.5" customHeight="1" x14ac:dyDescent="0.2">
      <c r="B330" s="63"/>
      <c r="C330" s="310"/>
    </row>
    <row r="331" spans="2:3" ht="13.5" customHeight="1" x14ac:dyDescent="0.2">
      <c r="B331" s="63"/>
      <c r="C331" s="311"/>
    </row>
    <row r="332" spans="2:3" ht="13.5" customHeight="1" x14ac:dyDescent="0.2">
      <c r="B332" s="64"/>
      <c r="C332" s="310"/>
    </row>
    <row r="333" spans="2:3" ht="13.5" customHeight="1" x14ac:dyDescent="0.2">
      <c r="B333" s="63"/>
      <c r="C333" s="310"/>
    </row>
    <row r="334" spans="2:3" ht="13.5" customHeight="1" x14ac:dyDescent="0.2">
      <c r="B334" s="63"/>
      <c r="C334" s="311"/>
    </row>
    <row r="335" spans="2:3" ht="13.5" customHeight="1" x14ac:dyDescent="0.2">
      <c r="B335" s="64"/>
      <c r="C335" s="311"/>
    </row>
    <row r="336" spans="2:3" ht="13.5" customHeight="1" x14ac:dyDescent="0.2">
      <c r="B336" s="63"/>
      <c r="C336" s="310"/>
    </row>
    <row r="337" spans="2:3" ht="13.5" customHeight="1" x14ac:dyDescent="0.2">
      <c r="B337" s="63"/>
      <c r="C337" s="311"/>
    </row>
    <row r="338" spans="2:3" ht="13.5" customHeight="1" x14ac:dyDescent="0.2">
      <c r="B338" s="64"/>
      <c r="C338" s="311"/>
    </row>
    <row r="339" spans="2:3" ht="13.5" customHeight="1" x14ac:dyDescent="0.2">
      <c r="B339" s="63"/>
      <c r="C339" s="310"/>
    </row>
    <row r="340" spans="2:3" ht="13.5" customHeight="1" x14ac:dyDescent="0.2">
      <c r="B340" s="63"/>
      <c r="C340" s="310"/>
    </row>
    <row r="341" spans="2:3" ht="13.5" customHeight="1" x14ac:dyDescent="0.2">
      <c r="B341" s="63"/>
      <c r="C341" s="310"/>
    </row>
    <row r="342" spans="2:3" ht="13.5" customHeight="1" x14ac:dyDescent="0.2">
      <c r="B342" s="86"/>
      <c r="C342" s="310"/>
    </row>
    <row r="343" spans="2:3" ht="13.5" customHeight="1" x14ac:dyDescent="0.2">
      <c r="B343" s="85"/>
      <c r="C343" s="310"/>
    </row>
    <row r="344" spans="2:3" ht="13.5" customHeight="1" x14ac:dyDescent="0.2">
      <c r="B344" s="87"/>
      <c r="C344" s="310"/>
    </row>
    <row r="345" spans="2:3" ht="13.5" customHeight="1" x14ac:dyDescent="0.2">
      <c r="B345" s="88"/>
      <c r="C345" s="310"/>
    </row>
    <row r="346" spans="2:3" ht="13.5" customHeight="1" x14ac:dyDescent="0.2">
      <c r="B346" s="56"/>
      <c r="C346" s="290"/>
    </row>
    <row r="347" spans="2:3" ht="13.5" customHeight="1" x14ac:dyDescent="0.2">
      <c r="B347" s="56"/>
      <c r="C347" s="290"/>
    </row>
    <row r="348" spans="2:3" ht="13.5" customHeight="1" x14ac:dyDescent="0.2">
      <c r="B348" s="56"/>
      <c r="C348" s="290"/>
    </row>
    <row r="349" spans="2:3" ht="13.5" customHeight="1" x14ac:dyDescent="0.2">
      <c r="C349" s="290"/>
    </row>
    <row r="350" spans="2:3" ht="13.5" customHeight="1" x14ac:dyDescent="0.2">
      <c r="B350" s="56"/>
      <c r="C350" s="290"/>
    </row>
    <row r="351" spans="2:3" ht="13.5" customHeight="1" x14ac:dyDescent="0.2">
      <c r="B351" s="56"/>
      <c r="C351" s="290"/>
    </row>
    <row r="352" spans="2:3" ht="13.5" customHeight="1" x14ac:dyDescent="0.2">
      <c r="B352" s="56"/>
      <c r="C352" s="290"/>
    </row>
    <row r="353" spans="2:3" ht="13.5" customHeight="1" x14ac:dyDescent="0.2">
      <c r="B353" s="27"/>
      <c r="C353" s="312"/>
    </row>
    <row r="354" spans="2:3" ht="13.5" customHeight="1" x14ac:dyDescent="0.2">
      <c r="B354" s="27"/>
      <c r="C354" s="290"/>
    </row>
    <row r="355" spans="2:3" ht="13.5" customHeight="1" x14ac:dyDescent="0.2">
      <c r="C355" s="312"/>
    </row>
    <row r="356" spans="2:3" ht="13.5" customHeight="1" x14ac:dyDescent="0.2">
      <c r="B356" s="56"/>
      <c r="C356" s="290"/>
    </row>
    <row r="357" spans="2:3" ht="13.5" customHeight="1" x14ac:dyDescent="0.2">
      <c r="B357" s="56"/>
      <c r="C357" s="290"/>
    </row>
    <row r="358" spans="2:3" ht="13.5" customHeight="1" x14ac:dyDescent="0.2">
      <c r="B358" s="56"/>
      <c r="C358" s="290"/>
    </row>
    <row r="359" spans="2:3" ht="13.5" customHeight="1" x14ac:dyDescent="0.2">
      <c r="B359" s="56"/>
      <c r="C359" s="290"/>
    </row>
    <row r="360" spans="2:3" ht="13.5" customHeight="1" x14ac:dyDescent="0.2">
      <c r="B360" s="94"/>
      <c r="C360" s="313"/>
    </row>
    <row r="361" spans="2:3" ht="13.5" customHeight="1" x14ac:dyDescent="0.2"/>
    <row r="362" spans="2:3" ht="13.5" customHeight="1" x14ac:dyDescent="0.2"/>
    <row r="363" spans="2:3" ht="13.5" customHeight="1" x14ac:dyDescent="0.2"/>
    <row r="364" spans="2:3" ht="13.5" customHeight="1" x14ac:dyDescent="0.2"/>
    <row r="365" spans="2:3" ht="13.5" customHeight="1" x14ac:dyDescent="0.2"/>
    <row r="366" spans="2:3" ht="13.5" customHeight="1" x14ac:dyDescent="0.2"/>
    <row r="367" spans="2:3" ht="13.5" customHeight="1" x14ac:dyDescent="0.2"/>
    <row r="368" spans="2:3" ht="13.5" customHeight="1" x14ac:dyDescent="0.2"/>
    <row r="369" ht="13.5" customHeight="1" x14ac:dyDescent="0.2"/>
    <row r="370" ht="13.5" customHeight="1" x14ac:dyDescent="0.2"/>
    <row r="371" ht="13.5" customHeight="1" x14ac:dyDescent="0.2"/>
    <row r="372" ht="13.5" customHeight="1" x14ac:dyDescent="0.2"/>
    <row r="373" ht="13.5" customHeight="1" x14ac:dyDescent="0.2"/>
    <row r="374" ht="13.5" customHeight="1" x14ac:dyDescent="0.2"/>
    <row r="375" ht="13.5" customHeight="1" x14ac:dyDescent="0.2"/>
    <row r="376" ht="13.5" customHeight="1" x14ac:dyDescent="0.2"/>
    <row r="377" ht="13.5" customHeight="1" x14ac:dyDescent="0.2"/>
    <row r="378" ht="13.5" customHeight="1" x14ac:dyDescent="0.2"/>
    <row r="379" ht="13.5" customHeight="1" x14ac:dyDescent="0.2"/>
    <row r="380" ht="13.5" customHeight="1" x14ac:dyDescent="0.2"/>
    <row r="381" ht="13.5" customHeight="1" x14ac:dyDescent="0.2"/>
    <row r="382" ht="13.5" customHeight="1" x14ac:dyDescent="0.2"/>
    <row r="383" ht="13.5" customHeight="1" x14ac:dyDescent="0.2"/>
    <row r="384" ht="13.5" customHeight="1" x14ac:dyDescent="0.2"/>
    <row r="385" ht="13.5" customHeight="1" x14ac:dyDescent="0.2"/>
    <row r="386" ht="13.5" customHeight="1" x14ac:dyDescent="0.2"/>
    <row r="387" ht="13.5" customHeight="1" x14ac:dyDescent="0.2"/>
    <row r="388" ht="13.5" customHeight="1" x14ac:dyDescent="0.2"/>
    <row r="389" ht="13.5" customHeight="1" x14ac:dyDescent="0.2"/>
    <row r="390" ht="13.5" customHeight="1" x14ac:dyDescent="0.2"/>
    <row r="391" ht="13.5" customHeight="1" x14ac:dyDescent="0.2"/>
    <row r="392" ht="13.5" customHeight="1" x14ac:dyDescent="0.2"/>
    <row r="393" ht="13.5" customHeight="1" x14ac:dyDescent="0.2"/>
    <row r="394" ht="13.5" customHeight="1" x14ac:dyDescent="0.2"/>
    <row r="395" ht="13.5" customHeight="1" x14ac:dyDescent="0.2"/>
    <row r="396" ht="13.5" customHeight="1" x14ac:dyDescent="0.2"/>
    <row r="397" ht="13.5" customHeight="1" x14ac:dyDescent="0.2"/>
    <row r="398" ht="13.5" customHeight="1" x14ac:dyDescent="0.2"/>
  </sheetData>
  <sortState xmlns:xlrd2="http://schemas.microsoft.com/office/spreadsheetml/2017/richdata2" ref="A159:C211">
    <sortCondition ref="A159:A211"/>
    <sortCondition ref="B159:B211"/>
  </sortState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M360"/>
  <sheetViews>
    <sheetView topLeftCell="D246" zoomScale="85" zoomScaleNormal="85" workbookViewId="0">
      <selection activeCell="L257" sqref="L257:M266"/>
    </sheetView>
  </sheetViews>
  <sheetFormatPr defaultColWidth="9" defaultRowHeight="12.75" x14ac:dyDescent="0.2"/>
  <cols>
    <col min="1" max="1" width="14" style="1" customWidth="1"/>
    <col min="2" max="2" width="1.875" style="1" customWidth="1"/>
    <col min="3" max="3" width="80.5" style="1" customWidth="1"/>
    <col min="4" max="4" width="12" style="1" customWidth="1"/>
    <col min="5" max="5" width="12.375" style="1" customWidth="1"/>
    <col min="6" max="6" width="10.75" style="1" customWidth="1"/>
    <col min="7" max="7" width="11.875" style="1" customWidth="1"/>
    <col min="8" max="9" width="10.75" style="18" customWidth="1"/>
    <col min="10" max="10" width="10.875" style="66" customWidth="1"/>
    <col min="11" max="11" width="9" style="1"/>
    <col min="12" max="12" width="10.875" style="40" bestFit="1" customWidth="1"/>
    <col min="13" max="13" width="20" style="1" customWidth="1"/>
    <col min="14" max="16384" width="9" style="1"/>
  </cols>
  <sheetData>
    <row r="1" spans="1:11" ht="13.5" customHeight="1" thickBot="1" x14ac:dyDescent="0.25">
      <c r="A1" s="1407" t="s">
        <v>1228</v>
      </c>
      <c r="B1" s="1407"/>
      <c r="C1" s="1408"/>
      <c r="D1" s="1409" t="s">
        <v>0</v>
      </c>
      <c r="E1" s="1410"/>
      <c r="F1" s="1410"/>
      <c r="G1" s="1411"/>
      <c r="H1" s="1412" t="s">
        <v>1</v>
      </c>
      <c r="I1" s="1413"/>
      <c r="J1" s="1414"/>
    </row>
    <row r="2" spans="1:11" ht="13.5" customHeight="1" thickBot="1" x14ac:dyDescent="0.25">
      <c r="A2" s="2" t="s">
        <v>2</v>
      </c>
      <c r="B2" s="3"/>
      <c r="C2" s="3" t="s">
        <v>3</v>
      </c>
      <c r="D2" s="3" t="s">
        <v>4</v>
      </c>
      <c r="E2" s="3" t="s">
        <v>5</v>
      </c>
      <c r="F2" s="3" t="s">
        <v>6</v>
      </c>
      <c r="G2" s="5" t="s">
        <v>7</v>
      </c>
      <c r="H2" s="6" t="s">
        <v>5</v>
      </c>
      <c r="I2" s="4" t="s">
        <v>6</v>
      </c>
      <c r="J2" s="7" t="s">
        <v>7</v>
      </c>
    </row>
    <row r="3" spans="1:11" ht="13.5" customHeight="1" x14ac:dyDescent="0.2">
      <c r="A3" s="8">
        <v>43466</v>
      </c>
      <c r="B3" s="9"/>
      <c r="C3" s="10" t="s">
        <v>8</v>
      </c>
      <c r="D3" s="11"/>
      <c r="E3" s="12"/>
      <c r="F3" s="13"/>
      <c r="G3" s="14">
        <v>1667.74</v>
      </c>
      <c r="H3" s="15"/>
      <c r="I3" s="16"/>
      <c r="J3" s="17">
        <v>1893.6600000000055</v>
      </c>
      <c r="K3" s="18">
        <f>J3</f>
        <v>1893.6600000000055</v>
      </c>
    </row>
    <row r="4" spans="1:11" ht="13.5" customHeight="1" x14ac:dyDescent="0.2">
      <c r="A4" s="19"/>
      <c r="B4" s="20"/>
      <c r="C4" s="21" t="s">
        <v>9</v>
      </c>
      <c r="D4" s="11"/>
      <c r="E4" s="12"/>
      <c r="F4" s="22">
        <v>0</v>
      </c>
      <c r="G4" s="23"/>
      <c r="H4" s="24"/>
      <c r="I4" s="25"/>
      <c r="J4" s="26"/>
      <c r="K4" s="18">
        <f>K3+I4-H4</f>
        <v>1893.6600000000055</v>
      </c>
    </row>
    <row r="5" spans="1:11" ht="13.5" customHeight="1" x14ac:dyDescent="0.2">
      <c r="A5" s="19"/>
      <c r="B5" s="20"/>
      <c r="C5" s="21" t="s">
        <v>10</v>
      </c>
      <c r="D5" s="11"/>
      <c r="E5" s="12"/>
      <c r="F5" s="22">
        <v>0</v>
      </c>
      <c r="G5" s="23"/>
      <c r="H5" s="24"/>
      <c r="I5" s="25"/>
      <c r="J5" s="26"/>
      <c r="K5" s="18"/>
    </row>
    <row r="6" spans="1:11" ht="13.5" customHeight="1" x14ac:dyDescent="0.2">
      <c r="A6" s="19">
        <v>43102</v>
      </c>
      <c r="B6" s="20"/>
      <c r="C6" s="34" t="s">
        <v>1229</v>
      </c>
      <c r="D6" s="11"/>
      <c r="E6" s="12"/>
      <c r="F6" s="22"/>
      <c r="G6" s="23"/>
      <c r="H6" s="24"/>
      <c r="I6" s="25">
        <v>220</v>
      </c>
      <c r="J6" s="39">
        <v>2113.6600000000053</v>
      </c>
      <c r="K6" s="18"/>
    </row>
    <row r="7" spans="1:11" ht="13.5" customHeight="1" x14ac:dyDescent="0.2">
      <c r="A7" s="19">
        <v>43468</v>
      </c>
      <c r="B7" s="20"/>
      <c r="C7" s="34" t="s">
        <v>1230</v>
      </c>
      <c r="D7" s="11"/>
      <c r="E7" s="12"/>
      <c r="F7" s="22"/>
      <c r="G7" s="23"/>
      <c r="H7" s="24"/>
      <c r="I7" s="25">
        <v>1500</v>
      </c>
      <c r="J7" s="26"/>
      <c r="K7" s="18"/>
    </row>
    <row r="8" spans="1:11" ht="13.5" customHeight="1" x14ac:dyDescent="0.2">
      <c r="A8" s="19"/>
      <c r="B8" s="20"/>
      <c r="C8" s="34" t="s">
        <v>1231</v>
      </c>
      <c r="D8" s="11"/>
      <c r="E8" s="12"/>
      <c r="F8" s="22"/>
      <c r="G8" s="23"/>
      <c r="H8" s="24">
        <v>150</v>
      </c>
      <c r="I8" s="25"/>
      <c r="J8" s="26"/>
      <c r="K8" s="18"/>
    </row>
    <row r="9" spans="1:11" ht="13.5" customHeight="1" x14ac:dyDescent="0.2">
      <c r="A9" s="19"/>
      <c r="B9" s="20"/>
      <c r="C9" s="34" t="s">
        <v>1232</v>
      </c>
      <c r="D9" s="11"/>
      <c r="E9" s="12"/>
      <c r="F9" s="22"/>
      <c r="G9" s="23"/>
      <c r="H9" s="24">
        <v>150</v>
      </c>
      <c r="I9" s="25"/>
      <c r="J9" s="26">
        <v>3313.6600000000053</v>
      </c>
      <c r="K9" s="18"/>
    </row>
    <row r="10" spans="1:11" ht="13.5" customHeight="1" x14ac:dyDescent="0.2">
      <c r="A10" s="19">
        <v>43469</v>
      </c>
      <c r="B10" s="20"/>
      <c r="C10" s="21" t="s">
        <v>1233</v>
      </c>
      <c r="D10" s="11"/>
      <c r="E10" s="12"/>
      <c r="F10" s="22"/>
      <c r="G10" s="23"/>
      <c r="H10" s="24"/>
      <c r="I10" s="25">
        <v>1020</v>
      </c>
      <c r="J10" s="26"/>
      <c r="K10" s="18"/>
    </row>
    <row r="11" spans="1:11" ht="13.5" customHeight="1" x14ac:dyDescent="0.2">
      <c r="A11" s="19"/>
      <c r="B11" s="20"/>
      <c r="C11" s="34" t="s">
        <v>1234</v>
      </c>
      <c r="D11" s="11"/>
      <c r="E11" s="12"/>
      <c r="F11" s="22"/>
      <c r="G11" s="23"/>
      <c r="H11" s="24">
        <v>4.8</v>
      </c>
      <c r="I11" s="25"/>
      <c r="J11" s="26"/>
      <c r="K11" s="18"/>
    </row>
    <row r="12" spans="1:11" ht="13.5" customHeight="1" x14ac:dyDescent="0.2">
      <c r="A12" s="19"/>
      <c r="B12" s="20"/>
      <c r="C12" s="34" t="s">
        <v>1235</v>
      </c>
      <c r="D12" s="11"/>
      <c r="E12" s="12"/>
      <c r="F12" s="22"/>
      <c r="G12" s="23"/>
      <c r="H12" s="24">
        <v>16.899999999999999</v>
      </c>
      <c r="I12" s="25"/>
      <c r="J12" s="26"/>
      <c r="K12" s="18"/>
    </row>
    <row r="13" spans="1:11" ht="13.5" customHeight="1" x14ac:dyDescent="0.2">
      <c r="A13" s="19"/>
      <c r="B13" s="20"/>
      <c r="C13" s="34" t="s">
        <v>1236</v>
      </c>
      <c r="D13" s="11"/>
      <c r="E13" s="12"/>
      <c r="F13" s="22"/>
      <c r="G13" s="23"/>
      <c r="H13" s="24">
        <v>58</v>
      </c>
      <c r="I13" s="25"/>
      <c r="J13" s="26"/>
      <c r="K13" s="18"/>
    </row>
    <row r="14" spans="1:11" ht="13.5" customHeight="1" x14ac:dyDescent="0.2">
      <c r="A14" s="19"/>
      <c r="B14" s="20"/>
      <c r="C14" s="45" t="s">
        <v>1237</v>
      </c>
      <c r="D14" s="11"/>
      <c r="E14" s="12"/>
      <c r="F14" s="22"/>
      <c r="G14" s="23"/>
      <c r="H14" s="24">
        <v>500</v>
      </c>
      <c r="I14" s="25"/>
      <c r="J14" s="26">
        <v>3753.9600000000055</v>
      </c>
      <c r="K14" s="18"/>
    </row>
    <row r="15" spans="1:11" ht="13.5" customHeight="1" x14ac:dyDescent="0.2">
      <c r="A15" s="19">
        <v>43472</v>
      </c>
      <c r="B15" s="20"/>
      <c r="C15" s="34" t="s">
        <v>1238</v>
      </c>
      <c r="D15" s="11"/>
      <c r="E15" s="12"/>
      <c r="F15" s="22"/>
      <c r="G15" s="23"/>
      <c r="H15" s="24">
        <v>54.04</v>
      </c>
      <c r="I15" s="25"/>
      <c r="J15" s="26"/>
      <c r="K15" s="18"/>
    </row>
    <row r="16" spans="1:11" ht="13.5" customHeight="1" x14ac:dyDescent="0.2">
      <c r="A16" s="19"/>
      <c r="B16" s="20"/>
      <c r="C16" s="34" t="s">
        <v>340</v>
      </c>
      <c r="D16" s="11"/>
      <c r="E16" s="12"/>
      <c r="F16" s="22"/>
      <c r="G16" s="23"/>
      <c r="H16" s="24">
        <v>33.4</v>
      </c>
      <c r="I16" s="25"/>
      <c r="J16" s="26"/>
      <c r="K16" s="18"/>
    </row>
    <row r="17" spans="1:11" ht="13.5" customHeight="1" x14ac:dyDescent="0.2">
      <c r="A17" s="19"/>
      <c r="B17" s="20"/>
      <c r="C17" s="34" t="s">
        <v>1239</v>
      </c>
      <c r="D17" s="11"/>
      <c r="E17" s="12"/>
      <c r="F17" s="22"/>
      <c r="G17" s="23"/>
      <c r="H17" s="24">
        <v>48.54</v>
      </c>
      <c r="I17" s="25"/>
      <c r="J17" s="26"/>
      <c r="K17" s="18"/>
    </row>
    <row r="18" spans="1:11" ht="13.5" customHeight="1" x14ac:dyDescent="0.2">
      <c r="A18" s="19"/>
      <c r="B18" s="20"/>
      <c r="C18" s="34" t="s">
        <v>458</v>
      </c>
      <c r="D18" s="11"/>
      <c r="E18" s="12"/>
      <c r="F18" s="22"/>
      <c r="G18" s="23"/>
      <c r="H18" s="174">
        <v>190</v>
      </c>
      <c r="I18" s="25"/>
      <c r="J18" s="26"/>
      <c r="K18" s="18"/>
    </row>
    <row r="19" spans="1:11" ht="13.5" customHeight="1" x14ac:dyDescent="0.2">
      <c r="A19" s="19"/>
      <c r="B19" s="20"/>
      <c r="C19" s="34" t="s">
        <v>1240</v>
      </c>
      <c r="D19" s="11"/>
      <c r="E19" s="12"/>
      <c r="F19" s="22"/>
      <c r="G19" s="23"/>
      <c r="H19" s="24"/>
      <c r="I19" s="25">
        <v>1030</v>
      </c>
      <c r="J19" s="26"/>
      <c r="K19" s="18"/>
    </row>
    <row r="20" spans="1:11" ht="13.5" customHeight="1" x14ac:dyDescent="0.2">
      <c r="A20" s="19"/>
      <c r="B20" s="20"/>
      <c r="C20" s="34" t="s">
        <v>1241</v>
      </c>
      <c r="D20" s="11"/>
      <c r="E20" s="12"/>
      <c r="F20" s="22"/>
      <c r="G20" s="23"/>
      <c r="H20" s="24"/>
      <c r="I20" s="25">
        <v>5000</v>
      </c>
      <c r="J20" s="39"/>
      <c r="K20" s="18"/>
    </row>
    <row r="21" spans="1:11" ht="13.5" customHeight="1" x14ac:dyDescent="0.2">
      <c r="A21" s="19"/>
      <c r="B21" s="20"/>
      <c r="C21" s="34" t="s">
        <v>38</v>
      </c>
      <c r="D21" s="11"/>
      <c r="E21" s="12"/>
      <c r="F21" s="22"/>
      <c r="G21" s="23"/>
      <c r="H21" s="24">
        <v>5000</v>
      </c>
      <c r="I21" s="25"/>
      <c r="J21" s="26">
        <v>4457.980000000005</v>
      </c>
      <c r="K21" s="18"/>
    </row>
    <row r="22" spans="1:11" ht="13.5" customHeight="1" x14ac:dyDescent="0.2">
      <c r="A22" s="19"/>
      <c r="B22" s="20"/>
      <c r="C22" s="34" t="s">
        <v>53</v>
      </c>
      <c r="D22" s="11" t="s">
        <v>336</v>
      </c>
      <c r="E22" s="12">
        <v>-532.21</v>
      </c>
      <c r="F22" s="22" t="s">
        <v>549</v>
      </c>
      <c r="G22" s="23"/>
      <c r="H22" s="24"/>
      <c r="I22" s="25"/>
      <c r="J22" s="26"/>
      <c r="K22" s="18"/>
    </row>
    <row r="23" spans="1:11" ht="13.5" customHeight="1" x14ac:dyDescent="0.2">
      <c r="A23" s="19"/>
      <c r="B23" s="20"/>
      <c r="C23" s="34" t="s">
        <v>458</v>
      </c>
      <c r="D23" s="11" t="s">
        <v>1242</v>
      </c>
      <c r="E23" s="12" t="s">
        <v>549</v>
      </c>
      <c r="F23" s="162">
        <v>190</v>
      </c>
      <c r="G23" s="23"/>
      <c r="H23" s="24"/>
      <c r="I23" s="25"/>
      <c r="J23" s="26"/>
      <c r="K23" s="18"/>
    </row>
    <row r="24" spans="1:11" ht="13.5" customHeight="1" x14ac:dyDescent="0.2">
      <c r="A24" s="19"/>
      <c r="B24" s="20"/>
      <c r="C24" s="34" t="s">
        <v>20</v>
      </c>
      <c r="D24" s="11" t="s">
        <v>19</v>
      </c>
      <c r="E24" s="12" t="s">
        <v>549</v>
      </c>
      <c r="F24" s="22">
        <v>0.03</v>
      </c>
      <c r="G24" s="23">
        <v>1325.56</v>
      </c>
      <c r="H24" s="24"/>
      <c r="I24" s="25"/>
      <c r="J24" s="26"/>
      <c r="K24" s="18"/>
    </row>
    <row r="25" spans="1:11" ht="13.5" customHeight="1" x14ac:dyDescent="0.2">
      <c r="A25" s="19">
        <v>43474</v>
      </c>
      <c r="B25" s="20"/>
      <c r="C25" s="36" t="s">
        <v>1243</v>
      </c>
      <c r="D25" s="11"/>
      <c r="E25" s="12"/>
      <c r="F25" s="22"/>
      <c r="G25" s="23"/>
      <c r="H25" s="24">
        <v>7.1</v>
      </c>
      <c r="I25" s="25"/>
      <c r="J25" s="26"/>
      <c r="K25" s="18"/>
    </row>
    <row r="26" spans="1:11" ht="13.5" customHeight="1" x14ac:dyDescent="0.2">
      <c r="A26" s="19"/>
      <c r="B26" s="20"/>
      <c r="C26" s="36" t="s">
        <v>1244</v>
      </c>
      <c r="D26" s="11"/>
      <c r="E26" s="12"/>
      <c r="F26" s="22"/>
      <c r="G26" s="23"/>
      <c r="H26" s="24">
        <v>14.2</v>
      </c>
      <c r="I26" s="25"/>
      <c r="J26" s="26"/>
      <c r="K26" s="18"/>
    </row>
    <row r="27" spans="1:11" ht="13.5" customHeight="1" x14ac:dyDescent="0.2">
      <c r="A27" s="19"/>
      <c r="B27" s="20"/>
      <c r="C27" s="34" t="s">
        <v>1244</v>
      </c>
      <c r="D27" s="11"/>
      <c r="E27" s="12"/>
      <c r="F27" s="22"/>
      <c r="G27" s="23"/>
      <c r="H27" s="24">
        <v>7.1</v>
      </c>
      <c r="I27" s="25"/>
      <c r="J27" s="26"/>
      <c r="K27" s="18"/>
    </row>
    <row r="28" spans="1:11" ht="13.5" customHeight="1" x14ac:dyDescent="0.2">
      <c r="A28" s="19"/>
      <c r="B28" s="20"/>
      <c r="C28" s="34" t="s">
        <v>1245</v>
      </c>
      <c r="D28" s="11"/>
      <c r="E28" s="12"/>
      <c r="F28" s="22"/>
      <c r="G28" s="23"/>
      <c r="H28" s="24">
        <v>5.26</v>
      </c>
      <c r="I28" s="25"/>
      <c r="J28" s="26"/>
      <c r="K28" s="18"/>
    </row>
    <row r="29" spans="1:11" ht="13.5" customHeight="1" x14ac:dyDescent="0.2">
      <c r="A29" s="19"/>
      <c r="B29" s="20"/>
      <c r="C29" s="34" t="s">
        <v>1246</v>
      </c>
      <c r="D29" s="11"/>
      <c r="E29" s="12"/>
      <c r="F29" s="22"/>
      <c r="G29" s="23"/>
      <c r="H29" s="24">
        <v>14.9</v>
      </c>
      <c r="I29" s="25"/>
      <c r="J29" s="26"/>
      <c r="K29" s="18"/>
    </row>
    <row r="30" spans="1:11" ht="13.5" customHeight="1" x14ac:dyDescent="0.2">
      <c r="A30" s="19"/>
      <c r="B30" s="20"/>
      <c r="C30" s="34" t="s">
        <v>1247</v>
      </c>
      <c r="D30" s="11"/>
      <c r="E30" s="12"/>
      <c r="F30" s="22"/>
      <c r="G30" s="23"/>
      <c r="H30" s="24">
        <v>5</v>
      </c>
      <c r="I30" s="25"/>
      <c r="J30" s="26"/>
      <c r="K30" s="18"/>
    </row>
    <row r="31" spans="1:11" ht="13.5" customHeight="1" x14ac:dyDescent="0.2">
      <c r="A31" s="19"/>
      <c r="B31" s="20"/>
      <c r="C31" s="34" t="s">
        <v>1248</v>
      </c>
      <c r="D31" s="11"/>
      <c r="E31" s="12"/>
      <c r="F31" s="22"/>
      <c r="G31" s="23"/>
      <c r="H31" s="24">
        <v>7.1</v>
      </c>
      <c r="I31" s="25"/>
      <c r="J31" s="26"/>
      <c r="K31" s="18"/>
    </row>
    <row r="32" spans="1:11" ht="13.5" customHeight="1" x14ac:dyDescent="0.2">
      <c r="A32" s="19"/>
      <c r="B32" s="20"/>
      <c r="C32" s="45" t="s">
        <v>1249</v>
      </c>
      <c r="D32" s="11"/>
      <c r="E32" s="12"/>
      <c r="F32" s="22"/>
      <c r="G32" s="23"/>
      <c r="H32" s="24">
        <v>150</v>
      </c>
      <c r="I32" s="25"/>
      <c r="J32" s="26"/>
      <c r="K32" s="18"/>
    </row>
    <row r="33" spans="1:11" ht="13.5" customHeight="1" x14ac:dyDescent="0.2">
      <c r="A33" s="19"/>
      <c r="B33" s="20"/>
      <c r="C33" s="34" t="s">
        <v>115</v>
      </c>
      <c r="D33" s="11"/>
      <c r="E33" s="12"/>
      <c r="F33" s="22"/>
      <c r="G33" s="23"/>
      <c r="H33" s="24">
        <v>8</v>
      </c>
      <c r="I33" s="25"/>
      <c r="J33" s="26"/>
      <c r="K33" s="18"/>
    </row>
    <row r="34" spans="1:11" ht="13.5" customHeight="1" x14ac:dyDescent="0.2">
      <c r="A34" s="19"/>
      <c r="B34" s="20"/>
      <c r="C34" s="34" t="s">
        <v>1250</v>
      </c>
      <c r="D34" s="11"/>
      <c r="E34" s="12"/>
      <c r="F34" s="22"/>
      <c r="G34" s="23"/>
      <c r="H34" s="24"/>
      <c r="I34" s="25">
        <v>1975.42</v>
      </c>
      <c r="J34" s="26"/>
      <c r="K34" s="18"/>
    </row>
    <row r="35" spans="1:11" ht="13.5" customHeight="1" x14ac:dyDescent="0.2">
      <c r="A35" s="19"/>
      <c r="B35" s="20"/>
      <c r="C35" s="34" t="s">
        <v>1251</v>
      </c>
      <c r="D35" s="11"/>
      <c r="E35" s="12"/>
      <c r="F35" s="22"/>
      <c r="G35" s="23"/>
      <c r="H35" s="24"/>
      <c r="I35" s="25">
        <v>318</v>
      </c>
      <c r="J35" s="26"/>
      <c r="K35" s="18"/>
    </row>
    <row r="36" spans="1:11" ht="13.5" customHeight="1" x14ac:dyDescent="0.2">
      <c r="A36" s="19"/>
      <c r="B36" s="20"/>
      <c r="C36" s="34" t="s">
        <v>1252</v>
      </c>
      <c r="D36" s="11"/>
      <c r="E36" s="12"/>
      <c r="F36" s="22"/>
      <c r="G36" s="23"/>
      <c r="H36" s="24">
        <v>1000</v>
      </c>
      <c r="I36" s="25"/>
      <c r="J36" s="26">
        <v>5532.7400000000043</v>
      </c>
      <c r="K36" s="18"/>
    </row>
    <row r="37" spans="1:11" ht="13.5" customHeight="1" x14ac:dyDescent="0.2">
      <c r="A37" s="19"/>
      <c r="B37" s="20"/>
      <c r="C37" s="34" t="s">
        <v>62</v>
      </c>
      <c r="D37" s="11" t="s">
        <v>19</v>
      </c>
      <c r="E37" s="12">
        <v>-408.26</v>
      </c>
      <c r="F37" s="22" t="s">
        <v>549</v>
      </c>
      <c r="G37" s="23"/>
      <c r="H37" s="24"/>
      <c r="I37" s="25"/>
      <c r="J37" s="26"/>
      <c r="K37" s="18"/>
    </row>
    <row r="38" spans="1:11" ht="13.5" customHeight="1" x14ac:dyDescent="0.2">
      <c r="A38" s="19"/>
      <c r="B38" s="20"/>
      <c r="C38" s="36" t="s">
        <v>1253</v>
      </c>
      <c r="D38" s="11" t="s">
        <v>19</v>
      </c>
      <c r="E38" s="12">
        <v>-9.33</v>
      </c>
      <c r="F38" s="22" t="s">
        <v>549</v>
      </c>
      <c r="G38" s="23"/>
      <c r="H38" s="24"/>
      <c r="I38" s="25"/>
      <c r="J38" s="26"/>
      <c r="K38" s="18"/>
    </row>
    <row r="39" spans="1:11" ht="13.5" customHeight="1" x14ac:dyDescent="0.2">
      <c r="A39" s="19"/>
      <c r="B39" s="20"/>
      <c r="C39" s="36" t="s">
        <v>1254</v>
      </c>
      <c r="D39" s="11" t="s">
        <v>19</v>
      </c>
      <c r="E39" s="12">
        <v>-1.85</v>
      </c>
      <c r="F39" s="22" t="s">
        <v>549</v>
      </c>
      <c r="G39" s="23"/>
      <c r="H39" s="24"/>
      <c r="I39" s="25"/>
      <c r="J39" s="26"/>
      <c r="K39" s="18"/>
    </row>
    <row r="40" spans="1:11" ht="13.5" customHeight="1" x14ac:dyDescent="0.2">
      <c r="A40" s="19"/>
      <c r="B40" s="20"/>
      <c r="C40" s="34" t="s">
        <v>68</v>
      </c>
      <c r="D40" s="11" t="s">
        <v>19</v>
      </c>
      <c r="E40" s="12">
        <v>-129.9</v>
      </c>
      <c r="F40" s="22" t="s">
        <v>549</v>
      </c>
      <c r="G40" s="23"/>
      <c r="H40" s="24"/>
      <c r="I40" s="25"/>
      <c r="J40" s="127"/>
    </row>
    <row r="41" spans="1:11" ht="13.5" customHeight="1" x14ac:dyDescent="0.2">
      <c r="A41" s="19"/>
      <c r="B41" s="20"/>
      <c r="C41" s="34" t="s">
        <v>20</v>
      </c>
      <c r="D41" s="11" t="s">
        <v>19</v>
      </c>
      <c r="E41" s="12" t="s">
        <v>549</v>
      </c>
      <c r="F41" s="22">
        <v>0.02</v>
      </c>
      <c r="G41" s="23">
        <v>776.24</v>
      </c>
      <c r="H41" s="24"/>
      <c r="I41" s="25"/>
      <c r="J41" s="26"/>
    </row>
    <row r="42" spans="1:11" ht="13.5" customHeight="1" x14ac:dyDescent="0.2">
      <c r="A42" s="19">
        <v>43475</v>
      </c>
      <c r="B42" s="20"/>
      <c r="C42" s="34" t="s">
        <v>1255</v>
      </c>
      <c r="D42" s="11"/>
      <c r="E42" s="12"/>
      <c r="F42" s="22"/>
      <c r="G42" s="23"/>
      <c r="H42" s="24"/>
      <c r="I42" s="25">
        <v>60</v>
      </c>
      <c r="J42" s="26">
        <v>5592.7400000000043</v>
      </c>
    </row>
    <row r="43" spans="1:11" ht="13.5" customHeight="1" x14ac:dyDescent="0.2">
      <c r="A43" s="19">
        <v>43476</v>
      </c>
      <c r="B43" s="20"/>
      <c r="C43" s="34" t="s">
        <v>1256</v>
      </c>
      <c r="D43" s="11"/>
      <c r="E43" s="12"/>
      <c r="F43" s="22"/>
      <c r="G43" s="23"/>
      <c r="H43" s="24"/>
      <c r="I43" s="25">
        <v>900</v>
      </c>
      <c r="J43" s="26"/>
    </row>
    <row r="44" spans="1:11" ht="13.5" customHeight="1" x14ac:dyDescent="0.2">
      <c r="A44" s="19"/>
      <c r="B44" s="20"/>
      <c r="C44" s="34" t="s">
        <v>1257</v>
      </c>
      <c r="D44" s="11"/>
      <c r="E44" s="12"/>
      <c r="F44" s="22"/>
      <c r="G44" s="23"/>
      <c r="H44" s="24"/>
      <c r="I44" s="25">
        <v>900</v>
      </c>
      <c r="J44" s="26"/>
    </row>
    <row r="45" spans="1:11" ht="13.5" customHeight="1" x14ac:dyDescent="0.2">
      <c r="A45" s="19"/>
      <c r="B45" s="20"/>
      <c r="C45" s="34" t="s">
        <v>77</v>
      </c>
      <c r="D45" s="11"/>
      <c r="E45" s="12"/>
      <c r="F45" s="22"/>
      <c r="G45" s="23"/>
      <c r="H45" s="44">
        <v>400</v>
      </c>
      <c r="I45" s="25"/>
      <c r="J45" s="26"/>
    </row>
    <row r="46" spans="1:11" ht="13.5" customHeight="1" x14ac:dyDescent="0.2">
      <c r="A46" s="19"/>
      <c r="B46" s="20"/>
      <c r="C46" s="34" t="s">
        <v>1258</v>
      </c>
      <c r="D46" s="11"/>
      <c r="E46" s="12"/>
      <c r="F46" s="22"/>
      <c r="G46" s="23"/>
      <c r="H46" s="24"/>
      <c r="I46" s="25">
        <v>1449.52</v>
      </c>
      <c r="J46" s="26"/>
    </row>
    <row r="47" spans="1:11" ht="13.5" customHeight="1" x14ac:dyDescent="0.2">
      <c r="A47" s="19"/>
      <c r="B47" s="20"/>
      <c r="C47" s="34" t="s">
        <v>1259</v>
      </c>
      <c r="D47" s="11"/>
      <c r="E47" s="12"/>
      <c r="F47" s="22"/>
      <c r="G47" s="23"/>
      <c r="H47" s="24"/>
      <c r="I47" s="25">
        <v>1169</v>
      </c>
      <c r="J47" s="26"/>
    </row>
    <row r="48" spans="1:11" ht="13.5" customHeight="1" x14ac:dyDescent="0.2">
      <c r="A48" s="19"/>
      <c r="B48" s="20"/>
      <c r="C48" s="34" t="s">
        <v>1260</v>
      </c>
      <c r="D48" s="11"/>
      <c r="E48" s="12"/>
      <c r="F48" s="22"/>
      <c r="G48" s="23"/>
      <c r="H48" s="24"/>
      <c r="I48" s="25">
        <v>3500</v>
      </c>
      <c r="J48" s="26">
        <v>13111.260000000004</v>
      </c>
    </row>
    <row r="49" spans="1:10" ht="13.5" customHeight="1" x14ac:dyDescent="0.2">
      <c r="A49" s="19"/>
      <c r="B49" s="20"/>
      <c r="C49" s="36" t="s">
        <v>80</v>
      </c>
      <c r="D49" s="11" t="s">
        <v>19</v>
      </c>
      <c r="E49" s="12">
        <v>-88.67</v>
      </c>
      <c r="F49" s="22" t="s">
        <v>549</v>
      </c>
      <c r="G49" s="23"/>
      <c r="H49" s="24"/>
      <c r="I49" s="25"/>
      <c r="J49" s="26"/>
    </row>
    <row r="50" spans="1:10" ht="13.5" customHeight="1" x14ac:dyDescent="0.2">
      <c r="A50" s="19"/>
      <c r="B50" s="20"/>
      <c r="C50" s="34" t="s">
        <v>20</v>
      </c>
      <c r="D50" s="11" t="s">
        <v>19</v>
      </c>
      <c r="E50" s="12" t="s">
        <v>549</v>
      </c>
      <c r="F50" s="22">
        <v>0.01</v>
      </c>
      <c r="G50" s="23">
        <v>687.58</v>
      </c>
      <c r="H50" s="24"/>
      <c r="I50" s="25"/>
      <c r="J50" s="39"/>
    </row>
    <row r="51" spans="1:10" ht="13.5" customHeight="1" x14ac:dyDescent="0.2">
      <c r="A51" s="19">
        <v>43479</v>
      </c>
      <c r="B51" s="20"/>
      <c r="C51" s="34" t="s">
        <v>1261</v>
      </c>
      <c r="D51" s="11"/>
      <c r="E51" s="12"/>
      <c r="F51" s="22"/>
      <c r="G51" s="23"/>
      <c r="H51" s="24"/>
      <c r="I51" s="25">
        <v>1519</v>
      </c>
      <c r="J51" s="26"/>
    </row>
    <row r="52" spans="1:10" ht="13.5" customHeight="1" x14ac:dyDescent="0.2">
      <c r="A52" s="19"/>
      <c r="B52" s="20"/>
      <c r="C52" s="34" t="s">
        <v>1262</v>
      </c>
      <c r="D52" s="11"/>
      <c r="E52" s="12"/>
      <c r="F52" s="22"/>
      <c r="G52" s="23"/>
      <c r="H52" s="24">
        <v>12</v>
      </c>
      <c r="I52" s="25"/>
      <c r="J52" s="26"/>
    </row>
    <row r="53" spans="1:10" ht="13.5" customHeight="1" x14ac:dyDescent="0.2">
      <c r="A53" s="19"/>
      <c r="B53" s="20"/>
      <c r="C53" s="34" t="s">
        <v>1263</v>
      </c>
      <c r="D53" s="11"/>
      <c r="E53" s="12"/>
      <c r="F53" s="22"/>
      <c r="G53" s="23"/>
      <c r="H53" s="24">
        <v>19</v>
      </c>
      <c r="I53" s="25"/>
      <c r="J53" s="26"/>
    </row>
    <row r="54" spans="1:10" ht="13.5" customHeight="1" x14ac:dyDescent="0.2">
      <c r="A54" s="19"/>
      <c r="B54" s="20"/>
      <c r="C54" s="34" t="s">
        <v>1264</v>
      </c>
      <c r="D54" s="11"/>
      <c r="E54" s="12"/>
      <c r="F54" s="22"/>
      <c r="G54" s="23"/>
      <c r="H54" s="24">
        <v>14.5</v>
      </c>
      <c r="I54" s="25"/>
      <c r="J54" s="26"/>
    </row>
    <row r="55" spans="1:10" ht="13.5" customHeight="1" x14ac:dyDescent="0.2">
      <c r="A55" s="19"/>
      <c r="B55" s="20"/>
      <c r="C55" s="34" t="s">
        <v>1265</v>
      </c>
      <c r="D55" s="11"/>
      <c r="E55" s="12"/>
      <c r="F55" s="22"/>
      <c r="G55" s="23"/>
      <c r="H55" s="24">
        <v>30</v>
      </c>
      <c r="I55" s="25"/>
      <c r="J55" s="26"/>
    </row>
    <row r="56" spans="1:10" ht="13.5" customHeight="1" x14ac:dyDescent="0.2">
      <c r="A56" s="19"/>
      <c r="B56" s="20"/>
      <c r="C56" s="34" t="s">
        <v>1266</v>
      </c>
      <c r="D56" s="11"/>
      <c r="E56" s="12"/>
      <c r="F56" s="22"/>
      <c r="G56" s="23"/>
      <c r="H56" s="24">
        <v>7.8</v>
      </c>
      <c r="I56" s="25"/>
      <c r="J56" s="26"/>
    </row>
    <row r="57" spans="1:10" ht="13.5" customHeight="1" x14ac:dyDescent="0.2">
      <c r="A57" s="19"/>
      <c r="B57" s="20"/>
      <c r="C57" s="34" t="s">
        <v>1267</v>
      </c>
      <c r="D57" s="11"/>
      <c r="E57" s="12"/>
      <c r="F57" s="22"/>
      <c r="G57" s="23"/>
      <c r="H57" s="24">
        <v>24.5</v>
      </c>
      <c r="I57" s="25"/>
      <c r="J57" s="26"/>
    </row>
    <row r="58" spans="1:10" ht="13.5" customHeight="1" x14ac:dyDescent="0.2">
      <c r="A58" s="19"/>
      <c r="B58" s="20"/>
      <c r="C58" s="34" t="s">
        <v>1268</v>
      </c>
      <c r="D58" s="11"/>
      <c r="E58" s="12"/>
      <c r="F58" s="22"/>
      <c r="G58" s="23"/>
      <c r="H58" s="24">
        <v>32</v>
      </c>
      <c r="I58" s="25"/>
      <c r="J58" s="26"/>
    </row>
    <row r="59" spans="1:10" ht="13.5" customHeight="1" x14ac:dyDescent="0.2">
      <c r="A59" s="19"/>
      <c r="B59" s="20"/>
      <c r="C59" s="34" t="s">
        <v>1269</v>
      </c>
      <c r="D59" s="11"/>
      <c r="E59" s="12"/>
      <c r="F59" s="22"/>
      <c r="G59" s="23"/>
      <c r="H59" s="24"/>
      <c r="I59" s="25">
        <v>190</v>
      </c>
      <c r="J59" s="26"/>
    </row>
    <row r="60" spans="1:10" ht="13.5" customHeight="1" x14ac:dyDescent="0.2">
      <c r="A60" s="19"/>
      <c r="B60" s="20"/>
      <c r="C60" s="34" t="s">
        <v>1270</v>
      </c>
      <c r="D60" s="11"/>
      <c r="E60" s="12"/>
      <c r="F60" s="22"/>
      <c r="G60" s="23"/>
      <c r="H60" s="24"/>
      <c r="I60" s="25">
        <v>190</v>
      </c>
      <c r="J60" s="26">
        <v>14870.460000000005</v>
      </c>
    </row>
    <row r="61" spans="1:10" ht="13.5" customHeight="1" x14ac:dyDescent="0.2">
      <c r="A61" s="19"/>
      <c r="B61" s="20"/>
      <c r="C61" s="34" t="s">
        <v>87</v>
      </c>
      <c r="D61" s="11" t="s">
        <v>19</v>
      </c>
      <c r="E61" s="12">
        <v>-37.93</v>
      </c>
      <c r="F61" s="22" t="s">
        <v>549</v>
      </c>
      <c r="G61" s="23">
        <v>649.65</v>
      </c>
      <c r="H61" s="24"/>
      <c r="I61" s="25"/>
      <c r="J61" s="26"/>
    </row>
    <row r="62" spans="1:10" ht="13.5" customHeight="1" x14ac:dyDescent="0.2">
      <c r="A62" s="19">
        <v>43480</v>
      </c>
      <c r="B62" s="20"/>
      <c r="C62" s="34" t="s">
        <v>1271</v>
      </c>
      <c r="D62" s="11"/>
      <c r="E62" s="12"/>
      <c r="F62" s="22"/>
      <c r="G62" s="23"/>
      <c r="H62" s="24">
        <v>54</v>
      </c>
      <c r="I62" s="25"/>
      <c r="J62" s="26"/>
    </row>
    <row r="63" spans="1:10" ht="13.5" customHeight="1" x14ac:dyDescent="0.2">
      <c r="A63" s="19"/>
      <c r="B63" s="20"/>
      <c r="C63" s="34" t="s">
        <v>77</v>
      </c>
      <c r="D63" s="11"/>
      <c r="E63" s="12"/>
      <c r="F63" s="22"/>
      <c r="G63" s="23"/>
      <c r="H63" s="44">
        <v>11000</v>
      </c>
      <c r="I63" s="25"/>
      <c r="J63" s="26"/>
    </row>
    <row r="64" spans="1:10" ht="13.5" customHeight="1" x14ac:dyDescent="0.2">
      <c r="A64" s="19"/>
      <c r="B64" s="20"/>
      <c r="C64" s="34" t="s">
        <v>464</v>
      </c>
      <c r="D64" s="11"/>
      <c r="E64" s="12"/>
      <c r="F64" s="22"/>
      <c r="G64" s="23"/>
      <c r="H64" s="174">
        <v>1020</v>
      </c>
      <c r="I64" s="25"/>
      <c r="J64" s="26"/>
    </row>
    <row r="65" spans="1:10" ht="13.5" customHeight="1" x14ac:dyDescent="0.2">
      <c r="A65" s="19"/>
      <c r="B65" s="20"/>
      <c r="C65" s="34" t="s">
        <v>1272</v>
      </c>
      <c r="D65" s="11"/>
      <c r="E65" s="12"/>
      <c r="F65" s="22"/>
      <c r="G65" s="23"/>
      <c r="H65" s="24"/>
      <c r="I65" s="25">
        <v>80</v>
      </c>
      <c r="J65" s="26"/>
    </row>
    <row r="66" spans="1:10" ht="13.5" customHeight="1" x14ac:dyDescent="0.2">
      <c r="A66" s="19"/>
      <c r="B66" s="20"/>
      <c r="C66" s="34" t="s">
        <v>1273</v>
      </c>
      <c r="D66" s="11"/>
      <c r="E66" s="12"/>
      <c r="F66" s="22"/>
      <c r="G66" s="23"/>
      <c r="H66" s="24">
        <v>7</v>
      </c>
      <c r="I66" s="25"/>
      <c r="J66" s="26"/>
    </row>
    <row r="67" spans="1:10" ht="13.5" customHeight="1" x14ac:dyDescent="0.2">
      <c r="A67" s="19"/>
      <c r="B67" s="20"/>
      <c r="C67" s="34" t="s">
        <v>1274</v>
      </c>
      <c r="D67" s="11"/>
      <c r="E67" s="12"/>
      <c r="F67" s="22"/>
      <c r="G67" s="23"/>
      <c r="H67" s="24">
        <v>16.8</v>
      </c>
      <c r="I67" s="25"/>
      <c r="J67" s="26">
        <v>2852.6600000000044</v>
      </c>
    </row>
    <row r="68" spans="1:10" ht="13.5" customHeight="1" x14ac:dyDescent="0.2">
      <c r="A68" s="19"/>
      <c r="B68" s="20"/>
      <c r="C68" s="34" t="s">
        <v>86</v>
      </c>
      <c r="D68" s="11" t="s">
        <v>19</v>
      </c>
      <c r="E68" s="12">
        <v>-72.900000000000006</v>
      </c>
      <c r="F68" s="22" t="s">
        <v>549</v>
      </c>
      <c r="G68" s="23"/>
      <c r="H68" s="24"/>
      <c r="I68" s="25"/>
      <c r="J68" s="26"/>
    </row>
    <row r="69" spans="1:10" ht="13.5" customHeight="1" x14ac:dyDescent="0.2">
      <c r="A69" s="19"/>
      <c r="B69" s="20"/>
      <c r="C69" s="34" t="s">
        <v>114</v>
      </c>
      <c r="D69" s="11" t="s">
        <v>1275</v>
      </c>
      <c r="E69" s="12">
        <v>-222.25</v>
      </c>
      <c r="F69" s="22" t="s">
        <v>549</v>
      </c>
      <c r="G69" s="23"/>
      <c r="H69" s="24"/>
      <c r="I69" s="25"/>
      <c r="J69" s="26"/>
    </row>
    <row r="70" spans="1:10" ht="13.5" customHeight="1" x14ac:dyDescent="0.2">
      <c r="A70" s="19"/>
      <c r="B70" s="20"/>
      <c r="C70" s="33" t="s">
        <v>81</v>
      </c>
      <c r="D70" s="11" t="s">
        <v>1276</v>
      </c>
      <c r="E70" s="12">
        <v>-49.9</v>
      </c>
      <c r="F70" s="22" t="s">
        <v>549</v>
      </c>
      <c r="G70" s="23"/>
      <c r="H70" s="24"/>
      <c r="I70" s="25"/>
      <c r="J70" s="26"/>
    </row>
    <row r="71" spans="1:10" ht="13.5" customHeight="1" x14ac:dyDescent="0.2">
      <c r="A71" s="19"/>
      <c r="B71" s="20"/>
      <c r="C71" s="34" t="s">
        <v>673</v>
      </c>
      <c r="D71" s="11" t="s">
        <v>1276</v>
      </c>
      <c r="E71" s="12">
        <v>-99.98</v>
      </c>
      <c r="F71" s="22" t="s">
        <v>549</v>
      </c>
      <c r="G71" s="23"/>
      <c r="H71" s="24"/>
      <c r="I71" s="25"/>
      <c r="J71" s="26"/>
    </row>
    <row r="72" spans="1:10" ht="13.5" customHeight="1" x14ac:dyDescent="0.2">
      <c r="A72" s="19"/>
      <c r="B72" s="20"/>
      <c r="C72" s="21" t="s">
        <v>113</v>
      </c>
      <c r="D72" s="11" t="s">
        <v>1277</v>
      </c>
      <c r="E72" s="12">
        <v>-267</v>
      </c>
      <c r="F72" s="22" t="s">
        <v>549</v>
      </c>
      <c r="G72" s="23"/>
      <c r="H72" s="24"/>
      <c r="I72" s="25"/>
      <c r="J72" s="26"/>
    </row>
    <row r="73" spans="1:10" ht="13.5" customHeight="1" x14ac:dyDescent="0.2">
      <c r="A73" s="19"/>
      <c r="B73" s="20"/>
      <c r="C73" s="34" t="s">
        <v>1278</v>
      </c>
      <c r="D73" s="11" t="s">
        <v>19</v>
      </c>
      <c r="E73" s="12">
        <v>-460</v>
      </c>
      <c r="F73" s="22" t="s">
        <v>549</v>
      </c>
      <c r="G73" s="23"/>
      <c r="H73" s="24"/>
      <c r="I73" s="25"/>
      <c r="J73" s="26"/>
    </row>
    <row r="74" spans="1:10" ht="13.5" customHeight="1" x14ac:dyDescent="0.2">
      <c r="A74" s="19"/>
      <c r="B74" s="20"/>
      <c r="C74" s="34" t="s">
        <v>464</v>
      </c>
      <c r="D74" s="11" t="s">
        <v>1279</v>
      </c>
      <c r="E74" s="12" t="s">
        <v>549</v>
      </c>
      <c r="F74" s="162">
        <v>1020</v>
      </c>
      <c r="G74" s="23"/>
      <c r="H74" s="24"/>
      <c r="I74" s="25"/>
      <c r="J74" s="39"/>
    </row>
    <row r="75" spans="1:10" ht="13.5" customHeight="1" x14ac:dyDescent="0.2">
      <c r="A75" s="19"/>
      <c r="B75" s="20"/>
      <c r="C75" s="34" t="s">
        <v>1280</v>
      </c>
      <c r="D75" s="11" t="s">
        <v>1281</v>
      </c>
      <c r="E75" s="12" t="s">
        <v>549</v>
      </c>
      <c r="F75" s="409">
        <v>2000</v>
      </c>
      <c r="G75" s="23">
        <v>2497.62</v>
      </c>
      <c r="H75" s="24"/>
      <c r="I75" s="25"/>
      <c r="J75" s="26"/>
    </row>
    <row r="76" spans="1:10" ht="13.5" customHeight="1" x14ac:dyDescent="0.2">
      <c r="A76" s="19">
        <v>43481</v>
      </c>
      <c r="B76" s="20"/>
      <c r="C76" s="34" t="s">
        <v>1282</v>
      </c>
      <c r="D76" s="11"/>
      <c r="E76" s="12"/>
      <c r="F76" s="22"/>
      <c r="G76" s="23"/>
      <c r="H76" s="24">
        <v>7</v>
      </c>
      <c r="I76" s="25"/>
      <c r="J76" s="26"/>
    </row>
    <row r="77" spans="1:10" ht="13.5" customHeight="1" x14ac:dyDescent="0.2">
      <c r="A77" s="19"/>
      <c r="B77" s="20"/>
      <c r="C77" s="34" t="s">
        <v>318</v>
      </c>
      <c r="D77" s="11"/>
      <c r="E77" s="12"/>
      <c r="F77" s="22"/>
      <c r="G77" s="23"/>
      <c r="H77" s="24">
        <v>260</v>
      </c>
      <c r="I77" s="25"/>
      <c r="J77" s="26"/>
    </row>
    <row r="78" spans="1:10" ht="13.5" customHeight="1" x14ac:dyDescent="0.2">
      <c r="A78" s="19"/>
      <c r="B78" s="20"/>
      <c r="C78" s="34" t="s">
        <v>1283</v>
      </c>
      <c r="D78" s="11"/>
      <c r="E78" s="12"/>
      <c r="F78" s="22"/>
      <c r="G78" s="23"/>
      <c r="H78" s="24"/>
      <c r="I78" s="25">
        <v>2050</v>
      </c>
      <c r="J78" s="26"/>
    </row>
    <row r="79" spans="1:10" ht="13.5" customHeight="1" x14ac:dyDescent="0.2">
      <c r="A79" s="19"/>
      <c r="B79" s="20"/>
      <c r="C79" s="34" t="s">
        <v>1284</v>
      </c>
      <c r="D79" s="11"/>
      <c r="E79" s="12"/>
      <c r="F79" s="22"/>
      <c r="G79" s="23"/>
      <c r="H79" s="24"/>
      <c r="I79" s="25">
        <v>185</v>
      </c>
      <c r="J79" s="26"/>
    </row>
    <row r="80" spans="1:10" ht="13.5" customHeight="1" x14ac:dyDescent="0.2">
      <c r="A80" s="19"/>
      <c r="B80" s="20"/>
      <c r="C80" s="34" t="s">
        <v>1285</v>
      </c>
      <c r="D80" s="11"/>
      <c r="E80" s="12"/>
      <c r="F80" s="22"/>
      <c r="G80" s="23"/>
      <c r="H80" s="24">
        <v>23.66</v>
      </c>
      <c r="I80" s="25"/>
      <c r="J80" s="26"/>
    </row>
    <row r="81" spans="1:10" ht="13.5" customHeight="1" x14ac:dyDescent="0.2">
      <c r="A81" s="19"/>
      <c r="B81" s="20"/>
      <c r="C81" s="34" t="s">
        <v>340</v>
      </c>
      <c r="D81" s="11"/>
      <c r="E81" s="12"/>
      <c r="F81" s="22"/>
      <c r="G81" s="23"/>
      <c r="H81" s="24">
        <v>11.56</v>
      </c>
      <c r="I81" s="25"/>
      <c r="J81" s="26">
        <v>4785.4400000000041</v>
      </c>
    </row>
    <row r="82" spans="1:10" ht="13.5" customHeight="1" x14ac:dyDescent="0.2">
      <c r="A82" s="19"/>
      <c r="B82" s="20"/>
      <c r="C82" s="34" t="s">
        <v>1286</v>
      </c>
      <c r="D82" s="11" t="s">
        <v>19</v>
      </c>
      <c r="E82" s="12">
        <v>-78.739999999999995</v>
      </c>
      <c r="F82" s="22" t="s">
        <v>549</v>
      </c>
      <c r="G82" s="23"/>
      <c r="H82" s="24"/>
      <c r="I82" s="25"/>
      <c r="J82" s="26"/>
    </row>
    <row r="83" spans="1:10" ht="13.5" customHeight="1" x14ac:dyDescent="0.2">
      <c r="A83" s="19"/>
      <c r="B83" s="20"/>
      <c r="C83" s="34" t="s">
        <v>20</v>
      </c>
      <c r="D83" s="11" t="s">
        <v>19</v>
      </c>
      <c r="E83" s="12" t="s">
        <v>549</v>
      </c>
      <c r="F83" s="22">
        <v>0.01</v>
      </c>
      <c r="G83" s="23">
        <v>2418.89</v>
      </c>
      <c r="H83" s="24"/>
      <c r="I83" s="25"/>
      <c r="J83" s="26"/>
    </row>
    <row r="84" spans="1:10" ht="13.5" customHeight="1" x14ac:dyDescent="0.2">
      <c r="A84" s="19">
        <v>43482</v>
      </c>
      <c r="B84" s="20"/>
      <c r="C84" s="34" t="s">
        <v>1287</v>
      </c>
      <c r="D84" s="11"/>
      <c r="E84" s="12"/>
      <c r="F84" s="22"/>
      <c r="G84" s="23"/>
      <c r="H84" s="24">
        <v>13.9</v>
      </c>
      <c r="I84" s="25"/>
      <c r="J84" s="26"/>
    </row>
    <row r="85" spans="1:10" ht="13.5" customHeight="1" x14ac:dyDescent="0.2">
      <c r="A85" s="19"/>
      <c r="B85" s="20"/>
      <c r="C85" s="34" t="s">
        <v>1288</v>
      </c>
      <c r="D85" s="11"/>
      <c r="E85" s="12"/>
      <c r="F85" s="22"/>
      <c r="G85" s="23"/>
      <c r="H85" s="24">
        <v>19.8</v>
      </c>
      <c r="I85" s="25"/>
      <c r="J85" s="26"/>
    </row>
    <row r="86" spans="1:10" ht="13.5" customHeight="1" x14ac:dyDescent="0.2">
      <c r="A86" s="19"/>
      <c r="B86" s="20"/>
      <c r="C86" s="34" t="s">
        <v>1289</v>
      </c>
      <c r="D86" s="11"/>
      <c r="E86" s="12"/>
      <c r="F86" s="22"/>
      <c r="G86" s="23"/>
      <c r="H86" s="24">
        <v>8.98</v>
      </c>
      <c r="I86" s="25"/>
      <c r="J86" s="26"/>
    </row>
    <row r="87" spans="1:10" ht="13.5" customHeight="1" x14ac:dyDescent="0.2">
      <c r="A87" s="19"/>
      <c r="B87" s="20"/>
      <c r="C87" s="34" t="s">
        <v>1290</v>
      </c>
      <c r="D87" s="11"/>
      <c r="E87" s="12"/>
      <c r="F87" s="22"/>
      <c r="G87" s="23"/>
      <c r="H87" s="24">
        <v>50</v>
      </c>
      <c r="I87" s="25"/>
      <c r="J87" s="26"/>
    </row>
    <row r="88" spans="1:10" ht="13.5" customHeight="1" x14ac:dyDescent="0.2">
      <c r="A88" s="19"/>
      <c r="B88" s="20"/>
      <c r="C88" s="34" t="s">
        <v>1291</v>
      </c>
      <c r="D88" s="11"/>
      <c r="E88" s="12"/>
      <c r="F88" s="22"/>
      <c r="G88" s="23"/>
      <c r="H88" s="24">
        <v>5</v>
      </c>
      <c r="I88" s="25"/>
      <c r="J88" s="26"/>
    </row>
    <row r="89" spans="1:10" ht="13.5" customHeight="1" x14ac:dyDescent="0.2">
      <c r="A89" s="19"/>
      <c r="B89" s="20"/>
      <c r="C89" s="34" t="s">
        <v>1292</v>
      </c>
      <c r="D89" s="11"/>
      <c r="E89" s="12"/>
      <c r="F89" s="22"/>
      <c r="G89" s="23"/>
      <c r="H89" s="24">
        <v>12.45</v>
      </c>
      <c r="I89" s="25"/>
      <c r="J89" s="26"/>
    </row>
    <row r="90" spans="1:10" ht="13.5" customHeight="1" x14ac:dyDescent="0.2">
      <c r="A90" s="19"/>
      <c r="B90" s="20"/>
      <c r="C90" s="34" t="s">
        <v>567</v>
      </c>
      <c r="D90" s="11"/>
      <c r="E90" s="12"/>
      <c r="F90" s="22"/>
      <c r="G90" s="23"/>
      <c r="H90" s="174">
        <v>185</v>
      </c>
      <c r="I90" s="25"/>
      <c r="J90" s="26"/>
    </row>
    <row r="91" spans="1:10" ht="13.5" customHeight="1" x14ac:dyDescent="0.2">
      <c r="A91" s="19"/>
      <c r="B91" s="20"/>
      <c r="C91" s="34" t="s">
        <v>1293</v>
      </c>
      <c r="D91" s="11"/>
      <c r="E91" s="12"/>
      <c r="F91" s="22"/>
      <c r="G91" s="23"/>
      <c r="H91" s="24">
        <v>19.95</v>
      </c>
      <c r="I91" s="25"/>
      <c r="J91" s="26"/>
    </row>
    <row r="92" spans="1:10" ht="13.5" customHeight="1" x14ac:dyDescent="0.2">
      <c r="A92" s="19"/>
      <c r="B92" s="20"/>
      <c r="C92" s="34" t="s">
        <v>1294</v>
      </c>
      <c r="D92" s="11"/>
      <c r="E92" s="12"/>
      <c r="F92" s="22"/>
      <c r="G92" s="23"/>
      <c r="H92" s="24">
        <v>22.8</v>
      </c>
      <c r="I92" s="25"/>
      <c r="J92" s="26"/>
    </row>
    <row r="93" spans="1:10" ht="13.5" customHeight="1" x14ac:dyDescent="0.2">
      <c r="A93" s="19"/>
      <c r="B93" s="20"/>
      <c r="C93" s="34" t="s">
        <v>1295</v>
      </c>
      <c r="D93" s="11"/>
      <c r="E93" s="12"/>
      <c r="F93" s="22"/>
      <c r="G93" s="23"/>
      <c r="H93" s="24">
        <v>18.25</v>
      </c>
      <c r="I93" s="25"/>
      <c r="J93" s="26"/>
    </row>
    <row r="94" spans="1:10" ht="13.5" customHeight="1" x14ac:dyDescent="0.2">
      <c r="A94" s="19"/>
      <c r="B94" s="20"/>
      <c r="C94" s="34" t="s">
        <v>1296</v>
      </c>
      <c r="D94" s="11"/>
      <c r="E94" s="12"/>
      <c r="F94" s="22"/>
      <c r="G94" s="23"/>
      <c r="H94" s="24">
        <v>150</v>
      </c>
      <c r="I94" s="25"/>
      <c r="J94" s="26"/>
    </row>
    <row r="95" spans="1:10" ht="13.5" customHeight="1" x14ac:dyDescent="0.2">
      <c r="A95" s="19"/>
      <c r="B95" s="20"/>
      <c r="C95" s="34" t="s">
        <v>1297</v>
      </c>
      <c r="D95" s="11"/>
      <c r="E95" s="12"/>
      <c r="F95" s="22"/>
      <c r="G95" s="23"/>
      <c r="H95" s="24">
        <v>150</v>
      </c>
      <c r="I95" s="25"/>
      <c r="J95" s="26"/>
    </row>
    <row r="96" spans="1:10" ht="13.5" customHeight="1" x14ac:dyDescent="0.2">
      <c r="A96" s="19"/>
      <c r="B96" s="20"/>
      <c r="C96" s="34" t="s">
        <v>1298</v>
      </c>
      <c r="D96" s="11"/>
      <c r="E96" s="12"/>
      <c r="F96" s="22"/>
      <c r="G96" s="23"/>
      <c r="H96" s="24">
        <v>20</v>
      </c>
      <c r="I96" s="25"/>
      <c r="J96" s="26"/>
    </row>
    <row r="97" spans="1:10" ht="13.5" customHeight="1" x14ac:dyDescent="0.2">
      <c r="A97" s="19"/>
      <c r="B97" s="20"/>
      <c r="C97" s="34" t="s">
        <v>36</v>
      </c>
      <c r="D97" s="11"/>
      <c r="E97" s="12"/>
      <c r="F97" s="22"/>
      <c r="G97" s="23"/>
      <c r="H97" s="24">
        <v>280</v>
      </c>
      <c r="I97" s="25"/>
      <c r="J97" s="26"/>
    </row>
    <row r="98" spans="1:10" ht="13.5" customHeight="1" x14ac:dyDescent="0.2">
      <c r="A98" s="19"/>
      <c r="B98" s="20"/>
      <c r="C98" s="34" t="s">
        <v>1299</v>
      </c>
      <c r="D98" s="11"/>
      <c r="E98" s="12"/>
      <c r="F98" s="22"/>
      <c r="G98" s="23"/>
      <c r="H98" s="24">
        <v>1000</v>
      </c>
      <c r="I98" s="25"/>
      <c r="J98" s="26">
        <v>2829.3100000000049</v>
      </c>
    </row>
    <row r="99" spans="1:10" ht="13.5" customHeight="1" x14ac:dyDescent="0.2">
      <c r="A99" s="19"/>
      <c r="B99" s="20"/>
      <c r="C99" s="34" t="s">
        <v>109</v>
      </c>
      <c r="D99" s="11" t="s">
        <v>19</v>
      </c>
      <c r="E99" s="12">
        <v>-36.479999999999997</v>
      </c>
      <c r="F99" s="22" t="s">
        <v>549</v>
      </c>
      <c r="G99" s="23"/>
      <c r="H99" s="24"/>
      <c r="I99" s="25"/>
      <c r="J99" s="39"/>
    </row>
    <row r="100" spans="1:10" ht="13.5" customHeight="1" x14ac:dyDescent="0.2">
      <c r="A100" s="46"/>
      <c r="B100" s="46"/>
      <c r="C100" s="34" t="s">
        <v>567</v>
      </c>
      <c r="D100" s="42" t="s">
        <v>1300</v>
      </c>
      <c r="E100" s="43" t="s">
        <v>549</v>
      </c>
      <c r="F100" s="272">
        <v>185</v>
      </c>
      <c r="G100" s="23">
        <v>2567.41</v>
      </c>
      <c r="H100" s="24"/>
      <c r="I100" s="25"/>
      <c r="J100" s="26"/>
    </row>
    <row r="101" spans="1:10" ht="13.5" customHeight="1" x14ac:dyDescent="0.2">
      <c r="A101" s="19">
        <v>43483</v>
      </c>
      <c r="B101" s="20"/>
      <c r="C101" s="34" t="s">
        <v>1301</v>
      </c>
      <c r="D101" s="11"/>
      <c r="E101" s="12"/>
      <c r="F101" s="22"/>
      <c r="G101" s="23"/>
      <c r="H101" s="24">
        <v>48</v>
      </c>
      <c r="I101" s="25"/>
      <c r="J101" s="26"/>
    </row>
    <row r="102" spans="1:10" ht="13.5" customHeight="1" x14ac:dyDescent="0.2">
      <c r="A102" s="19"/>
      <c r="B102" s="20"/>
      <c r="C102" s="34" t="s">
        <v>1302</v>
      </c>
      <c r="D102" s="11"/>
      <c r="E102" s="12"/>
      <c r="F102" s="22"/>
      <c r="G102" s="23"/>
      <c r="H102" s="24">
        <v>24.4</v>
      </c>
      <c r="I102" s="25"/>
      <c r="J102" s="26"/>
    </row>
    <row r="103" spans="1:10" ht="13.5" customHeight="1" x14ac:dyDescent="0.2">
      <c r="A103" s="19"/>
      <c r="B103" s="20"/>
      <c r="C103" s="34" t="s">
        <v>36</v>
      </c>
      <c r="D103" s="11"/>
      <c r="E103" s="12"/>
      <c r="F103" s="22"/>
      <c r="G103" s="23"/>
      <c r="H103" s="24">
        <v>70</v>
      </c>
      <c r="I103" s="25"/>
      <c r="J103" s="26"/>
    </row>
    <row r="104" spans="1:10" ht="13.5" customHeight="1" x14ac:dyDescent="0.2">
      <c r="A104" s="19"/>
      <c r="B104" s="20"/>
      <c r="C104" s="34" t="s">
        <v>318</v>
      </c>
      <c r="D104" s="11"/>
      <c r="E104" s="12"/>
      <c r="F104" s="22"/>
      <c r="G104" s="23"/>
      <c r="H104" s="24">
        <v>260</v>
      </c>
      <c r="I104" s="25"/>
      <c r="J104" s="26"/>
    </row>
    <row r="105" spans="1:10" ht="13.5" customHeight="1" x14ac:dyDescent="0.2">
      <c r="A105" s="19"/>
      <c r="B105" s="20"/>
      <c r="C105" s="34" t="s">
        <v>1303</v>
      </c>
      <c r="D105" s="11"/>
      <c r="E105" s="12"/>
      <c r="F105" s="22"/>
      <c r="G105" s="23"/>
      <c r="H105" s="24">
        <v>240</v>
      </c>
      <c r="I105" s="25"/>
      <c r="J105" s="26"/>
    </row>
    <row r="106" spans="1:10" ht="13.5" customHeight="1" x14ac:dyDescent="0.2">
      <c r="A106" s="19"/>
      <c r="B106" s="20"/>
      <c r="C106" s="34" t="s">
        <v>52</v>
      </c>
      <c r="D106" s="11"/>
      <c r="E106" s="12"/>
      <c r="F106" s="22"/>
      <c r="G106" s="23"/>
      <c r="H106" s="24">
        <v>405</v>
      </c>
      <c r="I106" s="25"/>
      <c r="J106" s="26"/>
    </row>
    <row r="107" spans="1:10" ht="13.5" customHeight="1" x14ac:dyDescent="0.2">
      <c r="A107" s="19"/>
      <c r="B107" s="20"/>
      <c r="C107" s="34" t="s">
        <v>374</v>
      </c>
      <c r="D107" s="11"/>
      <c r="E107" s="12"/>
      <c r="F107" s="22"/>
      <c r="G107" s="23"/>
      <c r="H107" s="24">
        <v>428.75</v>
      </c>
      <c r="I107" s="25"/>
      <c r="J107" s="26"/>
    </row>
    <row r="108" spans="1:10" ht="13.5" customHeight="1" x14ac:dyDescent="0.2">
      <c r="A108" s="19"/>
      <c r="B108" s="20"/>
      <c r="C108" s="34" t="s">
        <v>1304</v>
      </c>
      <c r="D108" s="11"/>
      <c r="E108" s="12"/>
      <c r="F108" s="22"/>
      <c r="G108" s="23"/>
      <c r="H108" s="24"/>
      <c r="I108" s="25">
        <v>7500</v>
      </c>
      <c r="J108" s="26"/>
    </row>
    <row r="109" spans="1:10" ht="13.5" customHeight="1" x14ac:dyDescent="0.2">
      <c r="A109" s="19"/>
      <c r="B109" s="20"/>
      <c r="C109" s="34" t="s">
        <v>1305</v>
      </c>
      <c r="D109" s="11"/>
      <c r="E109" s="12"/>
      <c r="F109" s="22"/>
      <c r="G109" s="23"/>
      <c r="H109" s="24"/>
      <c r="I109" s="25">
        <v>500</v>
      </c>
      <c r="J109" s="26">
        <v>9353.1600000000053</v>
      </c>
    </row>
    <row r="110" spans="1:10" ht="13.5" customHeight="1" x14ac:dyDescent="0.2">
      <c r="A110" s="46"/>
      <c r="B110" s="46"/>
      <c r="C110" s="34" t="s">
        <v>1306</v>
      </c>
      <c r="D110" s="42" t="s">
        <v>19</v>
      </c>
      <c r="E110" s="43">
        <v>-125.13</v>
      </c>
      <c r="F110" s="43" t="s">
        <v>549</v>
      </c>
      <c r="G110" s="23">
        <v>2442.2800000000002</v>
      </c>
      <c r="H110" s="24"/>
      <c r="I110" s="25"/>
      <c r="J110" s="26"/>
    </row>
    <row r="111" spans="1:10" ht="13.5" customHeight="1" x14ac:dyDescent="0.2">
      <c r="A111" s="19">
        <v>43486</v>
      </c>
      <c r="B111" s="20"/>
      <c r="C111" s="34" t="s">
        <v>1307</v>
      </c>
      <c r="D111" s="11"/>
      <c r="E111" s="12"/>
      <c r="F111" s="22"/>
      <c r="G111" s="23"/>
      <c r="H111" s="24">
        <v>7.95</v>
      </c>
      <c r="I111" s="25"/>
      <c r="J111" s="26"/>
    </row>
    <row r="112" spans="1:10" ht="13.5" customHeight="1" x14ac:dyDescent="0.2">
      <c r="A112" s="19"/>
      <c r="B112" s="20"/>
      <c r="C112" s="34" t="s">
        <v>1308</v>
      </c>
      <c r="D112" s="11"/>
      <c r="E112" s="12"/>
      <c r="F112" s="22"/>
      <c r="G112" s="23"/>
      <c r="H112" s="174">
        <v>8000</v>
      </c>
      <c r="I112" s="25"/>
      <c r="J112" s="26">
        <v>1345.2100000000046</v>
      </c>
    </row>
    <row r="113" spans="1:10" ht="13.5" customHeight="1" x14ac:dyDescent="0.2">
      <c r="A113" s="19"/>
      <c r="B113" s="20"/>
      <c r="C113" s="34" t="s">
        <v>1309</v>
      </c>
      <c r="D113" s="11" t="s">
        <v>263</v>
      </c>
      <c r="E113" s="12">
        <v>-1326.05</v>
      </c>
      <c r="F113" s="22" t="s">
        <v>549</v>
      </c>
      <c r="G113" s="23"/>
      <c r="H113" s="24"/>
      <c r="I113" s="25"/>
      <c r="J113" s="26"/>
    </row>
    <row r="114" spans="1:10" ht="13.5" customHeight="1" x14ac:dyDescent="0.2">
      <c r="A114" s="19"/>
      <c r="B114" s="20"/>
      <c r="C114" s="34" t="s">
        <v>134</v>
      </c>
      <c r="D114" s="11" t="s">
        <v>337</v>
      </c>
      <c r="E114" s="12">
        <v>-119.9</v>
      </c>
      <c r="F114" s="22" t="s">
        <v>549</v>
      </c>
      <c r="G114" s="23"/>
      <c r="H114" s="24"/>
      <c r="I114" s="25"/>
      <c r="J114" s="26"/>
    </row>
    <row r="115" spans="1:10" ht="13.5" customHeight="1" x14ac:dyDescent="0.2">
      <c r="A115" s="19"/>
      <c r="B115" s="20"/>
      <c r="C115" s="34" t="s">
        <v>132</v>
      </c>
      <c r="D115" s="11" t="s">
        <v>1310</v>
      </c>
      <c r="E115" s="12">
        <v>-283.67</v>
      </c>
      <c r="F115" s="22" t="s">
        <v>549</v>
      </c>
      <c r="G115" s="23"/>
      <c r="H115" s="24"/>
      <c r="I115" s="25"/>
      <c r="J115" s="39"/>
    </row>
    <row r="116" spans="1:10" ht="13.5" customHeight="1" x14ac:dyDescent="0.2">
      <c r="A116" s="19"/>
      <c r="B116" s="20"/>
      <c r="C116" s="34" t="s">
        <v>1311</v>
      </c>
      <c r="D116" s="11" t="s">
        <v>1312</v>
      </c>
      <c r="E116" s="12" t="s">
        <v>549</v>
      </c>
      <c r="F116" s="162">
        <v>8000</v>
      </c>
      <c r="G116" s="23">
        <v>8712.66</v>
      </c>
      <c r="H116" s="24"/>
      <c r="I116" s="25"/>
      <c r="J116" s="26"/>
    </row>
    <row r="117" spans="1:10" ht="13.5" customHeight="1" x14ac:dyDescent="0.2">
      <c r="A117" s="19">
        <v>43487</v>
      </c>
      <c r="B117" s="20"/>
      <c r="C117" s="34" t="s">
        <v>1313</v>
      </c>
      <c r="D117" s="11"/>
      <c r="E117" s="12"/>
      <c r="F117" s="22"/>
      <c r="G117" s="23"/>
      <c r="H117" s="24">
        <v>15</v>
      </c>
      <c r="I117" s="25"/>
      <c r="J117" s="26"/>
    </row>
    <row r="118" spans="1:10" ht="13.5" customHeight="1" x14ac:dyDescent="0.2">
      <c r="A118" s="19"/>
      <c r="B118" s="20"/>
      <c r="C118" s="34" t="s">
        <v>1314</v>
      </c>
      <c r="D118" s="11"/>
      <c r="E118" s="12"/>
      <c r="F118" s="22"/>
      <c r="G118" s="23"/>
      <c r="H118" s="24">
        <v>12.95</v>
      </c>
      <c r="I118" s="25"/>
      <c r="J118" s="26"/>
    </row>
    <row r="119" spans="1:10" ht="13.5" customHeight="1" x14ac:dyDescent="0.2">
      <c r="A119" s="19"/>
      <c r="B119" s="20"/>
      <c r="C119" s="34" t="s">
        <v>1315</v>
      </c>
      <c r="D119" s="11"/>
      <c r="E119" s="12"/>
      <c r="F119" s="22"/>
      <c r="G119" s="23"/>
      <c r="H119" s="24">
        <v>9.8000000000000007</v>
      </c>
      <c r="I119" s="25"/>
      <c r="J119" s="26"/>
    </row>
    <row r="120" spans="1:10" ht="13.5" customHeight="1" x14ac:dyDescent="0.2">
      <c r="A120" s="19"/>
      <c r="B120" s="20"/>
      <c r="C120" s="34" t="s">
        <v>1316</v>
      </c>
      <c r="D120" s="11"/>
      <c r="E120" s="12"/>
      <c r="F120" s="22"/>
      <c r="G120" s="23"/>
      <c r="H120" s="24">
        <v>27.35</v>
      </c>
      <c r="I120" s="25"/>
      <c r="J120" s="26"/>
    </row>
    <row r="121" spans="1:10" ht="13.5" customHeight="1" x14ac:dyDescent="0.2">
      <c r="A121" s="19"/>
      <c r="B121" s="20"/>
      <c r="C121" s="34" t="s">
        <v>1317</v>
      </c>
      <c r="D121" s="11"/>
      <c r="E121" s="12"/>
      <c r="F121" s="22"/>
      <c r="G121" s="23"/>
      <c r="H121" s="24">
        <v>14.5</v>
      </c>
      <c r="I121" s="25"/>
      <c r="J121" s="26"/>
    </row>
    <row r="122" spans="1:10" ht="13.5" customHeight="1" x14ac:dyDescent="0.2">
      <c r="A122" s="19"/>
      <c r="B122" s="20"/>
      <c r="C122" s="34" t="s">
        <v>1318</v>
      </c>
      <c r="D122" s="11"/>
      <c r="E122" s="12"/>
      <c r="F122" s="22"/>
      <c r="G122" s="23"/>
      <c r="H122" s="24">
        <v>17.96</v>
      </c>
      <c r="I122" s="25"/>
      <c r="J122" s="26"/>
    </row>
    <row r="123" spans="1:10" ht="13.5" customHeight="1" x14ac:dyDescent="0.2">
      <c r="A123" s="19"/>
      <c r="B123" s="20"/>
      <c r="C123" s="34" t="s">
        <v>1107</v>
      </c>
      <c r="D123" s="11"/>
      <c r="E123" s="12"/>
      <c r="F123" s="22"/>
      <c r="G123" s="23"/>
      <c r="H123" s="24">
        <v>5.45</v>
      </c>
      <c r="I123" s="25"/>
      <c r="J123" s="26">
        <v>1242.2000000000046</v>
      </c>
    </row>
    <row r="124" spans="1:10" ht="13.5" customHeight="1" x14ac:dyDescent="0.2">
      <c r="A124" s="19"/>
      <c r="B124" s="20"/>
      <c r="C124" s="36" t="s">
        <v>127</v>
      </c>
      <c r="D124" s="11" t="s">
        <v>19</v>
      </c>
      <c r="E124" s="12">
        <v>-31.65</v>
      </c>
      <c r="F124" s="22" t="s">
        <v>549</v>
      </c>
      <c r="G124" s="23"/>
      <c r="H124" s="24"/>
      <c r="I124" s="25"/>
      <c r="J124" s="26"/>
    </row>
    <row r="125" spans="1:10" ht="13.5" customHeight="1" x14ac:dyDescent="0.2">
      <c r="A125" s="19"/>
      <c r="B125" s="20"/>
      <c r="C125" s="33" t="s">
        <v>736</v>
      </c>
      <c r="D125" s="11" t="s">
        <v>19</v>
      </c>
      <c r="E125" s="12">
        <v>-43.33</v>
      </c>
      <c r="F125" s="22" t="s">
        <v>549</v>
      </c>
      <c r="G125" s="23"/>
      <c r="H125" s="24"/>
      <c r="I125" s="25"/>
      <c r="J125" s="26"/>
    </row>
    <row r="126" spans="1:10" ht="13.5" customHeight="1" x14ac:dyDescent="0.2">
      <c r="A126" s="19"/>
      <c r="B126" s="20"/>
      <c r="C126" s="33" t="s">
        <v>737</v>
      </c>
      <c r="D126" s="11" t="s">
        <v>19</v>
      </c>
      <c r="E126" s="12">
        <v>-55.21</v>
      </c>
      <c r="F126" s="22" t="s">
        <v>549</v>
      </c>
      <c r="G126" s="23"/>
      <c r="H126" s="24"/>
      <c r="I126" s="25"/>
      <c r="J126" s="26"/>
    </row>
    <row r="127" spans="1:10" ht="13.5" customHeight="1" x14ac:dyDescent="0.2">
      <c r="A127" s="19"/>
      <c r="B127" s="20"/>
      <c r="C127" s="36" t="s">
        <v>129</v>
      </c>
      <c r="D127" s="11" t="s">
        <v>19</v>
      </c>
      <c r="E127" s="12">
        <v>-94.85</v>
      </c>
      <c r="F127" s="22" t="s">
        <v>549</v>
      </c>
      <c r="G127" s="23"/>
      <c r="H127" s="24"/>
      <c r="I127" s="25"/>
      <c r="J127" s="26"/>
    </row>
    <row r="128" spans="1:10" ht="13.5" customHeight="1" x14ac:dyDescent="0.2">
      <c r="A128" s="19"/>
      <c r="B128" s="20"/>
      <c r="C128" s="36" t="s">
        <v>130</v>
      </c>
      <c r="D128" s="11" t="s">
        <v>19</v>
      </c>
      <c r="E128" s="12">
        <v>-117.62</v>
      </c>
      <c r="F128" s="22" t="s">
        <v>549</v>
      </c>
      <c r="G128" s="23"/>
      <c r="H128" s="24"/>
      <c r="I128" s="25"/>
      <c r="J128" s="26"/>
    </row>
    <row r="129" spans="1:10" ht="13.5" customHeight="1" x14ac:dyDescent="0.2">
      <c r="A129" s="19"/>
      <c r="B129" s="20"/>
      <c r="C129" s="34" t="s">
        <v>1319</v>
      </c>
      <c r="D129" s="11" t="s">
        <v>19</v>
      </c>
      <c r="E129" s="12">
        <v>-2500</v>
      </c>
      <c r="F129" s="22" t="s">
        <v>549</v>
      </c>
      <c r="G129" s="23"/>
      <c r="H129" s="24"/>
      <c r="I129" s="25"/>
      <c r="J129" s="26"/>
    </row>
    <row r="130" spans="1:10" ht="13.5" customHeight="1" x14ac:dyDescent="0.2">
      <c r="A130" s="19"/>
      <c r="B130" s="20"/>
      <c r="C130" s="34" t="s">
        <v>1320</v>
      </c>
      <c r="D130" s="11" t="s">
        <v>19</v>
      </c>
      <c r="E130" s="12">
        <v>-2000</v>
      </c>
      <c r="F130" s="22" t="s">
        <v>549</v>
      </c>
      <c r="G130" s="23"/>
      <c r="H130" s="24"/>
      <c r="I130" s="25"/>
      <c r="J130" s="26"/>
    </row>
    <row r="131" spans="1:10" ht="13.5" customHeight="1" x14ac:dyDescent="0.2">
      <c r="A131" s="19"/>
      <c r="B131" s="20"/>
      <c r="C131" s="34" t="s">
        <v>1321</v>
      </c>
      <c r="D131" s="11" t="s">
        <v>19</v>
      </c>
      <c r="E131" s="12">
        <v>-46.92</v>
      </c>
      <c r="F131" s="22" t="s">
        <v>549</v>
      </c>
      <c r="G131" s="23"/>
      <c r="H131" s="24"/>
      <c r="I131" s="25"/>
      <c r="J131" s="26"/>
    </row>
    <row r="132" spans="1:10" ht="13.5" customHeight="1" x14ac:dyDescent="0.2">
      <c r="A132" s="19"/>
      <c r="B132" s="20"/>
      <c r="C132" s="34" t="s">
        <v>1322</v>
      </c>
      <c r="D132" s="11" t="s">
        <v>19</v>
      </c>
      <c r="E132" s="12">
        <v>-46.92</v>
      </c>
      <c r="F132" s="22" t="s">
        <v>549</v>
      </c>
      <c r="G132" s="23"/>
      <c r="H132" s="24"/>
      <c r="I132" s="25"/>
      <c r="J132" s="26"/>
    </row>
    <row r="133" spans="1:10" ht="13.5" customHeight="1" x14ac:dyDescent="0.2">
      <c r="A133" s="19"/>
      <c r="B133" s="20"/>
      <c r="C133" s="34" t="s">
        <v>1323</v>
      </c>
      <c r="D133" s="11" t="s">
        <v>19</v>
      </c>
      <c r="E133" s="12">
        <v>-195.79</v>
      </c>
      <c r="F133" s="22" t="s">
        <v>549</v>
      </c>
      <c r="G133" s="23"/>
      <c r="H133" s="24"/>
      <c r="I133" s="25"/>
      <c r="J133" s="26"/>
    </row>
    <row r="134" spans="1:10" ht="13.5" customHeight="1" x14ac:dyDescent="0.2">
      <c r="A134" s="19"/>
      <c r="B134" s="20"/>
      <c r="C134" s="34" t="s">
        <v>1324</v>
      </c>
      <c r="D134" s="11" t="s">
        <v>19</v>
      </c>
      <c r="E134" s="12">
        <v>-185.73</v>
      </c>
      <c r="F134" s="22" t="s">
        <v>549</v>
      </c>
      <c r="G134" s="23"/>
      <c r="H134" s="24"/>
      <c r="I134" s="25"/>
      <c r="J134" s="26"/>
    </row>
    <row r="135" spans="1:10" ht="13.5" customHeight="1" x14ac:dyDescent="0.2">
      <c r="A135" s="19"/>
      <c r="B135" s="20"/>
      <c r="C135" s="34" t="s">
        <v>20</v>
      </c>
      <c r="D135" s="11" t="s">
        <v>19</v>
      </c>
      <c r="E135" s="12" t="s">
        <v>549</v>
      </c>
      <c r="F135" s="22">
        <v>0.12</v>
      </c>
      <c r="G135" s="23">
        <v>3394.76</v>
      </c>
      <c r="H135" s="24"/>
      <c r="I135" s="25"/>
      <c r="J135" s="26"/>
    </row>
    <row r="136" spans="1:10" ht="13.5" customHeight="1" x14ac:dyDescent="0.2">
      <c r="A136" s="19">
        <v>43488</v>
      </c>
      <c r="B136" s="20"/>
      <c r="C136" s="34" t="s">
        <v>1325</v>
      </c>
      <c r="D136" s="11"/>
      <c r="E136" s="12"/>
      <c r="F136" s="22"/>
      <c r="G136" s="23"/>
      <c r="H136" s="24"/>
      <c r="I136" s="25">
        <v>185</v>
      </c>
      <c r="J136" s="26">
        <v>1427.2000000000046</v>
      </c>
    </row>
    <row r="137" spans="1:10" ht="13.5" customHeight="1" x14ac:dyDescent="0.2">
      <c r="A137" s="19"/>
      <c r="B137" s="20"/>
      <c r="C137" s="34" t="s">
        <v>82</v>
      </c>
      <c r="D137" s="11" t="s">
        <v>1326</v>
      </c>
      <c r="E137" s="12">
        <v>-811.99</v>
      </c>
      <c r="F137" s="22" t="s">
        <v>549</v>
      </c>
      <c r="G137" s="23">
        <v>2582.77</v>
      </c>
      <c r="H137" s="24"/>
      <c r="I137" s="25"/>
      <c r="J137" s="26"/>
    </row>
    <row r="138" spans="1:10" ht="13.5" customHeight="1" x14ac:dyDescent="0.2">
      <c r="A138" s="19">
        <v>43489</v>
      </c>
      <c r="B138" s="27"/>
      <c r="C138" s="36" t="s">
        <v>1327</v>
      </c>
      <c r="D138" s="27"/>
      <c r="E138" s="27"/>
      <c r="F138" s="27"/>
      <c r="G138" s="23"/>
      <c r="H138" s="38">
        <v>10</v>
      </c>
      <c r="I138" s="38"/>
      <c r="J138" s="39"/>
    </row>
    <row r="139" spans="1:10" ht="13.5" customHeight="1" x14ac:dyDescent="0.2">
      <c r="A139" s="19"/>
      <c r="B139" s="27"/>
      <c r="C139" s="36" t="s">
        <v>1328</v>
      </c>
      <c r="D139" s="27"/>
      <c r="E139" s="27"/>
      <c r="F139" s="27"/>
      <c r="G139" s="23"/>
      <c r="H139" s="38">
        <v>6</v>
      </c>
      <c r="I139" s="38"/>
      <c r="J139" s="39"/>
    </row>
    <row r="140" spans="1:10" ht="13.5" customHeight="1" x14ac:dyDescent="0.2">
      <c r="A140" s="19"/>
      <c r="B140" s="27"/>
      <c r="C140" s="33" t="s">
        <v>1329</v>
      </c>
      <c r="D140" s="27"/>
      <c r="E140" s="27"/>
      <c r="F140" s="27"/>
      <c r="G140" s="23"/>
      <c r="H140" s="38">
        <v>30</v>
      </c>
      <c r="I140" s="38"/>
      <c r="J140" s="39"/>
    </row>
    <row r="141" spans="1:10" ht="13.5" customHeight="1" x14ac:dyDescent="0.2">
      <c r="A141" s="19"/>
      <c r="B141" s="27"/>
      <c r="C141" s="35" t="s">
        <v>1330</v>
      </c>
      <c r="D141" s="27"/>
      <c r="E141" s="27"/>
      <c r="F141" s="27"/>
      <c r="G141" s="23"/>
      <c r="H141" s="38">
        <v>54.05</v>
      </c>
      <c r="I141" s="38"/>
      <c r="J141" s="39"/>
    </row>
    <row r="142" spans="1:10" ht="13.5" customHeight="1" x14ac:dyDescent="0.2">
      <c r="A142" s="19"/>
      <c r="B142" s="27"/>
      <c r="C142" s="33" t="s">
        <v>1238</v>
      </c>
      <c r="D142" s="27"/>
      <c r="E142" s="27"/>
      <c r="F142" s="27"/>
      <c r="G142" s="23"/>
      <c r="H142" s="38">
        <v>30.06</v>
      </c>
      <c r="I142" s="38"/>
      <c r="J142" s="39"/>
    </row>
    <row r="143" spans="1:10" ht="13.5" customHeight="1" x14ac:dyDescent="0.2">
      <c r="A143" s="19"/>
      <c r="B143" s="27"/>
      <c r="C143" s="33" t="s">
        <v>1331</v>
      </c>
      <c r="D143" s="27"/>
      <c r="E143" s="27"/>
      <c r="F143" s="27"/>
      <c r="G143" s="23"/>
      <c r="H143" s="38"/>
      <c r="I143" s="410">
        <v>1600</v>
      </c>
      <c r="J143" s="39">
        <v>2897.0900000000047</v>
      </c>
    </row>
    <row r="144" spans="1:10" ht="13.5" customHeight="1" x14ac:dyDescent="0.2">
      <c r="A144" s="19"/>
      <c r="B144" s="20"/>
      <c r="C144" s="34" t="s">
        <v>136</v>
      </c>
      <c r="D144" s="11" t="s">
        <v>19</v>
      </c>
      <c r="E144" s="12">
        <v>-37.9</v>
      </c>
      <c r="F144" s="22" t="s">
        <v>549</v>
      </c>
      <c r="G144" s="23"/>
      <c r="H144" s="24"/>
      <c r="I144" s="25"/>
      <c r="J144" s="26"/>
    </row>
    <row r="145" spans="1:10" ht="13.5" customHeight="1" x14ac:dyDescent="0.2">
      <c r="A145" s="19"/>
      <c r="B145" s="20"/>
      <c r="C145" s="36" t="s">
        <v>1332</v>
      </c>
      <c r="D145" s="11" t="s">
        <v>1333</v>
      </c>
      <c r="E145" s="277">
        <v>-1500</v>
      </c>
      <c r="F145" s="22" t="s">
        <v>549</v>
      </c>
      <c r="G145" s="23"/>
      <c r="H145" s="24"/>
      <c r="I145" s="25"/>
      <c r="J145" s="26"/>
    </row>
    <row r="146" spans="1:10" ht="13.5" customHeight="1" x14ac:dyDescent="0.2">
      <c r="A146" s="19"/>
      <c r="B146" s="20"/>
      <c r="C146" s="36" t="s">
        <v>1332</v>
      </c>
      <c r="D146" s="11" t="s">
        <v>1333</v>
      </c>
      <c r="E146" s="277">
        <v>-600</v>
      </c>
      <c r="F146" s="22" t="s">
        <v>549</v>
      </c>
      <c r="G146" s="23"/>
      <c r="H146" s="24"/>
      <c r="I146" s="25"/>
      <c r="J146" s="26"/>
    </row>
    <row r="147" spans="1:10" ht="13.5" customHeight="1" x14ac:dyDescent="0.2">
      <c r="A147" s="19"/>
      <c r="B147" s="20"/>
      <c r="C147" s="34" t="s">
        <v>20</v>
      </c>
      <c r="D147" s="11" t="s">
        <v>19</v>
      </c>
      <c r="E147" s="12" t="s">
        <v>549</v>
      </c>
      <c r="F147" s="22">
        <v>0.01</v>
      </c>
      <c r="G147" s="23">
        <v>444.88</v>
      </c>
      <c r="H147" s="24"/>
      <c r="I147" s="25"/>
      <c r="J147" s="26"/>
    </row>
    <row r="148" spans="1:10" ht="13.5" customHeight="1" x14ac:dyDescent="0.2">
      <c r="A148" s="19">
        <v>43490</v>
      </c>
      <c r="B148" s="27"/>
      <c r="C148" s="33" t="s">
        <v>36</v>
      </c>
      <c r="D148" s="27"/>
      <c r="E148" s="27"/>
      <c r="F148" s="27"/>
      <c r="G148" s="23"/>
      <c r="H148" s="38">
        <v>350</v>
      </c>
      <c r="I148" s="38"/>
      <c r="J148" s="39"/>
    </row>
    <row r="149" spans="1:10" ht="13.5" customHeight="1" x14ac:dyDescent="0.2">
      <c r="A149" s="19"/>
      <c r="B149" s="27"/>
      <c r="C149" s="33" t="s">
        <v>1334</v>
      </c>
      <c r="D149" s="27"/>
      <c r="E149" s="27"/>
      <c r="F149" s="27"/>
      <c r="G149" s="23"/>
      <c r="H149" s="38"/>
      <c r="I149" s="38">
        <v>1360</v>
      </c>
      <c r="J149" s="39"/>
    </row>
    <row r="150" spans="1:10" ht="13.5" customHeight="1" x14ac:dyDescent="0.2">
      <c r="A150" s="19"/>
      <c r="B150" s="27"/>
      <c r="C150" s="33" t="s">
        <v>107</v>
      </c>
      <c r="D150" s="27"/>
      <c r="E150" s="27"/>
      <c r="F150" s="27"/>
      <c r="G150" s="23"/>
      <c r="H150" s="38">
        <v>200</v>
      </c>
      <c r="I150" s="38"/>
      <c r="J150" s="39"/>
    </row>
    <row r="151" spans="1:10" ht="13.5" customHeight="1" x14ac:dyDescent="0.2">
      <c r="A151" s="19"/>
      <c r="B151" s="27"/>
      <c r="C151" s="33" t="s">
        <v>318</v>
      </c>
      <c r="D151" s="27"/>
      <c r="E151" s="27"/>
      <c r="F151" s="27"/>
      <c r="G151" s="23"/>
      <c r="H151" s="38">
        <v>650</v>
      </c>
      <c r="I151" s="38"/>
      <c r="J151" s="39"/>
    </row>
    <row r="152" spans="1:10" ht="13.5" customHeight="1" x14ac:dyDescent="0.2">
      <c r="A152" s="19"/>
      <c r="B152" s="27"/>
      <c r="C152" s="33" t="s">
        <v>1303</v>
      </c>
      <c r="D152" s="27"/>
      <c r="E152" s="27"/>
      <c r="F152" s="27"/>
      <c r="G152" s="23"/>
      <c r="H152" s="38">
        <v>300</v>
      </c>
      <c r="I152" s="38"/>
      <c r="J152" s="39"/>
    </row>
    <row r="153" spans="1:10" ht="13.5" customHeight="1" x14ac:dyDescent="0.2">
      <c r="A153" s="19"/>
      <c r="B153" s="27"/>
      <c r="C153" s="33" t="s">
        <v>52</v>
      </c>
      <c r="D153" s="27"/>
      <c r="E153" s="27"/>
      <c r="F153" s="27"/>
      <c r="G153" s="23"/>
      <c r="H153" s="38">
        <v>450</v>
      </c>
      <c r="I153" s="38"/>
      <c r="J153" s="39">
        <v>2307.0900000000047</v>
      </c>
    </row>
    <row r="154" spans="1:10" ht="13.5" customHeight="1" x14ac:dyDescent="0.2">
      <c r="A154" s="19" t="s">
        <v>1335</v>
      </c>
      <c r="B154" s="20"/>
      <c r="C154" s="34" t="s">
        <v>18</v>
      </c>
      <c r="D154" s="11" t="s">
        <v>1336</v>
      </c>
      <c r="E154" s="12">
        <v>-362.79</v>
      </c>
      <c r="F154" s="22" t="s">
        <v>549</v>
      </c>
      <c r="G154" s="23"/>
      <c r="H154" s="24"/>
      <c r="I154" s="25"/>
      <c r="J154" s="26"/>
    </row>
    <row r="155" spans="1:10" ht="13.5" customHeight="1" x14ac:dyDescent="0.2">
      <c r="A155" s="19"/>
      <c r="B155" s="20"/>
      <c r="C155" s="34" t="s">
        <v>20</v>
      </c>
      <c r="D155" s="11" t="s">
        <v>19</v>
      </c>
      <c r="E155" s="12" t="s">
        <v>549</v>
      </c>
      <c r="F155" s="22">
        <v>0.01</v>
      </c>
      <c r="G155" s="23">
        <v>82.1</v>
      </c>
      <c r="H155" s="24"/>
      <c r="I155" s="25"/>
      <c r="J155" s="26"/>
    </row>
    <row r="156" spans="1:10" ht="13.5" customHeight="1" x14ac:dyDescent="0.2">
      <c r="A156" s="19">
        <v>43496</v>
      </c>
      <c r="B156" s="27"/>
      <c r="C156" s="33" t="s">
        <v>1337</v>
      </c>
      <c r="D156" s="27"/>
      <c r="E156" s="27"/>
      <c r="F156" s="27"/>
      <c r="G156" s="23"/>
      <c r="H156" s="38">
        <v>12.4</v>
      </c>
      <c r="I156" s="38"/>
      <c r="J156" s="39"/>
    </row>
    <row r="157" spans="1:10" ht="13.5" customHeight="1" x14ac:dyDescent="0.2">
      <c r="A157" s="19"/>
      <c r="B157" s="27"/>
      <c r="C157" s="33" t="s">
        <v>1338</v>
      </c>
      <c r="D157" s="27"/>
      <c r="E157" s="27"/>
      <c r="F157" s="27"/>
      <c r="G157" s="23"/>
      <c r="H157" s="38">
        <v>6.9</v>
      </c>
      <c r="I157" s="38"/>
      <c r="J157" s="39"/>
    </row>
    <row r="158" spans="1:10" ht="13.5" customHeight="1" x14ac:dyDescent="0.2">
      <c r="A158" s="19"/>
      <c r="B158" s="27"/>
      <c r="C158" s="33" t="s">
        <v>1339</v>
      </c>
      <c r="D158" s="27"/>
      <c r="E158" s="27"/>
      <c r="F158" s="27"/>
      <c r="G158" s="23"/>
      <c r="H158" s="38"/>
      <c r="I158" s="38">
        <v>1080</v>
      </c>
      <c r="J158" s="39"/>
    </row>
    <row r="159" spans="1:10" ht="13.5" customHeight="1" x14ac:dyDescent="0.2">
      <c r="A159" s="19"/>
      <c r="B159" s="27"/>
      <c r="C159" s="33" t="s">
        <v>1340</v>
      </c>
      <c r="D159" s="27"/>
      <c r="E159" s="27"/>
      <c r="F159" s="27"/>
      <c r="G159" s="23"/>
      <c r="H159" s="38">
        <v>150</v>
      </c>
      <c r="I159" s="38"/>
      <c r="J159" s="39"/>
    </row>
    <row r="160" spans="1:10" ht="13.5" customHeight="1" x14ac:dyDescent="0.2">
      <c r="A160" s="19"/>
      <c r="B160" s="27"/>
      <c r="C160" s="33" t="s">
        <v>1341</v>
      </c>
      <c r="D160" s="27"/>
      <c r="E160" s="27"/>
      <c r="F160" s="27"/>
      <c r="G160" s="23"/>
      <c r="H160" s="38">
        <v>150</v>
      </c>
      <c r="I160" s="38"/>
      <c r="J160" s="39"/>
    </row>
    <row r="161" spans="1:10" ht="13.5" customHeight="1" x14ac:dyDescent="0.2">
      <c r="A161" s="19"/>
      <c r="B161" s="27"/>
      <c r="C161" s="36" t="s">
        <v>1342</v>
      </c>
      <c r="D161" s="27"/>
      <c r="E161" s="27"/>
      <c r="F161" s="27"/>
      <c r="G161" s="23"/>
      <c r="H161" s="38">
        <v>13</v>
      </c>
      <c r="I161" s="38"/>
      <c r="J161" s="39"/>
    </row>
    <row r="162" spans="1:10" ht="13.5" customHeight="1" x14ac:dyDescent="0.2">
      <c r="A162" s="19"/>
      <c r="B162" s="27"/>
      <c r="C162" s="36" t="s">
        <v>1343</v>
      </c>
      <c r="D162" s="27"/>
      <c r="E162" s="27"/>
      <c r="F162" s="27"/>
      <c r="G162" s="23"/>
      <c r="H162" s="38">
        <v>26.94</v>
      </c>
      <c r="I162" s="38"/>
      <c r="J162" s="39"/>
    </row>
    <row r="163" spans="1:10" ht="13.5" customHeight="1" x14ac:dyDescent="0.2">
      <c r="A163" s="19"/>
      <c r="B163" s="20"/>
      <c r="C163" s="34" t="s">
        <v>1344</v>
      </c>
      <c r="D163" s="11"/>
      <c r="E163" s="12"/>
      <c r="F163" s="22"/>
      <c r="G163" s="23"/>
      <c r="H163" s="24">
        <v>21.94</v>
      </c>
      <c r="I163" s="25"/>
      <c r="J163" s="26"/>
    </row>
    <row r="164" spans="1:10" ht="13.5" customHeight="1" x14ac:dyDescent="0.2">
      <c r="A164" s="19"/>
      <c r="B164" s="20"/>
      <c r="C164" s="36" t="s">
        <v>1345</v>
      </c>
      <c r="D164" s="11"/>
      <c r="E164" s="12"/>
      <c r="F164" s="22"/>
      <c r="G164" s="23"/>
      <c r="H164" s="24">
        <v>10.77</v>
      </c>
      <c r="I164" s="25"/>
      <c r="J164" s="26"/>
    </row>
    <row r="165" spans="1:10" ht="13.5" customHeight="1" x14ac:dyDescent="0.2">
      <c r="A165" s="19"/>
      <c r="B165" s="20"/>
      <c r="C165" s="34" t="s">
        <v>1346</v>
      </c>
      <c r="D165" s="11"/>
      <c r="E165" s="12"/>
      <c r="F165" s="22"/>
      <c r="G165" s="23"/>
      <c r="H165" s="24">
        <v>36.96</v>
      </c>
      <c r="I165" s="25"/>
      <c r="J165" s="442">
        <v>2958.1800000000044</v>
      </c>
    </row>
    <row r="166" spans="1:10" ht="13.5" customHeight="1" x14ac:dyDescent="0.2">
      <c r="A166" s="19"/>
      <c r="B166" s="20"/>
      <c r="C166" s="34" t="s">
        <v>1347</v>
      </c>
      <c r="D166" s="11" t="s">
        <v>1348</v>
      </c>
      <c r="E166" s="12">
        <v>-381.31</v>
      </c>
      <c r="F166" s="22" t="s">
        <v>549</v>
      </c>
      <c r="G166" s="275">
        <v>-299.20999999999998</v>
      </c>
      <c r="H166" s="24"/>
      <c r="I166" s="25"/>
      <c r="J166" s="26"/>
    </row>
    <row r="167" spans="1:10" ht="13.5" customHeight="1" thickBot="1" x14ac:dyDescent="0.25">
      <c r="A167" s="47"/>
      <c r="B167" s="48"/>
      <c r="C167" s="49"/>
      <c r="D167" s="50"/>
      <c r="E167" s="650">
        <f>SUM(E3:E166)</f>
        <v>-13362.16</v>
      </c>
      <c r="F167" s="650">
        <f>SUM(F3:F166)</f>
        <v>11395.210000000001</v>
      </c>
      <c r="G167" s="1377"/>
      <c r="H167" s="650">
        <f>-SUM(H3:H166)</f>
        <v>-34416.420000000006</v>
      </c>
      <c r="I167" s="650">
        <f>SUM(I3:I166)</f>
        <v>35480.94</v>
      </c>
      <c r="J167" s="52"/>
    </row>
    <row r="168" spans="1:10" ht="13.5" customHeight="1" thickBot="1" x14ac:dyDescent="0.25">
      <c r="A168" s="2" t="s">
        <v>2</v>
      </c>
      <c r="B168" s="3"/>
      <c r="C168" s="3" t="s">
        <v>481</v>
      </c>
      <c r="D168" s="3" t="s">
        <v>4</v>
      </c>
      <c r="E168" s="3" t="s">
        <v>5</v>
      </c>
      <c r="F168" s="3" t="s">
        <v>6</v>
      </c>
      <c r="G168" s="5" t="s">
        <v>7</v>
      </c>
      <c r="H168" s="1415" t="s">
        <v>482</v>
      </c>
      <c r="I168" s="1416"/>
      <c r="J168" s="1417"/>
    </row>
    <row r="169" spans="1:10" ht="13.5" customHeight="1" x14ac:dyDescent="0.2">
      <c r="A169" s="8">
        <v>43466</v>
      </c>
      <c r="B169" s="56"/>
      <c r="C169" s="10" t="s">
        <v>8</v>
      </c>
      <c r="D169" s="11">
        <v>0</v>
      </c>
      <c r="E169" s="51"/>
      <c r="F169" s="12"/>
      <c r="G169" s="178">
        <v>0</v>
      </c>
      <c r="H169" s="179"/>
      <c r="I169" s="57"/>
      <c r="J169" s="58">
        <v>1211.8200000000002</v>
      </c>
    </row>
    <row r="170" spans="1:10" ht="13.5" customHeight="1" x14ac:dyDescent="0.2">
      <c r="A170" s="180" t="s">
        <v>1349</v>
      </c>
      <c r="B170" s="56" t="s">
        <v>483</v>
      </c>
      <c r="C170" s="32" t="s">
        <v>1350</v>
      </c>
      <c r="D170" s="11" t="s">
        <v>1351</v>
      </c>
      <c r="E170" s="181">
        <v>-675</v>
      </c>
      <c r="F170" s="12"/>
      <c r="G170" s="182" t="s">
        <v>483</v>
      </c>
      <c r="H170" s="59"/>
      <c r="I170" s="60"/>
      <c r="J170" s="61">
        <v>1211.8200000000002</v>
      </c>
    </row>
    <row r="171" spans="1:10" ht="13.5" customHeight="1" x14ac:dyDescent="0.2">
      <c r="A171" s="180"/>
      <c r="B171" s="56" t="s">
        <v>483</v>
      </c>
      <c r="C171" s="36" t="s">
        <v>86</v>
      </c>
      <c r="D171" s="11" t="s">
        <v>488</v>
      </c>
      <c r="E171" s="181">
        <v>-0.06</v>
      </c>
      <c r="F171" s="12"/>
      <c r="G171" s="182" t="s">
        <v>483</v>
      </c>
      <c r="H171" s="59"/>
      <c r="I171" s="60"/>
      <c r="J171" s="61">
        <v>1211.8200000000002</v>
      </c>
    </row>
    <row r="172" spans="1:10" ht="13.5" customHeight="1" x14ac:dyDescent="0.2">
      <c r="A172" s="180"/>
      <c r="B172" s="56" t="s">
        <v>483</v>
      </c>
      <c r="C172" s="36" t="s">
        <v>86</v>
      </c>
      <c r="D172" s="11" t="s">
        <v>488</v>
      </c>
      <c r="E172" s="181">
        <v>-4.71</v>
      </c>
      <c r="F172" s="12"/>
      <c r="G172" s="182" t="s">
        <v>483</v>
      </c>
      <c r="H172" s="59"/>
      <c r="I172" s="60"/>
      <c r="J172" s="61">
        <v>1211.8200000000002</v>
      </c>
    </row>
    <row r="173" spans="1:10" ht="13.5" customHeight="1" x14ac:dyDescent="0.2">
      <c r="A173" s="180"/>
      <c r="B173" s="56" t="s">
        <v>483</v>
      </c>
      <c r="C173" s="36" t="s">
        <v>174</v>
      </c>
      <c r="D173" s="11" t="s">
        <v>488</v>
      </c>
      <c r="E173" s="30"/>
      <c r="F173" s="183">
        <v>679.77</v>
      </c>
      <c r="G173" s="182">
        <v>0</v>
      </c>
      <c r="H173" s="59">
        <v>679.77</v>
      </c>
      <c r="I173" s="60"/>
      <c r="J173" s="61">
        <v>532.05000000000018</v>
      </c>
    </row>
    <row r="174" spans="1:10" ht="13.5" customHeight="1" x14ac:dyDescent="0.2">
      <c r="A174" s="180" t="s">
        <v>1352</v>
      </c>
      <c r="B174" s="56" t="s">
        <v>483</v>
      </c>
      <c r="C174" s="36" t="s">
        <v>180</v>
      </c>
      <c r="D174" s="11" t="s">
        <v>488</v>
      </c>
      <c r="E174" s="181">
        <v>-296.73</v>
      </c>
      <c r="F174" s="12"/>
      <c r="G174" s="182" t="s">
        <v>483</v>
      </c>
      <c r="H174" s="59"/>
      <c r="I174" s="60"/>
      <c r="J174" s="61">
        <v>532.05000000000018</v>
      </c>
    </row>
    <row r="175" spans="1:10" ht="13.5" customHeight="1" x14ac:dyDescent="0.2">
      <c r="A175" s="180"/>
      <c r="B175" s="56" t="s">
        <v>483</v>
      </c>
      <c r="C175" s="36" t="s">
        <v>382</v>
      </c>
      <c r="D175" s="11" t="s">
        <v>1353</v>
      </c>
      <c r="E175" s="181">
        <v>-347.2</v>
      </c>
      <c r="F175" s="12"/>
      <c r="G175" s="182" t="s">
        <v>483</v>
      </c>
      <c r="H175" s="59"/>
      <c r="I175" s="60"/>
      <c r="J175" s="61">
        <v>532.05000000000018</v>
      </c>
    </row>
    <row r="176" spans="1:10" ht="13.5" customHeight="1" x14ac:dyDescent="0.2">
      <c r="A176" s="180"/>
      <c r="B176" s="56" t="s">
        <v>483</v>
      </c>
      <c r="C176" s="36" t="s">
        <v>174</v>
      </c>
      <c r="D176" s="11" t="s">
        <v>488</v>
      </c>
      <c r="E176" s="30"/>
      <c r="F176" s="183">
        <v>532.08000000000004</v>
      </c>
      <c r="G176" s="182">
        <v>-111.85</v>
      </c>
      <c r="H176" s="59">
        <v>532.08000000000004</v>
      </c>
      <c r="I176" s="60"/>
      <c r="J176" s="61">
        <v>-2.9999999999859028E-2</v>
      </c>
    </row>
    <row r="177" spans="1:10" ht="13.5" customHeight="1" x14ac:dyDescent="0.2">
      <c r="A177" s="180" t="s">
        <v>1354</v>
      </c>
      <c r="B177" s="56" t="s">
        <v>483</v>
      </c>
      <c r="C177" s="36" t="s">
        <v>1355</v>
      </c>
      <c r="D177" s="11" t="s">
        <v>1356</v>
      </c>
      <c r="E177" s="181">
        <v>-185.5</v>
      </c>
      <c r="F177" s="12"/>
      <c r="G177" s="182">
        <v>-297.35000000000002</v>
      </c>
      <c r="H177" s="59"/>
      <c r="I177" s="60"/>
      <c r="J177" s="61">
        <v>-2.9999999999859028E-2</v>
      </c>
    </row>
    <row r="178" spans="1:10" ht="13.5" customHeight="1" x14ac:dyDescent="0.2">
      <c r="A178" s="180" t="s">
        <v>1357</v>
      </c>
      <c r="B178" s="56" t="s">
        <v>483</v>
      </c>
      <c r="C178" s="36" t="s">
        <v>1358</v>
      </c>
      <c r="D178" s="11" t="s">
        <v>488</v>
      </c>
      <c r="E178" s="181">
        <v>-236.68</v>
      </c>
      <c r="F178" s="12"/>
      <c r="G178" s="182" t="s">
        <v>483</v>
      </c>
      <c r="H178" s="59"/>
      <c r="I178" s="60"/>
      <c r="J178" s="61">
        <v>-2.9999999999859028E-2</v>
      </c>
    </row>
    <row r="179" spans="1:10" ht="13.5" customHeight="1" x14ac:dyDescent="0.2">
      <c r="A179" s="180"/>
      <c r="B179" s="56" t="s">
        <v>483</v>
      </c>
      <c r="C179" s="36" t="s">
        <v>1359</v>
      </c>
      <c r="D179" s="11" t="s">
        <v>488</v>
      </c>
      <c r="E179" s="30"/>
      <c r="F179" s="183">
        <v>4731.47</v>
      </c>
      <c r="G179" s="182" t="s">
        <v>483</v>
      </c>
      <c r="H179" s="59"/>
      <c r="I179" s="60"/>
      <c r="J179" s="61">
        <v>-2.9999999999859028E-2</v>
      </c>
    </row>
    <row r="180" spans="1:10" ht="13.5" customHeight="1" x14ac:dyDescent="0.2">
      <c r="A180" s="180"/>
      <c r="B180" s="56" t="s">
        <v>483</v>
      </c>
      <c r="C180" s="34" t="s">
        <v>189</v>
      </c>
      <c r="D180" s="11" t="s">
        <v>488</v>
      </c>
      <c r="E180" s="181">
        <v>-4197.4399999999996</v>
      </c>
      <c r="F180" s="12"/>
      <c r="G180" s="182">
        <v>0</v>
      </c>
      <c r="H180" s="59"/>
      <c r="I180" s="60">
        <v>4197.4399999999996</v>
      </c>
      <c r="J180" s="61">
        <v>4197.41</v>
      </c>
    </row>
    <row r="181" spans="1:10" ht="13.5" customHeight="1" x14ac:dyDescent="0.2">
      <c r="A181" s="180" t="s">
        <v>1360</v>
      </c>
      <c r="B181" s="56" t="s">
        <v>483</v>
      </c>
      <c r="C181" s="36" t="s">
        <v>1206</v>
      </c>
      <c r="D181" s="11" t="s">
        <v>488</v>
      </c>
      <c r="E181" s="30"/>
      <c r="F181" s="183">
        <v>5000</v>
      </c>
      <c r="G181" s="182" t="s">
        <v>483</v>
      </c>
      <c r="H181" s="59"/>
      <c r="I181" s="60"/>
      <c r="J181" s="61">
        <v>4197.41</v>
      </c>
    </row>
    <row r="182" spans="1:10" ht="13.5" customHeight="1" x14ac:dyDescent="0.2">
      <c r="A182" s="180"/>
      <c r="B182" s="56" t="s">
        <v>483</v>
      </c>
      <c r="C182" s="34" t="s">
        <v>1361</v>
      </c>
      <c r="D182" s="11" t="s">
        <v>493</v>
      </c>
      <c r="E182" s="181">
        <v>-7762</v>
      </c>
      <c r="F182" s="12"/>
      <c r="G182" s="182" t="s">
        <v>483</v>
      </c>
      <c r="H182" s="59"/>
      <c r="I182" s="60"/>
      <c r="J182" s="61">
        <v>4197.41</v>
      </c>
    </row>
    <row r="183" spans="1:10" ht="13.5" customHeight="1" x14ac:dyDescent="0.2">
      <c r="A183" s="180"/>
      <c r="B183" s="56" t="s">
        <v>483</v>
      </c>
      <c r="C183" s="36" t="s">
        <v>174</v>
      </c>
      <c r="D183" s="11" t="s">
        <v>488</v>
      </c>
      <c r="E183" s="30"/>
      <c r="F183" s="183">
        <v>2762</v>
      </c>
      <c r="G183" s="182">
        <v>0</v>
      </c>
      <c r="H183" s="59">
        <v>2762</v>
      </c>
      <c r="I183" s="60"/>
      <c r="J183" s="61">
        <v>1435.4099999999999</v>
      </c>
    </row>
    <row r="184" spans="1:10" ht="13.5" customHeight="1" x14ac:dyDescent="0.2">
      <c r="A184" s="180" t="s">
        <v>1362</v>
      </c>
      <c r="B184" s="56" t="s">
        <v>483</v>
      </c>
      <c r="C184" s="36" t="s">
        <v>86</v>
      </c>
      <c r="D184" s="11" t="s">
        <v>488</v>
      </c>
      <c r="E184" s="181">
        <v>-10.1</v>
      </c>
      <c r="F184" s="12"/>
      <c r="G184" s="182" t="s">
        <v>483</v>
      </c>
      <c r="H184" s="59"/>
      <c r="I184" s="60"/>
      <c r="J184" s="61">
        <v>1435.4099999999999</v>
      </c>
    </row>
    <row r="185" spans="1:10" ht="13.5" customHeight="1" x14ac:dyDescent="0.2">
      <c r="A185" s="180"/>
      <c r="B185" s="56" t="s">
        <v>483</v>
      </c>
      <c r="C185" s="36" t="s">
        <v>174</v>
      </c>
      <c r="D185" s="11" t="s">
        <v>488</v>
      </c>
      <c r="E185" s="30"/>
      <c r="F185" s="183">
        <v>10.1</v>
      </c>
      <c r="G185" s="182">
        <v>0</v>
      </c>
      <c r="H185" s="59">
        <v>10.1</v>
      </c>
      <c r="I185" s="60"/>
      <c r="J185" s="61">
        <v>1425.31</v>
      </c>
    </row>
    <row r="186" spans="1:10" ht="13.5" customHeight="1" x14ac:dyDescent="0.2">
      <c r="A186" s="180" t="s">
        <v>1363</v>
      </c>
      <c r="B186" s="56" t="s">
        <v>483</v>
      </c>
      <c r="C186" s="34" t="s">
        <v>1364</v>
      </c>
      <c r="D186" s="11" t="s">
        <v>1365</v>
      </c>
      <c r="E186" s="181">
        <v>-720.85</v>
      </c>
      <c r="F186" s="12"/>
      <c r="G186" s="182" t="s">
        <v>483</v>
      </c>
      <c r="H186" s="59"/>
      <c r="I186" s="60"/>
      <c r="J186" s="61">
        <v>1425.31</v>
      </c>
    </row>
    <row r="187" spans="1:10" ht="13.5" customHeight="1" x14ac:dyDescent="0.2">
      <c r="A187" s="180"/>
      <c r="B187" s="56" t="s">
        <v>483</v>
      </c>
      <c r="C187" s="34" t="s">
        <v>1366</v>
      </c>
      <c r="D187" s="11" t="s">
        <v>1367</v>
      </c>
      <c r="E187" s="181">
        <v>-7500</v>
      </c>
      <c r="F187" s="12"/>
      <c r="G187" s="182" t="s">
        <v>483</v>
      </c>
      <c r="H187" s="59"/>
      <c r="I187" s="60"/>
      <c r="J187" s="61">
        <v>1425.31</v>
      </c>
    </row>
    <row r="188" spans="1:10" ht="13.5" customHeight="1" x14ac:dyDescent="0.2">
      <c r="A188" s="180"/>
      <c r="B188" s="56" t="s">
        <v>483</v>
      </c>
      <c r="C188" s="34" t="s">
        <v>1311</v>
      </c>
      <c r="D188" s="11" t="s">
        <v>1368</v>
      </c>
      <c r="E188" s="30"/>
      <c r="F188" s="277">
        <v>3000</v>
      </c>
      <c r="G188" s="411" t="s">
        <v>483</v>
      </c>
      <c r="H188" s="59"/>
      <c r="I188" s="60"/>
      <c r="J188" s="61">
        <v>1425.31</v>
      </c>
    </row>
    <row r="189" spans="1:10" ht="13.5" customHeight="1" x14ac:dyDescent="0.2">
      <c r="A189" s="180"/>
      <c r="B189" s="56" t="s">
        <v>483</v>
      </c>
      <c r="C189" s="34" t="s">
        <v>1311</v>
      </c>
      <c r="D189" s="11" t="s">
        <v>1369</v>
      </c>
      <c r="E189" s="30"/>
      <c r="F189" s="277">
        <v>3000</v>
      </c>
      <c r="G189" s="411" t="s">
        <v>483</v>
      </c>
      <c r="H189" s="59"/>
      <c r="I189" s="60"/>
      <c r="J189" s="61">
        <v>1425.31</v>
      </c>
    </row>
    <row r="190" spans="1:10" ht="13.5" customHeight="1" x14ac:dyDescent="0.2">
      <c r="A190" s="180"/>
      <c r="B190" s="56" t="s">
        <v>483</v>
      </c>
      <c r="C190" s="34" t="s">
        <v>1311</v>
      </c>
      <c r="D190" s="11" t="s">
        <v>1370</v>
      </c>
      <c r="E190" s="30"/>
      <c r="F190" s="277">
        <v>2000</v>
      </c>
      <c r="G190" s="411" t="s">
        <v>483</v>
      </c>
      <c r="H190" s="59"/>
      <c r="I190" s="60"/>
      <c r="J190" s="61">
        <v>1425.31</v>
      </c>
    </row>
    <row r="191" spans="1:10" ht="13.5" customHeight="1" x14ac:dyDescent="0.2">
      <c r="A191" s="180"/>
      <c r="B191" s="56" t="s">
        <v>483</v>
      </c>
      <c r="C191" s="36" t="s">
        <v>174</v>
      </c>
      <c r="D191" s="11" t="s">
        <v>488</v>
      </c>
      <c r="E191" s="30"/>
      <c r="F191" s="183">
        <v>220.85</v>
      </c>
      <c r="G191" s="182">
        <v>0</v>
      </c>
      <c r="H191" s="59">
        <v>220.85</v>
      </c>
      <c r="I191" s="60"/>
      <c r="J191" s="61">
        <v>1204.46</v>
      </c>
    </row>
    <row r="192" spans="1:10" ht="13.5" customHeight="1" x14ac:dyDescent="0.2">
      <c r="A192" s="180" t="s">
        <v>1371</v>
      </c>
      <c r="B192" s="56" t="s">
        <v>483</v>
      </c>
      <c r="C192" s="36" t="s">
        <v>1372</v>
      </c>
      <c r="D192" s="11" t="s">
        <v>488</v>
      </c>
      <c r="E192" s="181">
        <v>-930</v>
      </c>
      <c r="F192" s="12"/>
      <c r="G192" s="182" t="s">
        <v>483</v>
      </c>
      <c r="H192" s="59"/>
      <c r="I192" s="60"/>
      <c r="J192" s="61">
        <v>1204.46</v>
      </c>
    </row>
    <row r="193" spans="1:10" ht="13.5" customHeight="1" x14ac:dyDescent="0.2">
      <c r="A193" s="180"/>
      <c r="B193" s="56" t="s">
        <v>483</v>
      </c>
      <c r="C193" s="36" t="s">
        <v>1206</v>
      </c>
      <c r="D193" s="11" t="s">
        <v>488</v>
      </c>
      <c r="E193" s="30"/>
      <c r="F193" s="183">
        <v>5000</v>
      </c>
      <c r="G193" s="182" t="s">
        <v>483</v>
      </c>
      <c r="H193" s="59"/>
      <c r="I193" s="60"/>
      <c r="J193" s="61">
        <v>1204.46</v>
      </c>
    </row>
    <row r="194" spans="1:10" ht="13.5" customHeight="1" x14ac:dyDescent="0.2">
      <c r="A194" s="180"/>
      <c r="B194" s="56" t="s">
        <v>483</v>
      </c>
      <c r="C194" s="36" t="s">
        <v>1373</v>
      </c>
      <c r="D194" s="11" t="s">
        <v>1374</v>
      </c>
      <c r="E194" s="181">
        <v>-449</v>
      </c>
      <c r="F194" s="12"/>
      <c r="G194" s="182" t="s">
        <v>483</v>
      </c>
      <c r="H194" s="59"/>
      <c r="I194" s="60"/>
      <c r="J194" s="61">
        <v>1204.46</v>
      </c>
    </row>
    <row r="195" spans="1:10" ht="13.5" customHeight="1" x14ac:dyDescent="0.2">
      <c r="A195" s="180"/>
      <c r="B195" s="56" t="s">
        <v>483</v>
      </c>
      <c r="C195" s="34" t="s">
        <v>189</v>
      </c>
      <c r="D195" s="11" t="s">
        <v>488</v>
      </c>
      <c r="E195" s="181">
        <v>-3621</v>
      </c>
      <c r="F195" s="12"/>
      <c r="G195" s="182">
        <v>0</v>
      </c>
      <c r="H195" s="59"/>
      <c r="I195" s="60">
        <v>3621</v>
      </c>
      <c r="J195" s="61">
        <v>4825.46</v>
      </c>
    </row>
    <row r="196" spans="1:10" ht="13.5" customHeight="1" x14ac:dyDescent="0.2">
      <c r="A196" s="180" t="s">
        <v>1375</v>
      </c>
      <c r="B196" s="56" t="s">
        <v>483</v>
      </c>
      <c r="C196" s="36" t="s">
        <v>86</v>
      </c>
      <c r="D196" s="11" t="s">
        <v>488</v>
      </c>
      <c r="E196" s="181">
        <v>-10.1</v>
      </c>
      <c r="F196" s="12"/>
      <c r="G196" s="182" t="s">
        <v>483</v>
      </c>
      <c r="H196" s="59"/>
      <c r="I196" s="60"/>
      <c r="J196" s="61">
        <v>4825.46</v>
      </c>
    </row>
    <row r="197" spans="1:10" ht="13.5" customHeight="1" x14ac:dyDescent="0.2">
      <c r="A197" s="180"/>
      <c r="B197" s="56" t="s">
        <v>483</v>
      </c>
      <c r="C197" s="32" t="s">
        <v>792</v>
      </c>
      <c r="D197" s="11" t="s">
        <v>1376</v>
      </c>
      <c r="E197" s="181">
        <v>-1878.2</v>
      </c>
      <c r="F197" s="12"/>
      <c r="G197" s="182" t="s">
        <v>483</v>
      </c>
      <c r="H197" s="59"/>
      <c r="I197" s="60"/>
      <c r="J197" s="61">
        <v>4825.46</v>
      </c>
    </row>
    <row r="198" spans="1:10" ht="13.5" customHeight="1" x14ac:dyDescent="0.2">
      <c r="A198" s="180"/>
      <c r="B198" s="56" t="s">
        <v>483</v>
      </c>
      <c r="C198" s="36" t="s">
        <v>1377</v>
      </c>
      <c r="D198" s="11" t="s">
        <v>493</v>
      </c>
      <c r="E198" s="181">
        <v>-1129.54</v>
      </c>
      <c r="F198" s="12"/>
      <c r="G198" s="182" t="s">
        <v>483</v>
      </c>
      <c r="H198" s="59"/>
      <c r="I198" s="60"/>
      <c r="J198" s="61">
        <v>4825.46</v>
      </c>
    </row>
    <row r="199" spans="1:10" ht="13.5" customHeight="1" x14ac:dyDescent="0.2">
      <c r="A199" s="180"/>
      <c r="B199" s="56" t="s">
        <v>483</v>
      </c>
      <c r="C199" s="36" t="s">
        <v>174</v>
      </c>
      <c r="D199" s="11" t="s">
        <v>488</v>
      </c>
      <c r="E199" s="30"/>
      <c r="F199" s="183">
        <v>3017.84</v>
      </c>
      <c r="G199" s="182">
        <v>0</v>
      </c>
      <c r="H199" s="59">
        <v>3017.84</v>
      </c>
      <c r="I199" s="60"/>
      <c r="J199" s="61">
        <v>1807.62</v>
      </c>
    </row>
    <row r="200" spans="1:10" ht="13.5" customHeight="1" x14ac:dyDescent="0.2">
      <c r="A200" s="180" t="s">
        <v>1378</v>
      </c>
      <c r="B200" s="56" t="s">
        <v>483</v>
      </c>
      <c r="C200" s="36" t="s">
        <v>86</v>
      </c>
      <c r="D200" s="11" t="s">
        <v>488</v>
      </c>
      <c r="E200" s="181">
        <v>-85</v>
      </c>
      <c r="F200" s="12"/>
      <c r="G200" s="182" t="s">
        <v>483</v>
      </c>
      <c r="H200" s="59"/>
      <c r="I200" s="60"/>
      <c r="J200" s="61">
        <v>1807.62</v>
      </c>
    </row>
    <row r="201" spans="1:10" ht="13.5" customHeight="1" x14ac:dyDescent="0.2">
      <c r="A201" s="180"/>
      <c r="B201" s="56" t="s">
        <v>483</v>
      </c>
      <c r="C201" s="36" t="s">
        <v>174</v>
      </c>
      <c r="D201" s="11" t="s">
        <v>488</v>
      </c>
      <c r="E201" s="30"/>
      <c r="F201" s="183">
        <v>85</v>
      </c>
      <c r="G201" s="182">
        <v>0</v>
      </c>
      <c r="H201" s="59">
        <v>85</v>
      </c>
      <c r="I201" s="60"/>
      <c r="J201" s="61">
        <v>1722.62</v>
      </c>
    </row>
    <row r="202" spans="1:10" ht="13.5" customHeight="1" x14ac:dyDescent="0.2">
      <c r="A202" s="180" t="s">
        <v>1379</v>
      </c>
      <c r="B202" s="56" t="s">
        <v>483</v>
      </c>
      <c r="C202" s="34" t="s">
        <v>199</v>
      </c>
      <c r="D202" s="11" t="s">
        <v>488</v>
      </c>
      <c r="E202" s="181">
        <v>-174.52</v>
      </c>
      <c r="F202" s="12"/>
      <c r="G202" s="182" t="s">
        <v>483</v>
      </c>
      <c r="H202" s="59"/>
      <c r="I202" s="60"/>
      <c r="J202" s="61">
        <v>1722.62</v>
      </c>
    </row>
    <row r="203" spans="1:10" ht="13.5" customHeight="1" x14ac:dyDescent="0.2">
      <c r="A203" s="180"/>
      <c r="B203" s="56" t="s">
        <v>483</v>
      </c>
      <c r="C203" s="34" t="s">
        <v>194</v>
      </c>
      <c r="D203" s="11" t="s">
        <v>488</v>
      </c>
      <c r="E203" s="181">
        <v>-84.37</v>
      </c>
      <c r="F203" s="12"/>
      <c r="G203" s="182" t="s">
        <v>483</v>
      </c>
      <c r="H203" s="59"/>
      <c r="I203" s="60"/>
      <c r="J203" s="61">
        <v>1722.62</v>
      </c>
    </row>
    <row r="204" spans="1:10" ht="13.5" customHeight="1" x14ac:dyDescent="0.2">
      <c r="A204" s="180"/>
      <c r="B204" s="56" t="s">
        <v>483</v>
      </c>
      <c r="C204" s="34" t="s">
        <v>195</v>
      </c>
      <c r="D204" s="11" t="s">
        <v>488</v>
      </c>
      <c r="E204" s="181">
        <v>-389.42</v>
      </c>
      <c r="F204" s="12"/>
      <c r="G204" s="182" t="s">
        <v>483</v>
      </c>
      <c r="H204" s="59"/>
      <c r="I204" s="60"/>
      <c r="J204" s="61">
        <v>1722.62</v>
      </c>
    </row>
    <row r="205" spans="1:10" ht="13.5" customHeight="1" x14ac:dyDescent="0.2">
      <c r="A205" s="180"/>
      <c r="B205" s="56" t="s">
        <v>483</v>
      </c>
      <c r="C205" s="36" t="s">
        <v>1380</v>
      </c>
      <c r="D205" s="11" t="s">
        <v>488</v>
      </c>
      <c r="E205" s="181">
        <v>-22.89</v>
      </c>
      <c r="F205" s="12"/>
      <c r="G205" s="182" t="s">
        <v>483</v>
      </c>
      <c r="H205" s="59"/>
      <c r="I205" s="60"/>
      <c r="J205" s="61">
        <v>1722.62</v>
      </c>
    </row>
    <row r="206" spans="1:10" ht="13.5" customHeight="1" x14ac:dyDescent="0.2">
      <c r="A206" s="180"/>
      <c r="B206" s="56" t="s">
        <v>483</v>
      </c>
      <c r="C206" s="36" t="s">
        <v>1380</v>
      </c>
      <c r="D206" s="11" t="s">
        <v>488</v>
      </c>
      <c r="E206" s="181">
        <v>-45.59</v>
      </c>
      <c r="F206" s="12"/>
      <c r="G206" s="182" t="s">
        <v>483</v>
      </c>
      <c r="H206" s="59"/>
      <c r="I206" s="60"/>
      <c r="J206" s="61">
        <v>1722.62</v>
      </c>
    </row>
    <row r="207" spans="1:10" ht="13.5" customHeight="1" x14ac:dyDescent="0.2">
      <c r="A207" s="180"/>
      <c r="B207" s="56" t="s">
        <v>483</v>
      </c>
      <c r="C207" s="36" t="s">
        <v>1381</v>
      </c>
      <c r="D207" s="11" t="s">
        <v>488</v>
      </c>
      <c r="E207" s="181">
        <v>-111.58</v>
      </c>
      <c r="F207" s="12"/>
      <c r="G207" s="182" t="s">
        <v>483</v>
      </c>
      <c r="H207" s="59"/>
      <c r="I207" s="60"/>
      <c r="J207" s="61">
        <v>1722.62</v>
      </c>
    </row>
    <row r="208" spans="1:10" ht="13.5" customHeight="1" x14ac:dyDescent="0.2">
      <c r="A208" s="180"/>
      <c r="B208" s="56" t="s">
        <v>483</v>
      </c>
      <c r="C208" s="36" t="s">
        <v>1381</v>
      </c>
      <c r="D208" s="11" t="s">
        <v>488</v>
      </c>
      <c r="E208" s="181">
        <v>-222.21</v>
      </c>
      <c r="F208" s="12"/>
      <c r="G208" s="182"/>
      <c r="H208" s="59"/>
      <c r="I208" s="60"/>
      <c r="J208" s="61">
        <v>1722.62</v>
      </c>
    </row>
    <row r="209" spans="1:12" ht="13.5" customHeight="1" x14ac:dyDescent="0.2">
      <c r="A209" s="180"/>
      <c r="B209" s="56" t="s">
        <v>483</v>
      </c>
      <c r="C209" s="36" t="s">
        <v>174</v>
      </c>
      <c r="D209" s="11" t="s">
        <v>488</v>
      </c>
      <c r="E209" s="30"/>
      <c r="F209" s="183">
        <v>1050.58</v>
      </c>
      <c r="G209" s="182">
        <v>0</v>
      </c>
      <c r="H209" s="59">
        <v>1050.58</v>
      </c>
      <c r="I209" s="60"/>
      <c r="J209" s="61">
        <v>672.04</v>
      </c>
    </row>
    <row r="210" spans="1:12" ht="13.5" customHeight="1" x14ac:dyDescent="0.2">
      <c r="A210" s="180" t="s">
        <v>1382</v>
      </c>
      <c r="B210" s="56" t="s">
        <v>483</v>
      </c>
      <c r="C210" s="32" t="s">
        <v>1355</v>
      </c>
      <c r="D210" s="11" t="s">
        <v>1383</v>
      </c>
      <c r="E210" s="181">
        <v>-180</v>
      </c>
      <c r="F210" s="12"/>
      <c r="G210" s="182"/>
      <c r="H210" s="59"/>
      <c r="I210" s="60"/>
      <c r="J210" s="61">
        <v>672.04</v>
      </c>
    </row>
    <row r="211" spans="1:12" ht="13.5" customHeight="1" x14ac:dyDescent="0.2">
      <c r="A211" s="180"/>
      <c r="B211" s="56" t="s">
        <v>483</v>
      </c>
      <c r="C211" s="36" t="s">
        <v>174</v>
      </c>
      <c r="D211" s="11" t="s">
        <v>488</v>
      </c>
      <c r="E211" s="30"/>
      <c r="F211" s="183">
        <v>180</v>
      </c>
      <c r="G211" s="182">
        <v>0</v>
      </c>
      <c r="H211" s="59">
        <v>180</v>
      </c>
      <c r="I211" s="60"/>
      <c r="J211" s="61">
        <v>492.03999999999996</v>
      </c>
    </row>
    <row r="212" spans="1:12" ht="13.5" customHeight="1" x14ac:dyDescent="0.2">
      <c r="A212" s="180" t="s">
        <v>1384</v>
      </c>
      <c r="B212" s="56" t="s">
        <v>483</v>
      </c>
      <c r="C212" s="36" t="s">
        <v>203</v>
      </c>
      <c r="D212" s="11" t="s">
        <v>1385</v>
      </c>
      <c r="E212" s="181">
        <v>-100</v>
      </c>
      <c r="F212" s="12"/>
      <c r="G212" s="182" t="s">
        <v>483</v>
      </c>
      <c r="H212" s="59"/>
      <c r="I212" s="60"/>
      <c r="J212" s="61">
        <v>492.03999999999996</v>
      </c>
    </row>
    <row r="213" spans="1:12" ht="13.5" customHeight="1" x14ac:dyDescent="0.2">
      <c r="A213" s="180"/>
      <c r="B213" s="56" t="s">
        <v>483</v>
      </c>
      <c r="C213" s="36" t="s">
        <v>174</v>
      </c>
      <c r="D213" s="11" t="s">
        <v>488</v>
      </c>
      <c r="E213" s="30"/>
      <c r="F213" s="183">
        <v>100</v>
      </c>
      <c r="G213" s="182">
        <v>0</v>
      </c>
      <c r="H213" s="59">
        <v>100</v>
      </c>
      <c r="I213" s="60"/>
      <c r="J213" s="61">
        <v>392.03999999999996</v>
      </c>
    </row>
    <row r="214" spans="1:12" ht="13.5" customHeight="1" x14ac:dyDescent="0.2">
      <c r="A214" s="180" t="s">
        <v>1386</v>
      </c>
      <c r="B214" s="56" t="s">
        <v>483</v>
      </c>
      <c r="C214" s="36" t="s">
        <v>86</v>
      </c>
      <c r="D214" s="11" t="s">
        <v>488</v>
      </c>
      <c r="E214" s="181">
        <v>-12.5</v>
      </c>
      <c r="F214" s="12"/>
      <c r="G214" s="182" t="s">
        <v>483</v>
      </c>
      <c r="H214" s="59"/>
      <c r="I214" s="60"/>
      <c r="J214" s="61">
        <v>392.03999999999996</v>
      </c>
    </row>
    <row r="215" spans="1:12" ht="13.5" customHeight="1" x14ac:dyDescent="0.2">
      <c r="A215" s="180"/>
      <c r="B215" s="56" t="s">
        <v>483</v>
      </c>
      <c r="C215" s="36" t="s">
        <v>174</v>
      </c>
      <c r="D215" s="11" t="s">
        <v>488</v>
      </c>
      <c r="E215" s="30"/>
      <c r="F215" s="183">
        <v>12.5</v>
      </c>
      <c r="G215" s="182">
        <v>0</v>
      </c>
      <c r="H215" s="59">
        <v>12.5</v>
      </c>
      <c r="I215" s="60"/>
      <c r="J215" s="61">
        <v>379.53999999999996</v>
      </c>
    </row>
    <row r="216" spans="1:12" ht="13.5" customHeight="1" x14ac:dyDescent="0.2">
      <c r="A216" s="180" t="s">
        <v>1387</v>
      </c>
      <c r="B216" s="56" t="s">
        <v>483</v>
      </c>
      <c r="C216" s="32" t="s">
        <v>813</v>
      </c>
      <c r="D216" s="11" t="s">
        <v>1388</v>
      </c>
      <c r="E216" s="181">
        <v>-100</v>
      </c>
      <c r="F216" s="12"/>
      <c r="G216" s="182" t="s">
        <v>483</v>
      </c>
      <c r="H216" s="59"/>
      <c r="I216" s="60"/>
      <c r="J216" s="61">
        <v>379.53999999999996</v>
      </c>
    </row>
    <row r="217" spans="1:12" ht="13.5" customHeight="1" x14ac:dyDescent="0.2">
      <c r="A217" s="180"/>
      <c r="B217" s="56" t="s">
        <v>483</v>
      </c>
      <c r="C217" s="36" t="s">
        <v>196</v>
      </c>
      <c r="D217" s="11" t="s">
        <v>488</v>
      </c>
      <c r="E217" s="181">
        <v>-1107.17</v>
      </c>
      <c r="F217" s="12"/>
      <c r="G217" s="182" t="s">
        <v>483</v>
      </c>
      <c r="H217" s="59"/>
      <c r="I217" s="60"/>
      <c r="J217" s="61">
        <v>379.53999999999996</v>
      </c>
    </row>
    <row r="218" spans="1:12" ht="13.5" customHeight="1" x14ac:dyDescent="0.2">
      <c r="A218" s="180"/>
      <c r="B218" s="56" t="s">
        <v>483</v>
      </c>
      <c r="C218" s="36" t="s">
        <v>197</v>
      </c>
      <c r="D218" s="11" t="s">
        <v>488</v>
      </c>
      <c r="E218" s="181">
        <v>-1845.29</v>
      </c>
      <c r="F218" s="12"/>
      <c r="G218" s="182" t="s">
        <v>483</v>
      </c>
      <c r="H218" s="59"/>
      <c r="I218" s="60"/>
      <c r="J218" s="61">
        <v>379.53999999999996</v>
      </c>
    </row>
    <row r="219" spans="1:12" ht="13.5" customHeight="1" x14ac:dyDescent="0.2">
      <c r="A219" s="180"/>
      <c r="B219" s="56" t="s">
        <v>483</v>
      </c>
      <c r="C219" s="36" t="s">
        <v>174</v>
      </c>
      <c r="D219" s="11" t="s">
        <v>488</v>
      </c>
      <c r="E219" s="30"/>
      <c r="F219" s="183">
        <v>379.65</v>
      </c>
      <c r="G219" s="443">
        <v>-2672.81</v>
      </c>
      <c r="H219" s="59">
        <v>379.65</v>
      </c>
      <c r="I219" s="60"/>
      <c r="J219" s="61">
        <v>-0.11000000000001364</v>
      </c>
    </row>
    <row r="220" spans="1:12" ht="13.5" customHeight="1" x14ac:dyDescent="0.2">
      <c r="A220" s="180"/>
      <c r="B220" s="56"/>
      <c r="C220" s="36" t="s">
        <v>20</v>
      </c>
      <c r="D220" s="11"/>
      <c r="E220" s="30"/>
      <c r="F220" s="12"/>
      <c r="G220" s="182"/>
      <c r="H220" s="59"/>
      <c r="I220" s="60">
        <v>0.11</v>
      </c>
      <c r="J220" s="186">
        <v>-1.3641865415081611E-14</v>
      </c>
    </row>
    <row r="221" spans="1:12" s="64" customFormat="1" ht="13.5" customHeight="1" thickBot="1" x14ac:dyDescent="0.25">
      <c r="A221" s="184"/>
      <c r="B221" s="63"/>
      <c r="C221" s="63"/>
      <c r="D221" s="50"/>
      <c r="E221" s="650">
        <f>SUM(E170:E220)</f>
        <v>-34434.65</v>
      </c>
      <c r="F221" s="650">
        <f>SUM(F170:F220)</f>
        <v>31761.839999999997</v>
      </c>
      <c r="G221" s="53"/>
      <c r="H221" s="179"/>
      <c r="I221" s="57"/>
      <c r="J221" s="67"/>
      <c r="L221" s="65"/>
    </row>
    <row r="222" spans="1:12" ht="13.5" customHeight="1" thickBot="1" x14ac:dyDescent="0.25">
      <c r="A222" s="2" t="s">
        <v>2</v>
      </c>
      <c r="B222" s="3"/>
      <c r="C222" s="3" t="s">
        <v>525</v>
      </c>
      <c r="D222" s="3" t="s">
        <v>4</v>
      </c>
      <c r="E222" s="3" t="s">
        <v>5</v>
      </c>
      <c r="F222" s="3" t="s">
        <v>6</v>
      </c>
      <c r="G222" s="5" t="s">
        <v>7</v>
      </c>
      <c r="H222" s="187"/>
      <c r="I222" s="188"/>
      <c r="J222" s="189"/>
    </row>
    <row r="223" spans="1:12" ht="13.5" customHeight="1" x14ac:dyDescent="0.2">
      <c r="A223" s="8">
        <v>43466</v>
      </c>
      <c r="B223" s="56"/>
      <c r="C223" s="10" t="s">
        <v>8</v>
      </c>
      <c r="D223" s="11"/>
      <c r="E223" s="51"/>
      <c r="F223" s="12"/>
      <c r="G223" s="178">
        <v>350.57999999999993</v>
      </c>
      <c r="H223" s="179"/>
      <c r="I223" s="57"/>
      <c r="J223" s="67"/>
    </row>
    <row r="224" spans="1:12" customFormat="1" ht="13.5" customHeight="1" x14ac:dyDescent="0.2">
      <c r="A224" s="180">
        <v>43469</v>
      </c>
      <c r="B224" s="36"/>
      <c r="C224" s="32" t="s">
        <v>611</v>
      </c>
      <c r="D224" s="42"/>
      <c r="E224" s="196"/>
      <c r="F224" s="43">
        <v>1500</v>
      </c>
      <c r="G224" s="190">
        <v>1850.58</v>
      </c>
      <c r="H224" s="197"/>
      <c r="I224" s="57"/>
      <c r="J224" s="198"/>
      <c r="L224" s="40"/>
    </row>
    <row r="225" spans="1:12" customFormat="1" ht="13.5" customHeight="1" x14ac:dyDescent="0.2">
      <c r="A225" s="180"/>
      <c r="B225" s="36"/>
      <c r="C225" s="36" t="s">
        <v>613</v>
      </c>
      <c r="D225" s="42"/>
      <c r="E225" s="343">
        <v>58</v>
      </c>
      <c r="F225" s="43"/>
      <c r="G225" s="190">
        <v>1792.58</v>
      </c>
      <c r="H225" s="197"/>
      <c r="I225" s="57"/>
      <c r="J225" s="198"/>
      <c r="L225" s="40"/>
    </row>
    <row r="226" spans="1:12" ht="13.5" customHeight="1" x14ac:dyDescent="0.2">
      <c r="A226" s="180">
        <v>43472</v>
      </c>
      <c r="B226" s="56"/>
      <c r="C226" s="36" t="s">
        <v>530</v>
      </c>
      <c r="D226" s="11"/>
      <c r="E226" s="181">
        <v>849.06</v>
      </c>
      <c r="F226" s="12"/>
      <c r="G226" s="190">
        <v>943.52</v>
      </c>
      <c r="H226" s="59"/>
      <c r="I226" s="60"/>
      <c r="J226" s="61"/>
    </row>
    <row r="227" spans="1:12" ht="13.5" customHeight="1" x14ac:dyDescent="0.2">
      <c r="A227" s="180">
        <v>43482</v>
      </c>
      <c r="B227" s="56"/>
      <c r="C227" s="32" t="s">
        <v>613</v>
      </c>
      <c r="D227" s="11"/>
      <c r="E227" s="181">
        <v>18.25</v>
      </c>
      <c r="F227" s="12"/>
      <c r="G227" s="190">
        <v>925.27</v>
      </c>
      <c r="H227" s="59"/>
      <c r="I227" s="60"/>
      <c r="J227" s="61"/>
    </row>
    <row r="228" spans="1:12" ht="13.5" customHeight="1" x14ac:dyDescent="0.2">
      <c r="A228" s="180"/>
      <c r="B228" s="56"/>
      <c r="C228" s="32" t="s">
        <v>613</v>
      </c>
      <c r="D228" s="11"/>
      <c r="E228" s="181">
        <v>22.8</v>
      </c>
      <c r="F228" s="12"/>
      <c r="G228" s="190">
        <v>902.47</v>
      </c>
      <c r="H228" s="59"/>
      <c r="I228" s="60"/>
      <c r="J228" s="61"/>
    </row>
    <row r="229" spans="1:12" ht="13.5" customHeight="1" x14ac:dyDescent="0.2">
      <c r="A229" s="180"/>
      <c r="B229" s="56"/>
      <c r="C229" s="32" t="s">
        <v>613</v>
      </c>
      <c r="D229" s="11"/>
      <c r="E229" s="181">
        <v>19.95</v>
      </c>
      <c r="F229" s="12"/>
      <c r="G229" s="190">
        <v>882.52</v>
      </c>
      <c r="H229" s="59"/>
      <c r="I229" s="60"/>
      <c r="J229" s="61"/>
    </row>
    <row r="230" spans="1:12" ht="13.5" customHeight="1" x14ac:dyDescent="0.2">
      <c r="A230" s="180">
        <v>43483</v>
      </c>
      <c r="B230" s="56"/>
      <c r="C230" s="34" t="s">
        <v>1389</v>
      </c>
      <c r="D230" s="11"/>
      <c r="E230" s="181">
        <v>125.12</v>
      </c>
      <c r="F230" s="12"/>
      <c r="G230" s="190">
        <v>757.4</v>
      </c>
      <c r="H230" s="59"/>
      <c r="I230" s="60"/>
      <c r="J230" s="61"/>
    </row>
    <row r="231" spans="1:12" ht="13.5" customHeight="1" x14ac:dyDescent="0.2">
      <c r="A231" s="180">
        <v>43496</v>
      </c>
      <c r="B231" s="56"/>
      <c r="C231" s="36" t="s">
        <v>618</v>
      </c>
      <c r="D231" s="11"/>
      <c r="E231" s="181">
        <v>36.96</v>
      </c>
      <c r="F231" s="12"/>
      <c r="G231" s="190">
        <v>720.43999999999994</v>
      </c>
      <c r="H231" s="59"/>
      <c r="I231" s="60"/>
      <c r="J231" s="61"/>
    </row>
    <row r="232" spans="1:12" ht="13.5" customHeight="1" x14ac:dyDescent="0.2">
      <c r="A232" s="180"/>
      <c r="B232" s="56"/>
      <c r="C232" s="36" t="s">
        <v>618</v>
      </c>
      <c r="D232" s="11"/>
      <c r="E232" s="181">
        <v>10.77</v>
      </c>
      <c r="F232" s="12"/>
      <c r="G232" s="178">
        <v>709.67</v>
      </c>
      <c r="H232" s="59"/>
      <c r="I232" s="60"/>
      <c r="J232" s="61"/>
    </row>
    <row r="233" spans="1:12" s="64" customFormat="1" ht="13.5" customHeight="1" thickBot="1" x14ac:dyDescent="0.25">
      <c r="A233" s="184"/>
      <c r="B233" s="63"/>
      <c r="C233" s="357"/>
      <c r="D233" s="50"/>
      <c r="E233" s="51"/>
      <c r="F233" s="13"/>
      <c r="G233" s="53"/>
      <c r="H233" s="179"/>
      <c r="I233" s="57"/>
      <c r="J233" s="67"/>
      <c r="L233" s="65"/>
    </row>
    <row r="234" spans="1:12" customFormat="1" ht="13.5" customHeight="1" thickBot="1" x14ac:dyDescent="0.25">
      <c r="A234" s="2" t="s">
        <v>2</v>
      </c>
      <c r="B234" s="3"/>
      <c r="C234" s="3" t="s">
        <v>534</v>
      </c>
      <c r="D234" s="191" t="s">
        <v>4</v>
      </c>
      <c r="E234" s="3" t="s">
        <v>5</v>
      </c>
      <c r="F234" s="3" t="s">
        <v>6</v>
      </c>
      <c r="G234" s="5" t="s">
        <v>7</v>
      </c>
      <c r="H234" s="192"/>
      <c r="I234" s="193"/>
      <c r="J234" s="194"/>
    </row>
    <row r="235" spans="1:12" customFormat="1" ht="13.5" customHeight="1" x14ac:dyDescent="0.2">
      <c r="A235" s="8">
        <v>42370</v>
      </c>
      <c r="B235" s="36"/>
      <c r="C235" s="10" t="s">
        <v>8</v>
      </c>
      <c r="D235" s="195"/>
      <c r="E235" s="196"/>
      <c r="F235" s="43"/>
      <c r="G235" s="178">
        <v>0</v>
      </c>
      <c r="H235" s="197"/>
      <c r="I235" s="57"/>
      <c r="J235" s="198"/>
    </row>
    <row r="236" spans="1:12" customFormat="1" ht="13.5" customHeight="1" x14ac:dyDescent="0.2">
      <c r="A236" s="180">
        <v>43284</v>
      </c>
      <c r="B236" s="32"/>
      <c r="C236" s="32" t="s">
        <v>535</v>
      </c>
      <c r="D236" s="195"/>
      <c r="E236" s="196"/>
      <c r="F236" s="199">
        <v>500</v>
      </c>
      <c r="G236" s="190">
        <v>500</v>
      </c>
      <c r="H236" s="197"/>
      <c r="I236" s="57"/>
      <c r="J236" s="198"/>
    </row>
    <row r="237" spans="1:12" customFormat="1" ht="13.5" customHeight="1" x14ac:dyDescent="0.2">
      <c r="A237" s="180">
        <v>43346</v>
      </c>
      <c r="B237" s="36"/>
      <c r="C237" s="32" t="s">
        <v>535</v>
      </c>
      <c r="D237" s="195"/>
      <c r="E237" s="200"/>
      <c r="F237" s="199">
        <v>3000</v>
      </c>
      <c r="G237" s="190">
        <v>3500</v>
      </c>
      <c r="H237" s="68"/>
      <c r="I237" s="60"/>
      <c r="J237" s="69"/>
    </row>
    <row r="238" spans="1:12" customFormat="1" ht="13.5" customHeight="1" x14ac:dyDescent="0.2">
      <c r="A238" s="180">
        <v>43374</v>
      </c>
      <c r="B238" s="36"/>
      <c r="C238" s="32" t="s">
        <v>535</v>
      </c>
      <c r="D238" s="195"/>
      <c r="E238" s="200"/>
      <c r="F238" s="199">
        <v>2000</v>
      </c>
      <c r="G238" s="190">
        <v>5500</v>
      </c>
      <c r="H238" s="68"/>
      <c r="I238" s="60"/>
      <c r="J238" s="69"/>
    </row>
    <row r="239" spans="1:12" customFormat="1" ht="13.5" customHeight="1" x14ac:dyDescent="0.2">
      <c r="A239" s="180">
        <v>43409</v>
      </c>
      <c r="B239" s="36"/>
      <c r="C239" s="32" t="s">
        <v>535</v>
      </c>
      <c r="D239" s="195"/>
      <c r="E239" s="200"/>
      <c r="F239" s="199">
        <v>1000</v>
      </c>
      <c r="G239" s="190">
        <v>6500</v>
      </c>
      <c r="H239" s="68"/>
      <c r="I239" s="60"/>
      <c r="J239" s="69"/>
    </row>
    <row r="240" spans="1:12" customFormat="1" ht="13.5" customHeight="1" x14ac:dyDescent="0.2">
      <c r="A240" s="180">
        <v>43439</v>
      </c>
      <c r="B240" s="36"/>
      <c r="C240" s="32" t="s">
        <v>535</v>
      </c>
      <c r="D240" s="195"/>
      <c r="E240" s="200"/>
      <c r="F240" s="199">
        <v>500</v>
      </c>
      <c r="G240" s="190">
        <v>7000</v>
      </c>
      <c r="H240" s="68"/>
      <c r="I240" s="60"/>
      <c r="J240" s="69"/>
    </row>
    <row r="241" spans="1:12" customFormat="1" ht="13.5" customHeight="1" x14ac:dyDescent="0.2">
      <c r="A241" s="180">
        <v>43469</v>
      </c>
      <c r="B241" s="36"/>
      <c r="C241" s="32" t="s">
        <v>1390</v>
      </c>
      <c r="D241" s="195"/>
      <c r="E241" s="200"/>
      <c r="F241" s="199">
        <v>1500</v>
      </c>
      <c r="G241" s="190">
        <v>8500</v>
      </c>
      <c r="H241" s="68"/>
      <c r="I241" s="60"/>
      <c r="J241" s="69"/>
    </row>
    <row r="242" spans="1:12" s="64" customFormat="1" ht="13.5" customHeight="1" x14ac:dyDescent="0.2">
      <c r="A242" s="184">
        <v>43475</v>
      </c>
      <c r="B242" s="63"/>
      <c r="C242" s="32" t="s">
        <v>1391</v>
      </c>
      <c r="D242" s="50"/>
      <c r="E242" s="51"/>
      <c r="F242" s="183">
        <v>5000</v>
      </c>
      <c r="G242" s="190">
        <v>13500</v>
      </c>
      <c r="H242" s="179"/>
      <c r="I242" s="57"/>
      <c r="J242" s="67"/>
      <c r="L242" s="65"/>
    </row>
    <row r="243" spans="1:12" s="64" customFormat="1" ht="13.5" customHeight="1" x14ac:dyDescent="0.2">
      <c r="A243" s="184">
        <v>43482</v>
      </c>
      <c r="B243" s="63"/>
      <c r="C243" s="32" t="s">
        <v>1391</v>
      </c>
      <c r="D243" s="50"/>
      <c r="E243" s="51"/>
      <c r="F243" s="183">
        <v>5000</v>
      </c>
      <c r="G243" s="178">
        <v>18500</v>
      </c>
      <c r="H243" s="179"/>
      <c r="I243" s="57"/>
      <c r="J243" s="67"/>
      <c r="L243" s="65"/>
    </row>
    <row r="244" spans="1:12" ht="13.5" customHeight="1" thickBot="1" x14ac:dyDescent="0.25">
      <c r="A244" s="180"/>
      <c r="B244" s="56"/>
      <c r="C244" s="56"/>
      <c r="D244" s="11"/>
      <c r="E244" s="30"/>
      <c r="F244" s="12"/>
      <c r="G244" s="182"/>
      <c r="H244" s="59"/>
      <c r="I244" s="60"/>
      <c r="J244" s="61"/>
    </row>
    <row r="245" spans="1:12" ht="13.5" customHeight="1" thickBot="1" x14ac:dyDescent="0.25">
      <c r="A245" s="2" t="s">
        <v>2</v>
      </c>
      <c r="B245" s="3"/>
      <c r="C245" s="3" t="s">
        <v>536</v>
      </c>
      <c r="D245" s="3"/>
      <c r="E245" s="3"/>
      <c r="F245" s="3"/>
      <c r="G245" s="5" t="s">
        <v>7</v>
      </c>
      <c r="H245" s="6" t="s">
        <v>5</v>
      </c>
      <c r="I245" s="4" t="s">
        <v>6</v>
      </c>
      <c r="J245" s="7" t="s">
        <v>7</v>
      </c>
    </row>
    <row r="246" spans="1:12" ht="13.5" customHeight="1" x14ac:dyDescent="0.2">
      <c r="A246" s="8">
        <v>43466</v>
      </c>
      <c r="B246" s="70"/>
      <c r="C246" s="10" t="s">
        <v>537</v>
      </c>
      <c r="D246" s="125"/>
      <c r="E246" s="67"/>
      <c r="F246" s="67"/>
      <c r="G246" s="178"/>
      <c r="H246" s="179"/>
      <c r="I246" s="57"/>
      <c r="J246" s="58">
        <v>0</v>
      </c>
    </row>
    <row r="247" spans="1:12" ht="13.5" customHeight="1" x14ac:dyDescent="0.2">
      <c r="A247" s="171">
        <v>43469</v>
      </c>
      <c r="B247" s="46"/>
      <c r="C247" s="34" t="s">
        <v>832</v>
      </c>
      <c r="D247" s="229"/>
      <c r="E247" s="69"/>
      <c r="F247" s="69"/>
      <c r="G247" s="203"/>
      <c r="H247" s="68">
        <v>289.05</v>
      </c>
      <c r="I247" s="68"/>
      <c r="J247" s="69">
        <v>-289.05</v>
      </c>
    </row>
    <row r="248" spans="1:12" ht="13.5" customHeight="1" x14ac:dyDescent="0.2">
      <c r="A248" s="171"/>
      <c r="B248" s="46"/>
      <c r="C248" s="34" t="s">
        <v>833</v>
      </c>
      <c r="D248" s="229"/>
      <c r="E248" s="69"/>
      <c r="F248" s="69"/>
      <c r="G248" s="203"/>
      <c r="H248" s="68">
        <v>36.68</v>
      </c>
      <c r="I248" s="68"/>
      <c r="J248" s="69">
        <v>-325.73</v>
      </c>
    </row>
    <row r="249" spans="1:12" ht="13.5" customHeight="1" x14ac:dyDescent="0.2">
      <c r="A249" s="171"/>
      <c r="B249" s="46"/>
      <c r="C249" s="34" t="s">
        <v>835</v>
      </c>
      <c r="D249" s="229"/>
      <c r="E249" s="69"/>
      <c r="F249" s="69"/>
      <c r="G249" s="203"/>
      <c r="H249" s="68">
        <v>650</v>
      </c>
      <c r="I249" s="68"/>
      <c r="J249" s="69">
        <v>-975.73</v>
      </c>
    </row>
    <row r="250" spans="1:12" ht="13.5" customHeight="1" x14ac:dyDescent="0.2">
      <c r="A250" s="171"/>
      <c r="B250" s="46"/>
      <c r="C250" s="34" t="s">
        <v>1392</v>
      </c>
      <c r="D250" s="230"/>
      <c r="E250" s="61"/>
      <c r="F250" s="61"/>
      <c r="G250" s="205"/>
      <c r="H250" s="59"/>
      <c r="I250" s="73">
        <v>400</v>
      </c>
      <c r="J250" s="69">
        <v>-575.73</v>
      </c>
    </row>
    <row r="251" spans="1:12" ht="13.5" customHeight="1" x14ac:dyDescent="0.2">
      <c r="A251" s="171">
        <v>43480</v>
      </c>
      <c r="B251" s="46"/>
      <c r="C251" s="34" t="s">
        <v>77</v>
      </c>
      <c r="D251" s="229"/>
      <c r="E251" s="69"/>
      <c r="F251" s="69"/>
      <c r="G251" s="203"/>
      <c r="H251" s="68"/>
      <c r="I251" s="412">
        <v>11000</v>
      </c>
      <c r="J251" s="69">
        <v>10424.27</v>
      </c>
    </row>
    <row r="252" spans="1:12" ht="13.5" customHeight="1" x14ac:dyDescent="0.2">
      <c r="A252" s="171">
        <v>43480</v>
      </c>
      <c r="B252" s="46"/>
      <c r="C252" s="34" t="s">
        <v>1311</v>
      </c>
      <c r="D252" s="229"/>
      <c r="E252" s="69"/>
      <c r="F252" s="69"/>
      <c r="G252" s="203"/>
      <c r="H252" s="412">
        <v>8000</v>
      </c>
      <c r="I252" s="68"/>
      <c r="J252" s="69">
        <v>2424.2700000000004</v>
      </c>
    </row>
    <row r="253" spans="1:12" ht="13.5" customHeight="1" x14ac:dyDescent="0.2">
      <c r="A253" s="171"/>
      <c r="B253" s="46"/>
      <c r="C253" s="34" t="s">
        <v>1280</v>
      </c>
      <c r="D253" s="229"/>
      <c r="E253" s="69"/>
      <c r="F253" s="69"/>
      <c r="G253" s="203"/>
      <c r="H253" s="412">
        <v>2000</v>
      </c>
      <c r="I253" s="68"/>
      <c r="J253" s="69">
        <v>424.27000000000044</v>
      </c>
    </row>
    <row r="254" spans="1:12" ht="13.5" customHeight="1" x14ac:dyDescent="0.2">
      <c r="A254" s="171">
        <v>43487</v>
      </c>
      <c r="B254" s="46"/>
      <c r="C254" s="34" t="s">
        <v>1393</v>
      </c>
      <c r="D254" s="229"/>
      <c r="E254" s="69"/>
      <c r="F254" s="69"/>
      <c r="G254" s="203"/>
      <c r="H254" s="68">
        <v>19.7</v>
      </c>
      <c r="I254" s="68"/>
      <c r="J254" s="69">
        <v>404.57000000000045</v>
      </c>
    </row>
    <row r="255" spans="1:12" ht="13.5" customHeight="1" x14ac:dyDescent="0.2">
      <c r="A255" s="171">
        <v>43489</v>
      </c>
      <c r="B255" s="46"/>
      <c r="C255" s="36" t="s">
        <v>1332</v>
      </c>
      <c r="D255" s="229"/>
      <c r="E255" s="69"/>
      <c r="F255" s="69"/>
      <c r="G255" s="203"/>
      <c r="H255" s="68"/>
      <c r="I255" s="412">
        <v>1500</v>
      </c>
      <c r="J255" s="69">
        <v>1904.5700000000004</v>
      </c>
    </row>
    <row r="256" spans="1:12" ht="13.5" customHeight="1" x14ac:dyDescent="0.2">
      <c r="A256" s="171"/>
      <c r="B256" s="46"/>
      <c r="C256" s="36" t="s">
        <v>1332</v>
      </c>
      <c r="D256" s="229"/>
      <c r="E256" s="69"/>
      <c r="F256" s="69"/>
      <c r="G256" s="203"/>
      <c r="H256" s="68"/>
      <c r="I256" s="412">
        <v>600</v>
      </c>
      <c r="J256" s="69">
        <v>2504.5700000000006</v>
      </c>
      <c r="L256" s="1159"/>
    </row>
    <row r="257" spans="1:13" ht="13.5" customHeight="1" x14ac:dyDescent="0.2">
      <c r="A257" s="171"/>
      <c r="B257" s="46"/>
      <c r="C257" s="33" t="s">
        <v>1394</v>
      </c>
      <c r="D257" s="229"/>
      <c r="E257" s="69"/>
      <c r="F257" s="69"/>
      <c r="G257" s="203"/>
      <c r="H257" s="412">
        <v>1600</v>
      </c>
      <c r="I257" s="68"/>
      <c r="J257" s="69">
        <v>904.57000000000062</v>
      </c>
      <c r="L257" s="1159">
        <f>SUM(G3,J3,G169,J246)</f>
        <v>3561.4000000000055</v>
      </c>
      <c r="M257" t="s">
        <v>8082</v>
      </c>
    </row>
    <row r="258" spans="1:13" ht="13.5" customHeight="1" x14ac:dyDescent="0.2">
      <c r="A258" s="271"/>
      <c r="B258" s="172"/>
      <c r="C258" s="237" t="s">
        <v>1395</v>
      </c>
      <c r="D258" s="413"/>
      <c r="E258" s="414"/>
      <c r="F258" s="414"/>
      <c r="G258" s="415"/>
      <c r="H258" s="416">
        <v>60</v>
      </c>
      <c r="I258" s="416"/>
      <c r="J258" s="444">
        <v>844.57000000000062</v>
      </c>
      <c r="L258" s="1159"/>
    </row>
    <row r="259" spans="1:13" ht="13.5" customHeight="1" thickBot="1" x14ac:dyDescent="0.25">
      <c r="A259" s="207"/>
      <c r="B259" s="207"/>
      <c r="C259" s="208"/>
      <c r="D259" s="208"/>
      <c r="E259" s="208"/>
      <c r="F259" s="208"/>
      <c r="G259" s="210"/>
      <c r="H259" s="211">
        <f>-SUM(H247:H258)</f>
        <v>-12655.43</v>
      </c>
      <c r="I259" s="211">
        <f>SUM(I247:I258)</f>
        <v>13500</v>
      </c>
      <c r="J259" s="212"/>
      <c r="L259" s="1159">
        <f>SUM(J258,G219,G166,J165)</f>
        <v>830.73000000000502</v>
      </c>
      <c r="M259" t="s">
        <v>8083</v>
      </c>
    </row>
    <row r="260" spans="1:13" ht="13.5" customHeight="1" thickBot="1" x14ac:dyDescent="0.25">
      <c r="A260" s="213"/>
      <c r="B260" s="214"/>
      <c r="C260" s="215" t="s">
        <v>539</v>
      </c>
      <c r="D260" s="216"/>
      <c r="E260" s="187"/>
      <c r="F260" s="187"/>
      <c r="G260" s="217" t="s">
        <v>7</v>
      </c>
      <c r="H260" s="187"/>
      <c r="I260" s="187"/>
      <c r="J260" s="189"/>
      <c r="L260" s="1159"/>
    </row>
    <row r="261" spans="1:13" ht="13.5" customHeight="1" x14ac:dyDescent="0.2">
      <c r="A261" s="74" t="s">
        <v>540</v>
      </c>
      <c r="B261" s="74"/>
      <c r="C261" s="218" t="s">
        <v>541</v>
      </c>
      <c r="D261" s="219"/>
      <c r="E261" s="220"/>
      <c r="F261" s="220"/>
      <c r="G261" s="75">
        <v>0</v>
      </c>
      <c r="H261" s="220"/>
      <c r="I261" s="220"/>
      <c r="J261" s="220"/>
      <c r="L261" s="1159">
        <f>SUM(H259,I259,E221,F221,E167,F167,H167,I167)</f>
        <v>-2730.6700000000055</v>
      </c>
      <c r="M261" t="s">
        <v>1800</v>
      </c>
    </row>
    <row r="262" spans="1:13" ht="13.5" customHeight="1" x14ac:dyDescent="0.2">
      <c r="A262" s="221" t="s">
        <v>540</v>
      </c>
      <c r="B262" s="70"/>
      <c r="C262" s="63" t="s">
        <v>542</v>
      </c>
      <c r="D262" s="50"/>
      <c r="E262" s="13"/>
      <c r="F262" s="13"/>
      <c r="G262" s="75">
        <v>0</v>
      </c>
      <c r="H262" s="13"/>
      <c r="I262" s="13"/>
      <c r="J262" s="13"/>
      <c r="L262" s="1159"/>
    </row>
    <row r="263" spans="1:13" ht="13.5" customHeight="1" x14ac:dyDescent="0.2">
      <c r="A263" s="70"/>
      <c r="B263" s="70"/>
      <c r="C263" s="222" t="s">
        <v>543</v>
      </c>
      <c r="D263" s="50"/>
      <c r="E263" s="13"/>
      <c r="F263" s="13"/>
      <c r="G263" s="14">
        <v>0</v>
      </c>
      <c r="H263" s="13"/>
      <c r="I263" s="13"/>
      <c r="J263" s="13"/>
      <c r="L263" s="1159"/>
    </row>
    <row r="264" spans="1:13" ht="13.5" customHeight="1" x14ac:dyDescent="0.2">
      <c r="A264" s="70"/>
      <c r="B264" s="70"/>
      <c r="C264" s="63"/>
      <c r="D264" s="50"/>
      <c r="E264" s="13"/>
      <c r="F264" s="13"/>
      <c r="G264" s="14"/>
      <c r="H264" s="13"/>
      <c r="I264" s="13"/>
      <c r="J264" s="13"/>
      <c r="L264" s="1159"/>
    </row>
    <row r="265" spans="1:13" ht="13.5" customHeight="1" x14ac:dyDescent="0.2">
      <c r="A265" s="70"/>
      <c r="B265" s="70"/>
      <c r="C265" s="222" t="s">
        <v>544</v>
      </c>
      <c r="D265" s="50"/>
      <c r="E265" s="13"/>
      <c r="F265" s="13"/>
      <c r="G265" s="14">
        <v>830.73000000000502</v>
      </c>
      <c r="H265" s="13"/>
      <c r="I265" s="13"/>
      <c r="J265" s="13"/>
      <c r="L265" s="377">
        <f>L257+L261-L259</f>
        <v>-5.0022208597511053E-12</v>
      </c>
      <c r="M265" t="s">
        <v>8084</v>
      </c>
    </row>
    <row r="266" spans="1:13" ht="13.5" customHeight="1" x14ac:dyDescent="0.2">
      <c r="A266" s="70"/>
      <c r="B266" s="70"/>
      <c r="C266" s="63"/>
      <c r="D266" s="50"/>
      <c r="E266" s="13"/>
      <c r="F266" s="13"/>
      <c r="G266" s="75"/>
      <c r="H266" s="13"/>
      <c r="I266" s="13"/>
      <c r="J266" s="13"/>
    </row>
    <row r="267" spans="1:13" ht="13.5" customHeight="1" x14ac:dyDescent="0.2">
      <c r="A267" s="76"/>
      <c r="B267" s="76"/>
      <c r="C267" s="222" t="s">
        <v>545</v>
      </c>
      <c r="D267" s="78"/>
      <c r="E267" s="78"/>
      <c r="F267" s="78"/>
      <c r="G267" s="14">
        <v>830.73000000000502</v>
      </c>
      <c r="H267" s="77"/>
      <c r="I267" s="77"/>
      <c r="J267" s="13"/>
    </row>
    <row r="268" spans="1:13" ht="13.5" customHeight="1" x14ac:dyDescent="0.2">
      <c r="A268" s="76"/>
      <c r="B268" s="76"/>
      <c r="C268" s="78"/>
      <c r="D268" s="78"/>
      <c r="E268" s="78"/>
      <c r="F268" s="78"/>
      <c r="G268" s="75"/>
      <c r="H268" s="77"/>
      <c r="I268" s="77"/>
      <c r="J268" s="13"/>
    </row>
    <row r="269" spans="1:13" ht="13.5" customHeight="1" x14ac:dyDescent="0.2">
      <c r="A269" s="70"/>
      <c r="B269" s="70"/>
      <c r="C269" s="63"/>
      <c r="D269" s="50"/>
      <c r="E269" s="13"/>
      <c r="F269" s="13"/>
      <c r="G269" s="75"/>
      <c r="H269" s="13"/>
      <c r="I269" s="13"/>
      <c r="J269" s="13"/>
    </row>
    <row r="270" spans="1:13" ht="13.5" customHeight="1" x14ac:dyDescent="0.2">
      <c r="A270" s="79"/>
      <c r="B270" s="70"/>
      <c r="C270" s="63"/>
      <c r="D270" s="50"/>
      <c r="E270" s="13"/>
      <c r="F270" s="13"/>
      <c r="G270" s="75"/>
      <c r="H270" s="13"/>
      <c r="I270" s="13"/>
      <c r="J270" s="13"/>
    </row>
    <row r="271" spans="1:13" ht="13.5" customHeight="1" x14ac:dyDescent="0.2">
      <c r="A271" s="79"/>
      <c r="B271" s="79"/>
      <c r="C271" s="63"/>
      <c r="D271" s="78"/>
      <c r="E271" s="13"/>
      <c r="F271" s="13"/>
      <c r="G271" s="75"/>
      <c r="H271" s="77"/>
      <c r="I271" s="77"/>
      <c r="J271" s="13"/>
    </row>
    <row r="272" spans="1:13" ht="13.5" customHeight="1" x14ac:dyDescent="0.2">
      <c r="A272" s="79"/>
      <c r="B272" s="79"/>
      <c r="C272" s="78"/>
      <c r="D272" s="78"/>
      <c r="E272" s="78"/>
      <c r="F272" s="78"/>
      <c r="G272" s="75"/>
      <c r="H272" s="77"/>
      <c r="I272" s="77"/>
      <c r="J272" s="13"/>
    </row>
    <row r="273" spans="1:10" ht="13.5" customHeight="1" x14ac:dyDescent="0.2">
      <c r="A273" s="79"/>
      <c r="B273" s="79"/>
      <c r="C273" s="78"/>
      <c r="D273" s="78"/>
      <c r="E273" s="78"/>
      <c r="F273" s="78"/>
      <c r="G273" s="75"/>
      <c r="H273" s="77"/>
      <c r="I273" s="77"/>
      <c r="J273" s="13"/>
    </row>
    <row r="274" spans="1:10" ht="13.5" customHeight="1" x14ac:dyDescent="0.2">
      <c r="A274" s="79"/>
      <c r="B274" s="79"/>
      <c r="C274" s="78"/>
      <c r="D274" s="78"/>
      <c r="E274" s="13"/>
      <c r="F274" s="13"/>
      <c r="G274" s="75"/>
      <c r="H274" s="77"/>
      <c r="I274" s="77"/>
      <c r="J274" s="13"/>
    </row>
    <row r="275" spans="1:10" ht="13.5" customHeight="1" x14ac:dyDescent="0.2">
      <c r="A275" s="74"/>
      <c r="B275" s="80"/>
      <c r="C275" s="81"/>
      <c r="D275" s="50"/>
      <c r="E275" s="13"/>
      <c r="F275" s="13"/>
      <c r="G275" s="75"/>
      <c r="H275" s="13"/>
      <c r="I275" s="13"/>
      <c r="J275" s="13"/>
    </row>
    <row r="276" spans="1:10" ht="13.5" customHeight="1" x14ac:dyDescent="0.2">
      <c r="A276" s="79"/>
      <c r="B276" s="79"/>
      <c r="C276" s="78"/>
      <c r="D276" s="78"/>
      <c r="E276" s="13"/>
      <c r="F276" s="13"/>
      <c r="G276" s="75"/>
      <c r="H276" s="77"/>
      <c r="I276" s="77"/>
      <c r="J276" s="13"/>
    </row>
    <row r="277" spans="1:10" ht="13.5" customHeight="1" x14ac:dyDescent="0.2">
      <c r="A277" s="79"/>
      <c r="B277" s="79"/>
      <c r="C277" s="78"/>
      <c r="D277" s="78"/>
      <c r="E277" s="13"/>
      <c r="F277" s="13"/>
      <c r="G277" s="75"/>
      <c r="H277" s="77"/>
      <c r="I277" s="77"/>
      <c r="J277" s="13"/>
    </row>
    <row r="278" spans="1:10" ht="13.5" customHeight="1" x14ac:dyDescent="0.2">
      <c r="A278" s="79"/>
      <c r="B278" s="79"/>
      <c r="C278" s="78"/>
      <c r="D278" s="78"/>
      <c r="E278" s="78"/>
      <c r="F278" s="78"/>
      <c r="G278" s="75"/>
      <c r="H278" s="77"/>
      <c r="I278" s="77"/>
      <c r="J278" s="13"/>
    </row>
    <row r="279" spans="1:10" ht="13.5" customHeight="1" x14ac:dyDescent="0.2">
      <c r="A279" s="79"/>
      <c r="B279" s="79"/>
      <c r="C279" s="78"/>
      <c r="D279" s="78"/>
      <c r="E279" s="78"/>
      <c r="F279" s="78"/>
      <c r="G279" s="75"/>
      <c r="H279" s="77"/>
      <c r="I279" s="77"/>
      <c r="J279" s="13"/>
    </row>
    <row r="280" spans="1:10" ht="13.5" customHeight="1" x14ac:dyDescent="0.2">
      <c r="A280" s="79"/>
      <c r="B280" s="79"/>
      <c r="C280" s="78"/>
      <c r="D280" s="78"/>
      <c r="E280" s="78"/>
      <c r="F280" s="78"/>
      <c r="G280" s="75"/>
      <c r="H280" s="77"/>
      <c r="I280" s="77"/>
      <c r="J280" s="13"/>
    </row>
    <row r="281" spans="1:10" ht="13.5" customHeight="1" x14ac:dyDescent="0.2">
      <c r="A281" s="79"/>
      <c r="B281" s="79"/>
      <c r="C281" s="78"/>
      <c r="D281" s="78"/>
      <c r="E281" s="78"/>
      <c r="F281" s="78"/>
      <c r="G281" s="75"/>
      <c r="H281" s="77"/>
      <c r="I281" s="77"/>
      <c r="J281" s="13"/>
    </row>
    <row r="282" spans="1:10" ht="13.5" customHeight="1" x14ac:dyDescent="0.2">
      <c r="A282" s="79"/>
      <c r="B282" s="79"/>
      <c r="C282" s="78"/>
      <c r="D282" s="78"/>
      <c r="E282" s="78"/>
      <c r="F282" s="78"/>
      <c r="G282" s="75"/>
      <c r="H282" s="77"/>
      <c r="I282" s="77"/>
      <c r="J282" s="13"/>
    </row>
    <row r="283" spans="1:10" ht="13.5" customHeight="1" x14ac:dyDescent="0.2">
      <c r="A283" s="79"/>
      <c r="B283" s="79"/>
      <c r="C283" s="78"/>
      <c r="D283" s="78"/>
      <c r="E283" s="78"/>
      <c r="F283" s="78"/>
      <c r="G283" s="14"/>
      <c r="H283" s="77"/>
      <c r="I283" s="77"/>
      <c r="J283" s="130"/>
    </row>
    <row r="284" spans="1:10" ht="13.5" customHeight="1" x14ac:dyDescent="0.2">
      <c r="A284" s="70"/>
      <c r="B284" s="70"/>
      <c r="C284" s="63"/>
      <c r="D284" s="50"/>
      <c r="E284" s="13"/>
      <c r="F284" s="13"/>
      <c r="G284" s="75"/>
      <c r="H284" s="82"/>
      <c r="I284" s="13"/>
      <c r="J284" s="13"/>
    </row>
    <row r="285" spans="1:10" ht="13.5" customHeight="1" x14ac:dyDescent="0.2">
      <c r="A285" s="70"/>
      <c r="B285" s="70"/>
      <c r="C285" s="63"/>
      <c r="D285" s="50"/>
      <c r="E285" s="13"/>
      <c r="F285" s="13"/>
      <c r="G285" s="75"/>
      <c r="H285" s="82"/>
      <c r="I285" s="13"/>
      <c r="J285" s="13"/>
    </row>
    <row r="286" spans="1:10" ht="13.5" customHeight="1" x14ac:dyDescent="0.2">
      <c r="A286" s="70"/>
      <c r="B286" s="70"/>
      <c r="C286" s="63"/>
      <c r="D286" s="50"/>
      <c r="E286" s="13"/>
      <c r="F286" s="13"/>
      <c r="G286" s="75"/>
      <c r="H286" s="82"/>
      <c r="I286" s="13"/>
      <c r="J286" s="13"/>
    </row>
    <row r="287" spans="1:10" ht="13.5" customHeight="1" x14ac:dyDescent="0.2">
      <c r="A287" s="70"/>
      <c r="B287" s="70"/>
      <c r="C287" s="63"/>
      <c r="D287" s="50"/>
      <c r="E287" s="13"/>
      <c r="F287" s="13"/>
      <c r="G287" s="75"/>
      <c r="H287" s="82"/>
      <c r="I287" s="13"/>
      <c r="J287" s="13"/>
    </row>
    <row r="288" spans="1:10" ht="13.5" customHeight="1" x14ac:dyDescent="0.2">
      <c r="A288" s="70"/>
      <c r="B288" s="70"/>
      <c r="C288" s="63"/>
      <c r="D288" s="50"/>
      <c r="E288" s="13"/>
      <c r="F288" s="13"/>
      <c r="G288" s="75"/>
      <c r="H288" s="82"/>
      <c r="I288" s="13"/>
      <c r="J288" s="13"/>
    </row>
    <row r="289" spans="1:10" ht="13.5" customHeight="1" x14ac:dyDescent="0.2">
      <c r="A289" s="70"/>
      <c r="B289" s="70"/>
      <c r="C289" s="63"/>
      <c r="D289" s="50"/>
      <c r="E289" s="13"/>
      <c r="F289" s="13"/>
      <c r="G289" s="75"/>
      <c r="H289" s="82"/>
      <c r="I289" s="13"/>
      <c r="J289" s="13"/>
    </row>
    <row r="290" spans="1:10" ht="13.5" customHeight="1" x14ac:dyDescent="0.2">
      <c r="A290" s="70"/>
      <c r="B290" s="70"/>
      <c r="C290" s="63"/>
      <c r="D290" s="50"/>
      <c r="E290" s="13"/>
      <c r="F290" s="13"/>
      <c r="G290" s="75"/>
      <c r="H290" s="82"/>
      <c r="I290" s="13"/>
      <c r="J290" s="13"/>
    </row>
    <row r="291" spans="1:10" ht="13.5" customHeight="1" x14ac:dyDescent="0.2">
      <c r="A291" s="70"/>
      <c r="B291" s="70"/>
      <c r="C291" s="63"/>
      <c r="D291" s="50"/>
      <c r="E291" s="13"/>
      <c r="F291" s="13"/>
      <c r="G291" s="75"/>
      <c r="H291" s="82"/>
      <c r="I291" s="13"/>
      <c r="J291" s="13"/>
    </row>
    <row r="292" spans="1:10" ht="13.5" customHeight="1" x14ac:dyDescent="0.2">
      <c r="A292" s="70"/>
      <c r="B292" s="70"/>
      <c r="C292" s="63"/>
      <c r="D292" s="50"/>
      <c r="E292" s="13"/>
      <c r="F292" s="13"/>
      <c r="G292" s="75"/>
      <c r="H292" s="82"/>
      <c r="I292" s="13"/>
      <c r="J292" s="13"/>
    </row>
    <row r="293" spans="1:10" ht="13.5" customHeight="1" x14ac:dyDescent="0.2">
      <c r="A293" s="70"/>
      <c r="B293" s="70"/>
      <c r="C293" s="63"/>
      <c r="D293" s="50"/>
      <c r="E293" s="13"/>
      <c r="F293" s="13"/>
      <c r="G293" s="75"/>
      <c r="H293" s="82"/>
      <c r="I293" s="13"/>
      <c r="J293" s="13"/>
    </row>
    <row r="294" spans="1:10" ht="13.5" customHeight="1" x14ac:dyDescent="0.2">
      <c r="A294" s="70"/>
      <c r="B294" s="70"/>
      <c r="C294" s="63"/>
      <c r="D294" s="50"/>
      <c r="E294" s="13"/>
      <c r="F294" s="13"/>
      <c r="G294" s="75"/>
      <c r="H294" s="82"/>
      <c r="I294" s="13"/>
      <c r="J294" s="13"/>
    </row>
    <row r="295" spans="1:10" ht="13.5" customHeight="1" x14ac:dyDescent="0.2">
      <c r="A295" s="70"/>
      <c r="B295" s="70"/>
      <c r="C295" s="63"/>
      <c r="D295" s="50"/>
      <c r="E295" s="13"/>
      <c r="F295" s="13"/>
      <c r="G295" s="75"/>
      <c r="H295" s="82"/>
      <c r="I295" s="13"/>
      <c r="J295" s="13"/>
    </row>
    <row r="296" spans="1:10" ht="13.5" customHeight="1" x14ac:dyDescent="0.2">
      <c r="A296" s="70"/>
      <c r="B296" s="70"/>
      <c r="C296" s="63"/>
      <c r="D296" s="50"/>
      <c r="E296" s="13"/>
      <c r="F296" s="13"/>
      <c r="G296" s="75"/>
      <c r="H296" s="82"/>
      <c r="I296" s="13"/>
      <c r="J296" s="13"/>
    </row>
    <row r="297" spans="1:10" ht="13.5" customHeight="1" x14ac:dyDescent="0.2">
      <c r="A297" s="70"/>
      <c r="B297" s="70"/>
      <c r="C297" s="63"/>
      <c r="D297" s="50"/>
      <c r="E297" s="13"/>
      <c r="F297" s="13"/>
      <c r="G297" s="75"/>
      <c r="H297" s="82"/>
      <c r="I297" s="13"/>
      <c r="J297" s="13"/>
    </row>
    <row r="298" spans="1:10" ht="13.5" customHeight="1" x14ac:dyDescent="0.2">
      <c r="A298" s="70"/>
      <c r="B298" s="70"/>
      <c r="C298" s="63"/>
      <c r="D298" s="50"/>
      <c r="E298" s="13"/>
      <c r="F298" s="13"/>
      <c r="G298" s="75"/>
      <c r="H298" s="82"/>
      <c r="I298" s="13"/>
      <c r="J298" s="13"/>
    </row>
    <row r="299" spans="1:10" ht="13.5" customHeight="1" x14ac:dyDescent="0.2">
      <c r="A299" s="70"/>
      <c r="B299" s="70"/>
      <c r="C299" s="63"/>
      <c r="D299" s="50"/>
      <c r="E299" s="13"/>
      <c r="F299" s="13"/>
      <c r="G299" s="75"/>
      <c r="H299" s="82"/>
      <c r="I299" s="13"/>
      <c r="J299" s="13"/>
    </row>
    <row r="300" spans="1:10" ht="13.5" customHeight="1" x14ac:dyDescent="0.2">
      <c r="A300" s="70"/>
      <c r="B300" s="70"/>
      <c r="C300" s="63"/>
      <c r="D300" s="50"/>
      <c r="E300" s="13"/>
      <c r="F300" s="13"/>
      <c r="G300" s="75"/>
      <c r="H300" s="82"/>
      <c r="I300" s="13"/>
      <c r="J300" s="13"/>
    </row>
    <row r="301" spans="1:10" ht="13.5" customHeight="1" x14ac:dyDescent="0.2">
      <c r="A301" s="70"/>
      <c r="B301" s="70"/>
      <c r="C301" s="63"/>
      <c r="D301" s="50"/>
      <c r="E301" s="13"/>
      <c r="F301" s="13"/>
      <c r="G301" s="75"/>
      <c r="H301" s="82"/>
      <c r="I301" s="13"/>
      <c r="J301" s="13"/>
    </row>
    <row r="302" spans="1:10" ht="13.5" customHeight="1" x14ac:dyDescent="0.2">
      <c r="A302" s="70"/>
      <c r="B302" s="70"/>
      <c r="C302" s="63"/>
      <c r="D302" s="50"/>
      <c r="E302" s="13"/>
      <c r="F302" s="13"/>
      <c r="G302" s="75"/>
      <c r="H302" s="82"/>
      <c r="I302" s="13"/>
      <c r="J302" s="13"/>
    </row>
    <row r="303" spans="1:10" ht="13.5" customHeight="1" x14ac:dyDescent="0.2">
      <c r="A303" s="70"/>
      <c r="B303" s="70"/>
      <c r="C303" s="63"/>
      <c r="D303" s="50"/>
      <c r="E303" s="13"/>
      <c r="F303" s="13"/>
      <c r="G303" s="75"/>
      <c r="H303" s="82"/>
      <c r="I303" s="13"/>
      <c r="J303" s="13"/>
    </row>
    <row r="304" spans="1:10" ht="13.5" customHeight="1" x14ac:dyDescent="0.2">
      <c r="A304" s="70"/>
      <c r="B304" s="70"/>
      <c r="C304" s="63"/>
      <c r="D304" s="50"/>
      <c r="E304" s="13"/>
      <c r="F304" s="13"/>
      <c r="G304" s="75"/>
      <c r="H304" s="82"/>
      <c r="I304" s="13"/>
      <c r="J304" s="13"/>
    </row>
    <row r="305" spans="1:10" ht="13.5" customHeight="1" x14ac:dyDescent="0.2">
      <c r="A305" s="70"/>
      <c r="B305" s="70"/>
      <c r="C305" s="63"/>
      <c r="D305" s="50"/>
      <c r="E305" s="13"/>
      <c r="F305" s="13"/>
      <c r="G305" s="75"/>
      <c r="H305" s="82"/>
      <c r="I305" s="13"/>
      <c r="J305" s="13"/>
    </row>
    <row r="306" spans="1:10" ht="13.5" customHeight="1" x14ac:dyDescent="0.2">
      <c r="A306" s="70"/>
      <c r="B306" s="70"/>
      <c r="C306" s="63"/>
      <c r="D306" s="50"/>
      <c r="E306" s="13"/>
      <c r="F306" s="13"/>
      <c r="G306" s="75"/>
      <c r="H306" s="82"/>
      <c r="I306" s="13"/>
      <c r="J306" s="13"/>
    </row>
    <row r="307" spans="1:10" ht="13.5" customHeight="1" x14ac:dyDescent="0.2">
      <c r="A307" s="70"/>
      <c r="B307" s="70"/>
      <c r="C307" s="63"/>
      <c r="D307" s="50"/>
      <c r="E307" s="13"/>
      <c r="F307" s="13"/>
      <c r="G307" s="75"/>
      <c r="H307" s="82"/>
      <c r="I307" s="13"/>
      <c r="J307" s="13"/>
    </row>
    <row r="308" spans="1:10" ht="13.5" customHeight="1" x14ac:dyDescent="0.2">
      <c r="A308" s="70"/>
      <c r="B308" s="70"/>
      <c r="C308" s="63"/>
      <c r="D308" s="50"/>
      <c r="E308" s="13"/>
      <c r="F308" s="13"/>
      <c r="G308" s="75"/>
      <c r="H308" s="82"/>
      <c r="I308" s="13"/>
      <c r="J308" s="13"/>
    </row>
    <row r="309" spans="1:10" ht="13.5" customHeight="1" x14ac:dyDescent="0.2">
      <c r="A309" s="70"/>
      <c r="B309" s="70"/>
      <c r="C309" s="63"/>
      <c r="D309" s="50"/>
      <c r="E309" s="13"/>
      <c r="F309" s="13"/>
      <c r="G309" s="75"/>
      <c r="H309" s="82"/>
      <c r="I309" s="13"/>
      <c r="J309" s="13"/>
    </row>
    <row r="310" spans="1:10" ht="13.5" customHeight="1" x14ac:dyDescent="0.2">
      <c r="A310" s="70"/>
      <c r="B310" s="70"/>
      <c r="C310" s="63"/>
      <c r="D310" s="50"/>
      <c r="E310" s="13"/>
      <c r="F310" s="13"/>
      <c r="G310" s="75"/>
      <c r="H310" s="82"/>
      <c r="I310" s="13"/>
      <c r="J310" s="13"/>
    </row>
    <row r="311" spans="1:10" ht="13.5" customHeight="1" x14ac:dyDescent="0.2">
      <c r="A311" s="70"/>
      <c r="B311" s="70"/>
      <c r="C311" s="63"/>
      <c r="D311" s="50"/>
      <c r="E311" s="13"/>
      <c r="F311" s="13"/>
      <c r="G311" s="75"/>
      <c r="H311" s="82"/>
      <c r="I311" s="13"/>
      <c r="J311" s="13"/>
    </row>
    <row r="312" spans="1:10" ht="13.5" customHeight="1" x14ac:dyDescent="0.2">
      <c r="A312" s="70"/>
      <c r="B312" s="70"/>
      <c r="C312" s="63"/>
      <c r="D312" s="50"/>
      <c r="E312" s="13"/>
      <c r="F312" s="13"/>
      <c r="G312" s="75"/>
      <c r="H312" s="82"/>
      <c r="I312" s="13"/>
      <c r="J312" s="13"/>
    </row>
    <row r="313" spans="1:10" ht="13.5" customHeight="1" x14ac:dyDescent="0.2">
      <c r="A313" s="70"/>
      <c r="B313" s="70"/>
      <c r="C313" s="63"/>
      <c r="D313" s="50"/>
      <c r="E313" s="13"/>
      <c r="F313" s="13"/>
      <c r="G313" s="75"/>
      <c r="H313" s="82"/>
      <c r="I313" s="13"/>
      <c r="J313" s="13"/>
    </row>
    <row r="314" spans="1:10" ht="13.5" customHeight="1" x14ac:dyDescent="0.2">
      <c r="A314" s="70"/>
      <c r="B314" s="70"/>
      <c r="C314" s="63"/>
      <c r="D314" s="50"/>
      <c r="E314" s="13"/>
      <c r="F314" s="13"/>
      <c r="G314" s="75"/>
      <c r="H314" s="82"/>
      <c r="I314" s="13"/>
      <c r="J314" s="13"/>
    </row>
    <row r="315" spans="1:10" ht="13.5" customHeight="1" x14ac:dyDescent="0.2">
      <c r="A315" s="70"/>
      <c r="B315" s="70"/>
      <c r="C315" s="63"/>
      <c r="D315" s="50"/>
      <c r="E315" s="13"/>
      <c r="F315" s="13"/>
      <c r="G315" s="75"/>
      <c r="H315" s="82"/>
      <c r="I315" s="13"/>
      <c r="J315" s="13"/>
    </row>
    <row r="316" spans="1:10" ht="13.5" customHeight="1" x14ac:dyDescent="0.2">
      <c r="A316" s="70"/>
      <c r="B316" s="70"/>
      <c r="C316" s="63"/>
      <c r="D316" s="50"/>
      <c r="E316" s="13"/>
      <c r="F316" s="13"/>
      <c r="G316" s="75"/>
      <c r="H316" s="82"/>
      <c r="I316" s="13"/>
      <c r="J316" s="13"/>
    </row>
    <row r="317" spans="1:10" ht="13.5" customHeight="1" x14ac:dyDescent="0.2">
      <c r="A317" s="70"/>
      <c r="B317" s="70"/>
      <c r="C317" s="63"/>
      <c r="D317" s="50"/>
      <c r="E317" s="13"/>
      <c r="F317" s="13"/>
      <c r="G317" s="75"/>
      <c r="H317" s="82"/>
      <c r="I317" s="13"/>
      <c r="J317" s="13"/>
    </row>
    <row r="318" spans="1:10" ht="13.5" customHeight="1" x14ac:dyDescent="0.2">
      <c r="A318" s="70"/>
      <c r="B318" s="70"/>
      <c r="C318" s="63"/>
      <c r="D318" s="50"/>
      <c r="E318" s="13"/>
      <c r="F318" s="13"/>
      <c r="G318" s="75"/>
      <c r="H318" s="82"/>
      <c r="I318" s="13"/>
      <c r="J318" s="13"/>
    </row>
    <row r="319" spans="1:10" ht="13.5" customHeight="1" x14ac:dyDescent="0.2">
      <c r="A319" s="70"/>
      <c r="B319" s="70"/>
      <c r="C319" s="63"/>
      <c r="D319" s="50"/>
      <c r="E319" s="13"/>
      <c r="F319" s="13"/>
      <c r="G319" s="75"/>
      <c r="H319" s="82"/>
      <c r="I319" s="13"/>
      <c r="J319" s="13"/>
    </row>
    <row r="320" spans="1:10" ht="13.5" customHeight="1" x14ac:dyDescent="0.2">
      <c r="A320" s="70"/>
      <c r="B320" s="70"/>
      <c r="C320" s="63"/>
      <c r="D320" s="50"/>
      <c r="E320" s="13"/>
      <c r="F320" s="13"/>
      <c r="G320" s="75"/>
      <c r="H320" s="82"/>
      <c r="I320" s="13"/>
      <c r="J320" s="13"/>
    </row>
    <row r="321" spans="1:10" ht="13.5" customHeight="1" x14ac:dyDescent="0.2">
      <c r="A321" s="70"/>
      <c r="B321" s="70"/>
      <c r="C321" s="63"/>
      <c r="D321" s="50"/>
      <c r="E321" s="13"/>
      <c r="F321" s="13"/>
      <c r="G321" s="75"/>
      <c r="H321" s="82"/>
      <c r="I321" s="13"/>
      <c r="J321" s="13"/>
    </row>
    <row r="322" spans="1:10" ht="13.5" customHeight="1" x14ac:dyDescent="0.2">
      <c r="A322" s="70"/>
      <c r="B322" s="70"/>
      <c r="C322" s="63"/>
      <c r="D322" s="50"/>
      <c r="E322" s="13"/>
      <c r="F322" s="13"/>
      <c r="G322" s="75"/>
      <c r="H322" s="82"/>
      <c r="I322" s="13"/>
      <c r="J322" s="13"/>
    </row>
    <row r="323" spans="1:10" ht="13.5" customHeight="1" x14ac:dyDescent="0.2">
      <c r="A323" s="70"/>
      <c r="B323" s="70"/>
      <c r="C323" s="63"/>
      <c r="D323" s="50"/>
      <c r="E323" s="13"/>
      <c r="F323" s="13"/>
      <c r="G323" s="75"/>
      <c r="H323" s="82"/>
      <c r="I323" s="13"/>
      <c r="J323" s="13"/>
    </row>
    <row r="324" spans="1:10" ht="13.5" customHeight="1" x14ac:dyDescent="0.2">
      <c r="A324" s="70"/>
      <c r="B324" s="70"/>
      <c r="C324" s="63"/>
      <c r="D324" s="50"/>
      <c r="E324" s="13"/>
      <c r="F324" s="13"/>
      <c r="G324" s="75"/>
      <c r="H324" s="83"/>
      <c r="I324" s="13"/>
      <c r="J324" s="13"/>
    </row>
    <row r="325" spans="1:10" ht="13.5" customHeight="1" x14ac:dyDescent="0.2">
      <c r="A325" s="70"/>
      <c r="B325" s="70"/>
      <c r="C325" s="63"/>
      <c r="D325" s="50"/>
      <c r="E325" s="13"/>
      <c r="F325" s="13"/>
      <c r="G325" s="75"/>
      <c r="H325" s="83"/>
      <c r="I325" s="13"/>
      <c r="J325" s="13"/>
    </row>
    <row r="326" spans="1:10" ht="13.5" customHeight="1" x14ac:dyDescent="0.2">
      <c r="A326" s="131"/>
      <c r="B326" s="70"/>
      <c r="C326" s="64"/>
      <c r="D326" s="50"/>
      <c r="E326" s="13"/>
      <c r="F326" s="13"/>
      <c r="G326" s="75"/>
      <c r="H326" s="84"/>
      <c r="I326" s="13"/>
      <c r="J326" s="13"/>
    </row>
    <row r="327" spans="1:10" ht="13.5" customHeight="1" x14ac:dyDescent="0.2">
      <c r="A327" s="70"/>
      <c r="B327" s="70"/>
      <c r="C327" s="63"/>
      <c r="D327" s="50"/>
      <c r="E327" s="13"/>
      <c r="F327" s="13"/>
      <c r="G327" s="75"/>
      <c r="H327" s="83"/>
      <c r="I327" s="13"/>
      <c r="J327" s="13"/>
    </row>
    <row r="328" spans="1:10" ht="13.5" customHeight="1" x14ac:dyDescent="0.2">
      <c r="A328" s="70"/>
      <c r="B328" s="70"/>
      <c r="C328" s="63"/>
      <c r="D328" s="50"/>
      <c r="E328" s="13"/>
      <c r="F328" s="13"/>
      <c r="G328" s="75"/>
      <c r="H328" s="83"/>
      <c r="I328" s="13"/>
      <c r="J328" s="13"/>
    </row>
    <row r="329" spans="1:10" ht="13.5" customHeight="1" x14ac:dyDescent="0.2">
      <c r="A329" s="131"/>
      <c r="B329" s="70"/>
      <c r="C329" s="85"/>
      <c r="D329" s="50"/>
      <c r="E329" s="13"/>
      <c r="F329" s="13"/>
      <c r="G329" s="75"/>
      <c r="H329" s="83"/>
      <c r="I329" s="13"/>
      <c r="J329" s="13"/>
    </row>
    <row r="330" spans="1:10" ht="13.5" customHeight="1" x14ac:dyDescent="0.2">
      <c r="A330" s="131"/>
      <c r="B330" s="70"/>
      <c r="C330" s="63"/>
      <c r="D330" s="50"/>
      <c r="E330" s="13"/>
      <c r="F330" s="13"/>
      <c r="G330" s="75"/>
      <c r="H330" s="83"/>
      <c r="I330" s="13"/>
      <c r="J330" s="13"/>
    </row>
    <row r="331" spans="1:10" ht="13.5" customHeight="1" x14ac:dyDescent="0.2">
      <c r="A331" s="131"/>
      <c r="B331" s="70"/>
      <c r="C331" s="63"/>
      <c r="D331" s="50"/>
      <c r="E331" s="13"/>
      <c r="F331" s="13"/>
      <c r="G331" s="75"/>
      <c r="H331" s="84"/>
      <c r="I331" s="13"/>
      <c r="J331" s="13"/>
    </row>
    <row r="332" spans="1:10" ht="13.5" customHeight="1" x14ac:dyDescent="0.2">
      <c r="A332" s="131"/>
      <c r="B332" s="70"/>
      <c r="C332" s="64"/>
      <c r="D332" s="50"/>
      <c r="E332" s="13"/>
      <c r="F332" s="13"/>
      <c r="G332" s="75"/>
      <c r="H332" s="83"/>
      <c r="I332" s="13"/>
      <c r="J332" s="13"/>
    </row>
    <row r="333" spans="1:10" ht="13.5" customHeight="1" x14ac:dyDescent="0.2">
      <c r="A333" s="70"/>
      <c r="B333" s="70"/>
      <c r="C333" s="63"/>
      <c r="D333" s="50"/>
      <c r="E333" s="13"/>
      <c r="F333" s="13"/>
      <c r="G333" s="75"/>
      <c r="H333" s="83"/>
      <c r="I333" s="13"/>
      <c r="J333" s="13"/>
    </row>
    <row r="334" spans="1:10" ht="13.5" customHeight="1" x14ac:dyDescent="0.2">
      <c r="A334" s="131"/>
      <c r="B334" s="70"/>
      <c r="C334" s="63"/>
      <c r="D334" s="50"/>
      <c r="E334" s="13"/>
      <c r="F334" s="13"/>
      <c r="G334" s="75"/>
      <c r="H334" s="84"/>
      <c r="I334" s="13"/>
      <c r="J334" s="13"/>
    </row>
    <row r="335" spans="1:10" ht="13.5" customHeight="1" x14ac:dyDescent="0.2">
      <c r="A335" s="131"/>
      <c r="B335" s="70"/>
      <c r="C335" s="64"/>
      <c r="D335" s="50"/>
      <c r="E335" s="13"/>
      <c r="F335" s="13"/>
      <c r="G335" s="75"/>
      <c r="H335" s="84"/>
      <c r="I335" s="13"/>
      <c r="J335" s="13"/>
    </row>
    <row r="336" spans="1:10" ht="13.5" customHeight="1" x14ac:dyDescent="0.2">
      <c r="A336" s="70"/>
      <c r="B336" s="70"/>
      <c r="C336" s="63"/>
      <c r="D336" s="50"/>
      <c r="E336" s="13"/>
      <c r="F336" s="13"/>
      <c r="G336" s="75"/>
      <c r="H336" s="83"/>
      <c r="I336" s="13"/>
      <c r="J336" s="13"/>
    </row>
    <row r="337" spans="1:10" ht="13.5" customHeight="1" x14ac:dyDescent="0.2">
      <c r="A337" s="131"/>
      <c r="B337" s="70"/>
      <c r="C337" s="63"/>
      <c r="D337" s="50"/>
      <c r="E337" s="13"/>
      <c r="F337" s="13"/>
      <c r="G337" s="75"/>
      <c r="H337" s="84"/>
      <c r="I337" s="13"/>
      <c r="J337" s="13"/>
    </row>
    <row r="338" spans="1:10" ht="13.5" customHeight="1" x14ac:dyDescent="0.2">
      <c r="A338" s="131"/>
      <c r="B338" s="70"/>
      <c r="C338" s="64"/>
      <c r="D338" s="50"/>
      <c r="E338" s="13"/>
      <c r="F338" s="13"/>
      <c r="G338" s="75"/>
      <c r="H338" s="84"/>
      <c r="I338" s="13"/>
      <c r="J338" s="13"/>
    </row>
    <row r="339" spans="1:10" ht="13.5" customHeight="1" x14ac:dyDescent="0.2">
      <c r="A339" s="70"/>
      <c r="B339" s="70"/>
      <c r="C339" s="63"/>
      <c r="D339" s="50"/>
      <c r="E339" s="13"/>
      <c r="F339" s="13"/>
      <c r="G339" s="75"/>
      <c r="H339" s="83"/>
      <c r="I339" s="13"/>
      <c r="J339" s="13"/>
    </row>
    <row r="340" spans="1:10" ht="13.5" customHeight="1" x14ac:dyDescent="0.2">
      <c r="A340" s="70"/>
      <c r="B340" s="70"/>
      <c r="C340" s="63"/>
      <c r="D340" s="50"/>
      <c r="E340" s="13"/>
      <c r="F340" s="13"/>
      <c r="G340" s="75"/>
      <c r="H340" s="83"/>
      <c r="I340" s="13"/>
      <c r="J340" s="13"/>
    </row>
    <row r="341" spans="1:10" ht="13.5" customHeight="1" x14ac:dyDescent="0.2">
      <c r="A341" s="70"/>
      <c r="B341" s="70"/>
      <c r="C341" s="63"/>
      <c r="D341" s="50"/>
      <c r="E341" s="13"/>
      <c r="F341" s="13"/>
      <c r="G341" s="75"/>
      <c r="H341" s="82"/>
      <c r="I341" s="13"/>
      <c r="J341" s="13"/>
    </row>
    <row r="342" spans="1:10" ht="13.5" customHeight="1" x14ac:dyDescent="0.2">
      <c r="A342" s="131"/>
      <c r="B342" s="70"/>
      <c r="C342" s="86"/>
      <c r="D342" s="50"/>
      <c r="E342" s="13"/>
      <c r="F342" s="13"/>
      <c r="G342" s="75"/>
      <c r="H342" s="82"/>
      <c r="I342" s="13"/>
      <c r="J342" s="13"/>
    </row>
    <row r="343" spans="1:10" ht="13.5" customHeight="1" x14ac:dyDescent="0.2">
      <c r="A343" s="131"/>
      <c r="B343" s="70"/>
      <c r="C343" s="85"/>
      <c r="D343" s="50"/>
      <c r="E343" s="13"/>
      <c r="F343" s="13"/>
      <c r="G343" s="75"/>
      <c r="H343" s="82"/>
      <c r="I343" s="13"/>
      <c r="J343" s="13"/>
    </row>
    <row r="344" spans="1:10" ht="13.5" customHeight="1" x14ac:dyDescent="0.2">
      <c r="A344" s="131"/>
      <c r="B344" s="70"/>
      <c r="C344" s="87"/>
      <c r="D344" s="50"/>
      <c r="E344" s="13"/>
      <c r="F344" s="13"/>
      <c r="G344" s="75"/>
      <c r="H344" s="82"/>
      <c r="I344" s="13"/>
      <c r="J344" s="13"/>
    </row>
    <row r="345" spans="1:10" ht="13.5" customHeight="1" x14ac:dyDescent="0.2">
      <c r="A345" s="131"/>
      <c r="B345" s="70"/>
      <c r="C345" s="88"/>
      <c r="D345" s="50"/>
      <c r="E345" s="13"/>
      <c r="F345" s="13"/>
      <c r="G345" s="75"/>
      <c r="H345" s="82"/>
      <c r="I345" s="13"/>
      <c r="J345" s="13"/>
    </row>
    <row r="346" spans="1:10" ht="13.5" customHeight="1" x14ac:dyDescent="0.2">
      <c r="A346" s="91"/>
      <c r="B346" s="9"/>
      <c r="C346" s="56"/>
      <c r="D346" s="11"/>
      <c r="E346" s="12"/>
      <c r="F346" s="12"/>
      <c r="G346" s="23"/>
      <c r="H346" s="89"/>
      <c r="I346" s="12"/>
      <c r="J346" s="13"/>
    </row>
    <row r="347" spans="1:10" ht="13.5" customHeight="1" x14ac:dyDescent="0.2">
      <c r="A347" s="9"/>
      <c r="B347" s="9"/>
      <c r="C347" s="56"/>
      <c r="D347" s="11"/>
      <c r="E347" s="12"/>
      <c r="F347" s="12"/>
      <c r="G347" s="23"/>
      <c r="H347" s="90"/>
      <c r="I347" s="12"/>
      <c r="J347" s="13"/>
    </row>
    <row r="348" spans="1:10" ht="13.5" customHeight="1" x14ac:dyDescent="0.2">
      <c r="A348" s="9"/>
      <c r="B348" s="9"/>
      <c r="C348" s="56"/>
      <c r="D348" s="11"/>
      <c r="E348" s="12"/>
      <c r="F348" s="12"/>
      <c r="G348" s="23"/>
      <c r="H348" s="89"/>
      <c r="I348" s="12"/>
      <c r="J348" s="13"/>
    </row>
    <row r="349" spans="1:10" ht="13.5" customHeight="1" x14ac:dyDescent="0.2">
      <c r="A349" s="91"/>
      <c r="B349" s="9"/>
      <c r="D349" s="11"/>
      <c r="E349" s="12"/>
      <c r="F349" s="12"/>
      <c r="G349" s="23"/>
      <c r="H349" s="89"/>
      <c r="I349" s="12"/>
      <c r="J349" s="13"/>
    </row>
    <row r="350" spans="1:10" ht="13.5" customHeight="1" x14ac:dyDescent="0.2">
      <c r="A350" s="9"/>
      <c r="B350" s="9"/>
      <c r="C350" s="56"/>
      <c r="D350" s="11"/>
      <c r="E350" s="12"/>
      <c r="F350" s="12"/>
      <c r="G350" s="23"/>
      <c r="H350" s="90"/>
      <c r="I350" s="12"/>
      <c r="J350" s="13"/>
    </row>
    <row r="351" spans="1:10" ht="13.5" customHeight="1" x14ac:dyDescent="0.2">
      <c r="A351" s="9"/>
      <c r="B351" s="9"/>
      <c r="C351" s="56"/>
      <c r="D351" s="11"/>
      <c r="E351" s="12"/>
      <c r="F351" s="12"/>
      <c r="G351" s="23"/>
      <c r="H351" s="90"/>
      <c r="I351" s="12"/>
      <c r="J351" s="13"/>
    </row>
    <row r="352" spans="1:10" ht="13.5" customHeight="1" x14ac:dyDescent="0.2">
      <c r="A352" s="9"/>
      <c r="B352" s="9"/>
      <c r="C352" s="56"/>
      <c r="D352" s="11"/>
      <c r="E352" s="12"/>
      <c r="F352" s="12"/>
      <c r="G352" s="23"/>
      <c r="H352" s="90"/>
      <c r="I352" s="12"/>
      <c r="J352" s="13"/>
    </row>
    <row r="353" spans="1:10" ht="13.5" customHeight="1" x14ac:dyDescent="0.2">
      <c r="A353" s="91"/>
      <c r="B353" s="9"/>
      <c r="C353" s="27"/>
      <c r="D353" s="11"/>
      <c r="E353" s="12"/>
      <c r="F353" s="12"/>
      <c r="G353" s="23"/>
      <c r="H353" s="92"/>
      <c r="I353" s="12"/>
      <c r="J353" s="13"/>
    </row>
    <row r="354" spans="1:10" ht="13.5" customHeight="1" x14ac:dyDescent="0.2">
      <c r="A354" s="91"/>
      <c r="B354" s="9"/>
      <c r="C354" s="27"/>
      <c r="D354" s="11"/>
      <c r="E354" s="12"/>
      <c r="F354" s="12"/>
      <c r="G354" s="23"/>
      <c r="H354" s="90"/>
      <c r="I354" s="12"/>
      <c r="J354" s="13"/>
    </row>
    <row r="355" spans="1:10" ht="13.5" customHeight="1" x14ac:dyDescent="0.2">
      <c r="A355" s="91"/>
      <c r="B355" s="9"/>
      <c r="D355" s="11"/>
      <c r="E355" s="12"/>
      <c r="F355" s="12"/>
      <c r="G355" s="23"/>
      <c r="H355" s="92"/>
      <c r="I355" s="12"/>
      <c r="J355" s="13"/>
    </row>
    <row r="356" spans="1:10" ht="13.5" customHeight="1" x14ac:dyDescent="0.2">
      <c r="A356" s="9"/>
      <c r="B356" s="9"/>
      <c r="C356" s="56"/>
      <c r="D356" s="11"/>
      <c r="E356" s="12"/>
      <c r="F356" s="12"/>
      <c r="G356" s="23"/>
      <c r="H356" s="89"/>
      <c r="I356" s="12"/>
      <c r="J356" s="13"/>
    </row>
    <row r="357" spans="1:10" ht="13.5" customHeight="1" x14ac:dyDescent="0.2">
      <c r="A357" s="9"/>
      <c r="B357" s="9"/>
      <c r="C357" s="56"/>
      <c r="D357" s="11"/>
      <c r="E357" s="12"/>
      <c r="F357" s="12"/>
      <c r="G357" s="23"/>
      <c r="H357" s="89"/>
      <c r="I357" s="12"/>
      <c r="J357" s="13"/>
    </row>
    <row r="358" spans="1:10" ht="13.5" customHeight="1" x14ac:dyDescent="0.2">
      <c r="A358" s="9"/>
      <c r="B358" s="9"/>
      <c r="C358" s="56"/>
      <c r="D358" s="11"/>
      <c r="E358" s="12"/>
      <c r="F358" s="12"/>
      <c r="G358" s="23"/>
      <c r="H358" s="89"/>
      <c r="I358" s="12"/>
      <c r="J358" s="13"/>
    </row>
    <row r="359" spans="1:10" ht="13.5" customHeight="1" x14ac:dyDescent="0.2">
      <c r="A359" s="9"/>
      <c r="B359" s="9"/>
      <c r="C359" s="56"/>
      <c r="D359" s="11"/>
      <c r="E359" s="12"/>
      <c r="F359" s="12"/>
      <c r="G359" s="23"/>
      <c r="H359" s="89"/>
      <c r="I359" s="12"/>
      <c r="J359" s="13"/>
    </row>
    <row r="360" spans="1:10" x14ac:dyDescent="0.2">
      <c r="A360" s="132"/>
      <c r="B360" s="93"/>
      <c r="C360" s="94"/>
      <c r="D360" s="27"/>
      <c r="E360" s="27"/>
      <c r="F360" s="27"/>
      <c r="G360" s="27"/>
      <c r="H360" s="95"/>
      <c r="I360" s="30"/>
      <c r="J360" s="51"/>
    </row>
  </sheetData>
  <mergeCells count="4">
    <mergeCell ref="A1:C1"/>
    <mergeCell ref="D1:G1"/>
    <mergeCell ref="H1:J1"/>
    <mergeCell ref="H168:J168"/>
  </mergeCells>
  <phoneticPr fontId="25" type="noConversion"/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J352"/>
  <sheetViews>
    <sheetView topLeftCell="A46" zoomScaleNormal="100" workbookViewId="0">
      <selection activeCell="C48" sqref="C48"/>
    </sheetView>
  </sheetViews>
  <sheetFormatPr defaultColWidth="9" defaultRowHeight="12.75" x14ac:dyDescent="0.2"/>
  <cols>
    <col min="1" max="1" width="14.5" style="452" customWidth="1"/>
    <col min="2" max="2" width="95.875" style="452" customWidth="1"/>
    <col min="3" max="3" width="10.75" style="453" customWidth="1"/>
    <col min="4" max="4" width="11.75" style="453" customWidth="1"/>
    <col min="5" max="9" width="9" style="452"/>
    <col min="10" max="10" width="10.25" style="452" customWidth="1"/>
    <col min="11" max="16384" width="9" style="452"/>
  </cols>
  <sheetData>
    <row r="1" spans="1:10" x14ac:dyDescent="0.2">
      <c r="F1" s="454" t="s">
        <v>218</v>
      </c>
      <c r="G1" s="454" t="s">
        <v>219</v>
      </c>
      <c r="H1" s="454" t="s">
        <v>220</v>
      </c>
      <c r="I1" s="454" t="s">
        <v>221</v>
      </c>
      <c r="J1" s="454" t="s">
        <v>222</v>
      </c>
    </row>
    <row r="2" spans="1:10" s="455" customFormat="1" ht="13.5" customHeight="1" x14ac:dyDescent="0.2">
      <c r="A2" s="455" t="s">
        <v>240</v>
      </c>
      <c r="B2" s="456" t="s">
        <v>1233</v>
      </c>
      <c r="C2" s="457"/>
      <c r="D2" s="25">
        <v>940</v>
      </c>
      <c r="E2" s="452"/>
      <c r="F2" s="25">
        <v>1020</v>
      </c>
      <c r="G2" s="25">
        <v>80</v>
      </c>
      <c r="H2" s="402"/>
      <c r="I2" s="402"/>
      <c r="J2" s="458">
        <f>F2-G2-H2-I2</f>
        <v>940</v>
      </c>
    </row>
    <row r="3" spans="1:10" s="455" customFormat="1" ht="13.5" customHeight="1" x14ac:dyDescent="0.2">
      <c r="A3" s="455" t="s">
        <v>240</v>
      </c>
      <c r="B3" s="456" t="s">
        <v>1240</v>
      </c>
      <c r="C3" s="457"/>
      <c r="D3" s="25">
        <v>950</v>
      </c>
      <c r="E3" s="452"/>
      <c r="F3" s="25">
        <v>1030</v>
      </c>
      <c r="G3" s="25">
        <v>80</v>
      </c>
      <c r="H3" s="402"/>
      <c r="I3" s="402"/>
      <c r="J3" s="458">
        <f t="shared" ref="J3:J15" si="0">F3-G3-H3-I3</f>
        <v>950</v>
      </c>
    </row>
    <row r="4" spans="1:10" s="455" customFormat="1" ht="13.5" customHeight="1" x14ac:dyDescent="0.2">
      <c r="A4" s="455" t="s">
        <v>240</v>
      </c>
      <c r="B4" s="459" t="s">
        <v>1339</v>
      </c>
      <c r="C4" s="457"/>
      <c r="D4" s="25">
        <v>990</v>
      </c>
      <c r="E4" s="452"/>
      <c r="F4" s="25">
        <v>1080</v>
      </c>
      <c r="G4" s="25">
        <v>90</v>
      </c>
      <c r="H4" s="402"/>
      <c r="I4" s="402"/>
      <c r="J4" s="458">
        <f t="shared" si="0"/>
        <v>990</v>
      </c>
    </row>
    <row r="5" spans="1:10" s="455" customFormat="1" ht="13.5" customHeight="1" x14ac:dyDescent="0.2">
      <c r="A5" s="455" t="s">
        <v>240</v>
      </c>
      <c r="B5" s="456" t="s">
        <v>1259</v>
      </c>
      <c r="C5" s="457"/>
      <c r="D5" s="25">
        <v>1089</v>
      </c>
      <c r="E5" s="452"/>
      <c r="F5" s="25">
        <v>1169</v>
      </c>
      <c r="G5" s="25">
        <v>80</v>
      </c>
      <c r="H5" s="402"/>
      <c r="I5" s="402"/>
      <c r="J5" s="458">
        <f t="shared" si="0"/>
        <v>1089</v>
      </c>
    </row>
    <row r="6" spans="1:10" s="455" customFormat="1" ht="13.5" customHeight="1" x14ac:dyDescent="0.2">
      <c r="A6" s="455" t="s">
        <v>240</v>
      </c>
      <c r="B6" s="456" t="s">
        <v>1251</v>
      </c>
      <c r="C6" s="457"/>
      <c r="D6" s="25">
        <v>318</v>
      </c>
      <c r="E6" s="452"/>
      <c r="F6" s="25">
        <v>318</v>
      </c>
      <c r="G6" s="25"/>
      <c r="H6" s="402"/>
      <c r="I6" s="402"/>
      <c r="J6" s="458">
        <f t="shared" si="0"/>
        <v>318</v>
      </c>
    </row>
    <row r="7" spans="1:10" s="455" customFormat="1" ht="13.5" customHeight="1" x14ac:dyDescent="0.2">
      <c r="A7" s="455" t="s">
        <v>240</v>
      </c>
      <c r="B7" s="456" t="s">
        <v>1258</v>
      </c>
      <c r="C7" s="457"/>
      <c r="D7" s="25">
        <v>1369.52</v>
      </c>
      <c r="E7" s="452"/>
      <c r="F7" s="25">
        <v>1449.52</v>
      </c>
      <c r="G7" s="25">
        <v>80</v>
      </c>
      <c r="H7" s="402"/>
      <c r="I7" s="402"/>
      <c r="J7" s="458">
        <f t="shared" si="0"/>
        <v>1369.52</v>
      </c>
    </row>
    <row r="8" spans="1:10" s="455" customFormat="1" ht="13.5" customHeight="1" x14ac:dyDescent="0.2">
      <c r="A8" s="455" t="s">
        <v>240</v>
      </c>
      <c r="B8" s="456" t="s">
        <v>9</v>
      </c>
      <c r="C8" s="457"/>
      <c r="D8" s="25">
        <v>900</v>
      </c>
      <c r="E8" s="452"/>
      <c r="F8" s="25">
        <v>0</v>
      </c>
      <c r="G8" s="25"/>
      <c r="H8" s="403"/>
      <c r="I8" s="403"/>
      <c r="J8" s="458">
        <f t="shared" si="0"/>
        <v>0</v>
      </c>
    </row>
    <row r="9" spans="1:10" s="455" customFormat="1" ht="13.5" customHeight="1" x14ac:dyDescent="0.2">
      <c r="A9" s="455" t="s">
        <v>240</v>
      </c>
      <c r="B9" s="456" t="s">
        <v>1230</v>
      </c>
      <c r="C9" s="457"/>
      <c r="D9" s="25">
        <v>1500</v>
      </c>
      <c r="E9" s="452"/>
      <c r="F9" s="25">
        <v>1500</v>
      </c>
      <c r="G9" s="25"/>
      <c r="H9" s="403"/>
      <c r="I9" s="403"/>
      <c r="J9" s="458">
        <f t="shared" si="0"/>
        <v>1500</v>
      </c>
    </row>
    <row r="10" spans="1:10" s="455" customFormat="1" ht="13.5" customHeight="1" x14ac:dyDescent="0.2">
      <c r="A10" s="455" t="s">
        <v>240</v>
      </c>
      <c r="B10" s="456" t="s">
        <v>10</v>
      </c>
      <c r="C10" s="457"/>
      <c r="D10" s="25">
        <v>410</v>
      </c>
      <c r="E10" s="452"/>
      <c r="F10" s="25">
        <v>0</v>
      </c>
      <c r="G10" s="25"/>
      <c r="H10" s="403"/>
      <c r="I10" s="403"/>
      <c r="J10" s="458">
        <f t="shared" si="0"/>
        <v>0</v>
      </c>
    </row>
    <row r="11" spans="1:10" s="455" customFormat="1" ht="13.5" customHeight="1" x14ac:dyDescent="0.2">
      <c r="A11" s="455" t="s">
        <v>240</v>
      </c>
      <c r="B11" s="456" t="s">
        <v>1261</v>
      </c>
      <c r="C11" s="457"/>
      <c r="D11" s="25">
        <v>1499.93</v>
      </c>
      <c r="E11" s="452"/>
      <c r="F11" s="25">
        <v>1519</v>
      </c>
      <c r="G11" s="25"/>
      <c r="H11" s="403"/>
      <c r="I11" s="403">
        <v>19.07</v>
      </c>
      <c r="J11" s="458">
        <f>F11-G11-H11-I11</f>
        <v>1499.93</v>
      </c>
    </row>
    <row r="12" spans="1:10" s="455" customFormat="1" ht="13.5" customHeight="1" x14ac:dyDescent="0.2">
      <c r="A12" s="455" t="s">
        <v>240</v>
      </c>
      <c r="B12" s="456" t="s">
        <v>1250</v>
      </c>
      <c r="C12" s="457"/>
      <c r="D12" s="25">
        <v>1975.42</v>
      </c>
      <c r="E12" s="452"/>
      <c r="F12" s="25">
        <v>1975.42</v>
      </c>
      <c r="G12" s="25"/>
      <c r="H12" s="404"/>
      <c r="I12" s="404"/>
      <c r="J12" s="458">
        <f>F12-G12-H12-I12</f>
        <v>1975.42</v>
      </c>
    </row>
    <row r="13" spans="1:10" s="455" customFormat="1" ht="13.5" customHeight="1" x14ac:dyDescent="0.2">
      <c r="A13" s="455" t="s">
        <v>240</v>
      </c>
      <c r="B13" s="456" t="s">
        <v>1260</v>
      </c>
      <c r="C13" s="457"/>
      <c r="D13" s="25">
        <v>3500</v>
      </c>
      <c r="E13" s="452"/>
      <c r="F13" s="25">
        <v>3500</v>
      </c>
      <c r="G13" s="25"/>
      <c r="H13" s="403"/>
      <c r="I13" s="403"/>
      <c r="J13" s="458">
        <f t="shared" si="0"/>
        <v>3500</v>
      </c>
    </row>
    <row r="14" spans="1:10" s="455" customFormat="1" ht="13.5" customHeight="1" x14ac:dyDescent="0.2">
      <c r="A14" s="455" t="s">
        <v>240</v>
      </c>
      <c r="B14" s="456" t="s">
        <v>1283</v>
      </c>
      <c r="C14" s="457"/>
      <c r="D14" s="25">
        <v>2050</v>
      </c>
      <c r="E14" s="452"/>
      <c r="F14" s="25">
        <v>2050</v>
      </c>
      <c r="G14" s="25"/>
      <c r="H14" s="403"/>
      <c r="I14" s="403"/>
      <c r="J14" s="458">
        <f t="shared" si="0"/>
        <v>2050</v>
      </c>
    </row>
    <row r="15" spans="1:10" s="455" customFormat="1" ht="13.5" customHeight="1" x14ac:dyDescent="0.2">
      <c r="A15" s="455" t="s">
        <v>240</v>
      </c>
      <c r="B15" s="456" t="s">
        <v>1241</v>
      </c>
      <c r="C15" s="457"/>
      <c r="D15" s="25">
        <v>5000</v>
      </c>
      <c r="E15" s="452"/>
      <c r="F15" s="25">
        <v>5000</v>
      </c>
      <c r="G15" s="25"/>
      <c r="H15" s="403"/>
      <c r="I15" s="403"/>
      <c r="J15" s="458">
        <f t="shared" si="0"/>
        <v>5000</v>
      </c>
    </row>
    <row r="16" spans="1:10" s="455" customFormat="1" ht="13.5" customHeight="1" x14ac:dyDescent="0.2">
      <c r="A16" s="455" t="s">
        <v>240</v>
      </c>
      <c r="B16" s="459" t="s">
        <v>1334</v>
      </c>
      <c r="C16" s="457"/>
      <c r="D16" s="25">
        <v>1360</v>
      </c>
      <c r="E16" s="452"/>
      <c r="F16" s="460"/>
      <c r="G16" s="461">
        <f>SUM(G2:G15)</f>
        <v>410</v>
      </c>
      <c r="H16" s="461">
        <f>SUM(H2:H15)</f>
        <v>0</v>
      </c>
      <c r="I16" s="461">
        <f>SUM(I2:I15)</f>
        <v>19.07</v>
      </c>
      <c r="J16" s="452"/>
    </row>
    <row r="17" spans="1:10" s="455" customFormat="1" ht="13.5" customHeight="1" x14ac:dyDescent="0.2">
      <c r="A17" s="455" t="s">
        <v>240</v>
      </c>
      <c r="B17" s="456" t="s">
        <v>1284</v>
      </c>
      <c r="C17" s="457"/>
      <c r="D17" s="445">
        <v>185</v>
      </c>
      <c r="E17" s="452"/>
      <c r="F17" s="452"/>
    </row>
    <row r="18" spans="1:10" s="455" customFormat="1" ht="13.5" customHeight="1" x14ac:dyDescent="0.2">
      <c r="A18" s="455" t="s">
        <v>240</v>
      </c>
      <c r="B18" s="456" t="s">
        <v>1269</v>
      </c>
      <c r="C18" s="457"/>
      <c r="D18" s="445">
        <v>190</v>
      </c>
      <c r="E18" s="452"/>
      <c r="F18" s="452"/>
    </row>
    <row r="19" spans="1:10" s="455" customFormat="1" ht="13.5" customHeight="1" x14ac:dyDescent="0.2">
      <c r="A19" s="455" t="s">
        <v>240</v>
      </c>
      <c r="B19" s="456" t="s">
        <v>1270</v>
      </c>
      <c r="C19" s="457"/>
      <c r="D19" s="445">
        <v>190</v>
      </c>
      <c r="E19" s="452"/>
      <c r="F19" s="452"/>
    </row>
    <row r="20" spans="1:10" s="455" customFormat="1" ht="13.5" customHeight="1" x14ac:dyDescent="0.2">
      <c r="A20" s="455" t="s">
        <v>240</v>
      </c>
      <c r="B20" s="456" t="s">
        <v>1325</v>
      </c>
      <c r="C20" s="457"/>
      <c r="D20" s="445">
        <v>185</v>
      </c>
      <c r="E20" s="452"/>
      <c r="F20" s="452"/>
    </row>
    <row r="21" spans="1:10" s="455" customFormat="1" ht="13.5" customHeight="1" x14ac:dyDescent="0.2">
      <c r="A21" s="455" t="s">
        <v>240</v>
      </c>
      <c r="B21" s="462" t="s">
        <v>1229</v>
      </c>
      <c r="C21" s="457"/>
      <c r="D21" s="445">
        <v>220</v>
      </c>
      <c r="E21" s="452"/>
      <c r="F21" s="452"/>
    </row>
    <row r="22" spans="1:10" s="455" customFormat="1" ht="13.5" customHeight="1" x14ac:dyDescent="0.2">
      <c r="A22" s="455" t="s">
        <v>240</v>
      </c>
      <c r="B22" s="456" t="s">
        <v>1272</v>
      </c>
      <c r="C22" s="457"/>
      <c r="D22" s="445">
        <v>80</v>
      </c>
      <c r="E22" s="452"/>
      <c r="F22" s="452"/>
    </row>
    <row r="23" spans="1:10" s="455" customFormat="1" ht="13.5" customHeight="1" x14ac:dyDescent="0.2">
      <c r="A23" s="455" t="s">
        <v>240</v>
      </c>
      <c r="B23" s="462" t="s">
        <v>1255</v>
      </c>
      <c r="C23" s="457"/>
      <c r="D23" s="445">
        <v>60</v>
      </c>
      <c r="E23" s="463">
        <f>SUM(D17:D23)</f>
        <v>1110</v>
      </c>
      <c r="F23" s="452"/>
    </row>
    <row r="24" spans="1:10" s="455" customFormat="1" ht="13.5" customHeight="1" x14ac:dyDescent="0.2">
      <c r="A24" s="455" t="s">
        <v>240</v>
      </c>
      <c r="B24" s="456" t="s">
        <v>1792</v>
      </c>
      <c r="C24" s="457"/>
      <c r="D24" s="445">
        <f>I11</f>
        <v>19.07</v>
      </c>
      <c r="E24" s="453"/>
      <c r="F24" s="452"/>
    </row>
    <row r="25" spans="1:10" s="455" customFormat="1" ht="13.5" customHeight="1" x14ac:dyDescent="0.2">
      <c r="B25" s="456"/>
      <c r="C25" s="457"/>
      <c r="D25" s="446">
        <f>SUM(D2:D24)</f>
        <v>24980.940000000002</v>
      </c>
      <c r="E25" s="452"/>
      <c r="F25" s="452"/>
    </row>
    <row r="26" spans="1:10" s="455" customFormat="1" ht="13.5" customHeight="1" x14ac:dyDescent="0.2">
      <c r="B26" s="456"/>
      <c r="C26" s="457"/>
      <c r="D26" s="25"/>
      <c r="E26" s="452"/>
      <c r="F26" s="452"/>
    </row>
    <row r="27" spans="1:10" s="455" customFormat="1" ht="13.5" customHeight="1" x14ac:dyDescent="0.2">
      <c r="A27" s="455" t="s">
        <v>240</v>
      </c>
      <c r="B27" s="456" t="s">
        <v>1257</v>
      </c>
      <c r="C27" s="457"/>
      <c r="D27" s="25">
        <v>900</v>
      </c>
      <c r="E27" s="452"/>
      <c r="F27" s="452"/>
    </row>
    <row r="28" spans="1:10" s="455" customFormat="1" ht="13.5" customHeight="1" x14ac:dyDescent="0.2">
      <c r="A28" s="455" t="s">
        <v>240</v>
      </c>
      <c r="B28" s="456" t="s">
        <v>1256</v>
      </c>
      <c r="C28" s="457"/>
      <c r="D28" s="25">
        <v>900</v>
      </c>
      <c r="E28" s="452"/>
      <c r="F28" s="452"/>
    </row>
    <row r="29" spans="1:10" s="455" customFormat="1" ht="13.5" customHeight="1" x14ac:dyDescent="0.2">
      <c r="A29" s="455" t="s">
        <v>240</v>
      </c>
      <c r="B29" s="456" t="s">
        <v>1304</v>
      </c>
      <c r="C29" s="457"/>
      <c r="D29" s="25">
        <v>7500</v>
      </c>
      <c r="E29" s="452"/>
      <c r="F29" s="464">
        <v>7500</v>
      </c>
      <c r="G29" s="109"/>
      <c r="H29" s="109"/>
      <c r="I29" s="109"/>
      <c r="J29" s="458">
        <f>F29-G29-H29-I29</f>
        <v>7500</v>
      </c>
    </row>
    <row r="30" spans="1:10" s="455" customFormat="1" ht="13.5" customHeight="1" x14ac:dyDescent="0.2">
      <c r="A30" s="455" t="s">
        <v>240</v>
      </c>
      <c r="B30" s="456" t="s">
        <v>1305</v>
      </c>
      <c r="C30" s="457"/>
      <c r="D30" s="25">
        <v>500</v>
      </c>
      <c r="E30" s="452"/>
      <c r="F30" s="464">
        <v>500</v>
      </c>
      <c r="G30" s="109"/>
      <c r="H30" s="109"/>
      <c r="I30" s="109"/>
      <c r="J30" s="458">
        <f>F30-G30-H30-I30</f>
        <v>500</v>
      </c>
    </row>
    <row r="31" spans="1:10" s="455" customFormat="1" ht="13.5" customHeight="1" x14ac:dyDescent="0.2">
      <c r="A31" s="455" t="s">
        <v>240</v>
      </c>
      <c r="B31" s="456" t="s">
        <v>1359</v>
      </c>
      <c r="C31" s="457"/>
      <c r="D31" s="25">
        <v>4731.47</v>
      </c>
      <c r="E31" s="452"/>
      <c r="F31" s="464">
        <v>4731.47</v>
      </c>
      <c r="G31" s="109"/>
      <c r="H31" s="109"/>
      <c r="I31" s="109"/>
      <c r="J31" s="458">
        <f>F31-G31-H31-I31</f>
        <v>4731.47</v>
      </c>
    </row>
    <row r="32" spans="1:10" s="455" customFormat="1" ht="13.5" customHeight="1" x14ac:dyDescent="0.2">
      <c r="B32" s="456"/>
      <c r="C32" s="457"/>
      <c r="D32" s="446">
        <f>SUM(D27:D31)</f>
        <v>14531.470000000001</v>
      </c>
      <c r="E32" s="452"/>
      <c r="F32" s="452"/>
      <c r="G32" s="461">
        <f>SUM(G29:G31)</f>
        <v>0</v>
      </c>
      <c r="H32" s="461">
        <f>SUM(H29:H31)</f>
        <v>0</v>
      </c>
      <c r="I32" s="461">
        <f>SUM(I29:I31)</f>
        <v>0</v>
      </c>
      <c r="J32" s="452"/>
    </row>
    <row r="33" spans="1:6" s="455" customFormat="1" ht="13.5" customHeight="1" x14ac:dyDescent="0.2">
      <c r="B33" s="456"/>
      <c r="C33" s="457"/>
      <c r="D33" s="25"/>
      <c r="E33" s="452"/>
    </row>
    <row r="34" spans="1:6" s="455" customFormat="1" ht="13.5" customHeight="1" x14ac:dyDescent="0.2">
      <c r="A34" s="483" t="s">
        <v>241</v>
      </c>
      <c r="B34" s="456" t="s">
        <v>189</v>
      </c>
      <c r="C34" s="314">
        <v>4197.4399999999996</v>
      </c>
      <c r="D34" s="25"/>
    </row>
    <row r="35" spans="1:6" s="455" customFormat="1" ht="13.5" customHeight="1" x14ac:dyDescent="0.2">
      <c r="A35" s="483" t="s">
        <v>241</v>
      </c>
      <c r="B35" s="456" t="s">
        <v>189</v>
      </c>
      <c r="C35" s="314">
        <v>3621</v>
      </c>
      <c r="D35" s="25"/>
      <c r="F35" s="452"/>
    </row>
    <row r="36" spans="1:6" s="455" customFormat="1" ht="13.5" customHeight="1" x14ac:dyDescent="0.2">
      <c r="A36" s="483" t="s">
        <v>241</v>
      </c>
      <c r="B36" s="456" t="s">
        <v>174</v>
      </c>
      <c r="C36" s="457">
        <v>-10.1</v>
      </c>
      <c r="D36" s="25"/>
      <c r="E36" s="452"/>
      <c r="F36" s="452"/>
    </row>
    <row r="37" spans="1:6" s="455" customFormat="1" ht="13.5" customHeight="1" x14ac:dyDescent="0.2">
      <c r="A37" s="483" t="s">
        <v>241</v>
      </c>
      <c r="B37" s="456" t="s">
        <v>174</v>
      </c>
      <c r="C37" s="457">
        <v>-12.5</v>
      </c>
      <c r="D37" s="25"/>
      <c r="E37" s="452"/>
      <c r="F37" s="452"/>
    </row>
    <row r="38" spans="1:6" s="455" customFormat="1" ht="13.5" customHeight="1" x14ac:dyDescent="0.2">
      <c r="A38" s="483" t="s">
        <v>241</v>
      </c>
      <c r="B38" s="456" t="s">
        <v>174</v>
      </c>
      <c r="C38" s="457">
        <v>-85</v>
      </c>
      <c r="D38" s="25"/>
      <c r="E38" s="452"/>
      <c r="F38" s="452"/>
    </row>
    <row r="39" spans="1:6" s="455" customFormat="1" ht="13.5" customHeight="1" x14ac:dyDescent="0.2">
      <c r="A39" s="483" t="s">
        <v>241</v>
      </c>
      <c r="B39" s="462" t="s">
        <v>174</v>
      </c>
      <c r="C39" s="457">
        <v>-100</v>
      </c>
      <c r="D39" s="25"/>
      <c r="E39" s="452"/>
      <c r="F39" s="452"/>
    </row>
    <row r="40" spans="1:6" s="455" customFormat="1" ht="13.5" customHeight="1" x14ac:dyDescent="0.2">
      <c r="A40" s="483" t="s">
        <v>241</v>
      </c>
      <c r="B40" s="462" t="s">
        <v>174</v>
      </c>
      <c r="C40" s="457">
        <v>-180</v>
      </c>
      <c r="D40" s="25"/>
      <c r="E40" s="452"/>
      <c r="F40" s="452"/>
    </row>
    <row r="41" spans="1:6" s="455" customFormat="1" ht="13.5" customHeight="1" x14ac:dyDescent="0.2">
      <c r="A41" s="483" t="s">
        <v>241</v>
      </c>
      <c r="B41" s="456" t="s">
        <v>174</v>
      </c>
      <c r="C41" s="457">
        <v>-220.85</v>
      </c>
      <c r="D41" s="25"/>
      <c r="E41" s="452"/>
      <c r="F41" s="452"/>
    </row>
    <row r="42" spans="1:6" s="455" customFormat="1" ht="13.5" customHeight="1" x14ac:dyDescent="0.2">
      <c r="A42" s="483" t="s">
        <v>241</v>
      </c>
      <c r="B42" s="456" t="s">
        <v>174</v>
      </c>
      <c r="C42" s="457">
        <v>-379.65</v>
      </c>
      <c r="D42" s="25"/>
      <c r="E42" s="452"/>
      <c r="F42" s="452"/>
    </row>
    <row r="43" spans="1:6" s="455" customFormat="1" ht="13.5" customHeight="1" x14ac:dyDescent="0.2">
      <c r="A43" s="483" t="s">
        <v>241</v>
      </c>
      <c r="B43" s="456" t="s">
        <v>174</v>
      </c>
      <c r="C43" s="457">
        <v>-532.08000000000004</v>
      </c>
      <c r="D43" s="25"/>
      <c r="E43" s="452"/>
      <c r="F43" s="452"/>
    </row>
    <row r="44" spans="1:6" s="455" customFormat="1" ht="13.5" customHeight="1" x14ac:dyDescent="0.2">
      <c r="A44" s="483" t="s">
        <v>241</v>
      </c>
      <c r="B44" s="456" t="s">
        <v>174</v>
      </c>
      <c r="C44" s="457">
        <v>-679.77</v>
      </c>
      <c r="D44" s="25"/>
      <c r="E44" s="452"/>
      <c r="F44" s="452"/>
    </row>
    <row r="45" spans="1:6" s="455" customFormat="1" ht="13.5" customHeight="1" x14ac:dyDescent="0.2">
      <c r="A45" s="483" t="s">
        <v>241</v>
      </c>
      <c r="B45" s="456" t="s">
        <v>174</v>
      </c>
      <c r="C45" s="457">
        <v>-1050.58</v>
      </c>
      <c r="D45" s="25"/>
      <c r="E45" s="452"/>
      <c r="F45" s="452"/>
    </row>
    <row r="46" spans="1:6" s="455" customFormat="1" ht="13.5" customHeight="1" x14ac:dyDescent="0.2">
      <c r="A46" s="483" t="s">
        <v>241</v>
      </c>
      <c r="B46" s="456" t="s">
        <v>174</v>
      </c>
      <c r="C46" s="457">
        <v>-2762</v>
      </c>
      <c r="D46" s="25"/>
      <c r="E46" s="452"/>
      <c r="F46" s="452"/>
    </row>
    <row r="47" spans="1:6" s="455" customFormat="1" ht="13.5" customHeight="1" x14ac:dyDescent="0.2">
      <c r="A47" s="483" t="s">
        <v>241</v>
      </c>
      <c r="B47" s="456" t="s">
        <v>174</v>
      </c>
      <c r="C47" s="457">
        <v>-3017.84</v>
      </c>
      <c r="D47" s="25"/>
      <c r="E47" s="452"/>
      <c r="F47" s="452"/>
    </row>
    <row r="48" spans="1:6" s="455" customFormat="1" ht="13.5" customHeight="1" x14ac:dyDescent="0.2">
      <c r="B48" s="456"/>
      <c r="C48" s="465">
        <f>SUM(C34:C47)</f>
        <v>-1211.9300000000003</v>
      </c>
      <c r="D48" s="25"/>
      <c r="E48" s="452"/>
      <c r="F48" s="452"/>
    </row>
    <row r="49" spans="1:10" s="455" customFormat="1" ht="13.5" customHeight="1" x14ac:dyDescent="0.2">
      <c r="B49" s="456"/>
      <c r="C49" s="457"/>
      <c r="D49" s="25"/>
      <c r="E49" s="452"/>
    </row>
    <row r="50" spans="1:10" s="455" customFormat="1" ht="13.5" customHeight="1" x14ac:dyDescent="0.2">
      <c r="A50" s="455" t="s">
        <v>1787</v>
      </c>
      <c r="B50" s="456" t="s">
        <v>62</v>
      </c>
      <c r="C50" s="314">
        <v>408.26</v>
      </c>
      <c r="D50" s="25"/>
      <c r="G50" s="452"/>
      <c r="H50" s="452"/>
      <c r="I50" s="452"/>
      <c r="J50" s="452"/>
    </row>
    <row r="51" spans="1:10" ht="13.5" customHeight="1" x14ac:dyDescent="0.2">
      <c r="A51" s="455" t="s">
        <v>1787</v>
      </c>
      <c r="B51" s="462" t="s">
        <v>68</v>
      </c>
      <c r="C51" s="314">
        <v>129.9</v>
      </c>
      <c r="D51" s="25"/>
      <c r="E51" s="455"/>
      <c r="F51" s="455"/>
    </row>
    <row r="52" spans="1:10" ht="13.5" customHeight="1" x14ac:dyDescent="0.2">
      <c r="A52" s="455" t="s">
        <v>1787</v>
      </c>
      <c r="B52" s="456" t="s">
        <v>1324</v>
      </c>
      <c r="C52" s="314">
        <v>185.73</v>
      </c>
      <c r="D52" s="25"/>
      <c r="E52" s="455"/>
      <c r="F52" s="455"/>
    </row>
    <row r="53" spans="1:10" ht="13.5" customHeight="1" x14ac:dyDescent="0.2">
      <c r="A53" s="455" t="s">
        <v>1787</v>
      </c>
      <c r="B53" s="456" t="s">
        <v>1790</v>
      </c>
      <c r="C53" s="314">
        <v>600</v>
      </c>
      <c r="D53" s="25"/>
      <c r="E53" s="455"/>
      <c r="F53" s="455"/>
    </row>
    <row r="54" spans="1:10" ht="13.5" customHeight="1" x14ac:dyDescent="0.2">
      <c r="A54" s="455"/>
      <c r="B54" s="456"/>
      <c r="C54" s="466">
        <f>SUM(C50:C53)</f>
        <v>1323.8899999999999</v>
      </c>
      <c r="D54" s="25"/>
      <c r="E54" s="455"/>
      <c r="F54" s="455"/>
    </row>
    <row r="55" spans="1:10" ht="13.5" customHeight="1" x14ac:dyDescent="0.2">
      <c r="A55" s="455"/>
      <c r="B55" s="456"/>
      <c r="C55" s="314"/>
      <c r="D55" s="25"/>
      <c r="E55" s="455"/>
    </row>
    <row r="56" spans="1:10" ht="13.5" customHeight="1" x14ac:dyDescent="0.2">
      <c r="A56" s="455" t="s">
        <v>1787</v>
      </c>
      <c r="B56" s="456" t="s">
        <v>1296</v>
      </c>
      <c r="C56" s="457">
        <v>150</v>
      </c>
      <c r="D56" s="25"/>
    </row>
    <row r="57" spans="1:10" ht="13.5" customHeight="1" x14ac:dyDescent="0.2">
      <c r="A57" s="455" t="s">
        <v>1787</v>
      </c>
      <c r="B57" s="459" t="s">
        <v>1340</v>
      </c>
      <c r="C57" s="457">
        <v>150</v>
      </c>
      <c r="D57" s="467"/>
    </row>
    <row r="58" spans="1:10" ht="13.5" customHeight="1" x14ac:dyDescent="0.2">
      <c r="A58" s="455" t="s">
        <v>1787</v>
      </c>
      <c r="B58" s="456" t="s">
        <v>1231</v>
      </c>
      <c r="C58" s="457">
        <v>150</v>
      </c>
      <c r="D58" s="25"/>
    </row>
    <row r="59" spans="1:10" ht="13.5" customHeight="1" x14ac:dyDescent="0.2">
      <c r="A59" s="455" t="s">
        <v>1787</v>
      </c>
      <c r="B59" s="456" t="s">
        <v>1297</v>
      </c>
      <c r="C59" s="457">
        <v>150</v>
      </c>
      <c r="D59" s="25"/>
    </row>
    <row r="60" spans="1:10" ht="13.5" customHeight="1" x14ac:dyDescent="0.2">
      <c r="A60" s="455" t="s">
        <v>1787</v>
      </c>
      <c r="B60" s="459" t="s">
        <v>1341</v>
      </c>
      <c r="C60" s="457">
        <v>150</v>
      </c>
      <c r="D60" s="468">
        <f>SUM(C62-D62)</f>
        <v>600</v>
      </c>
    </row>
    <row r="61" spans="1:10" ht="13.5" customHeight="1" x14ac:dyDescent="0.2">
      <c r="A61" s="455" t="s">
        <v>1787</v>
      </c>
      <c r="B61" s="456" t="s">
        <v>1232</v>
      </c>
      <c r="C61" s="457">
        <v>150</v>
      </c>
      <c r="D61" s="25"/>
      <c r="F61" s="455"/>
    </row>
    <row r="62" spans="1:10" ht="13.5" customHeight="1" x14ac:dyDescent="0.2">
      <c r="A62" s="455"/>
      <c r="B62" s="456"/>
      <c r="C62" s="469">
        <f>SUM(C56:C61)</f>
        <v>900</v>
      </c>
      <c r="D62" s="447">
        <f>SUM(C62/3)</f>
        <v>300</v>
      </c>
      <c r="E62" s="455"/>
      <c r="F62" s="455"/>
    </row>
    <row r="63" spans="1:10" ht="13.5" customHeight="1" x14ac:dyDescent="0.2">
      <c r="A63" s="455"/>
      <c r="B63" s="456"/>
      <c r="C63" s="314"/>
      <c r="D63" s="25"/>
      <c r="E63" s="455"/>
      <c r="F63" s="455"/>
    </row>
    <row r="64" spans="1:10" ht="13.5" customHeight="1" x14ac:dyDescent="0.2">
      <c r="A64" s="455" t="s">
        <v>1788</v>
      </c>
      <c r="B64" s="456" t="s">
        <v>1364</v>
      </c>
      <c r="C64" s="466">
        <v>720.85</v>
      </c>
      <c r="D64" s="25"/>
      <c r="E64" s="455"/>
      <c r="F64" s="455"/>
    </row>
    <row r="65" spans="1:8" ht="13.5" customHeight="1" x14ac:dyDescent="0.2">
      <c r="A65" s="455"/>
      <c r="B65" s="456"/>
      <c r="C65" s="314"/>
      <c r="D65" s="25"/>
      <c r="E65" s="455"/>
      <c r="F65" s="455"/>
    </row>
    <row r="66" spans="1:8" ht="13.5" customHeight="1" x14ac:dyDescent="0.2">
      <c r="A66" s="455"/>
      <c r="B66" s="456"/>
      <c r="C66" s="314"/>
      <c r="D66" s="25"/>
      <c r="E66" s="455"/>
      <c r="F66" s="455"/>
    </row>
    <row r="67" spans="1:8" ht="13.5" customHeight="1" x14ac:dyDescent="0.2">
      <c r="A67" s="455" t="s">
        <v>428</v>
      </c>
      <c r="B67" s="456" t="s">
        <v>196</v>
      </c>
      <c r="C67" s="314">
        <v>1107.17</v>
      </c>
      <c r="D67" s="25"/>
      <c r="E67" s="455"/>
      <c r="F67" s="455"/>
    </row>
    <row r="68" spans="1:8" ht="13.5" customHeight="1" x14ac:dyDescent="0.2">
      <c r="A68" s="455" t="s">
        <v>428</v>
      </c>
      <c r="B68" s="456" t="s">
        <v>197</v>
      </c>
      <c r="C68" s="314">
        <v>1845.29</v>
      </c>
      <c r="D68" s="25"/>
      <c r="E68" s="455"/>
      <c r="F68" s="455"/>
    </row>
    <row r="69" spans="1:8" ht="13.5" customHeight="1" x14ac:dyDescent="0.2">
      <c r="A69" s="455"/>
      <c r="B69" s="456"/>
      <c r="C69" s="466">
        <f>SUM(C67:C68)</f>
        <v>2952.46</v>
      </c>
      <c r="D69" s="25"/>
      <c r="E69" s="455"/>
      <c r="F69" s="455"/>
    </row>
    <row r="70" spans="1:8" ht="13.5" customHeight="1" x14ac:dyDescent="0.2">
      <c r="A70" s="455"/>
      <c r="B70" s="456"/>
      <c r="C70" s="314"/>
      <c r="D70" s="25"/>
      <c r="E70" s="455"/>
    </row>
    <row r="71" spans="1:8" ht="13.5" customHeight="1" x14ac:dyDescent="0.2">
      <c r="A71" s="455" t="s">
        <v>242</v>
      </c>
      <c r="B71" s="456" t="s">
        <v>80</v>
      </c>
      <c r="C71" s="314">
        <v>88.67</v>
      </c>
      <c r="D71" s="25"/>
    </row>
    <row r="72" spans="1:8" ht="13.5" customHeight="1" x14ac:dyDescent="0.2">
      <c r="A72" s="455" t="s">
        <v>242</v>
      </c>
      <c r="B72" s="456" t="s">
        <v>1253</v>
      </c>
      <c r="C72" s="314">
        <v>9.33</v>
      </c>
      <c r="D72" s="25"/>
    </row>
    <row r="73" spans="1:8" ht="13.5" customHeight="1" x14ac:dyDescent="0.2">
      <c r="A73" s="455" t="s">
        <v>242</v>
      </c>
      <c r="B73" s="456" t="s">
        <v>1254</v>
      </c>
      <c r="C73" s="314">
        <v>1.85</v>
      </c>
      <c r="D73" s="25"/>
    </row>
    <row r="74" spans="1:8" ht="13.5" customHeight="1" x14ac:dyDescent="0.2">
      <c r="A74" s="455" t="s">
        <v>242</v>
      </c>
      <c r="B74" s="456" t="s">
        <v>127</v>
      </c>
      <c r="C74" s="314">
        <v>31.65</v>
      </c>
      <c r="D74" s="25"/>
    </row>
    <row r="75" spans="1:8" ht="13.5" customHeight="1" x14ac:dyDescent="0.2">
      <c r="A75" s="455" t="s">
        <v>242</v>
      </c>
      <c r="B75" s="459" t="s">
        <v>736</v>
      </c>
      <c r="C75" s="314">
        <v>43.33</v>
      </c>
      <c r="D75" s="25"/>
    </row>
    <row r="76" spans="1:8" ht="13.5" customHeight="1" x14ac:dyDescent="0.2">
      <c r="A76" s="455" t="s">
        <v>242</v>
      </c>
      <c r="B76" s="456" t="s">
        <v>109</v>
      </c>
      <c r="C76" s="314">
        <v>36.479999999999997</v>
      </c>
      <c r="D76" s="25"/>
    </row>
    <row r="77" spans="1:8" ht="13.5" customHeight="1" x14ac:dyDescent="0.2">
      <c r="A77" s="455" t="s">
        <v>242</v>
      </c>
      <c r="B77" s="462" t="s">
        <v>129</v>
      </c>
      <c r="C77" s="314">
        <v>94.85</v>
      </c>
      <c r="D77" s="25"/>
      <c r="F77" s="455" t="s">
        <v>242</v>
      </c>
      <c r="G77" s="456" t="s">
        <v>833</v>
      </c>
      <c r="H77" s="314">
        <v>36.68</v>
      </c>
    </row>
    <row r="78" spans="1:8" ht="13.5" customHeight="1" x14ac:dyDescent="0.2">
      <c r="A78" s="455" t="s">
        <v>242</v>
      </c>
      <c r="B78" s="459" t="s">
        <v>737</v>
      </c>
      <c r="C78" s="314">
        <v>55.21</v>
      </c>
      <c r="D78" s="25"/>
      <c r="F78" s="455" t="s">
        <v>242</v>
      </c>
      <c r="G78" s="456" t="s">
        <v>1274</v>
      </c>
      <c r="H78" s="457">
        <v>16.8</v>
      </c>
    </row>
    <row r="79" spans="1:8" ht="13.5" customHeight="1" x14ac:dyDescent="0.2">
      <c r="A79" s="455" t="s">
        <v>242</v>
      </c>
      <c r="B79" s="456" t="s">
        <v>87</v>
      </c>
      <c r="C79" s="314">
        <v>37.93</v>
      </c>
      <c r="D79" s="25"/>
      <c r="F79" s="455" t="s">
        <v>242</v>
      </c>
      <c r="G79" s="456" t="s">
        <v>1347</v>
      </c>
      <c r="H79" s="314">
        <v>381.31</v>
      </c>
    </row>
    <row r="80" spans="1:8" ht="13.5" customHeight="1" x14ac:dyDescent="0.2">
      <c r="A80" s="455" t="s">
        <v>242</v>
      </c>
      <c r="B80" s="456" t="s">
        <v>1321</v>
      </c>
      <c r="C80" s="314">
        <v>46.92</v>
      </c>
      <c r="D80" s="25"/>
      <c r="F80" s="455" t="s">
        <v>242</v>
      </c>
      <c r="G80" s="456" t="s">
        <v>134</v>
      </c>
      <c r="H80" s="314">
        <v>119.9</v>
      </c>
    </row>
    <row r="81" spans="1:8" ht="13.5" customHeight="1" x14ac:dyDescent="0.2">
      <c r="A81" s="455" t="s">
        <v>242</v>
      </c>
      <c r="B81" s="456" t="s">
        <v>1322</v>
      </c>
      <c r="C81" s="314">
        <v>46.92</v>
      </c>
      <c r="D81" s="25"/>
      <c r="F81" s="455" t="s">
        <v>242</v>
      </c>
      <c r="G81" s="456" t="s">
        <v>1323</v>
      </c>
      <c r="H81" s="314">
        <v>195.79</v>
      </c>
    </row>
    <row r="82" spans="1:8" ht="13.5" customHeight="1" x14ac:dyDescent="0.2">
      <c r="A82" s="455" t="s">
        <v>242</v>
      </c>
      <c r="B82" s="456" t="s">
        <v>1248</v>
      </c>
      <c r="C82" s="457">
        <v>7.1</v>
      </c>
      <c r="D82" s="25"/>
      <c r="F82" s="455" t="s">
        <v>242</v>
      </c>
      <c r="G82" s="456" t="s">
        <v>832</v>
      </c>
      <c r="H82" s="314">
        <v>289.05</v>
      </c>
    </row>
    <row r="83" spans="1:8" ht="13.5" customHeight="1" x14ac:dyDescent="0.2">
      <c r="A83" s="455" t="s">
        <v>242</v>
      </c>
      <c r="B83" s="456" t="s">
        <v>1243</v>
      </c>
      <c r="C83" s="457">
        <v>7.1</v>
      </c>
      <c r="D83" s="25"/>
    </row>
    <row r="84" spans="1:8" ht="13.5" customHeight="1" x14ac:dyDescent="0.2">
      <c r="A84" s="455" t="s">
        <v>242</v>
      </c>
      <c r="B84" s="456" t="s">
        <v>1244</v>
      </c>
      <c r="C84" s="457">
        <v>7.1</v>
      </c>
      <c r="D84" s="25"/>
    </row>
    <row r="85" spans="1:8" ht="13.5" customHeight="1" x14ac:dyDescent="0.2">
      <c r="A85" s="455" t="s">
        <v>242</v>
      </c>
      <c r="B85" s="456" t="s">
        <v>1244</v>
      </c>
      <c r="C85" s="457">
        <v>14.2</v>
      </c>
      <c r="D85" s="25"/>
    </row>
    <row r="86" spans="1:8" ht="13.5" customHeight="1" x14ac:dyDescent="0.2">
      <c r="A86" s="455" t="s">
        <v>242</v>
      </c>
      <c r="B86" s="456" t="s">
        <v>624</v>
      </c>
      <c r="C86" s="470">
        <f t="array" ref="C86">SUM(H77:H82/2)</f>
        <v>519.76499999999999</v>
      </c>
      <c r="D86" s="25"/>
    </row>
    <row r="87" spans="1:8" ht="13.5" customHeight="1" x14ac:dyDescent="0.2">
      <c r="A87" s="455"/>
      <c r="B87" s="456"/>
      <c r="C87" s="465">
        <f>SUM(C71:C86)</f>
        <v>1048.4050000000002</v>
      </c>
      <c r="D87" s="25"/>
    </row>
    <row r="88" spans="1:8" ht="13.5" customHeight="1" x14ac:dyDescent="0.2">
      <c r="A88" s="455"/>
      <c r="B88" s="456"/>
      <c r="C88" s="457"/>
      <c r="D88" s="25"/>
    </row>
    <row r="89" spans="1:8" ht="13.5" customHeight="1" x14ac:dyDescent="0.2">
      <c r="A89" s="455" t="s">
        <v>242</v>
      </c>
      <c r="B89" s="456" t="s">
        <v>199</v>
      </c>
      <c r="C89" s="314">
        <v>174.52</v>
      </c>
      <c r="D89" s="25"/>
    </row>
    <row r="90" spans="1:8" ht="13.5" customHeight="1" x14ac:dyDescent="0.2">
      <c r="A90" s="455" t="s">
        <v>242</v>
      </c>
      <c r="B90" s="456" t="s">
        <v>180</v>
      </c>
      <c r="C90" s="314">
        <v>296.73</v>
      </c>
      <c r="D90" s="25"/>
      <c r="E90" s="455"/>
      <c r="F90" s="455"/>
    </row>
    <row r="91" spans="1:8" ht="13.5" customHeight="1" x14ac:dyDescent="0.2">
      <c r="A91" s="455" t="s">
        <v>242</v>
      </c>
      <c r="B91" s="456" t="s">
        <v>1226</v>
      </c>
      <c r="C91" s="314">
        <v>519.77</v>
      </c>
      <c r="D91" s="25"/>
      <c r="E91" s="455"/>
      <c r="F91" s="455"/>
    </row>
    <row r="92" spans="1:8" ht="13.5" customHeight="1" x14ac:dyDescent="0.2">
      <c r="A92" s="455"/>
      <c r="B92" s="456"/>
      <c r="C92" s="466">
        <f>SUM(C89:C91)</f>
        <v>991.02</v>
      </c>
      <c r="D92" s="25"/>
      <c r="F92" s="455"/>
    </row>
    <row r="93" spans="1:8" ht="13.5" customHeight="1" x14ac:dyDescent="0.2">
      <c r="A93" s="455"/>
      <c r="B93" s="456"/>
      <c r="C93" s="314"/>
      <c r="D93" s="25"/>
      <c r="E93" s="455"/>
      <c r="F93" s="455"/>
    </row>
    <row r="94" spans="1:8" ht="13.5" customHeight="1" x14ac:dyDescent="0.2">
      <c r="A94" s="455" t="s">
        <v>243</v>
      </c>
      <c r="B94" s="471" t="s">
        <v>1249</v>
      </c>
      <c r="C94" s="457">
        <v>150</v>
      </c>
      <c r="D94" s="25"/>
      <c r="E94" s="455"/>
      <c r="F94" s="455"/>
    </row>
    <row r="95" spans="1:8" ht="13.5" customHeight="1" x14ac:dyDescent="0.2">
      <c r="A95" s="455" t="s">
        <v>243</v>
      </c>
      <c r="B95" s="456" t="s">
        <v>1302</v>
      </c>
      <c r="C95" s="457">
        <v>24.4</v>
      </c>
      <c r="D95" s="25"/>
      <c r="E95" s="455"/>
    </row>
    <row r="96" spans="1:8" ht="13.5" customHeight="1" x14ac:dyDescent="0.2">
      <c r="A96" s="455" t="s">
        <v>243</v>
      </c>
      <c r="B96" s="456" t="s">
        <v>1235</v>
      </c>
      <c r="C96" s="457">
        <v>16.899999999999999</v>
      </c>
      <c r="D96" s="25"/>
      <c r="F96" s="455"/>
    </row>
    <row r="97" spans="1:6" ht="13.5" customHeight="1" x14ac:dyDescent="0.2">
      <c r="A97" s="455" t="s">
        <v>243</v>
      </c>
      <c r="B97" s="456" t="s">
        <v>340</v>
      </c>
      <c r="C97" s="457">
        <v>11.56</v>
      </c>
      <c r="D97" s="25"/>
      <c r="E97" s="455"/>
      <c r="F97" s="455"/>
    </row>
    <row r="98" spans="1:6" ht="13.5" customHeight="1" x14ac:dyDescent="0.2">
      <c r="A98" s="455" t="s">
        <v>243</v>
      </c>
      <c r="B98" s="456" t="s">
        <v>340</v>
      </c>
      <c r="C98" s="457">
        <v>33.4</v>
      </c>
      <c r="D98" s="25"/>
      <c r="E98" s="455"/>
      <c r="F98" s="455"/>
    </row>
    <row r="99" spans="1:6" ht="13.5" customHeight="1" x14ac:dyDescent="0.2">
      <c r="A99" s="455" t="s">
        <v>243</v>
      </c>
      <c r="B99" s="456" t="s">
        <v>1344</v>
      </c>
      <c r="C99" s="457">
        <v>21.94</v>
      </c>
      <c r="D99" s="25"/>
      <c r="E99" s="455"/>
    </row>
    <row r="100" spans="1:6" ht="13.5" customHeight="1" x14ac:dyDescent="0.2">
      <c r="A100" s="455" t="s">
        <v>243</v>
      </c>
      <c r="B100" s="472" t="s">
        <v>813</v>
      </c>
      <c r="C100" s="71">
        <v>100</v>
      </c>
      <c r="D100" s="60"/>
    </row>
    <row r="101" spans="1:6" ht="13.5" customHeight="1" x14ac:dyDescent="0.2">
      <c r="A101" s="455" t="s">
        <v>243</v>
      </c>
      <c r="B101" s="459" t="s">
        <v>81</v>
      </c>
      <c r="C101" s="314">
        <v>49.9</v>
      </c>
      <c r="D101" s="25"/>
    </row>
    <row r="102" spans="1:6" ht="13.5" customHeight="1" x14ac:dyDescent="0.2">
      <c r="A102" s="455" t="s">
        <v>243</v>
      </c>
      <c r="B102" s="456" t="s">
        <v>673</v>
      </c>
      <c r="C102" s="314">
        <v>99.98</v>
      </c>
      <c r="D102" s="25"/>
    </row>
    <row r="103" spans="1:6" ht="13.5" customHeight="1" x14ac:dyDescent="0.2">
      <c r="A103" s="455" t="s">
        <v>243</v>
      </c>
      <c r="B103" s="456" t="s">
        <v>113</v>
      </c>
      <c r="C103" s="314">
        <v>267</v>
      </c>
      <c r="D103" s="25"/>
    </row>
    <row r="104" spans="1:6" ht="13.5" customHeight="1" x14ac:dyDescent="0.2">
      <c r="A104" s="455" t="s">
        <v>243</v>
      </c>
      <c r="B104" s="456" t="s">
        <v>1247</v>
      </c>
      <c r="C104" s="457">
        <v>5</v>
      </c>
      <c r="D104" s="25"/>
    </row>
    <row r="105" spans="1:6" ht="13.5" customHeight="1" x14ac:dyDescent="0.2">
      <c r="A105" s="455" t="s">
        <v>243</v>
      </c>
      <c r="B105" s="456" t="s">
        <v>1343</v>
      </c>
      <c r="C105" s="473">
        <v>26.94</v>
      </c>
      <c r="D105" s="467"/>
    </row>
    <row r="106" spans="1:6" ht="13.5" customHeight="1" x14ac:dyDescent="0.2">
      <c r="A106" s="455" t="s">
        <v>243</v>
      </c>
      <c r="B106" s="459" t="s">
        <v>1238</v>
      </c>
      <c r="C106" s="473">
        <v>30.06</v>
      </c>
      <c r="D106" s="467"/>
    </row>
    <row r="107" spans="1:6" ht="13.5" customHeight="1" x14ac:dyDescent="0.2">
      <c r="A107" s="455" t="s">
        <v>243</v>
      </c>
      <c r="B107" s="456" t="s">
        <v>1238</v>
      </c>
      <c r="C107" s="457">
        <v>54.04</v>
      </c>
      <c r="D107" s="25"/>
      <c r="F107" s="455"/>
    </row>
    <row r="108" spans="1:6" ht="13.5" customHeight="1" x14ac:dyDescent="0.2">
      <c r="A108" s="455" t="s">
        <v>243</v>
      </c>
      <c r="B108" s="456" t="s">
        <v>1285</v>
      </c>
      <c r="C108" s="457">
        <v>23.66</v>
      </c>
      <c r="D108" s="25"/>
      <c r="E108" s="455"/>
      <c r="F108" s="455"/>
    </row>
    <row r="109" spans="1:6" ht="13.5" customHeight="1" x14ac:dyDescent="0.2">
      <c r="A109" s="455" t="s">
        <v>243</v>
      </c>
      <c r="B109" s="456" t="s">
        <v>9</v>
      </c>
      <c r="C109" s="457">
        <v>900</v>
      </c>
      <c r="D109" s="25"/>
      <c r="E109" s="455"/>
    </row>
    <row r="110" spans="1:6" ht="13.5" customHeight="1" x14ac:dyDescent="0.2">
      <c r="A110" s="455" t="s">
        <v>243</v>
      </c>
      <c r="B110" s="456" t="s">
        <v>1789</v>
      </c>
      <c r="C110" s="457">
        <v>300</v>
      </c>
      <c r="D110" s="25"/>
    </row>
    <row r="111" spans="1:6" ht="13.5" customHeight="1" x14ac:dyDescent="0.2">
      <c r="A111" s="455"/>
      <c r="B111" s="456"/>
      <c r="C111" s="465">
        <f>SUM(C94:C110)</f>
        <v>2114.7799999999997</v>
      </c>
      <c r="D111" s="450">
        <f>SUM(C111/2)</f>
        <v>1057.3899999999999</v>
      </c>
    </row>
    <row r="112" spans="1:6" ht="13.5" customHeight="1" x14ac:dyDescent="0.2">
      <c r="A112" s="455"/>
      <c r="B112" s="456"/>
      <c r="C112" s="457"/>
      <c r="D112" s="25"/>
    </row>
    <row r="113" spans="1:9" ht="13.5" customHeight="1" x14ac:dyDescent="0.2">
      <c r="A113" s="474" t="s">
        <v>230</v>
      </c>
      <c r="B113" s="456" t="s">
        <v>1784</v>
      </c>
      <c r="C113" s="475">
        <f>H113*D129</f>
        <v>10.009590602362865</v>
      </c>
      <c r="D113" s="25" t="s">
        <v>1785</v>
      </c>
      <c r="F113" s="477"/>
      <c r="G113" s="462" t="s">
        <v>1784</v>
      </c>
      <c r="H113" s="713">
        <v>347.2</v>
      </c>
    </row>
    <row r="114" spans="1:9" ht="13.5" customHeight="1" x14ac:dyDescent="0.2">
      <c r="A114" s="474"/>
      <c r="B114" s="456"/>
      <c r="C114" s="314"/>
      <c r="D114" s="25"/>
    </row>
    <row r="115" spans="1:9" ht="13.5" customHeight="1" x14ac:dyDescent="0.2">
      <c r="A115" s="474" t="s">
        <v>230</v>
      </c>
      <c r="B115" s="456" t="s">
        <v>1380</v>
      </c>
      <c r="C115" s="314">
        <v>45.59</v>
      </c>
      <c r="D115" s="25"/>
    </row>
    <row r="116" spans="1:9" ht="13.5" customHeight="1" x14ac:dyDescent="0.2">
      <c r="A116" s="474" t="s">
        <v>230</v>
      </c>
      <c r="B116" s="456" t="s">
        <v>1380</v>
      </c>
      <c r="C116" s="314">
        <v>22.89</v>
      </c>
      <c r="D116" s="25"/>
    </row>
    <row r="117" spans="1:9" ht="13.5" customHeight="1" x14ac:dyDescent="0.2">
      <c r="A117" s="474" t="s">
        <v>230</v>
      </c>
      <c r="B117" s="456" t="s">
        <v>1786</v>
      </c>
      <c r="C117" s="314">
        <f>H113-C113</f>
        <v>337.1904093976371</v>
      </c>
      <c r="D117" s="25"/>
    </row>
    <row r="118" spans="1:9" ht="13.5" customHeight="1" x14ac:dyDescent="0.2">
      <c r="A118" s="474"/>
      <c r="B118" s="456"/>
      <c r="C118" s="466">
        <f>SUM(C115:C117)</f>
        <v>405.67040939763712</v>
      </c>
      <c r="D118" s="25"/>
      <c r="E118" s="452" t="s">
        <v>1794</v>
      </c>
    </row>
    <row r="119" spans="1:9" ht="13.5" customHeight="1" x14ac:dyDescent="0.2">
      <c r="A119" s="474"/>
      <c r="B119" s="456"/>
      <c r="C119" s="475"/>
      <c r="D119" s="25"/>
    </row>
    <row r="120" spans="1:9" ht="13.5" customHeight="1" x14ac:dyDescent="0.2">
      <c r="A120" s="474" t="s">
        <v>231</v>
      </c>
      <c r="B120" s="456" t="s">
        <v>1783</v>
      </c>
      <c r="C120" s="475">
        <f>I121*D129</f>
        <v>54.14750307994796</v>
      </c>
      <c r="D120" s="25" t="s">
        <v>1793</v>
      </c>
    </row>
    <row r="121" spans="1:9" ht="13.5" customHeight="1" x14ac:dyDescent="0.2">
      <c r="A121" s="474"/>
      <c r="B121" s="456"/>
      <c r="C121" s="314"/>
      <c r="D121" s="25"/>
      <c r="G121" s="477" t="s">
        <v>231</v>
      </c>
      <c r="H121" s="472" t="s">
        <v>792</v>
      </c>
      <c r="I121" s="60">
        <v>1878.2</v>
      </c>
    </row>
    <row r="122" spans="1:9" ht="13.5" customHeight="1" x14ac:dyDescent="0.2">
      <c r="B122" s="456" t="s">
        <v>1381</v>
      </c>
      <c r="C122" s="314">
        <v>222.21</v>
      </c>
      <c r="D122" s="25"/>
    </row>
    <row r="123" spans="1:9" ht="13.5" customHeight="1" x14ac:dyDescent="0.2">
      <c r="A123" s="452" t="s">
        <v>231</v>
      </c>
      <c r="B123" s="456" t="s">
        <v>1381</v>
      </c>
      <c r="C123" s="314">
        <v>111.58</v>
      </c>
      <c r="D123" s="25"/>
    </row>
    <row r="124" spans="1:9" ht="13.5" customHeight="1" x14ac:dyDescent="0.2">
      <c r="A124" s="474" t="s">
        <v>231</v>
      </c>
      <c r="B124" s="456" t="s">
        <v>423</v>
      </c>
      <c r="C124" s="314">
        <f>I121-C120</f>
        <v>1824.0524969200521</v>
      </c>
      <c r="D124" s="25"/>
    </row>
    <row r="125" spans="1:9" ht="13.5" customHeight="1" x14ac:dyDescent="0.2">
      <c r="A125" s="474"/>
      <c r="B125" s="456"/>
      <c r="C125" s="466">
        <f>SUM(C122:C124)</f>
        <v>2157.8424969200523</v>
      </c>
      <c r="D125" s="25" t="s">
        <v>1794</v>
      </c>
      <c r="E125" s="452" t="s">
        <v>1793</v>
      </c>
    </row>
    <row r="126" spans="1:9" ht="13.5" customHeight="1" x14ac:dyDescent="0.2">
      <c r="A126" s="474"/>
      <c r="B126" s="456"/>
      <c r="C126" s="475"/>
      <c r="D126" s="25"/>
    </row>
    <row r="127" spans="1:9" ht="13.5" customHeight="1" x14ac:dyDescent="0.2">
      <c r="A127" s="455" t="s">
        <v>232</v>
      </c>
      <c r="B127" s="456" t="s">
        <v>624</v>
      </c>
      <c r="C127" s="470">
        <f t="array" ref="C127">SUM(H133:H134/2)</f>
        <v>150</v>
      </c>
      <c r="D127" s="25"/>
    </row>
    <row r="128" spans="1:9" ht="13.5" customHeight="1" x14ac:dyDescent="0.2">
      <c r="A128" s="455"/>
      <c r="B128" s="456"/>
      <c r="C128" s="314"/>
      <c r="D128" s="25"/>
    </row>
    <row r="129" spans="1:8" ht="13.5" customHeight="1" x14ac:dyDescent="0.2">
      <c r="A129" s="455" t="s">
        <v>232</v>
      </c>
      <c r="B129" s="456" t="s">
        <v>374</v>
      </c>
      <c r="C129" s="457">
        <v>428.75</v>
      </c>
      <c r="D129" s="503">
        <f>C127/(C150)</f>
        <v>2.882946602063037E-2</v>
      </c>
      <c r="F129" s="455"/>
    </row>
    <row r="130" spans="1:8" ht="13.5" customHeight="1" x14ac:dyDescent="0.2">
      <c r="A130" s="455" t="s">
        <v>232</v>
      </c>
      <c r="B130" s="456" t="s">
        <v>1318</v>
      </c>
      <c r="C130" s="457">
        <v>17.96</v>
      </c>
      <c r="D130" s="25"/>
      <c r="E130" s="455"/>
      <c r="F130" s="455"/>
    </row>
    <row r="131" spans="1:8" ht="13.5" customHeight="1" x14ac:dyDescent="0.2">
      <c r="A131" s="455" t="s">
        <v>232</v>
      </c>
      <c r="B131" s="456" t="s">
        <v>1293</v>
      </c>
      <c r="C131" s="457">
        <v>19.95</v>
      </c>
      <c r="D131" s="25"/>
      <c r="E131" s="455"/>
      <c r="F131" s="455"/>
    </row>
    <row r="132" spans="1:8" ht="13.5" customHeight="1" x14ac:dyDescent="0.2">
      <c r="A132" s="455" t="s">
        <v>232</v>
      </c>
      <c r="B132" s="456" t="s">
        <v>1288</v>
      </c>
      <c r="C132" s="457">
        <v>19.8</v>
      </c>
      <c r="D132" s="25"/>
      <c r="E132" s="455"/>
      <c r="F132" s="455"/>
    </row>
    <row r="133" spans="1:8" ht="13.5" customHeight="1" x14ac:dyDescent="0.2">
      <c r="A133" s="455" t="s">
        <v>232</v>
      </c>
      <c r="B133" s="456" t="s">
        <v>1301</v>
      </c>
      <c r="C133" s="457">
        <v>48</v>
      </c>
      <c r="D133" s="25"/>
      <c r="E133" s="455"/>
      <c r="F133" s="455" t="s">
        <v>232</v>
      </c>
      <c r="G133" s="456" t="s">
        <v>203</v>
      </c>
      <c r="H133" s="314">
        <v>100</v>
      </c>
    </row>
    <row r="134" spans="1:8" ht="13.5" customHeight="1" x14ac:dyDescent="0.2">
      <c r="A134" s="455" t="s">
        <v>232</v>
      </c>
      <c r="B134" s="456" t="s">
        <v>1234</v>
      </c>
      <c r="C134" s="457">
        <v>4.8</v>
      </c>
      <c r="D134" s="25"/>
      <c r="E134" s="455"/>
      <c r="F134" s="455" t="s">
        <v>232</v>
      </c>
      <c r="G134" s="459" t="s">
        <v>107</v>
      </c>
      <c r="H134" s="473">
        <v>200</v>
      </c>
    </row>
    <row r="135" spans="1:8" ht="13.5" customHeight="1" x14ac:dyDescent="0.2">
      <c r="A135" s="455" t="s">
        <v>232</v>
      </c>
      <c r="B135" s="456" t="s">
        <v>36</v>
      </c>
      <c r="C135" s="457">
        <v>70</v>
      </c>
      <c r="D135" s="25"/>
      <c r="E135" s="455"/>
    </row>
    <row r="136" spans="1:8" ht="13.5" customHeight="1" x14ac:dyDescent="0.2">
      <c r="A136" s="455" t="s">
        <v>232</v>
      </c>
      <c r="B136" s="456" t="s">
        <v>36</v>
      </c>
      <c r="C136" s="457">
        <v>280</v>
      </c>
      <c r="D136" s="25"/>
    </row>
    <row r="137" spans="1:8" ht="13.5" customHeight="1" x14ac:dyDescent="0.2">
      <c r="A137" s="455" t="s">
        <v>232</v>
      </c>
      <c r="B137" s="459" t="s">
        <v>36</v>
      </c>
      <c r="C137" s="473">
        <v>350</v>
      </c>
      <c r="D137" s="467"/>
    </row>
    <row r="138" spans="1:8" ht="13.5" customHeight="1" x14ac:dyDescent="0.2">
      <c r="A138" s="455" t="s">
        <v>232</v>
      </c>
      <c r="B138" s="459" t="s">
        <v>1330</v>
      </c>
      <c r="C138" s="473">
        <v>54.05</v>
      </c>
      <c r="D138" s="467"/>
    </row>
    <row r="139" spans="1:8" ht="13.5" customHeight="1" x14ac:dyDescent="0.2">
      <c r="A139" s="455" t="s">
        <v>232</v>
      </c>
      <c r="B139" s="456" t="s">
        <v>318</v>
      </c>
      <c r="C139" s="457">
        <v>260</v>
      </c>
      <c r="D139" s="25"/>
    </row>
    <row r="140" spans="1:8" ht="13.5" customHeight="1" x14ac:dyDescent="0.2">
      <c r="A140" s="455" t="s">
        <v>232</v>
      </c>
      <c r="B140" s="462" t="s">
        <v>318</v>
      </c>
      <c r="C140" s="457">
        <v>260</v>
      </c>
      <c r="D140" s="25"/>
    </row>
    <row r="141" spans="1:8" ht="13.5" customHeight="1" x14ac:dyDescent="0.2">
      <c r="A141" s="455" t="s">
        <v>232</v>
      </c>
      <c r="B141" s="477" t="s">
        <v>318</v>
      </c>
      <c r="C141" s="473">
        <v>650</v>
      </c>
      <c r="D141" s="467"/>
    </row>
    <row r="142" spans="1:8" ht="13.5" customHeight="1" x14ac:dyDescent="0.2">
      <c r="A142" s="455" t="s">
        <v>232</v>
      </c>
      <c r="B142" s="462" t="s">
        <v>52</v>
      </c>
      <c r="C142" s="457">
        <v>405</v>
      </c>
      <c r="D142" s="25"/>
    </row>
    <row r="143" spans="1:8" ht="13.5" customHeight="1" x14ac:dyDescent="0.2">
      <c r="A143" s="455" t="s">
        <v>232</v>
      </c>
      <c r="B143" s="477" t="s">
        <v>52</v>
      </c>
      <c r="C143" s="473">
        <v>450</v>
      </c>
      <c r="D143" s="467"/>
    </row>
    <row r="144" spans="1:8" ht="13.5" customHeight="1" x14ac:dyDescent="0.2">
      <c r="A144" s="455" t="s">
        <v>232</v>
      </c>
      <c r="B144" s="462" t="s">
        <v>1237</v>
      </c>
      <c r="C144" s="457">
        <v>500</v>
      </c>
      <c r="D144" s="25"/>
    </row>
    <row r="145" spans="1:6" ht="13.5" customHeight="1" x14ac:dyDescent="0.2">
      <c r="A145" s="455" t="s">
        <v>232</v>
      </c>
      <c r="B145" s="456" t="s">
        <v>1303</v>
      </c>
      <c r="C145" s="457">
        <v>240</v>
      </c>
      <c r="D145" s="25"/>
    </row>
    <row r="146" spans="1:6" ht="13.5" customHeight="1" x14ac:dyDescent="0.2">
      <c r="A146" s="455" t="s">
        <v>232</v>
      </c>
      <c r="B146" s="459" t="s">
        <v>1303</v>
      </c>
      <c r="C146" s="473">
        <v>300</v>
      </c>
      <c r="D146" s="467"/>
    </row>
    <row r="147" spans="1:6" ht="13.5" customHeight="1" x14ac:dyDescent="0.2">
      <c r="A147" s="455" t="s">
        <v>232</v>
      </c>
      <c r="B147" s="456" t="s">
        <v>1393</v>
      </c>
      <c r="C147" s="314">
        <v>19.7</v>
      </c>
      <c r="D147" s="25"/>
    </row>
    <row r="148" spans="1:6" ht="13.5" customHeight="1" x14ac:dyDescent="0.2">
      <c r="A148" s="455" t="s">
        <v>232</v>
      </c>
      <c r="B148" s="476" t="s">
        <v>1350</v>
      </c>
      <c r="C148" s="314">
        <v>675</v>
      </c>
      <c r="D148" s="25"/>
    </row>
    <row r="149" spans="1:6" ht="13.5" customHeight="1" x14ac:dyDescent="0.2">
      <c r="A149" s="455" t="s">
        <v>232</v>
      </c>
      <c r="B149" s="476" t="s">
        <v>423</v>
      </c>
      <c r="C149" s="314">
        <v>150</v>
      </c>
      <c r="D149" s="25"/>
    </row>
    <row r="150" spans="1:6" ht="13.5" customHeight="1" x14ac:dyDescent="0.2">
      <c r="A150" s="455"/>
      <c r="B150" s="476"/>
      <c r="C150" s="466">
        <f>SUM(C129:C149)</f>
        <v>5203.0099999999993</v>
      </c>
      <c r="D150" s="25"/>
    </row>
    <row r="151" spans="1:6" ht="13.5" customHeight="1" x14ac:dyDescent="0.2">
      <c r="A151" s="455"/>
      <c r="B151" s="476"/>
      <c r="C151" s="314"/>
      <c r="D151" s="25"/>
    </row>
    <row r="152" spans="1:6" ht="13.5" customHeight="1" x14ac:dyDescent="0.2">
      <c r="A152" s="455" t="s">
        <v>245</v>
      </c>
      <c r="B152" s="456" t="s">
        <v>1317</v>
      </c>
      <c r="C152" s="457">
        <v>14.5</v>
      </c>
      <c r="D152" s="25"/>
    </row>
    <row r="153" spans="1:6" ht="13.5" customHeight="1" x14ac:dyDescent="0.2">
      <c r="A153" s="455" t="s">
        <v>245</v>
      </c>
      <c r="B153" s="456" t="s">
        <v>1345</v>
      </c>
      <c r="C153" s="457">
        <v>10.77</v>
      </c>
      <c r="D153" s="25"/>
    </row>
    <row r="154" spans="1:6" ht="13.5" customHeight="1" x14ac:dyDescent="0.2">
      <c r="A154" s="455" t="s">
        <v>245</v>
      </c>
      <c r="B154" s="456" t="s">
        <v>1262</v>
      </c>
      <c r="C154" s="457">
        <v>12</v>
      </c>
      <c r="D154" s="25"/>
    </row>
    <row r="155" spans="1:6" ht="13.5" customHeight="1" x14ac:dyDescent="0.2">
      <c r="A155" s="455" t="s">
        <v>245</v>
      </c>
      <c r="B155" s="456" t="s">
        <v>1273</v>
      </c>
      <c r="C155" s="457">
        <v>7</v>
      </c>
      <c r="D155" s="25"/>
    </row>
    <row r="156" spans="1:6" ht="13.5" customHeight="1" x14ac:dyDescent="0.2">
      <c r="A156" s="455" t="s">
        <v>245</v>
      </c>
      <c r="B156" s="456" t="s">
        <v>1346</v>
      </c>
      <c r="C156" s="457">
        <v>36.96</v>
      </c>
      <c r="D156" s="25"/>
      <c r="F156" s="455"/>
    </row>
    <row r="157" spans="1:6" ht="13.5" customHeight="1" x14ac:dyDescent="0.2">
      <c r="A157" s="455" t="s">
        <v>245</v>
      </c>
      <c r="B157" s="462" t="s">
        <v>1327</v>
      </c>
      <c r="C157" s="478">
        <v>10</v>
      </c>
      <c r="D157" s="478"/>
      <c r="E157" s="455"/>
      <c r="F157" s="455"/>
    </row>
    <row r="158" spans="1:6" ht="13.5" customHeight="1" x14ac:dyDescent="0.2">
      <c r="A158" s="455" t="s">
        <v>245</v>
      </c>
      <c r="B158" s="462" t="s">
        <v>1263</v>
      </c>
      <c r="C158" s="479">
        <v>19</v>
      </c>
      <c r="D158" s="60"/>
      <c r="E158" s="455"/>
      <c r="F158" s="455"/>
    </row>
    <row r="159" spans="1:6" ht="13.5" customHeight="1" x14ac:dyDescent="0.2">
      <c r="A159" s="455" t="s">
        <v>245</v>
      </c>
      <c r="B159" s="462" t="s">
        <v>1264</v>
      </c>
      <c r="C159" s="479">
        <v>14.5</v>
      </c>
      <c r="D159" s="60"/>
      <c r="E159" s="455"/>
    </row>
    <row r="160" spans="1:6" ht="13.5" customHeight="1" x14ac:dyDescent="0.2">
      <c r="A160" s="455" t="s">
        <v>245</v>
      </c>
      <c r="B160" s="462" t="s">
        <v>1328</v>
      </c>
      <c r="C160" s="478">
        <v>6</v>
      </c>
      <c r="D160" s="478"/>
    </row>
    <row r="161" spans="1:8" ht="13.5" customHeight="1" x14ac:dyDescent="0.2">
      <c r="A161" s="455" t="s">
        <v>245</v>
      </c>
      <c r="B161" s="462" t="s">
        <v>1342</v>
      </c>
      <c r="C161" s="478">
        <v>13</v>
      </c>
      <c r="D161" s="478"/>
    </row>
    <row r="162" spans="1:8" ht="13.5" customHeight="1" x14ac:dyDescent="0.2">
      <c r="A162" s="455" t="s">
        <v>245</v>
      </c>
      <c r="B162" s="456" t="s">
        <v>1239</v>
      </c>
      <c r="C162" s="457">
        <v>48.54</v>
      </c>
      <c r="D162" s="25"/>
    </row>
    <row r="163" spans="1:8" ht="13.5" customHeight="1" x14ac:dyDescent="0.2">
      <c r="A163" s="455" t="s">
        <v>245</v>
      </c>
      <c r="B163" s="456" t="s">
        <v>1267</v>
      </c>
      <c r="C163" s="457">
        <v>24.5</v>
      </c>
      <c r="D163" s="25"/>
    </row>
    <row r="164" spans="1:8" ht="13.5" customHeight="1" x14ac:dyDescent="0.2">
      <c r="A164" s="455" t="s">
        <v>245</v>
      </c>
      <c r="B164" s="462" t="s">
        <v>1268</v>
      </c>
      <c r="C164" s="479">
        <v>32</v>
      </c>
      <c r="D164" s="60"/>
    </row>
    <row r="165" spans="1:8" ht="13.5" customHeight="1" x14ac:dyDescent="0.2">
      <c r="A165" s="455" t="s">
        <v>245</v>
      </c>
      <c r="B165" s="462" t="s">
        <v>1314</v>
      </c>
      <c r="C165" s="479">
        <v>12.95</v>
      </c>
      <c r="D165" s="60"/>
    </row>
    <row r="166" spans="1:8" ht="13.5" customHeight="1" x14ac:dyDescent="0.2">
      <c r="A166" s="455" t="s">
        <v>245</v>
      </c>
      <c r="B166" s="462" t="s">
        <v>1316</v>
      </c>
      <c r="C166" s="479">
        <v>27.35</v>
      </c>
      <c r="D166" s="60"/>
    </row>
    <row r="167" spans="1:8" ht="13.5" customHeight="1" x14ac:dyDescent="0.2">
      <c r="A167" s="455" t="s">
        <v>245</v>
      </c>
      <c r="B167" s="462" t="s">
        <v>1265</v>
      </c>
      <c r="C167" s="479">
        <v>30</v>
      </c>
      <c r="D167" s="60"/>
    </row>
    <row r="168" spans="1:8" ht="13.5" customHeight="1" x14ac:dyDescent="0.2">
      <c r="A168" s="455" t="s">
        <v>245</v>
      </c>
      <c r="B168" s="462" t="s">
        <v>1287</v>
      </c>
      <c r="C168" s="479">
        <v>13.9</v>
      </c>
      <c r="D168" s="60"/>
    </row>
    <row r="169" spans="1:8" ht="13.5" customHeight="1" x14ac:dyDescent="0.2">
      <c r="A169" s="455" t="s">
        <v>245</v>
      </c>
      <c r="B169" s="462" t="s">
        <v>1355</v>
      </c>
      <c r="C169" s="60">
        <v>185.5</v>
      </c>
      <c r="D169" s="60"/>
    </row>
    <row r="170" spans="1:8" ht="13.5" customHeight="1" x14ac:dyDescent="0.2">
      <c r="A170" s="455" t="s">
        <v>245</v>
      </c>
      <c r="B170" s="476" t="s">
        <v>1355</v>
      </c>
      <c r="C170" s="314">
        <v>180</v>
      </c>
      <c r="D170" s="25"/>
      <c r="F170" s="455" t="s">
        <v>245</v>
      </c>
      <c r="G170" s="462" t="s">
        <v>1266</v>
      </c>
      <c r="H170" s="479">
        <v>7.8</v>
      </c>
    </row>
    <row r="171" spans="1:8" ht="13.5" customHeight="1" x14ac:dyDescent="0.2">
      <c r="A171" s="455" t="s">
        <v>245</v>
      </c>
      <c r="B171" s="456" t="s">
        <v>1306</v>
      </c>
      <c r="C171" s="314">
        <v>125.13</v>
      </c>
      <c r="D171" s="25"/>
      <c r="F171" s="455" t="s">
        <v>245</v>
      </c>
      <c r="G171" s="462" t="s">
        <v>1289</v>
      </c>
      <c r="H171" s="479">
        <v>8.98</v>
      </c>
    </row>
    <row r="172" spans="1:8" ht="13.5" customHeight="1" x14ac:dyDescent="0.2">
      <c r="A172" s="455" t="s">
        <v>245</v>
      </c>
      <c r="B172" s="456" t="s">
        <v>422</v>
      </c>
      <c r="C172" s="314">
        <f t="array" ref="C172">SUM(H170:H173/2)</f>
        <v>23.715</v>
      </c>
      <c r="D172" s="25"/>
      <c r="F172" s="455" t="s">
        <v>245</v>
      </c>
      <c r="G172" s="462" t="s">
        <v>1295</v>
      </c>
      <c r="H172" s="479">
        <v>18.25</v>
      </c>
    </row>
    <row r="173" spans="1:8" ht="13.5" customHeight="1" x14ac:dyDescent="0.2">
      <c r="A173" s="455"/>
      <c r="B173" s="456"/>
      <c r="C173" s="466">
        <f>SUM(C152:C172)</f>
        <v>847.31500000000005</v>
      </c>
      <c r="D173" s="25"/>
      <c r="F173" s="455" t="s">
        <v>245</v>
      </c>
      <c r="G173" s="477" t="s">
        <v>1337</v>
      </c>
      <c r="H173" s="478">
        <v>12.4</v>
      </c>
    </row>
    <row r="174" spans="1:8" ht="13.5" customHeight="1" x14ac:dyDescent="0.2">
      <c r="A174" s="455"/>
      <c r="B174" s="456"/>
      <c r="C174" s="314"/>
      <c r="D174" s="25"/>
    </row>
    <row r="175" spans="1:8" ht="13.5" customHeight="1" x14ac:dyDescent="0.2">
      <c r="A175" s="455" t="s">
        <v>245</v>
      </c>
      <c r="B175" s="462" t="s">
        <v>1358</v>
      </c>
      <c r="C175" s="60">
        <v>236.68</v>
      </c>
      <c r="D175" s="60"/>
    </row>
    <row r="176" spans="1:8" ht="13.5" customHeight="1" x14ac:dyDescent="0.2">
      <c r="A176" s="455" t="s">
        <v>245</v>
      </c>
      <c r="B176" s="462" t="s">
        <v>1236</v>
      </c>
      <c r="C176" s="479">
        <v>58</v>
      </c>
      <c r="D176" s="60"/>
      <c r="F176" s="455"/>
    </row>
    <row r="177" spans="1:6" ht="13.5" customHeight="1" x14ac:dyDescent="0.2">
      <c r="A177" s="455" t="s">
        <v>245</v>
      </c>
      <c r="B177" s="462" t="s">
        <v>1292</v>
      </c>
      <c r="C177" s="479">
        <v>12.45</v>
      </c>
      <c r="D177" s="60"/>
      <c r="F177" s="455"/>
    </row>
    <row r="178" spans="1:6" ht="13.5" customHeight="1" x14ac:dyDescent="0.2">
      <c r="A178" s="455" t="s">
        <v>245</v>
      </c>
      <c r="B178" s="456" t="s">
        <v>1282</v>
      </c>
      <c r="C178" s="457">
        <v>7</v>
      </c>
      <c r="D178" s="25"/>
      <c r="F178" s="455"/>
    </row>
    <row r="179" spans="1:6" ht="13.5" customHeight="1" x14ac:dyDescent="0.2">
      <c r="A179" s="455" t="s">
        <v>245</v>
      </c>
      <c r="B179" s="477" t="s">
        <v>1329</v>
      </c>
      <c r="C179" s="473">
        <v>30</v>
      </c>
      <c r="D179" s="467"/>
    </row>
    <row r="180" spans="1:6" ht="13.5" customHeight="1" x14ac:dyDescent="0.2">
      <c r="A180" s="455" t="s">
        <v>245</v>
      </c>
      <c r="B180" s="456" t="s">
        <v>1246</v>
      </c>
      <c r="C180" s="457">
        <v>14.9</v>
      </c>
      <c r="D180" s="25"/>
      <c r="E180" s="455"/>
    </row>
    <row r="181" spans="1:6" ht="13.5" customHeight="1" x14ac:dyDescent="0.2">
      <c r="A181" s="455" t="s">
        <v>245</v>
      </c>
      <c r="B181" s="456" t="s">
        <v>115</v>
      </c>
      <c r="C181" s="457">
        <v>8</v>
      </c>
      <c r="D181" s="25"/>
      <c r="E181" s="455"/>
    </row>
    <row r="182" spans="1:6" ht="13.5" customHeight="1" x14ac:dyDescent="0.2">
      <c r="A182" s="455" t="s">
        <v>245</v>
      </c>
      <c r="B182" s="462" t="s">
        <v>1313</v>
      </c>
      <c r="C182" s="480">
        <v>15</v>
      </c>
      <c r="D182" s="60"/>
      <c r="E182" s="455"/>
    </row>
    <row r="183" spans="1:6" ht="13.5" customHeight="1" x14ac:dyDescent="0.2">
      <c r="A183" s="455" t="s">
        <v>245</v>
      </c>
      <c r="B183" s="462" t="s">
        <v>1298</v>
      </c>
      <c r="C183" s="480">
        <v>20</v>
      </c>
      <c r="D183" s="60"/>
      <c r="F183" s="455"/>
    </row>
    <row r="184" spans="1:6" ht="13.5" customHeight="1" x14ac:dyDescent="0.2">
      <c r="A184" s="455" t="s">
        <v>245</v>
      </c>
      <c r="B184" s="462" t="s">
        <v>1245</v>
      </c>
      <c r="C184" s="480">
        <v>5.26</v>
      </c>
      <c r="D184" s="60"/>
    </row>
    <row r="185" spans="1:6" ht="13.5" customHeight="1" x14ac:dyDescent="0.2">
      <c r="A185" s="455" t="s">
        <v>245</v>
      </c>
      <c r="B185" s="462" t="s">
        <v>1291</v>
      </c>
      <c r="C185" s="480">
        <v>5</v>
      </c>
      <c r="D185" s="60"/>
    </row>
    <row r="186" spans="1:6" ht="13.5" customHeight="1" x14ac:dyDescent="0.2">
      <c r="A186" s="455" t="s">
        <v>245</v>
      </c>
      <c r="B186" s="477" t="s">
        <v>1338</v>
      </c>
      <c r="C186" s="481">
        <v>6.9</v>
      </c>
      <c r="D186" s="478"/>
    </row>
    <row r="187" spans="1:6" ht="13.5" customHeight="1" x14ac:dyDescent="0.2">
      <c r="A187" s="455" t="s">
        <v>245</v>
      </c>
      <c r="B187" s="462" t="s">
        <v>1107</v>
      </c>
      <c r="C187" s="480">
        <v>5.45</v>
      </c>
      <c r="D187" s="60"/>
      <c r="E187" s="455"/>
    </row>
    <row r="188" spans="1:6" ht="13.5" customHeight="1" x14ac:dyDescent="0.2">
      <c r="A188" s="455" t="s">
        <v>245</v>
      </c>
      <c r="B188" s="462" t="s">
        <v>1271</v>
      </c>
      <c r="C188" s="480">
        <v>54</v>
      </c>
      <c r="D188" s="60"/>
    </row>
    <row r="189" spans="1:6" ht="13.5" customHeight="1" x14ac:dyDescent="0.2">
      <c r="A189" s="455" t="s">
        <v>245</v>
      </c>
      <c r="B189" s="462" t="s">
        <v>1307</v>
      </c>
      <c r="C189" s="480">
        <v>7.95</v>
      </c>
      <c r="D189" s="60"/>
    </row>
    <row r="190" spans="1:6" ht="13.5" customHeight="1" x14ac:dyDescent="0.2">
      <c r="A190" s="455" t="s">
        <v>245</v>
      </c>
      <c r="B190" s="462" t="s">
        <v>1294</v>
      </c>
      <c r="C190" s="480">
        <v>22.8</v>
      </c>
      <c r="D190" s="60"/>
    </row>
    <row r="191" spans="1:6" ht="13.5" customHeight="1" x14ac:dyDescent="0.2">
      <c r="A191" s="455" t="s">
        <v>245</v>
      </c>
      <c r="B191" s="462" t="s">
        <v>1315</v>
      </c>
      <c r="C191" s="480">
        <v>9.8000000000000007</v>
      </c>
      <c r="D191" s="60"/>
    </row>
    <row r="192" spans="1:6" ht="13.5" customHeight="1" x14ac:dyDescent="0.2">
      <c r="A192" s="455" t="s">
        <v>245</v>
      </c>
      <c r="B192" s="456" t="s">
        <v>1290</v>
      </c>
      <c r="C192" s="480">
        <v>50</v>
      </c>
      <c r="D192" s="60"/>
    </row>
    <row r="193" spans="1:6" ht="13.5" customHeight="1" x14ac:dyDescent="0.2">
      <c r="A193" s="455" t="s">
        <v>245</v>
      </c>
      <c r="B193" s="462" t="s">
        <v>1372</v>
      </c>
      <c r="C193" s="71">
        <v>930</v>
      </c>
      <c r="D193" s="60"/>
    </row>
    <row r="194" spans="1:6" ht="13.5" customHeight="1" x14ac:dyDescent="0.2">
      <c r="A194" s="455" t="s">
        <v>245</v>
      </c>
      <c r="B194" s="456" t="s">
        <v>1377</v>
      </c>
      <c r="C194" s="71">
        <v>1129.54</v>
      </c>
      <c r="D194" s="60"/>
    </row>
    <row r="195" spans="1:6" ht="13.5" customHeight="1" x14ac:dyDescent="0.2">
      <c r="A195" s="455" t="s">
        <v>245</v>
      </c>
      <c r="B195" s="462" t="s">
        <v>1373</v>
      </c>
      <c r="C195" s="71">
        <v>449</v>
      </c>
      <c r="D195" s="60"/>
    </row>
    <row r="196" spans="1:6" ht="13.5" customHeight="1" x14ac:dyDescent="0.2">
      <c r="A196" s="455" t="s">
        <v>245</v>
      </c>
      <c r="B196" s="462" t="s">
        <v>625</v>
      </c>
      <c r="C196" s="71">
        <v>23.72</v>
      </c>
      <c r="D196" s="60"/>
    </row>
    <row r="197" spans="1:6" ht="13.5" customHeight="1" x14ac:dyDescent="0.2">
      <c r="A197" s="455"/>
      <c r="B197" s="462"/>
      <c r="C197" s="448">
        <f>SUM(C175:C196)</f>
        <v>3101.45</v>
      </c>
      <c r="D197" s="60"/>
    </row>
    <row r="198" spans="1:6" ht="13.5" customHeight="1" x14ac:dyDescent="0.2">
      <c r="A198" s="455"/>
      <c r="B198" s="462"/>
      <c r="C198" s="71"/>
      <c r="D198" s="60"/>
    </row>
    <row r="199" spans="1:6" ht="13.5" customHeight="1" x14ac:dyDescent="0.2">
      <c r="A199" s="455" t="s">
        <v>246</v>
      </c>
      <c r="B199" s="462" t="s">
        <v>195</v>
      </c>
      <c r="C199" s="71">
        <v>389.42</v>
      </c>
      <c r="D199" s="60"/>
    </row>
    <row r="200" spans="1:6" ht="13.5" customHeight="1" x14ac:dyDescent="0.2">
      <c r="A200" s="455" t="s">
        <v>246</v>
      </c>
      <c r="B200" s="456" t="s">
        <v>194</v>
      </c>
      <c r="C200" s="71">
        <v>84.37</v>
      </c>
      <c r="D200" s="60"/>
    </row>
    <row r="201" spans="1:6" ht="13.5" customHeight="1" x14ac:dyDescent="0.2">
      <c r="A201" s="455"/>
      <c r="B201" s="456"/>
      <c r="C201" s="448">
        <f>SUM(C199:C200)</f>
        <v>473.79</v>
      </c>
      <c r="D201" s="60"/>
      <c r="F201" s="455"/>
    </row>
    <row r="202" spans="1:6" ht="13.5" customHeight="1" x14ac:dyDescent="0.2">
      <c r="A202" s="455"/>
      <c r="B202" s="456"/>
      <c r="C202" s="71"/>
      <c r="D202" s="60"/>
      <c r="F202" s="455"/>
    </row>
    <row r="203" spans="1:6" ht="13.5" customHeight="1" x14ac:dyDescent="0.2">
      <c r="A203" s="455" t="s">
        <v>248</v>
      </c>
      <c r="B203" s="456" t="s">
        <v>38</v>
      </c>
      <c r="C203" s="480">
        <v>5000</v>
      </c>
      <c r="D203" s="60"/>
      <c r="F203" s="455"/>
    </row>
    <row r="204" spans="1:6" ht="13.5" customHeight="1" x14ac:dyDescent="0.2">
      <c r="A204" s="455" t="s">
        <v>248</v>
      </c>
      <c r="B204" s="456" t="s">
        <v>1320</v>
      </c>
      <c r="C204" s="71">
        <v>2000</v>
      </c>
      <c r="D204" s="60"/>
      <c r="F204" s="455"/>
    </row>
    <row r="205" spans="1:6" ht="13.5" customHeight="1" x14ac:dyDescent="0.2">
      <c r="A205" s="455"/>
      <c r="B205" s="456"/>
      <c r="C205" s="448">
        <f>SUM(C203:C204)</f>
        <v>7000</v>
      </c>
      <c r="D205" s="60"/>
      <c r="E205" s="455"/>
      <c r="F205" s="455"/>
    </row>
    <row r="206" spans="1:6" ht="13.5" customHeight="1" x14ac:dyDescent="0.2">
      <c r="A206" s="455"/>
      <c r="B206" s="456"/>
      <c r="C206" s="71"/>
      <c r="D206" s="60"/>
      <c r="E206" s="455"/>
      <c r="F206" s="455"/>
    </row>
    <row r="207" spans="1:6" ht="13.5" customHeight="1" x14ac:dyDescent="0.2">
      <c r="A207" s="455" t="s">
        <v>248</v>
      </c>
      <c r="B207" s="462" t="s">
        <v>1319</v>
      </c>
      <c r="C207" s="71">
        <v>2500</v>
      </c>
      <c r="D207" s="60"/>
      <c r="E207" s="455"/>
      <c r="F207" s="455"/>
    </row>
    <row r="208" spans="1:6" ht="13.5" customHeight="1" x14ac:dyDescent="0.2">
      <c r="A208" s="455" t="s">
        <v>248</v>
      </c>
      <c r="B208" s="462" t="s">
        <v>132</v>
      </c>
      <c r="C208" s="71">
        <v>283.67</v>
      </c>
      <c r="D208" s="60"/>
      <c r="E208" s="455"/>
    </row>
    <row r="209" spans="1:8" ht="13.5" customHeight="1" x14ac:dyDescent="0.2">
      <c r="A209" s="455" t="s">
        <v>248</v>
      </c>
      <c r="B209" s="462" t="s">
        <v>1278</v>
      </c>
      <c r="C209" s="71">
        <v>460</v>
      </c>
      <c r="D209" s="60"/>
      <c r="E209" s="455"/>
    </row>
    <row r="210" spans="1:8" ht="13.5" customHeight="1" x14ac:dyDescent="0.2">
      <c r="A210" s="455" t="s">
        <v>248</v>
      </c>
      <c r="B210" s="462" t="s">
        <v>130</v>
      </c>
      <c r="C210" s="71">
        <v>117.62</v>
      </c>
      <c r="D210" s="60"/>
      <c r="E210" s="455"/>
    </row>
    <row r="211" spans="1:8" ht="13.5" customHeight="1" x14ac:dyDescent="0.2">
      <c r="A211" s="455" t="s">
        <v>248</v>
      </c>
      <c r="B211" s="456" t="s">
        <v>53</v>
      </c>
      <c r="C211" s="71">
        <v>532.21</v>
      </c>
      <c r="D211" s="60"/>
      <c r="E211" s="455"/>
    </row>
    <row r="212" spans="1:8" ht="13.5" customHeight="1" x14ac:dyDescent="0.2">
      <c r="A212" s="455" t="s">
        <v>248</v>
      </c>
      <c r="B212" s="462" t="s">
        <v>1309</v>
      </c>
      <c r="C212" s="71">
        <v>1326.05</v>
      </c>
      <c r="D212" s="60"/>
      <c r="F212" s="455"/>
    </row>
    <row r="213" spans="1:8" ht="13.5" customHeight="1" x14ac:dyDescent="0.2">
      <c r="A213" s="455" t="s">
        <v>248</v>
      </c>
      <c r="B213" s="462" t="s">
        <v>136</v>
      </c>
      <c r="C213" s="71">
        <v>37.9</v>
      </c>
      <c r="D213" s="60"/>
      <c r="F213" s="455"/>
    </row>
    <row r="214" spans="1:8" ht="13.5" customHeight="1" x14ac:dyDescent="0.2">
      <c r="A214" s="455" t="s">
        <v>248</v>
      </c>
      <c r="B214" s="462" t="s">
        <v>82</v>
      </c>
      <c r="C214" s="71">
        <v>811.99</v>
      </c>
      <c r="D214" s="60"/>
      <c r="F214" s="455"/>
    </row>
    <row r="215" spans="1:8" ht="13.5" customHeight="1" x14ac:dyDescent="0.2">
      <c r="A215" s="455" t="s">
        <v>248</v>
      </c>
      <c r="B215" s="462" t="s">
        <v>1286</v>
      </c>
      <c r="C215" s="71">
        <v>78.739999999999995</v>
      </c>
      <c r="D215" s="60"/>
      <c r="F215" s="455"/>
    </row>
    <row r="216" spans="1:8" ht="13.5" customHeight="1" x14ac:dyDescent="0.2">
      <c r="A216" s="455" t="s">
        <v>248</v>
      </c>
      <c r="B216" s="462" t="s">
        <v>18</v>
      </c>
      <c r="C216" s="71">
        <v>362.79</v>
      </c>
      <c r="D216" s="60"/>
      <c r="E216" s="455"/>
      <c r="F216" s="455"/>
    </row>
    <row r="217" spans="1:8" ht="13.5" customHeight="1" x14ac:dyDescent="0.2">
      <c r="A217" s="455" t="s">
        <v>248</v>
      </c>
      <c r="B217" s="462" t="s">
        <v>114</v>
      </c>
      <c r="C217" s="71">
        <v>222.25</v>
      </c>
      <c r="D217" s="60"/>
      <c r="E217" s="455"/>
      <c r="F217" s="455"/>
    </row>
    <row r="218" spans="1:8" ht="13.5" customHeight="1" x14ac:dyDescent="0.2">
      <c r="A218" s="455" t="s">
        <v>248</v>
      </c>
      <c r="B218" s="456" t="s">
        <v>1206</v>
      </c>
      <c r="C218" s="480">
        <v>-5000</v>
      </c>
      <c r="D218" s="60"/>
      <c r="E218" s="455"/>
      <c r="F218" s="455"/>
    </row>
    <row r="219" spans="1:8" ht="13.5" customHeight="1" x14ac:dyDescent="0.2">
      <c r="A219" s="455" t="s">
        <v>248</v>
      </c>
      <c r="B219" s="456" t="s">
        <v>1206</v>
      </c>
      <c r="C219" s="480">
        <v>-5000</v>
      </c>
      <c r="D219" s="60"/>
      <c r="E219" s="455"/>
      <c r="F219" s="455"/>
    </row>
    <row r="220" spans="1:8" ht="13.5" customHeight="1" x14ac:dyDescent="0.2">
      <c r="A220" s="455"/>
      <c r="B220" s="456"/>
      <c r="C220" s="482">
        <f>SUM(C207:C219)</f>
        <v>-3266.7800000000007</v>
      </c>
      <c r="D220" s="60"/>
      <c r="E220" s="455"/>
      <c r="F220" s="455"/>
    </row>
    <row r="221" spans="1:8" ht="13.5" customHeight="1" x14ac:dyDescent="0.2">
      <c r="A221" s="483"/>
      <c r="B221" s="456"/>
      <c r="C221" s="484"/>
      <c r="D221" s="60"/>
      <c r="E221" s="483"/>
      <c r="F221" s="483"/>
    </row>
    <row r="222" spans="1:8" ht="13.5" customHeight="1" x14ac:dyDescent="0.2">
      <c r="A222" s="455" t="s">
        <v>249</v>
      </c>
      <c r="B222" s="456" t="s">
        <v>625</v>
      </c>
      <c r="C222" s="480">
        <v>30</v>
      </c>
      <c r="D222" s="60"/>
      <c r="E222" s="455"/>
    </row>
    <row r="223" spans="1:8" ht="13.5" customHeight="1" x14ac:dyDescent="0.2">
      <c r="A223" s="455"/>
      <c r="B223" s="456"/>
      <c r="C223" s="480"/>
      <c r="D223" s="60"/>
      <c r="E223" s="455"/>
    </row>
    <row r="224" spans="1:8" ht="13.5" customHeight="1" x14ac:dyDescent="0.2">
      <c r="A224" s="455" t="s">
        <v>249</v>
      </c>
      <c r="B224" s="462" t="s">
        <v>1299</v>
      </c>
      <c r="C224" s="480">
        <v>1000</v>
      </c>
      <c r="D224" s="60"/>
      <c r="E224" s="455"/>
      <c r="F224" s="455" t="s">
        <v>249</v>
      </c>
      <c r="G224" s="477" t="s">
        <v>1395</v>
      </c>
      <c r="H224" s="71">
        <v>60</v>
      </c>
    </row>
    <row r="225" spans="1:6" ht="13.5" customHeight="1" x14ac:dyDescent="0.2">
      <c r="A225" s="455" t="s">
        <v>249</v>
      </c>
      <c r="B225" s="462" t="s">
        <v>624</v>
      </c>
      <c r="C225" s="480">
        <f>H224/2</f>
        <v>30</v>
      </c>
      <c r="D225" s="60"/>
      <c r="E225" s="455"/>
    </row>
    <row r="226" spans="1:6" ht="13.5" customHeight="1" x14ac:dyDescent="0.2">
      <c r="A226" s="455"/>
      <c r="B226" s="477"/>
      <c r="C226" s="448">
        <f>SUM(C224:C225)</f>
        <v>1030</v>
      </c>
      <c r="D226" s="60"/>
      <c r="E226" s="455"/>
      <c r="F226" s="455"/>
    </row>
    <row r="227" spans="1:6" ht="13.5" customHeight="1" x14ac:dyDescent="0.2">
      <c r="A227" s="455"/>
      <c r="B227" s="477"/>
      <c r="C227" s="71"/>
      <c r="D227" s="60"/>
      <c r="F227" s="455"/>
    </row>
    <row r="228" spans="1:6" ht="13.5" customHeight="1" x14ac:dyDescent="0.2">
      <c r="A228" s="455" t="s">
        <v>250</v>
      </c>
      <c r="B228" s="462" t="s">
        <v>20</v>
      </c>
      <c r="C228" s="480">
        <v>-0.01</v>
      </c>
      <c r="D228" s="60"/>
      <c r="E228" s="455"/>
    </row>
    <row r="229" spans="1:6" ht="13.5" customHeight="1" x14ac:dyDescent="0.2">
      <c r="A229" s="455" t="s">
        <v>250</v>
      </c>
      <c r="B229" s="462" t="s">
        <v>20</v>
      </c>
      <c r="C229" s="480">
        <v>-0.01</v>
      </c>
      <c r="D229" s="60"/>
    </row>
    <row r="230" spans="1:6" ht="13.5" customHeight="1" x14ac:dyDescent="0.2">
      <c r="A230" s="455" t="s">
        <v>250</v>
      </c>
      <c r="B230" s="462" t="s">
        <v>20</v>
      </c>
      <c r="C230" s="480">
        <v>-0.01</v>
      </c>
      <c r="D230" s="60"/>
      <c r="E230" s="455"/>
    </row>
    <row r="231" spans="1:6" ht="13.5" customHeight="1" x14ac:dyDescent="0.2">
      <c r="A231" s="455" t="s">
        <v>250</v>
      </c>
      <c r="B231" s="462" t="s">
        <v>20</v>
      </c>
      <c r="C231" s="480">
        <v>-0.01</v>
      </c>
      <c r="D231" s="60"/>
      <c r="E231" s="455"/>
    </row>
    <row r="232" spans="1:6" ht="13.5" customHeight="1" x14ac:dyDescent="0.2">
      <c r="A232" s="455" t="s">
        <v>250</v>
      </c>
      <c r="B232" s="462" t="s">
        <v>20</v>
      </c>
      <c r="C232" s="480">
        <v>-0.02</v>
      </c>
      <c r="D232" s="60"/>
    </row>
    <row r="233" spans="1:6" ht="13.5" customHeight="1" x14ac:dyDescent="0.2">
      <c r="A233" s="455" t="s">
        <v>250</v>
      </c>
      <c r="B233" s="462" t="s">
        <v>20</v>
      </c>
      <c r="C233" s="480">
        <v>-0.03</v>
      </c>
      <c r="D233" s="60"/>
    </row>
    <row r="234" spans="1:6" ht="13.5" customHeight="1" x14ac:dyDescent="0.2">
      <c r="A234" s="455" t="s">
        <v>250</v>
      </c>
      <c r="B234" s="462" t="s">
        <v>20</v>
      </c>
      <c r="C234" s="480">
        <v>-0.12</v>
      </c>
      <c r="D234" s="60"/>
    </row>
    <row r="235" spans="1:6" ht="13.5" customHeight="1" x14ac:dyDescent="0.2">
      <c r="A235" s="455" t="s">
        <v>250</v>
      </c>
      <c r="B235" s="462" t="s">
        <v>86</v>
      </c>
      <c r="C235" s="71">
        <v>85</v>
      </c>
      <c r="D235" s="60"/>
    </row>
    <row r="236" spans="1:6" ht="13.5" customHeight="1" x14ac:dyDescent="0.2">
      <c r="A236" s="455" t="s">
        <v>250</v>
      </c>
      <c r="B236" s="462" t="s">
        <v>86</v>
      </c>
      <c r="C236" s="71">
        <v>72.900000000000006</v>
      </c>
      <c r="D236" s="60"/>
    </row>
    <row r="237" spans="1:6" ht="13.5" customHeight="1" x14ac:dyDescent="0.2">
      <c r="A237" s="455" t="s">
        <v>250</v>
      </c>
      <c r="B237" s="462" t="s">
        <v>86</v>
      </c>
      <c r="C237" s="71">
        <v>12.5</v>
      </c>
      <c r="D237" s="60"/>
    </row>
    <row r="238" spans="1:6" ht="13.5" customHeight="1" x14ac:dyDescent="0.2">
      <c r="A238" s="455" t="s">
        <v>250</v>
      </c>
      <c r="B238" s="462" t="s">
        <v>86</v>
      </c>
      <c r="C238" s="71">
        <v>10.1</v>
      </c>
      <c r="D238" s="60"/>
    </row>
    <row r="239" spans="1:6" ht="13.5" customHeight="1" x14ac:dyDescent="0.2">
      <c r="A239" s="455" t="s">
        <v>250</v>
      </c>
      <c r="B239" s="462" t="s">
        <v>86</v>
      </c>
      <c r="C239" s="71">
        <v>10.1</v>
      </c>
      <c r="D239" s="60"/>
    </row>
    <row r="240" spans="1:6" ht="13.5" customHeight="1" x14ac:dyDescent="0.2">
      <c r="A240" s="455" t="s">
        <v>250</v>
      </c>
      <c r="B240" s="462" t="s">
        <v>86</v>
      </c>
      <c r="C240" s="71">
        <v>4.71</v>
      </c>
      <c r="D240" s="60"/>
    </row>
    <row r="241" spans="1:8" ht="13.5" customHeight="1" x14ac:dyDescent="0.2">
      <c r="A241" s="455" t="s">
        <v>250</v>
      </c>
      <c r="B241" s="462" t="s">
        <v>86</v>
      </c>
      <c r="C241" s="71">
        <v>0.06</v>
      </c>
      <c r="D241" s="60"/>
    </row>
    <row r="242" spans="1:8" ht="13.5" customHeight="1" x14ac:dyDescent="0.2">
      <c r="A242" s="455"/>
      <c r="B242" s="456"/>
      <c r="C242" s="448">
        <f>SUM(C228:C241)</f>
        <v>195.16</v>
      </c>
      <c r="D242" s="451">
        <f>SUM(C242/2)</f>
        <v>97.58</v>
      </c>
    </row>
    <row r="243" spans="1:8" ht="13.5" customHeight="1" x14ac:dyDescent="0.2">
      <c r="A243" s="455"/>
      <c r="B243" s="456"/>
      <c r="C243" s="71"/>
      <c r="D243" s="71"/>
      <c r="F243" s="455" t="s">
        <v>421</v>
      </c>
      <c r="G243" s="456" t="s">
        <v>835</v>
      </c>
      <c r="H243" s="71">
        <v>650</v>
      </c>
    </row>
    <row r="244" spans="1:8" ht="13.5" customHeight="1" x14ac:dyDescent="0.2">
      <c r="A244" s="455" t="s">
        <v>421</v>
      </c>
      <c r="B244" s="456" t="s">
        <v>1252</v>
      </c>
      <c r="C244" s="480">
        <v>1000</v>
      </c>
      <c r="D244" s="71"/>
    </row>
    <row r="245" spans="1:8" ht="13.5" customHeight="1" x14ac:dyDescent="0.2">
      <c r="A245" s="455" t="s">
        <v>421</v>
      </c>
      <c r="B245" s="456" t="s">
        <v>1361</v>
      </c>
      <c r="C245" s="71">
        <v>7762</v>
      </c>
      <c r="D245" s="71"/>
    </row>
    <row r="246" spans="1:8" ht="13.5" customHeight="1" x14ac:dyDescent="0.2">
      <c r="A246" s="455" t="s">
        <v>421</v>
      </c>
      <c r="B246" s="456" t="s">
        <v>1366</v>
      </c>
      <c r="C246" s="71">
        <v>7500</v>
      </c>
      <c r="D246" s="71"/>
    </row>
    <row r="247" spans="1:8" ht="13.5" customHeight="1" x14ac:dyDescent="0.2">
      <c r="A247" s="455" t="s">
        <v>421</v>
      </c>
      <c r="B247" s="485" t="s">
        <v>624</v>
      </c>
      <c r="C247" s="211">
        <f>SUM(H243/2)</f>
        <v>325</v>
      </c>
      <c r="D247" s="211"/>
    </row>
    <row r="248" spans="1:8" ht="13.5" customHeight="1" x14ac:dyDescent="0.2">
      <c r="A248" s="455"/>
      <c r="B248" s="485"/>
      <c r="C248" s="449">
        <f>SUM(C244:C247)</f>
        <v>16587</v>
      </c>
      <c r="D248" s="211"/>
    </row>
    <row r="249" spans="1:8" ht="13.5" customHeight="1" x14ac:dyDescent="0.2">
      <c r="B249" s="486"/>
      <c r="C249" s="77"/>
      <c r="D249" s="77"/>
    </row>
    <row r="250" spans="1:8" ht="13.5" customHeight="1" x14ac:dyDescent="0.2">
      <c r="A250" s="455" t="s">
        <v>1791</v>
      </c>
      <c r="B250" s="472" t="s">
        <v>625</v>
      </c>
      <c r="C250" s="372">
        <v>325</v>
      </c>
      <c r="D250" s="487"/>
    </row>
    <row r="251" spans="1:8" ht="13.5" customHeight="1" x14ac:dyDescent="0.2">
      <c r="B251" s="472"/>
      <c r="C251" s="487"/>
      <c r="D251" s="487"/>
    </row>
    <row r="252" spans="1:8" ht="13.5" customHeight="1" x14ac:dyDescent="0.2">
      <c r="B252" s="472"/>
      <c r="C252" s="77"/>
      <c r="D252" s="77"/>
    </row>
    <row r="253" spans="1:8" ht="13.5" customHeight="1" x14ac:dyDescent="0.2">
      <c r="B253" s="486"/>
      <c r="C253" s="77"/>
      <c r="D253" s="77"/>
      <c r="F253" s="455"/>
    </row>
    <row r="254" spans="1:8" ht="13.5" customHeight="1" x14ac:dyDescent="0.2">
      <c r="B254" s="486"/>
      <c r="C254" s="77"/>
      <c r="D254" s="77"/>
      <c r="F254" s="455"/>
    </row>
    <row r="255" spans="1:8" ht="13.5" customHeight="1" x14ac:dyDescent="0.2">
      <c r="B255" s="486"/>
      <c r="C255" s="77"/>
      <c r="D255" s="77"/>
    </row>
    <row r="256" spans="1:8" ht="13.5" customHeight="1" x14ac:dyDescent="0.2">
      <c r="B256" s="488"/>
      <c r="C256" s="487"/>
      <c r="D256" s="487"/>
    </row>
    <row r="257" spans="2:5" ht="13.5" customHeight="1" x14ac:dyDescent="0.2">
      <c r="B257" s="486"/>
      <c r="C257" s="77"/>
      <c r="D257" s="77"/>
      <c r="E257" s="455"/>
    </row>
    <row r="258" spans="2:5" ht="13.5" customHeight="1" x14ac:dyDescent="0.2">
      <c r="B258" s="486"/>
      <c r="C258" s="77"/>
      <c r="D258" s="77"/>
      <c r="E258" s="455"/>
    </row>
    <row r="259" spans="2:5" ht="13.5" customHeight="1" x14ac:dyDescent="0.2">
      <c r="B259" s="486"/>
      <c r="C259" s="77"/>
      <c r="D259" s="77"/>
    </row>
    <row r="260" spans="2:5" ht="13.5" customHeight="1" x14ac:dyDescent="0.2">
      <c r="B260" s="486"/>
      <c r="C260" s="77"/>
      <c r="D260" s="77"/>
    </row>
    <row r="261" spans="2:5" ht="13.5" customHeight="1" x14ac:dyDescent="0.2">
      <c r="B261" s="486"/>
      <c r="C261" s="77"/>
      <c r="D261" s="77"/>
    </row>
    <row r="262" spans="2:5" ht="13.5" customHeight="1" x14ac:dyDescent="0.2">
      <c r="B262" s="486"/>
      <c r="C262" s="77"/>
      <c r="D262" s="77"/>
    </row>
    <row r="263" spans="2:5" ht="13.5" customHeight="1" x14ac:dyDescent="0.2">
      <c r="B263" s="486"/>
      <c r="C263" s="77"/>
      <c r="D263" s="77"/>
    </row>
    <row r="264" spans="2:5" ht="13.5" customHeight="1" x14ac:dyDescent="0.2">
      <c r="B264" s="486"/>
      <c r="C264" s="77"/>
      <c r="D264" s="77"/>
    </row>
    <row r="265" spans="2:5" ht="13.5" customHeight="1" x14ac:dyDescent="0.2">
      <c r="B265" s="472"/>
      <c r="C265" s="489"/>
      <c r="D265" s="487"/>
    </row>
    <row r="266" spans="2:5" ht="13.5" customHeight="1" x14ac:dyDescent="0.2">
      <c r="B266" s="472"/>
      <c r="C266" s="489"/>
      <c r="D266" s="487"/>
    </row>
    <row r="267" spans="2:5" ht="13.5" customHeight="1" x14ac:dyDescent="0.2">
      <c r="B267" s="472"/>
      <c r="C267" s="489"/>
      <c r="D267" s="487"/>
    </row>
    <row r="268" spans="2:5" ht="13.5" customHeight="1" x14ac:dyDescent="0.2">
      <c r="B268" s="472"/>
      <c r="C268" s="489"/>
      <c r="D268" s="487"/>
    </row>
    <row r="269" spans="2:5" ht="13.5" customHeight="1" x14ac:dyDescent="0.2">
      <c r="B269" s="472"/>
      <c r="C269" s="489"/>
      <c r="D269" s="487"/>
    </row>
    <row r="270" spans="2:5" ht="13.5" customHeight="1" x14ac:dyDescent="0.2">
      <c r="B270" s="472"/>
      <c r="C270" s="489"/>
      <c r="D270" s="487"/>
    </row>
    <row r="271" spans="2:5" ht="13.5" customHeight="1" x14ac:dyDescent="0.2">
      <c r="B271" s="472"/>
      <c r="C271" s="489"/>
      <c r="D271" s="487"/>
    </row>
    <row r="272" spans="2:5" ht="13.5" customHeight="1" x14ac:dyDescent="0.2">
      <c r="B272" s="472"/>
      <c r="C272" s="489"/>
      <c r="D272" s="487"/>
    </row>
    <row r="273" spans="2:4" ht="13.5" customHeight="1" x14ac:dyDescent="0.2">
      <c r="B273" s="472"/>
      <c r="C273" s="489"/>
      <c r="D273" s="487"/>
    </row>
    <row r="274" spans="2:4" ht="13.5" customHeight="1" x14ac:dyDescent="0.2">
      <c r="B274" s="472"/>
      <c r="C274" s="489"/>
      <c r="D274" s="487"/>
    </row>
    <row r="275" spans="2:4" ht="13.5" customHeight="1" x14ac:dyDescent="0.2">
      <c r="B275" s="472"/>
      <c r="C275" s="489"/>
      <c r="D275" s="487"/>
    </row>
    <row r="276" spans="2:4" ht="13.5" customHeight="1" x14ac:dyDescent="0.2">
      <c r="B276" s="472"/>
      <c r="C276" s="489"/>
      <c r="D276" s="487"/>
    </row>
    <row r="277" spans="2:4" ht="13.5" customHeight="1" x14ac:dyDescent="0.2">
      <c r="B277" s="472"/>
      <c r="C277" s="489"/>
      <c r="D277" s="487"/>
    </row>
    <row r="278" spans="2:4" ht="13.5" customHeight="1" x14ac:dyDescent="0.2">
      <c r="B278" s="472"/>
      <c r="C278" s="489"/>
      <c r="D278" s="487"/>
    </row>
    <row r="279" spans="2:4" ht="13.5" customHeight="1" x14ac:dyDescent="0.2">
      <c r="B279" s="472"/>
      <c r="C279" s="489"/>
      <c r="D279" s="487"/>
    </row>
    <row r="280" spans="2:4" ht="13.5" customHeight="1" x14ac:dyDescent="0.2">
      <c r="B280" s="472"/>
      <c r="C280" s="489"/>
      <c r="D280" s="487"/>
    </row>
    <row r="281" spans="2:4" ht="13.5" customHeight="1" x14ac:dyDescent="0.2">
      <c r="B281" s="472"/>
      <c r="C281" s="489"/>
      <c r="D281" s="487"/>
    </row>
    <row r="282" spans="2:4" ht="13.5" customHeight="1" x14ac:dyDescent="0.2">
      <c r="B282" s="472"/>
      <c r="C282" s="489"/>
      <c r="D282" s="487"/>
    </row>
    <row r="283" spans="2:4" ht="13.5" customHeight="1" x14ac:dyDescent="0.2">
      <c r="B283" s="472"/>
      <c r="C283" s="489"/>
      <c r="D283" s="487"/>
    </row>
    <row r="284" spans="2:4" ht="13.5" customHeight="1" x14ac:dyDescent="0.2">
      <c r="B284" s="472"/>
      <c r="C284" s="489"/>
      <c r="D284" s="487"/>
    </row>
    <row r="285" spans="2:4" ht="13.5" customHeight="1" x14ac:dyDescent="0.2">
      <c r="B285" s="472"/>
      <c r="C285" s="489"/>
      <c r="D285" s="487"/>
    </row>
    <row r="286" spans="2:4" ht="13.5" customHeight="1" x14ac:dyDescent="0.2">
      <c r="B286" s="472"/>
      <c r="C286" s="489"/>
      <c r="D286" s="487"/>
    </row>
    <row r="287" spans="2:4" ht="13.5" customHeight="1" x14ac:dyDescent="0.2">
      <c r="B287" s="472"/>
      <c r="C287" s="489"/>
      <c r="D287" s="487"/>
    </row>
    <row r="288" spans="2:4" ht="13.5" customHeight="1" x14ac:dyDescent="0.2">
      <c r="B288" s="472"/>
      <c r="C288" s="489"/>
      <c r="D288" s="487"/>
    </row>
    <row r="289" spans="2:4" ht="13.5" customHeight="1" x14ac:dyDescent="0.2">
      <c r="B289" s="472"/>
      <c r="C289" s="489"/>
      <c r="D289" s="487"/>
    </row>
    <row r="290" spans="2:4" ht="13.5" customHeight="1" x14ac:dyDescent="0.2">
      <c r="B290" s="472"/>
      <c r="C290" s="489"/>
      <c r="D290" s="487"/>
    </row>
    <row r="291" spans="2:4" ht="13.5" customHeight="1" x14ac:dyDescent="0.2">
      <c r="B291" s="472"/>
      <c r="C291" s="489"/>
      <c r="D291" s="487"/>
    </row>
    <row r="292" spans="2:4" ht="13.5" customHeight="1" x14ac:dyDescent="0.2">
      <c r="B292" s="472"/>
      <c r="C292" s="489"/>
      <c r="D292" s="487"/>
    </row>
    <row r="293" spans="2:4" ht="13.5" customHeight="1" x14ac:dyDescent="0.2">
      <c r="B293" s="472"/>
      <c r="C293" s="489"/>
      <c r="D293" s="487"/>
    </row>
    <row r="294" spans="2:4" ht="13.5" customHeight="1" x14ac:dyDescent="0.2">
      <c r="B294" s="472"/>
      <c r="C294" s="489"/>
      <c r="D294" s="487"/>
    </row>
    <row r="295" spans="2:4" ht="13.5" customHeight="1" x14ac:dyDescent="0.2">
      <c r="B295" s="472"/>
      <c r="C295" s="489"/>
      <c r="D295" s="487"/>
    </row>
    <row r="296" spans="2:4" ht="13.5" customHeight="1" x14ac:dyDescent="0.2">
      <c r="B296" s="472"/>
      <c r="C296" s="489"/>
      <c r="D296" s="487"/>
    </row>
    <row r="297" spans="2:4" ht="13.5" customHeight="1" x14ac:dyDescent="0.2">
      <c r="B297" s="472"/>
      <c r="C297" s="489"/>
      <c r="D297" s="487"/>
    </row>
    <row r="298" spans="2:4" ht="13.5" customHeight="1" x14ac:dyDescent="0.2">
      <c r="B298" s="472"/>
      <c r="C298" s="489"/>
      <c r="D298" s="487"/>
    </row>
    <row r="299" spans="2:4" ht="13.5" customHeight="1" x14ac:dyDescent="0.2">
      <c r="B299" s="472"/>
      <c r="C299" s="489"/>
      <c r="D299" s="487"/>
    </row>
    <row r="300" spans="2:4" ht="13.5" customHeight="1" x14ac:dyDescent="0.2">
      <c r="B300" s="472"/>
      <c r="C300" s="489"/>
      <c r="D300" s="487"/>
    </row>
    <row r="301" spans="2:4" ht="13.5" customHeight="1" x14ac:dyDescent="0.2">
      <c r="B301" s="472"/>
      <c r="C301" s="489"/>
      <c r="D301" s="487"/>
    </row>
    <row r="302" spans="2:4" ht="13.5" customHeight="1" x14ac:dyDescent="0.2">
      <c r="B302" s="472"/>
      <c r="C302" s="489"/>
      <c r="D302" s="487"/>
    </row>
    <row r="303" spans="2:4" ht="13.5" customHeight="1" x14ac:dyDescent="0.2">
      <c r="B303" s="472"/>
      <c r="C303" s="489"/>
      <c r="D303" s="487"/>
    </row>
    <row r="304" spans="2:4" ht="13.5" customHeight="1" x14ac:dyDescent="0.2">
      <c r="B304" s="472"/>
      <c r="C304" s="489"/>
      <c r="D304" s="487"/>
    </row>
    <row r="305" spans="2:4" ht="13.5" customHeight="1" x14ac:dyDescent="0.2">
      <c r="B305" s="472"/>
      <c r="C305" s="490"/>
      <c r="D305" s="487"/>
    </row>
    <row r="306" spans="2:4" ht="13.5" customHeight="1" x14ac:dyDescent="0.2">
      <c r="B306" s="472"/>
      <c r="C306" s="490"/>
      <c r="D306" s="487"/>
    </row>
    <row r="307" spans="2:4" ht="13.5" customHeight="1" x14ac:dyDescent="0.2">
      <c r="B307" s="491"/>
      <c r="C307" s="492"/>
      <c r="D307" s="487"/>
    </row>
    <row r="308" spans="2:4" ht="13.5" customHeight="1" x14ac:dyDescent="0.2">
      <c r="B308" s="472"/>
      <c r="C308" s="490"/>
      <c r="D308" s="487"/>
    </row>
    <row r="309" spans="2:4" ht="13.5" customHeight="1" x14ac:dyDescent="0.2">
      <c r="B309" s="472"/>
      <c r="C309" s="490"/>
      <c r="D309" s="487"/>
    </row>
    <row r="310" spans="2:4" ht="13.5" customHeight="1" x14ac:dyDescent="0.2">
      <c r="B310" s="493"/>
      <c r="C310" s="490"/>
      <c r="D310" s="487"/>
    </row>
    <row r="311" spans="2:4" ht="13.5" customHeight="1" x14ac:dyDescent="0.2">
      <c r="B311" s="472"/>
      <c r="C311" s="490"/>
      <c r="D311" s="487"/>
    </row>
    <row r="312" spans="2:4" ht="13.5" customHeight="1" x14ac:dyDescent="0.2">
      <c r="B312" s="472"/>
      <c r="C312" s="492"/>
      <c r="D312" s="487"/>
    </row>
    <row r="313" spans="2:4" ht="13.5" customHeight="1" x14ac:dyDescent="0.2">
      <c r="B313" s="491"/>
      <c r="C313" s="490"/>
      <c r="D313" s="487"/>
    </row>
    <row r="314" spans="2:4" ht="13.5" customHeight="1" x14ac:dyDescent="0.2">
      <c r="B314" s="472"/>
      <c r="C314" s="490"/>
      <c r="D314" s="487"/>
    </row>
    <row r="315" spans="2:4" ht="13.5" customHeight="1" x14ac:dyDescent="0.2">
      <c r="B315" s="472"/>
      <c r="C315" s="492"/>
      <c r="D315" s="487"/>
    </row>
    <row r="316" spans="2:4" ht="13.5" customHeight="1" x14ac:dyDescent="0.2">
      <c r="B316" s="491"/>
      <c r="C316" s="492"/>
      <c r="D316" s="487"/>
    </row>
    <row r="317" spans="2:4" ht="13.5" customHeight="1" x14ac:dyDescent="0.2">
      <c r="B317" s="472"/>
      <c r="C317" s="490"/>
      <c r="D317" s="487"/>
    </row>
    <row r="318" spans="2:4" ht="13.5" customHeight="1" x14ac:dyDescent="0.2">
      <c r="B318" s="472"/>
      <c r="C318" s="492"/>
      <c r="D318" s="487"/>
    </row>
    <row r="319" spans="2:4" ht="13.5" customHeight="1" x14ac:dyDescent="0.2">
      <c r="B319" s="491"/>
      <c r="C319" s="492"/>
      <c r="D319" s="487"/>
    </row>
    <row r="320" spans="2:4" ht="13.5" customHeight="1" x14ac:dyDescent="0.2">
      <c r="B320" s="472"/>
      <c r="C320" s="490"/>
      <c r="D320" s="487"/>
    </row>
    <row r="321" spans="2:4" ht="13.5" customHeight="1" x14ac:dyDescent="0.2">
      <c r="B321" s="472"/>
      <c r="C321" s="490"/>
      <c r="D321" s="487"/>
    </row>
    <row r="322" spans="2:4" ht="13.5" customHeight="1" x14ac:dyDescent="0.2">
      <c r="B322" s="472"/>
      <c r="C322" s="489"/>
      <c r="D322" s="487"/>
    </row>
    <row r="323" spans="2:4" ht="13.5" customHeight="1" x14ac:dyDescent="0.2">
      <c r="B323" s="494"/>
      <c r="C323" s="489"/>
      <c r="D323" s="487"/>
    </row>
    <row r="324" spans="2:4" ht="13.5" customHeight="1" x14ac:dyDescent="0.2">
      <c r="B324" s="493"/>
      <c r="C324" s="489"/>
      <c r="D324" s="487"/>
    </row>
    <row r="325" spans="2:4" ht="13.5" customHeight="1" x14ac:dyDescent="0.2">
      <c r="B325" s="495"/>
      <c r="C325" s="489"/>
      <c r="D325" s="487"/>
    </row>
    <row r="326" spans="2:4" ht="13.5" customHeight="1" x14ac:dyDescent="0.2">
      <c r="B326" s="496"/>
      <c r="C326" s="489"/>
      <c r="D326" s="487"/>
    </row>
    <row r="327" spans="2:4" ht="13.5" customHeight="1" x14ac:dyDescent="0.2">
      <c r="B327" s="462"/>
      <c r="C327" s="497"/>
      <c r="D327" s="372"/>
    </row>
    <row r="328" spans="2:4" ht="13.5" customHeight="1" x14ac:dyDescent="0.2">
      <c r="B328" s="462"/>
      <c r="C328" s="498"/>
      <c r="D328" s="372"/>
    </row>
    <row r="329" spans="2:4" ht="13.5" customHeight="1" x14ac:dyDescent="0.2">
      <c r="B329" s="462"/>
      <c r="C329" s="497"/>
      <c r="D329" s="372"/>
    </row>
    <row r="330" spans="2:4" ht="13.5" customHeight="1" x14ac:dyDescent="0.2">
      <c r="C330" s="497"/>
      <c r="D330" s="372"/>
    </row>
    <row r="331" spans="2:4" ht="13.5" customHeight="1" x14ac:dyDescent="0.2">
      <c r="B331" s="462"/>
      <c r="C331" s="498"/>
      <c r="D331" s="372"/>
    </row>
    <row r="332" spans="2:4" ht="13.5" customHeight="1" x14ac:dyDescent="0.2">
      <c r="B332" s="462"/>
      <c r="C332" s="498"/>
      <c r="D332" s="372"/>
    </row>
    <row r="333" spans="2:4" ht="13.5" customHeight="1" x14ac:dyDescent="0.2">
      <c r="B333" s="462"/>
      <c r="C333" s="498"/>
      <c r="D333" s="372"/>
    </row>
    <row r="334" spans="2:4" ht="13.5" customHeight="1" x14ac:dyDescent="0.2">
      <c r="B334" s="477"/>
      <c r="C334" s="499"/>
      <c r="D334" s="372"/>
    </row>
    <row r="335" spans="2:4" ht="13.5" customHeight="1" x14ac:dyDescent="0.2">
      <c r="B335" s="477"/>
      <c r="C335" s="498"/>
      <c r="D335" s="372"/>
    </row>
    <row r="336" spans="2:4" ht="13.5" customHeight="1" x14ac:dyDescent="0.2">
      <c r="C336" s="499"/>
      <c r="D336" s="372"/>
    </row>
    <row r="337" spans="2:4" ht="13.5" customHeight="1" x14ac:dyDescent="0.2">
      <c r="B337" s="462"/>
      <c r="C337" s="497"/>
      <c r="D337" s="372"/>
    </row>
    <row r="338" spans="2:4" ht="13.5" customHeight="1" x14ac:dyDescent="0.2">
      <c r="B338" s="462"/>
      <c r="C338" s="497"/>
      <c r="D338" s="372"/>
    </row>
    <row r="339" spans="2:4" ht="13.5" customHeight="1" x14ac:dyDescent="0.2">
      <c r="B339" s="462"/>
      <c r="C339" s="497"/>
      <c r="D339" s="372"/>
    </row>
    <row r="340" spans="2:4" ht="13.5" customHeight="1" x14ac:dyDescent="0.2">
      <c r="B340" s="462"/>
      <c r="C340" s="497"/>
      <c r="D340" s="372"/>
    </row>
    <row r="341" spans="2:4" ht="13.5" customHeight="1" x14ac:dyDescent="0.2">
      <c r="B341" s="500"/>
      <c r="C341" s="501"/>
      <c r="D341" s="502"/>
    </row>
    <row r="342" spans="2:4" ht="13.5" customHeight="1" x14ac:dyDescent="0.2"/>
    <row r="343" spans="2:4" ht="13.5" customHeight="1" x14ac:dyDescent="0.2"/>
    <row r="344" spans="2:4" ht="13.5" customHeight="1" x14ac:dyDescent="0.2"/>
    <row r="345" spans="2:4" ht="13.5" customHeight="1" x14ac:dyDescent="0.2"/>
    <row r="346" spans="2:4" ht="13.5" customHeight="1" x14ac:dyDescent="0.2"/>
    <row r="347" spans="2:4" ht="13.5" customHeight="1" x14ac:dyDescent="0.2"/>
    <row r="348" spans="2:4" ht="13.5" customHeight="1" x14ac:dyDescent="0.2"/>
    <row r="349" spans="2:4" ht="13.5" customHeight="1" x14ac:dyDescent="0.2"/>
    <row r="350" spans="2:4" ht="13.5" customHeight="1" x14ac:dyDescent="0.2"/>
    <row r="351" spans="2:4" ht="13.5" customHeight="1" x14ac:dyDescent="0.2"/>
    <row r="352" spans="2:4" ht="13.5" customHeight="1" x14ac:dyDescent="0.2"/>
  </sheetData>
  <sortState xmlns:xlrd2="http://schemas.microsoft.com/office/spreadsheetml/2017/richdata2" ref="A71:C90">
    <sortCondition ref="A71:A90"/>
    <sortCondition ref="B71:B90"/>
  </sortState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O406"/>
  <sheetViews>
    <sheetView topLeftCell="G300" zoomScale="80" zoomScaleNormal="80" workbookViewId="0">
      <selection activeCell="K319" sqref="K319:M327"/>
    </sheetView>
  </sheetViews>
  <sheetFormatPr defaultColWidth="9" defaultRowHeight="12.75" x14ac:dyDescent="0.2"/>
  <cols>
    <col min="1" max="1" width="14" style="1" customWidth="1"/>
    <col min="2" max="2" width="1.875" style="1" customWidth="1"/>
    <col min="3" max="3" width="71.125" style="1" customWidth="1"/>
    <col min="4" max="4" width="12" style="1" customWidth="1"/>
    <col min="5" max="5" width="12.375" style="1" customWidth="1"/>
    <col min="6" max="6" width="10.75" style="1" customWidth="1"/>
    <col min="7" max="7" width="11.875" style="1" customWidth="1"/>
    <col min="8" max="9" width="10.75" style="18" customWidth="1"/>
    <col min="10" max="10" width="10.875" style="66" customWidth="1"/>
    <col min="11" max="11" width="10.5" style="1" customWidth="1"/>
    <col min="12" max="12" width="10.875" style="420" bestFit="1" customWidth="1"/>
    <col min="13" max="13" width="9.625" style="1" customWidth="1"/>
    <col min="14" max="14" width="14.625" style="1" bestFit="1" customWidth="1"/>
    <col min="15" max="15" width="9" style="1"/>
    <col min="16" max="16" width="9.875" style="1" bestFit="1" customWidth="1"/>
    <col min="17" max="16384" width="9" style="1"/>
  </cols>
  <sheetData>
    <row r="1" spans="1:15" ht="13.5" customHeight="1" thickBot="1" x14ac:dyDescent="0.25">
      <c r="A1" s="1407" t="s">
        <v>1396</v>
      </c>
      <c r="B1" s="1407"/>
      <c r="C1" s="1408"/>
      <c r="D1" s="1409" t="s">
        <v>0</v>
      </c>
      <c r="E1" s="1410"/>
      <c r="F1" s="1410"/>
      <c r="G1" s="1411"/>
      <c r="H1" s="1412" t="s">
        <v>1</v>
      </c>
      <c r="I1" s="1413"/>
      <c r="J1" s="1414"/>
    </row>
    <row r="2" spans="1:15" ht="13.5" customHeight="1" thickBot="1" x14ac:dyDescent="0.25">
      <c r="A2" s="2" t="s">
        <v>2</v>
      </c>
      <c r="B2" s="3"/>
      <c r="C2" s="3" t="s">
        <v>3</v>
      </c>
      <c r="D2" s="3" t="s">
        <v>4</v>
      </c>
      <c r="E2" s="3" t="s">
        <v>5</v>
      </c>
      <c r="F2" s="3" t="s">
        <v>6</v>
      </c>
      <c r="G2" s="5" t="s">
        <v>7</v>
      </c>
      <c r="H2" s="6" t="s">
        <v>5</v>
      </c>
      <c r="I2" s="4" t="s">
        <v>6</v>
      </c>
      <c r="J2" s="7" t="s">
        <v>7</v>
      </c>
    </row>
    <row r="3" spans="1:15" ht="13.5" customHeight="1" x14ac:dyDescent="0.2">
      <c r="A3" s="8">
        <v>43497</v>
      </c>
      <c r="B3" s="9"/>
      <c r="C3" s="10" t="s">
        <v>8</v>
      </c>
      <c r="D3" s="11"/>
      <c r="E3" s="12"/>
      <c r="F3" s="13"/>
      <c r="G3" s="14">
        <v>-299.20999999999998</v>
      </c>
      <c r="H3" s="15"/>
      <c r="I3" s="16"/>
      <c r="J3" s="17">
        <v>2958.1800000000044</v>
      </c>
      <c r="K3" s="18">
        <f>G3</f>
        <v>-299.20999999999998</v>
      </c>
      <c r="L3" s="420">
        <f>J3</f>
        <v>2958.1800000000044</v>
      </c>
    </row>
    <row r="4" spans="1:15" ht="13.5" customHeight="1" x14ac:dyDescent="0.2">
      <c r="A4" s="19"/>
      <c r="B4" s="20"/>
      <c r="C4" s="21" t="s">
        <v>9</v>
      </c>
      <c r="D4" s="11"/>
      <c r="E4" s="12"/>
      <c r="F4" s="22">
        <v>0</v>
      </c>
      <c r="G4" s="23"/>
      <c r="H4" s="24"/>
      <c r="I4" s="25"/>
      <c r="J4" s="26"/>
      <c r="K4" s="18">
        <f>SUM(K3,F4,E4)</f>
        <v>-299.20999999999998</v>
      </c>
      <c r="L4" s="18">
        <f>L3+I4-H4</f>
        <v>2958.1800000000044</v>
      </c>
    </row>
    <row r="5" spans="1:15" ht="13.5" customHeight="1" x14ac:dyDescent="0.2">
      <c r="A5" s="19"/>
      <c r="B5" s="20"/>
      <c r="C5" s="21" t="s">
        <v>10</v>
      </c>
      <c r="D5" s="11"/>
      <c r="E5" s="12"/>
      <c r="F5" s="22">
        <v>0</v>
      </c>
      <c r="G5" s="23"/>
      <c r="H5" s="24"/>
      <c r="I5" s="25"/>
      <c r="J5" s="26"/>
      <c r="K5" s="18">
        <f t="shared" ref="K5:K68" si="0">SUM(K4,F5,E5)</f>
        <v>-299.20999999999998</v>
      </c>
      <c r="L5" s="18">
        <f t="shared" ref="L5:L68" si="1">L4+I5-H5</f>
        <v>2958.1800000000044</v>
      </c>
    </row>
    <row r="6" spans="1:15" ht="13.5" customHeight="1" x14ac:dyDescent="0.2">
      <c r="A6" s="19"/>
      <c r="B6" s="20"/>
      <c r="C6" s="34" t="s">
        <v>318</v>
      </c>
      <c r="D6" s="11"/>
      <c r="E6" s="12"/>
      <c r="F6" s="22"/>
      <c r="G6" s="23"/>
      <c r="H6" s="24">
        <v>650</v>
      </c>
      <c r="I6" s="25"/>
      <c r="J6" s="26"/>
      <c r="K6" s="18">
        <f t="shared" si="0"/>
        <v>-299.20999999999998</v>
      </c>
      <c r="L6" s="18">
        <f t="shared" si="1"/>
        <v>2308.1800000000044</v>
      </c>
    </row>
    <row r="7" spans="1:15" ht="13.5" customHeight="1" x14ac:dyDescent="0.2">
      <c r="A7" s="19"/>
      <c r="B7" s="20"/>
      <c r="C7" s="34" t="s">
        <v>1303</v>
      </c>
      <c r="D7" s="11"/>
      <c r="E7" s="12"/>
      <c r="F7" s="22"/>
      <c r="G7" s="23"/>
      <c r="H7" s="24">
        <v>300</v>
      </c>
      <c r="I7" s="25"/>
      <c r="J7" s="26"/>
      <c r="K7" s="18">
        <f t="shared" si="0"/>
        <v>-299.20999999999998</v>
      </c>
      <c r="L7" s="18">
        <f t="shared" si="1"/>
        <v>2008.1800000000044</v>
      </c>
    </row>
    <row r="8" spans="1:15" ht="13.5" customHeight="1" x14ac:dyDescent="0.2">
      <c r="A8" s="19"/>
      <c r="B8" s="20"/>
      <c r="C8" s="34" t="s">
        <v>52</v>
      </c>
      <c r="D8" s="11"/>
      <c r="E8" s="12"/>
      <c r="F8" s="22"/>
      <c r="G8" s="23"/>
      <c r="H8" s="24">
        <v>450</v>
      </c>
      <c r="I8" s="25"/>
      <c r="J8" s="26"/>
      <c r="K8" s="18">
        <f t="shared" si="0"/>
        <v>-299.20999999999998</v>
      </c>
      <c r="L8" s="18">
        <f t="shared" si="1"/>
        <v>1558.1800000000044</v>
      </c>
    </row>
    <row r="9" spans="1:15" ht="13.5" customHeight="1" x14ac:dyDescent="0.2">
      <c r="A9" s="19"/>
      <c r="B9" s="20"/>
      <c r="C9" s="34" t="s">
        <v>36</v>
      </c>
      <c r="D9" s="11"/>
      <c r="E9" s="12"/>
      <c r="F9" s="22"/>
      <c r="G9" s="23"/>
      <c r="H9" s="24">
        <v>350</v>
      </c>
      <c r="I9" s="25"/>
      <c r="J9" s="26">
        <v>1208.1800000000044</v>
      </c>
      <c r="K9" s="18">
        <f t="shared" si="0"/>
        <v>-299.20999999999998</v>
      </c>
      <c r="L9" s="18">
        <f t="shared" si="1"/>
        <v>1208.1800000000044</v>
      </c>
    </row>
    <row r="10" spans="1:15" ht="13.5" customHeight="1" x14ac:dyDescent="0.2">
      <c r="A10" s="19"/>
      <c r="B10" s="20"/>
      <c r="C10" s="34" t="s">
        <v>86</v>
      </c>
      <c r="D10" s="11" t="s">
        <v>19</v>
      </c>
      <c r="E10" s="12">
        <v>-0.02</v>
      </c>
      <c r="F10" s="22" t="s">
        <v>549</v>
      </c>
      <c r="G10" s="23"/>
      <c r="H10" s="24"/>
      <c r="I10" s="25"/>
      <c r="J10" s="26"/>
      <c r="K10" s="18">
        <f t="shared" si="0"/>
        <v>-299.22999999999996</v>
      </c>
      <c r="L10" s="18">
        <f t="shared" si="1"/>
        <v>1208.1800000000044</v>
      </c>
    </row>
    <row r="11" spans="1:15" ht="13.5" customHeight="1" x14ac:dyDescent="0.2">
      <c r="A11" s="19"/>
      <c r="B11" s="20"/>
      <c r="C11" s="34" t="s">
        <v>86</v>
      </c>
      <c r="D11" s="11" t="s">
        <v>19</v>
      </c>
      <c r="E11" s="12">
        <v>-1.1299999999999999</v>
      </c>
      <c r="F11" s="22" t="s">
        <v>549</v>
      </c>
      <c r="G11" s="23">
        <v>-300.36</v>
      </c>
      <c r="H11" s="24"/>
      <c r="I11" s="25"/>
      <c r="J11" s="26"/>
      <c r="K11" s="18">
        <f t="shared" si="0"/>
        <v>-300.35999999999996</v>
      </c>
      <c r="L11" s="18">
        <f t="shared" si="1"/>
        <v>1208.1800000000044</v>
      </c>
    </row>
    <row r="12" spans="1:15" ht="13.5" customHeight="1" x14ac:dyDescent="0.2">
      <c r="A12" s="19">
        <v>43500</v>
      </c>
      <c r="B12" s="20"/>
      <c r="C12" s="34" t="s">
        <v>1397</v>
      </c>
      <c r="D12" s="11"/>
      <c r="E12" s="12"/>
      <c r="F12" s="22"/>
      <c r="G12" s="23"/>
      <c r="H12" s="24"/>
      <c r="I12" s="25">
        <v>220</v>
      </c>
      <c r="J12" s="26">
        <v>1428.1800000000044</v>
      </c>
      <c r="K12" s="18">
        <f t="shared" si="0"/>
        <v>-300.35999999999996</v>
      </c>
      <c r="L12" s="18">
        <f t="shared" si="1"/>
        <v>1428.1800000000044</v>
      </c>
    </row>
    <row r="13" spans="1:15" ht="13.5" customHeight="1" x14ac:dyDescent="0.2">
      <c r="A13" s="19"/>
      <c r="B13" s="20"/>
      <c r="C13" s="34" t="s">
        <v>1280</v>
      </c>
      <c r="D13" s="11" t="s">
        <v>1398</v>
      </c>
      <c r="E13" s="12" t="s">
        <v>549</v>
      </c>
      <c r="F13" s="409">
        <v>1000</v>
      </c>
      <c r="G13" s="23">
        <v>699.64</v>
      </c>
      <c r="H13" s="24"/>
      <c r="I13" s="25"/>
      <c r="J13" s="26"/>
      <c r="K13" s="18">
        <f t="shared" si="0"/>
        <v>699.6400000000001</v>
      </c>
      <c r="L13" s="18">
        <f t="shared" si="1"/>
        <v>1428.1800000000044</v>
      </c>
    </row>
    <row r="14" spans="1:15" ht="13.5" customHeight="1" x14ac:dyDescent="0.2">
      <c r="A14" s="19" t="s">
        <v>1399</v>
      </c>
      <c r="B14" s="20"/>
      <c r="C14" s="34" t="s">
        <v>53</v>
      </c>
      <c r="D14" s="11" t="s">
        <v>337</v>
      </c>
      <c r="E14" s="12">
        <v>-532.21</v>
      </c>
      <c r="F14" s="22" t="s">
        <v>549</v>
      </c>
      <c r="G14" s="23"/>
      <c r="H14" s="24"/>
      <c r="I14" s="25"/>
      <c r="J14" s="26"/>
      <c r="K14" s="18">
        <f t="shared" si="0"/>
        <v>167.43000000000006</v>
      </c>
      <c r="L14" s="18">
        <f t="shared" si="1"/>
        <v>1428.1800000000044</v>
      </c>
    </row>
    <row r="15" spans="1:15" ht="13.5" customHeight="1" x14ac:dyDescent="0.2">
      <c r="A15" s="19"/>
      <c r="B15" s="20"/>
      <c r="C15" s="34" t="s">
        <v>1400</v>
      </c>
      <c r="D15" s="11" t="s">
        <v>1401</v>
      </c>
      <c r="E15" s="12" t="s">
        <v>549</v>
      </c>
      <c r="F15" s="22">
        <v>6900</v>
      </c>
      <c r="G15" s="23"/>
      <c r="H15" s="24"/>
      <c r="I15" s="25"/>
      <c r="J15" s="39"/>
      <c r="K15" s="18">
        <f t="shared" si="0"/>
        <v>7067.43</v>
      </c>
      <c r="L15" s="18">
        <f t="shared" si="1"/>
        <v>1428.1800000000044</v>
      </c>
    </row>
    <row r="16" spans="1:15" ht="13.5" customHeight="1" x14ac:dyDescent="0.2">
      <c r="A16" s="19"/>
      <c r="B16" s="20"/>
      <c r="C16" s="34" t="s">
        <v>1402</v>
      </c>
      <c r="D16" s="11" t="s">
        <v>3536</v>
      </c>
      <c r="E16" s="168">
        <v>-4000</v>
      </c>
      <c r="F16" s="22" t="s">
        <v>549</v>
      </c>
      <c r="G16" s="23">
        <v>3067.43</v>
      </c>
      <c r="H16" s="24"/>
      <c r="I16" s="25"/>
      <c r="J16" s="26"/>
      <c r="K16" s="18">
        <f t="shared" si="0"/>
        <v>3067.4300000000003</v>
      </c>
      <c r="L16" s="18">
        <f t="shared" si="1"/>
        <v>1428.1800000000044</v>
      </c>
      <c r="O16" s="420"/>
    </row>
    <row r="17" spans="1:15" ht="13.5" customHeight="1" x14ac:dyDescent="0.2">
      <c r="A17" s="19" t="s">
        <v>1403</v>
      </c>
      <c r="B17" s="20"/>
      <c r="C17" s="34" t="s">
        <v>55</v>
      </c>
      <c r="D17" s="11" t="s">
        <v>912</v>
      </c>
      <c r="E17" s="12">
        <v>-400</v>
      </c>
      <c r="F17" s="22" t="s">
        <v>549</v>
      </c>
      <c r="G17" s="23"/>
      <c r="H17" s="24"/>
      <c r="I17" s="25"/>
      <c r="J17" s="26"/>
      <c r="K17" s="18">
        <f t="shared" si="0"/>
        <v>2667.4300000000003</v>
      </c>
      <c r="L17" s="18">
        <f t="shared" si="1"/>
        <v>1428.1800000000044</v>
      </c>
    </row>
    <row r="18" spans="1:15" ht="13.5" customHeight="1" x14ac:dyDescent="0.2">
      <c r="A18" s="19"/>
      <c r="B18" s="20"/>
      <c r="C18" s="34" t="s">
        <v>1404</v>
      </c>
      <c r="D18" s="11" t="s">
        <v>1405</v>
      </c>
      <c r="E18" s="12" t="s">
        <v>549</v>
      </c>
      <c r="F18" s="22">
        <v>2384</v>
      </c>
      <c r="G18" s="23">
        <v>5051.43</v>
      </c>
      <c r="H18" s="24"/>
      <c r="I18" s="25"/>
      <c r="J18" s="26"/>
      <c r="K18" s="18">
        <f t="shared" si="0"/>
        <v>5051.43</v>
      </c>
      <c r="L18" s="18">
        <f t="shared" si="1"/>
        <v>1428.1800000000044</v>
      </c>
    </row>
    <row r="19" spans="1:15" ht="13.5" customHeight="1" x14ac:dyDescent="0.2">
      <c r="A19" s="19">
        <v>43503</v>
      </c>
      <c r="B19" s="20"/>
      <c r="C19" s="34" t="s">
        <v>1406</v>
      </c>
      <c r="D19" s="11"/>
      <c r="E19" s="12"/>
      <c r="F19" s="22"/>
      <c r="G19" s="23"/>
      <c r="H19" s="44">
        <v>149</v>
      </c>
      <c r="I19" s="25"/>
      <c r="J19" s="26"/>
      <c r="K19" s="18">
        <f t="shared" si="0"/>
        <v>5051.43</v>
      </c>
      <c r="L19" s="18">
        <f t="shared" si="1"/>
        <v>1279.1800000000044</v>
      </c>
    </row>
    <row r="20" spans="1:15" ht="13.5" customHeight="1" x14ac:dyDescent="0.2">
      <c r="A20" s="19"/>
      <c r="B20" s="20"/>
      <c r="C20" s="34" t="s">
        <v>3533</v>
      </c>
      <c r="D20" s="11"/>
      <c r="E20" s="12"/>
      <c r="F20" s="22"/>
      <c r="G20" s="23"/>
      <c r="H20" s="174">
        <v>242</v>
      </c>
      <c r="I20" s="25"/>
      <c r="J20" s="26">
        <v>1037.1800000000044</v>
      </c>
      <c r="K20" s="18">
        <f t="shared" si="0"/>
        <v>5051.43</v>
      </c>
      <c r="L20" s="18">
        <f t="shared" si="1"/>
        <v>1037.1800000000044</v>
      </c>
      <c r="O20" s="420"/>
    </row>
    <row r="21" spans="1:15" ht="13.5" customHeight="1" x14ac:dyDescent="0.2">
      <c r="A21" s="19"/>
      <c r="B21" s="20"/>
      <c r="C21" s="34" t="s">
        <v>1402</v>
      </c>
      <c r="D21" s="11" t="s">
        <v>3535</v>
      </c>
      <c r="E21" s="168">
        <v>-2000</v>
      </c>
      <c r="F21" s="22" t="s">
        <v>549</v>
      </c>
      <c r="G21" s="23">
        <v>3051.43</v>
      </c>
      <c r="H21" s="24"/>
      <c r="I21" s="25"/>
      <c r="J21" s="39"/>
      <c r="K21" s="18">
        <f t="shared" si="0"/>
        <v>3051.4300000000003</v>
      </c>
      <c r="L21" s="18">
        <f t="shared" si="1"/>
        <v>1037.1800000000044</v>
      </c>
      <c r="O21" s="420"/>
    </row>
    <row r="22" spans="1:15" ht="13.5" customHeight="1" x14ac:dyDescent="0.2">
      <c r="A22" s="46"/>
      <c r="B22" s="46"/>
      <c r="C22" s="34" t="s">
        <v>20</v>
      </c>
      <c r="D22" s="42" t="s">
        <v>19</v>
      </c>
      <c r="E22" s="43" t="s">
        <v>549</v>
      </c>
      <c r="F22" s="43">
        <v>0.02</v>
      </c>
      <c r="G22" s="23">
        <v>3051.45</v>
      </c>
      <c r="H22" s="24"/>
      <c r="I22" s="25"/>
      <c r="J22" s="26"/>
      <c r="K22" s="18">
        <f t="shared" si="0"/>
        <v>3051.4500000000003</v>
      </c>
      <c r="L22" s="18">
        <f t="shared" si="1"/>
        <v>1037.1800000000044</v>
      </c>
    </row>
    <row r="23" spans="1:15" ht="13.5" customHeight="1" x14ac:dyDescent="0.2">
      <c r="A23" s="19">
        <v>43504</v>
      </c>
      <c r="B23" s="20"/>
      <c r="C23" s="34" t="s">
        <v>3531</v>
      </c>
      <c r="D23" s="11"/>
      <c r="E23" s="12"/>
      <c r="F23" s="22"/>
      <c r="G23" s="23"/>
      <c r="H23" s="174">
        <v>190</v>
      </c>
      <c r="I23" s="25"/>
      <c r="J23" s="26"/>
      <c r="K23" s="18">
        <f t="shared" si="0"/>
        <v>3051.4500000000003</v>
      </c>
      <c r="L23" s="18">
        <f t="shared" si="1"/>
        <v>847.18000000000438</v>
      </c>
      <c r="O23" s="420"/>
    </row>
    <row r="24" spans="1:15" ht="13.5" customHeight="1" x14ac:dyDescent="0.2">
      <c r="A24" s="19"/>
      <c r="B24" s="20"/>
      <c r="C24" s="34" t="s">
        <v>3519</v>
      </c>
      <c r="D24" s="11"/>
      <c r="E24" s="12"/>
      <c r="F24" s="22"/>
      <c r="G24" s="23"/>
      <c r="H24" s="44">
        <v>250</v>
      </c>
      <c r="I24" s="25"/>
      <c r="J24" s="26"/>
      <c r="K24" s="18">
        <f t="shared" si="0"/>
        <v>3051.4500000000003</v>
      </c>
      <c r="L24" s="18">
        <f t="shared" si="1"/>
        <v>597.18000000000438</v>
      </c>
      <c r="O24" s="420"/>
    </row>
    <row r="25" spans="1:15" ht="13.5" customHeight="1" x14ac:dyDescent="0.2">
      <c r="A25" s="19"/>
      <c r="B25" s="20"/>
      <c r="C25" s="34" t="s">
        <v>3520</v>
      </c>
      <c r="D25" s="11"/>
      <c r="E25" s="12"/>
      <c r="F25" s="22"/>
      <c r="G25" s="23"/>
      <c r="H25" s="44">
        <v>447.18</v>
      </c>
      <c r="I25" s="25"/>
      <c r="J25" s="26"/>
      <c r="K25" s="18">
        <f t="shared" si="0"/>
        <v>3051.4500000000003</v>
      </c>
      <c r="L25" s="18">
        <f t="shared" si="1"/>
        <v>150.00000000000438</v>
      </c>
      <c r="O25" s="420"/>
    </row>
    <row r="26" spans="1:15" ht="13.5" customHeight="1" x14ac:dyDescent="0.2">
      <c r="A26" s="19"/>
      <c r="B26" s="20"/>
      <c r="C26" s="34" t="s">
        <v>1407</v>
      </c>
      <c r="D26" s="11"/>
      <c r="E26" s="12"/>
      <c r="F26" s="22"/>
      <c r="G26" s="23"/>
      <c r="H26" s="24">
        <v>4</v>
      </c>
      <c r="I26" s="25"/>
      <c r="J26" s="26"/>
      <c r="K26" s="18">
        <f t="shared" si="0"/>
        <v>3051.4500000000003</v>
      </c>
      <c r="L26" s="18">
        <f t="shared" si="1"/>
        <v>146.00000000000438</v>
      </c>
    </row>
    <row r="27" spans="1:15" ht="13.5" customHeight="1" x14ac:dyDescent="0.2">
      <c r="A27" s="19"/>
      <c r="B27" s="20"/>
      <c r="C27" s="34" t="s">
        <v>1408</v>
      </c>
      <c r="D27" s="11"/>
      <c r="E27" s="12"/>
      <c r="F27" s="22"/>
      <c r="G27" s="23"/>
      <c r="H27" s="24">
        <v>20</v>
      </c>
      <c r="I27" s="25"/>
      <c r="J27" s="26"/>
      <c r="K27" s="18">
        <f t="shared" si="0"/>
        <v>3051.4500000000003</v>
      </c>
      <c r="L27" s="18">
        <f t="shared" si="1"/>
        <v>126.00000000000438</v>
      </c>
    </row>
    <row r="28" spans="1:15" ht="13.5" customHeight="1" x14ac:dyDescent="0.2">
      <c r="A28" s="19"/>
      <c r="B28" s="20"/>
      <c r="C28" s="34" t="s">
        <v>1409</v>
      </c>
      <c r="D28" s="11"/>
      <c r="E28" s="12"/>
      <c r="F28" s="22"/>
      <c r="G28" s="23"/>
      <c r="H28" s="24">
        <v>23.95</v>
      </c>
      <c r="I28" s="25"/>
      <c r="J28" s="26"/>
      <c r="K28" s="18">
        <f t="shared" si="0"/>
        <v>3051.4500000000003</v>
      </c>
      <c r="L28" s="18">
        <f t="shared" si="1"/>
        <v>102.05000000000437</v>
      </c>
    </row>
    <row r="29" spans="1:15" ht="13.5" customHeight="1" x14ac:dyDescent="0.2">
      <c r="A29" s="19"/>
      <c r="B29" s="20"/>
      <c r="C29" s="34" t="s">
        <v>1410</v>
      </c>
      <c r="D29" s="11"/>
      <c r="E29" s="12"/>
      <c r="F29" s="22"/>
      <c r="G29" s="23"/>
      <c r="H29" s="24">
        <v>58</v>
      </c>
      <c r="I29" s="25"/>
      <c r="J29" s="26"/>
      <c r="K29" s="18">
        <f t="shared" si="0"/>
        <v>3051.4500000000003</v>
      </c>
      <c r="L29" s="18">
        <f t="shared" si="1"/>
        <v>44.050000000004374</v>
      </c>
    </row>
    <row r="30" spans="1:15" ht="13.5" customHeight="1" x14ac:dyDescent="0.2">
      <c r="A30" s="19"/>
      <c r="B30" s="20"/>
      <c r="C30" s="34" t="s">
        <v>1411</v>
      </c>
      <c r="D30" s="11"/>
      <c r="E30" s="12"/>
      <c r="F30" s="22"/>
      <c r="G30" s="23"/>
      <c r="H30" s="24">
        <v>1.98</v>
      </c>
      <c r="I30" s="25"/>
      <c r="J30" s="127"/>
      <c r="K30" s="18">
        <f t="shared" si="0"/>
        <v>3051.4500000000003</v>
      </c>
      <c r="L30" s="18">
        <f t="shared" si="1"/>
        <v>42.070000000004377</v>
      </c>
    </row>
    <row r="31" spans="1:15" ht="13.5" customHeight="1" x14ac:dyDescent="0.2">
      <c r="A31" s="19"/>
      <c r="B31" s="20"/>
      <c r="C31" s="34" t="s">
        <v>1412</v>
      </c>
      <c r="D31" s="11"/>
      <c r="E31" s="12"/>
      <c r="F31" s="22"/>
      <c r="G31" s="23"/>
      <c r="H31" s="24">
        <v>11.9</v>
      </c>
      <c r="I31" s="25"/>
      <c r="J31" s="26"/>
      <c r="K31" s="18">
        <f t="shared" si="0"/>
        <v>3051.4500000000003</v>
      </c>
      <c r="L31" s="18">
        <f t="shared" si="1"/>
        <v>30.170000000004379</v>
      </c>
    </row>
    <row r="32" spans="1:15" ht="13.5" customHeight="1" x14ac:dyDescent="0.2">
      <c r="A32" s="19"/>
      <c r="B32" s="20"/>
      <c r="C32" s="34" t="s">
        <v>1413</v>
      </c>
      <c r="D32" s="11"/>
      <c r="E32" s="12"/>
      <c r="F32" s="22"/>
      <c r="G32" s="23"/>
      <c r="H32" s="24">
        <v>1.9</v>
      </c>
      <c r="I32" s="25"/>
      <c r="J32" s="26"/>
      <c r="K32" s="18">
        <f t="shared" si="0"/>
        <v>3051.4500000000003</v>
      </c>
      <c r="L32" s="18">
        <f t="shared" si="1"/>
        <v>28.27000000000438</v>
      </c>
    </row>
    <row r="33" spans="1:15" ht="13.5" customHeight="1" x14ac:dyDescent="0.2">
      <c r="A33" s="19"/>
      <c r="B33" s="20"/>
      <c r="C33" s="34" t="s">
        <v>1414</v>
      </c>
      <c r="D33" s="11"/>
      <c r="E33" s="12"/>
      <c r="F33" s="22"/>
      <c r="G33" s="23"/>
      <c r="H33" s="24">
        <v>3</v>
      </c>
      <c r="I33" s="25"/>
      <c r="J33" s="39"/>
      <c r="K33" s="18">
        <f t="shared" si="0"/>
        <v>3051.4500000000003</v>
      </c>
      <c r="L33" s="18">
        <f t="shared" si="1"/>
        <v>25.27000000000438</v>
      </c>
    </row>
    <row r="34" spans="1:15" ht="13.5" customHeight="1" x14ac:dyDescent="0.2">
      <c r="A34" s="19"/>
      <c r="B34" s="20"/>
      <c r="C34" s="34" t="s">
        <v>1415</v>
      </c>
      <c r="D34" s="11"/>
      <c r="E34" s="12"/>
      <c r="F34" s="22"/>
      <c r="G34" s="23"/>
      <c r="H34" s="24">
        <v>5.9</v>
      </c>
      <c r="I34" s="25"/>
      <c r="J34" s="26"/>
      <c r="K34" s="18">
        <f t="shared" si="0"/>
        <v>3051.4500000000003</v>
      </c>
      <c r="L34" s="18">
        <f t="shared" si="1"/>
        <v>19.370000000004381</v>
      </c>
    </row>
    <row r="35" spans="1:15" ht="13.5" customHeight="1" x14ac:dyDescent="0.2">
      <c r="A35" s="19"/>
      <c r="B35" s="20"/>
      <c r="C35" s="34" t="s">
        <v>1416</v>
      </c>
      <c r="D35" s="11"/>
      <c r="E35" s="12"/>
      <c r="F35" s="22"/>
      <c r="G35" s="23"/>
      <c r="H35" s="24">
        <v>19.37</v>
      </c>
      <c r="I35" s="25"/>
      <c r="J35" s="26"/>
      <c r="K35" s="18">
        <f t="shared" si="0"/>
        <v>3051.4500000000003</v>
      </c>
      <c r="L35" s="18">
        <f t="shared" si="1"/>
        <v>4.3804959659610176E-12</v>
      </c>
    </row>
    <row r="36" spans="1:15" ht="13.5" customHeight="1" x14ac:dyDescent="0.2">
      <c r="A36" s="19"/>
      <c r="B36" s="20"/>
      <c r="C36" s="34" t="s">
        <v>3533</v>
      </c>
      <c r="D36" s="11"/>
      <c r="E36" s="12"/>
      <c r="F36" s="22"/>
      <c r="G36" s="23"/>
      <c r="H36" s="24"/>
      <c r="I36" s="637">
        <v>242</v>
      </c>
      <c r="J36" s="26"/>
      <c r="K36" s="18">
        <f t="shared" si="0"/>
        <v>3051.4500000000003</v>
      </c>
      <c r="L36" s="18">
        <f t="shared" si="1"/>
        <v>242.00000000000438</v>
      </c>
      <c r="O36" s="420"/>
    </row>
    <row r="37" spans="1:15" ht="13.5" customHeight="1" x14ac:dyDescent="0.2">
      <c r="A37" s="19"/>
      <c r="B37" s="20"/>
      <c r="C37" s="34" t="s">
        <v>3534</v>
      </c>
      <c r="D37" s="11"/>
      <c r="E37" s="12"/>
      <c r="F37" s="22"/>
      <c r="G37" s="23"/>
      <c r="H37" s="24"/>
      <c r="I37" s="418">
        <v>2000</v>
      </c>
      <c r="J37" s="26"/>
      <c r="K37" s="18">
        <f t="shared" si="0"/>
        <v>3051.4500000000003</v>
      </c>
      <c r="L37" s="18">
        <f t="shared" si="1"/>
        <v>2242.0000000000045</v>
      </c>
      <c r="O37" s="420"/>
    </row>
    <row r="38" spans="1:15" ht="13.5" customHeight="1" x14ac:dyDescent="0.2">
      <c r="A38" s="19"/>
      <c r="B38" s="20"/>
      <c r="C38" s="34" t="s">
        <v>1417</v>
      </c>
      <c r="D38" s="11"/>
      <c r="E38" s="12"/>
      <c r="F38" s="22"/>
      <c r="G38" s="23"/>
      <c r="H38" s="24">
        <v>95</v>
      </c>
      <c r="I38" s="25"/>
      <c r="J38" s="26"/>
      <c r="K38" s="18">
        <f t="shared" si="0"/>
        <v>3051.4500000000003</v>
      </c>
      <c r="L38" s="18">
        <f t="shared" si="1"/>
        <v>2147.0000000000045</v>
      </c>
    </row>
    <row r="39" spans="1:15" ht="13.5" customHeight="1" x14ac:dyDescent="0.2">
      <c r="A39" s="19"/>
      <c r="B39" s="20"/>
      <c r="C39" s="34" t="s">
        <v>1417</v>
      </c>
      <c r="D39" s="11"/>
      <c r="E39" s="12"/>
      <c r="F39" s="22"/>
      <c r="G39" s="23"/>
      <c r="H39" s="24">
        <v>126</v>
      </c>
      <c r="I39" s="25"/>
      <c r="J39" s="26"/>
      <c r="K39" s="18">
        <f t="shared" si="0"/>
        <v>3051.4500000000003</v>
      </c>
      <c r="L39" s="18">
        <f t="shared" si="1"/>
        <v>2021.0000000000045</v>
      </c>
    </row>
    <row r="40" spans="1:15" ht="13.5" customHeight="1" x14ac:dyDescent="0.2">
      <c r="A40" s="19"/>
      <c r="B40" s="20"/>
      <c r="C40" s="21" t="s">
        <v>294</v>
      </c>
      <c r="D40" s="11"/>
      <c r="E40" s="12"/>
      <c r="F40" s="22"/>
      <c r="G40" s="23"/>
      <c r="H40" s="24">
        <v>19.899999999999999</v>
      </c>
      <c r="I40" s="25"/>
      <c r="J40" s="26"/>
      <c r="K40" s="18">
        <f t="shared" si="0"/>
        <v>3051.4500000000003</v>
      </c>
      <c r="L40" s="18">
        <f t="shared" si="1"/>
        <v>2001.1000000000045</v>
      </c>
    </row>
    <row r="41" spans="1:15" ht="13.5" customHeight="1" x14ac:dyDescent="0.2">
      <c r="A41" s="19"/>
      <c r="B41" s="20"/>
      <c r="C41" s="34" t="s">
        <v>1418</v>
      </c>
      <c r="D41" s="11"/>
      <c r="E41" s="12"/>
      <c r="F41" s="22"/>
      <c r="G41" s="23"/>
      <c r="H41" s="24"/>
      <c r="I41" s="25">
        <v>1450</v>
      </c>
      <c r="J41" s="26"/>
      <c r="K41" s="18">
        <f t="shared" si="0"/>
        <v>3051.4500000000003</v>
      </c>
      <c r="L41" s="18">
        <f t="shared" si="1"/>
        <v>3451.1000000000045</v>
      </c>
    </row>
    <row r="42" spans="1:15" ht="13.5" customHeight="1" x14ac:dyDescent="0.2">
      <c r="A42" s="19"/>
      <c r="B42" s="20"/>
      <c r="C42" s="34" t="s">
        <v>1419</v>
      </c>
      <c r="D42" s="11"/>
      <c r="E42" s="12"/>
      <c r="F42" s="22"/>
      <c r="G42" s="23"/>
      <c r="H42" s="24"/>
      <c r="I42" s="25">
        <v>600</v>
      </c>
      <c r="J42" s="39"/>
      <c r="K42" s="18">
        <f t="shared" si="0"/>
        <v>3051.4500000000003</v>
      </c>
      <c r="L42" s="18">
        <f t="shared" si="1"/>
        <v>4051.1000000000045</v>
      </c>
    </row>
    <row r="43" spans="1:15" ht="13.5" customHeight="1" x14ac:dyDescent="0.2">
      <c r="A43" s="19"/>
      <c r="B43" s="20"/>
      <c r="C43" s="34" t="s">
        <v>318</v>
      </c>
      <c r="D43" s="11"/>
      <c r="E43" s="12"/>
      <c r="F43" s="22"/>
      <c r="G43" s="23"/>
      <c r="H43" s="24">
        <v>585</v>
      </c>
      <c r="I43" s="25"/>
      <c r="J43" s="26"/>
      <c r="K43" s="18">
        <f t="shared" si="0"/>
        <v>3051.4500000000003</v>
      </c>
      <c r="L43" s="18">
        <f t="shared" si="1"/>
        <v>3466.1000000000045</v>
      </c>
    </row>
    <row r="44" spans="1:15" ht="13.5" customHeight="1" x14ac:dyDescent="0.2">
      <c r="A44" s="19"/>
      <c r="B44" s="20"/>
      <c r="C44" s="34" t="s">
        <v>1303</v>
      </c>
      <c r="D44" s="11"/>
      <c r="E44" s="12"/>
      <c r="F44" s="22"/>
      <c r="G44" s="23"/>
      <c r="H44" s="24">
        <v>300</v>
      </c>
      <c r="I44" s="25"/>
      <c r="J44" s="26"/>
      <c r="K44" s="18">
        <f t="shared" si="0"/>
        <v>3051.4500000000003</v>
      </c>
      <c r="L44" s="18">
        <f t="shared" si="1"/>
        <v>3166.1000000000045</v>
      </c>
    </row>
    <row r="45" spans="1:15" ht="13.5" customHeight="1" x14ac:dyDescent="0.2">
      <c r="A45" s="19"/>
      <c r="B45" s="20"/>
      <c r="C45" s="34" t="s">
        <v>52</v>
      </c>
      <c r="D45" s="11"/>
      <c r="E45" s="12"/>
      <c r="F45" s="22"/>
      <c r="G45" s="23"/>
      <c r="H45" s="24">
        <v>450</v>
      </c>
      <c r="I45" s="25"/>
      <c r="J45" s="26"/>
      <c r="K45" s="18">
        <f t="shared" si="0"/>
        <v>3051.4500000000003</v>
      </c>
      <c r="L45" s="18">
        <f t="shared" si="1"/>
        <v>2716.1000000000045</v>
      </c>
    </row>
    <row r="46" spans="1:15" ht="13.5" customHeight="1" x14ac:dyDescent="0.2">
      <c r="A46" s="19"/>
      <c r="B46" s="20"/>
      <c r="C46" s="21" t="s">
        <v>1420</v>
      </c>
      <c r="D46" s="11"/>
      <c r="E46" s="12"/>
      <c r="F46" s="22"/>
      <c r="G46" s="23"/>
      <c r="H46" s="24"/>
      <c r="I46" s="25">
        <v>1976</v>
      </c>
      <c r="J46" s="26"/>
      <c r="K46" s="18">
        <f t="shared" si="0"/>
        <v>3051.4500000000003</v>
      </c>
      <c r="L46" s="18">
        <f t="shared" si="1"/>
        <v>4692.100000000004</v>
      </c>
    </row>
    <row r="47" spans="1:15" ht="13.5" customHeight="1" x14ac:dyDescent="0.2">
      <c r="A47" s="19"/>
      <c r="B47" s="20"/>
      <c r="C47" s="34" t="s">
        <v>1421</v>
      </c>
      <c r="D47" s="11"/>
      <c r="E47" s="12"/>
      <c r="F47" s="22"/>
      <c r="G47" s="23"/>
      <c r="H47" s="24">
        <v>350</v>
      </c>
      <c r="I47" s="25"/>
      <c r="J47" s="26">
        <v>4342.1000000000004</v>
      </c>
      <c r="K47" s="18">
        <f t="shared" si="0"/>
        <v>3051.4500000000003</v>
      </c>
      <c r="L47" s="18">
        <f t="shared" si="1"/>
        <v>4342.100000000004</v>
      </c>
    </row>
    <row r="48" spans="1:15" ht="13.5" customHeight="1" x14ac:dyDescent="0.2">
      <c r="A48" s="46" t="s">
        <v>3530</v>
      </c>
      <c r="B48" s="46"/>
      <c r="C48" s="34" t="s">
        <v>3531</v>
      </c>
      <c r="D48" s="42" t="s">
        <v>3532</v>
      </c>
      <c r="E48" s="43" t="s">
        <v>549</v>
      </c>
      <c r="F48" s="272">
        <v>190</v>
      </c>
      <c r="G48" s="23">
        <v>3241.45</v>
      </c>
      <c r="H48" s="24"/>
      <c r="I48" s="25"/>
      <c r="J48" s="26"/>
      <c r="K48" s="18">
        <f t="shared" si="0"/>
        <v>3241.4500000000003</v>
      </c>
      <c r="L48" s="18">
        <f t="shared" si="1"/>
        <v>4342.100000000004</v>
      </c>
      <c r="O48" s="420"/>
    </row>
    <row r="49" spans="1:15" ht="13.5" customHeight="1" x14ac:dyDescent="0.2">
      <c r="A49" s="19">
        <v>43507</v>
      </c>
      <c r="B49" s="20"/>
      <c r="C49" s="34" t="s">
        <v>1422</v>
      </c>
      <c r="D49" s="11"/>
      <c r="E49" s="12"/>
      <c r="F49" s="22"/>
      <c r="G49" s="23"/>
      <c r="H49" s="24"/>
      <c r="I49" s="25">
        <v>80</v>
      </c>
      <c r="J49" s="26">
        <v>4422.1000000000004</v>
      </c>
      <c r="K49" s="18">
        <f t="shared" si="0"/>
        <v>3241.4500000000003</v>
      </c>
      <c r="L49" s="18">
        <f t="shared" si="1"/>
        <v>4422.100000000004</v>
      </c>
    </row>
    <row r="50" spans="1:15" ht="13.5" customHeight="1" x14ac:dyDescent="0.2">
      <c r="A50" s="19"/>
      <c r="B50" s="20"/>
      <c r="C50" s="34" t="s">
        <v>1423</v>
      </c>
      <c r="D50" s="11"/>
      <c r="E50" s="12"/>
      <c r="F50" s="22"/>
      <c r="G50" s="23"/>
      <c r="H50" s="174">
        <v>600</v>
      </c>
      <c r="I50" s="25"/>
      <c r="J50" s="26">
        <v>3822.1000000000004</v>
      </c>
      <c r="K50" s="18">
        <f t="shared" si="0"/>
        <v>3241.4500000000003</v>
      </c>
      <c r="L50" s="18">
        <f t="shared" si="1"/>
        <v>3822.100000000004</v>
      </c>
    </row>
    <row r="51" spans="1:15" ht="13.5" customHeight="1" x14ac:dyDescent="0.2">
      <c r="A51" s="19"/>
      <c r="B51" s="20"/>
      <c r="C51" s="36" t="s">
        <v>1424</v>
      </c>
      <c r="D51" s="11" t="s">
        <v>19</v>
      </c>
      <c r="E51" s="12">
        <v>-46.79</v>
      </c>
      <c r="F51" s="22" t="s">
        <v>549</v>
      </c>
      <c r="G51" s="23">
        <v>3194.66</v>
      </c>
      <c r="H51" s="24"/>
      <c r="I51" s="25"/>
      <c r="J51" s="26"/>
      <c r="K51" s="18">
        <f t="shared" si="0"/>
        <v>3194.6600000000003</v>
      </c>
      <c r="L51" s="18">
        <f t="shared" si="1"/>
        <v>3822.100000000004</v>
      </c>
    </row>
    <row r="52" spans="1:15" ht="13.5" customHeight="1" x14ac:dyDescent="0.2">
      <c r="A52" s="19"/>
      <c r="B52" s="20"/>
      <c r="C52" s="34" t="s">
        <v>62</v>
      </c>
      <c r="D52" s="11" t="s">
        <v>19</v>
      </c>
      <c r="E52" s="12">
        <v>-390.74</v>
      </c>
      <c r="F52" s="22" t="s">
        <v>549</v>
      </c>
      <c r="G52" s="23">
        <v>2803.92</v>
      </c>
      <c r="H52" s="24"/>
      <c r="I52" s="25"/>
      <c r="J52" s="26"/>
      <c r="K52" s="18">
        <f t="shared" si="0"/>
        <v>2803.92</v>
      </c>
      <c r="L52" s="18">
        <f t="shared" si="1"/>
        <v>3822.100000000004</v>
      </c>
    </row>
    <row r="53" spans="1:15" ht="13.5" customHeight="1" x14ac:dyDescent="0.2">
      <c r="A53" s="19"/>
      <c r="B53" s="20"/>
      <c r="C53" s="34" t="s">
        <v>68</v>
      </c>
      <c r="D53" s="11" t="s">
        <v>722</v>
      </c>
      <c r="E53" s="12">
        <v>-129.9</v>
      </c>
      <c r="F53" s="22" t="s">
        <v>549</v>
      </c>
      <c r="G53" s="23">
        <v>2674.02</v>
      </c>
      <c r="H53" s="24"/>
      <c r="I53" s="25"/>
      <c r="J53" s="39"/>
      <c r="K53" s="18">
        <f t="shared" si="0"/>
        <v>2674.02</v>
      </c>
      <c r="L53" s="18">
        <f t="shared" si="1"/>
        <v>3822.100000000004</v>
      </c>
    </row>
    <row r="54" spans="1:15" ht="12.75" customHeight="1" x14ac:dyDescent="0.2">
      <c r="A54" s="19"/>
      <c r="B54" s="20"/>
      <c r="C54" s="34" t="s">
        <v>1423</v>
      </c>
      <c r="D54" s="11" t="s">
        <v>1425</v>
      </c>
      <c r="E54" s="12" t="s">
        <v>549</v>
      </c>
      <c r="F54" s="162">
        <v>600</v>
      </c>
      <c r="G54" s="23">
        <v>3274.02</v>
      </c>
      <c r="H54" s="24"/>
      <c r="I54" s="25"/>
      <c r="J54" s="26"/>
      <c r="K54" s="18">
        <f t="shared" si="0"/>
        <v>3274.02</v>
      </c>
      <c r="L54" s="18">
        <f t="shared" si="1"/>
        <v>3822.100000000004</v>
      </c>
    </row>
    <row r="55" spans="1:15" ht="13.5" customHeight="1" x14ac:dyDescent="0.2">
      <c r="A55" s="19">
        <v>43508</v>
      </c>
      <c r="B55" s="20"/>
      <c r="C55" s="34" t="s">
        <v>1426</v>
      </c>
      <c r="D55" s="11"/>
      <c r="E55" s="12"/>
      <c r="F55" s="22"/>
      <c r="G55" s="23"/>
      <c r="H55" s="24"/>
      <c r="I55" s="25">
        <v>3500</v>
      </c>
      <c r="J55" s="26"/>
      <c r="K55" s="18">
        <f t="shared" si="0"/>
        <v>3274.02</v>
      </c>
      <c r="L55" s="18">
        <f t="shared" si="1"/>
        <v>7322.100000000004</v>
      </c>
    </row>
    <row r="56" spans="1:15" ht="13.5" customHeight="1" x14ac:dyDescent="0.2">
      <c r="A56" s="19"/>
      <c r="B56" s="20"/>
      <c r="C56" s="34" t="s">
        <v>3528</v>
      </c>
      <c r="D56" s="11"/>
      <c r="E56" s="12"/>
      <c r="F56" s="22"/>
      <c r="G56" s="23"/>
      <c r="H56" s="174">
        <v>3500</v>
      </c>
      <c r="I56" s="25"/>
      <c r="J56" s="26"/>
      <c r="K56" s="18">
        <f t="shared" si="0"/>
        <v>3274.02</v>
      </c>
      <c r="L56" s="18">
        <f t="shared" si="1"/>
        <v>3822.100000000004</v>
      </c>
      <c r="O56" s="420"/>
    </row>
    <row r="57" spans="1:15" ht="13.5" customHeight="1" x14ac:dyDescent="0.2">
      <c r="A57" s="19"/>
      <c r="B57" s="20"/>
      <c r="C57" s="34" t="s">
        <v>1427</v>
      </c>
      <c r="D57" s="11"/>
      <c r="E57" s="12"/>
      <c r="F57" s="22"/>
      <c r="G57" s="23"/>
      <c r="H57" s="24">
        <v>13</v>
      </c>
      <c r="I57" s="25"/>
      <c r="J57" s="26">
        <v>3809.1000000000004</v>
      </c>
      <c r="K57" s="18">
        <f t="shared" si="0"/>
        <v>3274.02</v>
      </c>
      <c r="L57" s="18">
        <f t="shared" si="1"/>
        <v>3809.100000000004</v>
      </c>
    </row>
    <row r="58" spans="1:15" ht="13.5" customHeight="1" x14ac:dyDescent="0.2">
      <c r="A58" s="19"/>
      <c r="B58" s="20"/>
      <c r="C58" s="34" t="s">
        <v>87</v>
      </c>
      <c r="D58" s="11" t="s">
        <v>19</v>
      </c>
      <c r="E58" s="12">
        <v>-37.93</v>
      </c>
      <c r="F58" s="22" t="s">
        <v>549</v>
      </c>
      <c r="G58" s="23">
        <v>3236.09</v>
      </c>
      <c r="H58" s="24"/>
      <c r="I58" s="25"/>
      <c r="J58" s="26"/>
      <c r="K58" s="18">
        <f t="shared" si="0"/>
        <v>3236.09</v>
      </c>
      <c r="L58" s="18">
        <f t="shared" si="1"/>
        <v>3809.100000000004</v>
      </c>
      <c r="O58" s="18">
        <f>H50+H19</f>
        <v>749</v>
      </c>
    </row>
    <row r="59" spans="1:15" ht="13.5" customHeight="1" x14ac:dyDescent="0.2">
      <c r="A59" s="19">
        <v>43509</v>
      </c>
      <c r="B59" s="20"/>
      <c r="C59" s="34" t="s">
        <v>1428</v>
      </c>
      <c r="D59" s="11"/>
      <c r="E59" s="12"/>
      <c r="F59" s="22"/>
      <c r="G59" s="23"/>
      <c r="H59" s="44">
        <v>3000</v>
      </c>
      <c r="I59" s="25"/>
      <c r="J59" s="26"/>
      <c r="K59" s="18">
        <f t="shared" si="0"/>
        <v>3236.09</v>
      </c>
      <c r="L59" s="18">
        <f t="shared" si="1"/>
        <v>809.100000000004</v>
      </c>
    </row>
    <row r="60" spans="1:15" ht="13.5" customHeight="1" x14ac:dyDescent="0.2">
      <c r="A60" s="19"/>
      <c r="B60" s="20"/>
      <c r="C60" s="34" t="s">
        <v>1429</v>
      </c>
      <c r="D60" s="11"/>
      <c r="E60" s="12"/>
      <c r="F60" s="22"/>
      <c r="G60" s="23"/>
      <c r="H60" s="24"/>
      <c r="I60" s="25">
        <v>185</v>
      </c>
      <c r="J60" s="26">
        <v>994.10000000000036</v>
      </c>
      <c r="K60" s="18">
        <f t="shared" si="0"/>
        <v>3236.09</v>
      </c>
      <c r="L60" s="18">
        <f t="shared" si="1"/>
        <v>994.100000000004</v>
      </c>
    </row>
    <row r="61" spans="1:15" ht="13.5" customHeight="1" x14ac:dyDescent="0.2">
      <c r="A61" s="19"/>
      <c r="B61" s="20"/>
      <c r="C61" s="34" t="s">
        <v>3528</v>
      </c>
      <c r="D61" s="11" t="s">
        <v>3529</v>
      </c>
      <c r="E61" s="12" t="s">
        <v>549</v>
      </c>
      <c r="F61" s="162">
        <v>3500</v>
      </c>
      <c r="G61" s="23">
        <v>6736.09</v>
      </c>
      <c r="H61" s="24"/>
      <c r="I61" s="25"/>
      <c r="J61" s="26"/>
      <c r="K61" s="18">
        <f t="shared" si="0"/>
        <v>6736.09</v>
      </c>
      <c r="L61" s="18">
        <f t="shared" si="1"/>
        <v>994.100000000004</v>
      </c>
      <c r="O61" s="420"/>
    </row>
    <row r="62" spans="1:15" ht="13.5" customHeight="1" x14ac:dyDescent="0.2">
      <c r="A62" s="19">
        <v>43510</v>
      </c>
      <c r="B62" s="20"/>
      <c r="C62" s="34" t="s">
        <v>1430</v>
      </c>
      <c r="D62" s="11"/>
      <c r="E62" s="12"/>
      <c r="F62" s="22"/>
      <c r="G62" s="23"/>
      <c r="H62" s="24">
        <v>17.5</v>
      </c>
      <c r="I62" s="25"/>
      <c r="J62" s="26"/>
      <c r="K62" s="18">
        <f t="shared" si="0"/>
        <v>6736.09</v>
      </c>
      <c r="L62" s="18">
        <f t="shared" si="1"/>
        <v>976.600000000004</v>
      </c>
    </row>
    <row r="63" spans="1:15" ht="13.5" customHeight="1" x14ac:dyDescent="0.2">
      <c r="A63" s="19"/>
      <c r="B63" s="20"/>
      <c r="C63" s="34" t="s">
        <v>1431</v>
      </c>
      <c r="D63" s="11"/>
      <c r="E63" s="12"/>
      <c r="F63" s="22"/>
      <c r="G63" s="23"/>
      <c r="H63" s="24">
        <v>30</v>
      </c>
      <c r="I63" s="25"/>
      <c r="J63" s="39"/>
      <c r="K63" s="18">
        <f t="shared" si="0"/>
        <v>6736.09</v>
      </c>
      <c r="L63" s="18">
        <f t="shared" si="1"/>
        <v>946.600000000004</v>
      </c>
    </row>
    <row r="64" spans="1:15" ht="13.5" customHeight="1" x14ac:dyDescent="0.2">
      <c r="A64" s="19"/>
      <c r="B64" s="20"/>
      <c r="C64" s="34" t="s">
        <v>1432</v>
      </c>
      <c r="D64" s="11"/>
      <c r="E64" s="12"/>
      <c r="F64" s="22"/>
      <c r="G64" s="23"/>
      <c r="H64" s="24">
        <v>50</v>
      </c>
      <c r="I64" s="25"/>
      <c r="J64" s="26"/>
      <c r="K64" s="18">
        <f t="shared" si="0"/>
        <v>6736.09</v>
      </c>
      <c r="L64" s="18">
        <f t="shared" si="1"/>
        <v>896.600000000004</v>
      </c>
    </row>
    <row r="65" spans="1:12" ht="13.5" customHeight="1" x14ac:dyDescent="0.2">
      <c r="A65" s="19"/>
      <c r="B65" s="20"/>
      <c r="C65" s="36" t="s">
        <v>1433</v>
      </c>
      <c r="D65" s="11"/>
      <c r="E65" s="12"/>
      <c r="F65" s="22"/>
      <c r="G65" s="23"/>
      <c r="H65" s="24">
        <v>13</v>
      </c>
      <c r="I65" s="25"/>
      <c r="J65" s="26"/>
      <c r="K65" s="18">
        <f t="shared" si="0"/>
        <v>6736.09</v>
      </c>
      <c r="L65" s="18">
        <f t="shared" si="1"/>
        <v>883.600000000004</v>
      </c>
    </row>
    <row r="66" spans="1:12" ht="13.5" customHeight="1" x14ac:dyDescent="0.2">
      <c r="A66" s="19"/>
      <c r="B66" s="20"/>
      <c r="C66" s="36" t="s">
        <v>1434</v>
      </c>
      <c r="D66" s="11"/>
      <c r="E66" s="12"/>
      <c r="F66" s="22"/>
      <c r="G66" s="23"/>
      <c r="H66" s="24">
        <v>12.4</v>
      </c>
      <c r="I66" s="25"/>
      <c r="J66" s="26"/>
      <c r="K66" s="18">
        <f t="shared" si="0"/>
        <v>6736.09</v>
      </c>
      <c r="L66" s="18">
        <f t="shared" si="1"/>
        <v>871.20000000000402</v>
      </c>
    </row>
    <row r="67" spans="1:12" ht="13.5" customHeight="1" x14ac:dyDescent="0.2">
      <c r="A67" s="19"/>
      <c r="B67" s="20"/>
      <c r="C67" s="34" t="s">
        <v>1435</v>
      </c>
      <c r="D67" s="11"/>
      <c r="E67" s="12"/>
      <c r="F67" s="22"/>
      <c r="G67" s="23"/>
      <c r="H67" s="24">
        <v>15.96</v>
      </c>
      <c r="I67" s="25"/>
      <c r="J67" s="26"/>
      <c r="K67" s="18">
        <f t="shared" si="0"/>
        <v>6736.09</v>
      </c>
      <c r="L67" s="18">
        <f t="shared" si="1"/>
        <v>855.24000000000399</v>
      </c>
    </row>
    <row r="68" spans="1:12" ht="13.5" customHeight="1" x14ac:dyDescent="0.2">
      <c r="A68" s="19"/>
      <c r="B68" s="20"/>
      <c r="C68" s="34" t="s">
        <v>1436</v>
      </c>
      <c r="D68" s="11"/>
      <c r="E68" s="12"/>
      <c r="F68" s="22"/>
      <c r="G68" s="23"/>
      <c r="H68" s="24">
        <v>44.18</v>
      </c>
      <c r="I68" s="25"/>
      <c r="J68" s="26"/>
      <c r="K68" s="18">
        <f t="shared" si="0"/>
        <v>6736.09</v>
      </c>
      <c r="L68" s="18">
        <f t="shared" si="1"/>
        <v>811.06000000000404</v>
      </c>
    </row>
    <row r="69" spans="1:12" ht="13.5" customHeight="1" x14ac:dyDescent="0.2">
      <c r="A69" s="19"/>
      <c r="B69" s="27"/>
      <c r="C69" s="36" t="s">
        <v>1437</v>
      </c>
      <c r="D69" s="27"/>
      <c r="E69" s="27"/>
      <c r="F69" s="27"/>
      <c r="G69" s="23"/>
      <c r="H69" s="38">
        <v>8.98</v>
      </c>
      <c r="I69" s="38"/>
      <c r="J69" s="39"/>
      <c r="K69" s="18">
        <f t="shared" ref="K69:K132" si="2">SUM(K68,F69,E69)</f>
        <v>6736.09</v>
      </c>
      <c r="L69" s="18">
        <f t="shared" ref="L69:L132" si="3">L68+I69-H69</f>
        <v>802.08000000000402</v>
      </c>
    </row>
    <row r="70" spans="1:12" ht="13.5" customHeight="1" x14ac:dyDescent="0.2">
      <c r="A70" s="27"/>
      <c r="B70" s="27"/>
      <c r="C70" s="36" t="s">
        <v>1438</v>
      </c>
      <c r="D70" s="27"/>
      <c r="E70" s="27"/>
      <c r="F70" s="27"/>
      <c r="G70" s="23"/>
      <c r="H70" s="38">
        <v>5.9</v>
      </c>
      <c r="I70" s="38"/>
      <c r="J70" s="39"/>
      <c r="K70" s="18">
        <f t="shared" si="2"/>
        <v>6736.09</v>
      </c>
      <c r="L70" s="18">
        <f t="shared" si="3"/>
        <v>796.18000000000404</v>
      </c>
    </row>
    <row r="71" spans="1:12" ht="13.5" customHeight="1" x14ac:dyDescent="0.2">
      <c r="A71" s="27"/>
      <c r="B71" s="27"/>
      <c r="C71" s="33" t="s">
        <v>1439</v>
      </c>
      <c r="D71" s="27"/>
      <c r="E71" s="27"/>
      <c r="F71" s="27"/>
      <c r="G71" s="23"/>
      <c r="H71" s="38">
        <v>300</v>
      </c>
      <c r="I71" s="38"/>
      <c r="J71" s="39"/>
      <c r="K71" s="18">
        <f t="shared" si="2"/>
        <v>6736.09</v>
      </c>
      <c r="L71" s="18">
        <f t="shared" si="3"/>
        <v>496.18000000000404</v>
      </c>
    </row>
    <row r="72" spans="1:12" ht="13.5" customHeight="1" x14ac:dyDescent="0.2">
      <c r="A72" s="27"/>
      <c r="B72" s="27"/>
      <c r="C72" s="36" t="s">
        <v>1440</v>
      </c>
      <c r="D72" s="27"/>
      <c r="E72" s="27"/>
      <c r="F72" s="27"/>
      <c r="G72" s="23"/>
      <c r="H72" s="38">
        <v>2</v>
      </c>
      <c r="I72" s="38"/>
      <c r="J72" s="39"/>
      <c r="K72" s="18">
        <f t="shared" si="2"/>
        <v>6736.09</v>
      </c>
      <c r="L72" s="18">
        <f t="shared" si="3"/>
        <v>494.18000000000404</v>
      </c>
    </row>
    <row r="73" spans="1:12" ht="13.5" customHeight="1" x14ac:dyDescent="0.2">
      <c r="A73" s="27"/>
      <c r="B73" s="27"/>
      <c r="C73" s="36" t="s">
        <v>1441</v>
      </c>
      <c r="D73" s="27"/>
      <c r="E73" s="27"/>
      <c r="F73" s="27"/>
      <c r="G73" s="23"/>
      <c r="H73" s="38">
        <v>11.02</v>
      </c>
      <c r="I73" s="38"/>
      <c r="J73" s="39">
        <v>483.16000000000042</v>
      </c>
      <c r="K73" s="18">
        <f t="shared" si="2"/>
        <v>6736.09</v>
      </c>
      <c r="L73" s="18">
        <f t="shared" si="3"/>
        <v>483.16000000000406</v>
      </c>
    </row>
    <row r="74" spans="1:12" ht="13.5" customHeight="1" x14ac:dyDescent="0.2">
      <c r="A74" s="19">
        <v>43511</v>
      </c>
      <c r="B74" s="20"/>
      <c r="C74" s="34" t="s">
        <v>1421</v>
      </c>
      <c r="D74" s="11"/>
      <c r="E74" s="12"/>
      <c r="F74" s="22"/>
      <c r="G74" s="23"/>
      <c r="H74" s="24">
        <v>350</v>
      </c>
      <c r="I74" s="25"/>
      <c r="J74" s="26"/>
      <c r="K74" s="18">
        <f t="shared" si="2"/>
        <v>6736.09</v>
      </c>
      <c r="L74" s="18">
        <f t="shared" si="3"/>
        <v>133.16000000000406</v>
      </c>
    </row>
    <row r="75" spans="1:12" ht="13.5" customHeight="1" x14ac:dyDescent="0.2">
      <c r="A75" s="19"/>
      <c r="B75" s="20"/>
      <c r="C75" s="36" t="s">
        <v>1442</v>
      </c>
      <c r="D75" s="11"/>
      <c r="E75" s="12"/>
      <c r="F75" s="22"/>
      <c r="G75" s="23"/>
      <c r="H75" s="24"/>
      <c r="I75" s="418">
        <v>1500</v>
      </c>
      <c r="J75" s="26"/>
      <c r="K75" s="18">
        <f t="shared" si="2"/>
        <v>6736.09</v>
      </c>
      <c r="L75" s="18">
        <f t="shared" si="3"/>
        <v>1633.1600000000039</v>
      </c>
    </row>
    <row r="76" spans="1:12" ht="13.5" customHeight="1" x14ac:dyDescent="0.2">
      <c r="A76" s="19"/>
      <c r="B76" s="20"/>
      <c r="C76" s="34" t="s">
        <v>318</v>
      </c>
      <c r="D76" s="11"/>
      <c r="E76" s="12"/>
      <c r="F76" s="22"/>
      <c r="G76" s="23"/>
      <c r="H76" s="24">
        <v>650</v>
      </c>
      <c r="I76" s="25"/>
      <c r="J76" s="26"/>
      <c r="K76" s="18">
        <f t="shared" si="2"/>
        <v>6736.09</v>
      </c>
      <c r="L76" s="18">
        <f t="shared" si="3"/>
        <v>983.16000000000395</v>
      </c>
    </row>
    <row r="77" spans="1:12" ht="13.5" customHeight="1" x14ac:dyDescent="0.2">
      <c r="A77" s="19"/>
      <c r="B77" s="27"/>
      <c r="C77" s="36" t="s">
        <v>1303</v>
      </c>
      <c r="D77" s="27"/>
      <c r="E77" s="27"/>
      <c r="F77" s="27"/>
      <c r="G77" s="23"/>
      <c r="H77" s="38">
        <v>300</v>
      </c>
      <c r="I77" s="38"/>
      <c r="J77" s="39"/>
      <c r="K77" s="18">
        <f t="shared" si="2"/>
        <v>6736.09</v>
      </c>
      <c r="L77" s="18">
        <f t="shared" si="3"/>
        <v>683.16000000000395</v>
      </c>
    </row>
    <row r="78" spans="1:12" ht="13.5" customHeight="1" x14ac:dyDescent="0.2">
      <c r="A78" s="19"/>
      <c r="B78" s="27"/>
      <c r="C78" s="36" t="s">
        <v>52</v>
      </c>
      <c r="D78" s="27"/>
      <c r="E78" s="27"/>
      <c r="F78" s="27"/>
      <c r="G78" s="23"/>
      <c r="H78" s="38">
        <v>360</v>
      </c>
      <c r="I78" s="38"/>
      <c r="J78" s="39">
        <v>323.16000000000031</v>
      </c>
      <c r="K78" s="18">
        <f t="shared" si="2"/>
        <v>6736.09</v>
      </c>
      <c r="L78" s="18">
        <f t="shared" si="3"/>
        <v>323.16000000000395</v>
      </c>
    </row>
    <row r="79" spans="1:12" ht="13.5" customHeight="1" x14ac:dyDescent="0.2">
      <c r="A79" s="19"/>
      <c r="B79" s="20"/>
      <c r="C79" s="34" t="s">
        <v>86</v>
      </c>
      <c r="D79" s="11" t="s">
        <v>19</v>
      </c>
      <c r="E79" s="12">
        <v>-72.900000000000006</v>
      </c>
      <c r="F79" s="22" t="s">
        <v>549</v>
      </c>
      <c r="G79" s="23"/>
      <c r="H79" s="24"/>
      <c r="I79" s="25"/>
      <c r="J79" s="26"/>
      <c r="K79" s="18">
        <f t="shared" si="2"/>
        <v>6663.1900000000005</v>
      </c>
      <c r="L79" s="18">
        <f t="shared" si="3"/>
        <v>323.16000000000395</v>
      </c>
    </row>
    <row r="80" spans="1:12" ht="13.5" customHeight="1" x14ac:dyDescent="0.2">
      <c r="A80" s="19"/>
      <c r="B80" s="20"/>
      <c r="C80" s="21" t="s">
        <v>113</v>
      </c>
      <c r="D80" s="11" t="s">
        <v>1443</v>
      </c>
      <c r="E80" s="12">
        <v>-267</v>
      </c>
      <c r="F80" s="22" t="s">
        <v>549</v>
      </c>
      <c r="G80" s="23"/>
      <c r="H80" s="24"/>
      <c r="I80" s="25"/>
      <c r="J80" s="26"/>
      <c r="K80" s="18">
        <f t="shared" si="2"/>
        <v>6396.1900000000005</v>
      </c>
      <c r="L80" s="18">
        <f t="shared" si="3"/>
        <v>323.16000000000395</v>
      </c>
    </row>
    <row r="81" spans="1:12" ht="13.5" customHeight="1" x14ac:dyDescent="0.2">
      <c r="A81" s="19"/>
      <c r="B81" s="20"/>
      <c r="C81" s="34" t="s">
        <v>114</v>
      </c>
      <c r="D81" s="11" t="s">
        <v>19</v>
      </c>
      <c r="E81" s="12">
        <v>-222.25</v>
      </c>
      <c r="F81" s="22" t="s">
        <v>549</v>
      </c>
      <c r="G81" s="23"/>
      <c r="H81" s="24"/>
      <c r="I81" s="25"/>
      <c r="J81" s="26"/>
      <c r="K81" s="18">
        <f t="shared" si="2"/>
        <v>6173.9400000000005</v>
      </c>
      <c r="L81" s="18">
        <f t="shared" si="3"/>
        <v>323.16000000000395</v>
      </c>
    </row>
    <row r="82" spans="1:12" ht="13.5" customHeight="1" x14ac:dyDescent="0.2">
      <c r="A82" s="19"/>
      <c r="B82" s="20"/>
      <c r="C82" s="34" t="s">
        <v>20</v>
      </c>
      <c r="D82" s="11" t="s">
        <v>19</v>
      </c>
      <c r="E82" s="12" t="s">
        <v>549</v>
      </c>
      <c r="F82" s="22">
        <v>0.02</v>
      </c>
      <c r="G82" s="23">
        <v>6173.96</v>
      </c>
      <c r="H82" s="24"/>
      <c r="I82" s="25"/>
      <c r="J82" s="26"/>
      <c r="K82" s="18">
        <f t="shared" si="2"/>
        <v>6173.9600000000009</v>
      </c>
      <c r="L82" s="18">
        <f t="shared" si="3"/>
        <v>323.16000000000395</v>
      </c>
    </row>
    <row r="83" spans="1:12" ht="13.5" customHeight="1" x14ac:dyDescent="0.2">
      <c r="A83" s="19">
        <v>43514</v>
      </c>
      <c r="B83" s="20"/>
      <c r="C83" s="21" t="s">
        <v>1444</v>
      </c>
      <c r="D83" s="11"/>
      <c r="E83" s="12"/>
      <c r="F83" s="22"/>
      <c r="G83" s="23"/>
      <c r="H83" s="24">
        <v>61.3</v>
      </c>
      <c r="I83" s="25"/>
      <c r="J83" s="26"/>
      <c r="K83" s="18">
        <f t="shared" si="2"/>
        <v>6173.9600000000009</v>
      </c>
      <c r="L83" s="18">
        <f t="shared" si="3"/>
        <v>261.86000000000394</v>
      </c>
    </row>
    <row r="84" spans="1:12" ht="13.5" customHeight="1" x14ac:dyDescent="0.2">
      <c r="A84" s="19"/>
      <c r="B84" s="20"/>
      <c r="C84" s="21" t="s">
        <v>1445</v>
      </c>
      <c r="D84" s="11"/>
      <c r="E84" s="12"/>
      <c r="F84" s="22"/>
      <c r="G84" s="23"/>
      <c r="H84" s="24">
        <v>40</v>
      </c>
      <c r="I84" s="25"/>
      <c r="J84" s="26"/>
      <c r="K84" s="18">
        <f t="shared" si="2"/>
        <v>6173.9600000000009</v>
      </c>
      <c r="L84" s="18">
        <f t="shared" si="3"/>
        <v>221.86000000000394</v>
      </c>
    </row>
    <row r="85" spans="1:12" ht="13.5" customHeight="1" x14ac:dyDescent="0.2">
      <c r="A85" s="19"/>
      <c r="B85" s="20"/>
      <c r="C85" s="21" t="s">
        <v>1446</v>
      </c>
      <c r="D85" s="11"/>
      <c r="E85" s="12"/>
      <c r="F85" s="22"/>
      <c r="G85" s="23"/>
      <c r="H85" s="24">
        <v>8</v>
      </c>
      <c r="I85" s="25"/>
      <c r="J85" s="26"/>
      <c r="K85" s="18">
        <f t="shared" si="2"/>
        <v>6173.9600000000009</v>
      </c>
      <c r="L85" s="18">
        <f t="shared" si="3"/>
        <v>213.86000000000394</v>
      </c>
    </row>
    <row r="86" spans="1:12" ht="13.5" customHeight="1" x14ac:dyDescent="0.2">
      <c r="A86" s="19"/>
      <c r="B86" s="20"/>
      <c r="C86" s="21" t="s">
        <v>1447</v>
      </c>
      <c r="D86" s="11"/>
      <c r="E86" s="12"/>
      <c r="F86" s="22"/>
      <c r="G86" s="23"/>
      <c r="H86" s="24">
        <v>11.6</v>
      </c>
      <c r="I86" s="25"/>
      <c r="J86" s="26"/>
      <c r="K86" s="18">
        <f t="shared" si="2"/>
        <v>6173.9600000000009</v>
      </c>
      <c r="L86" s="18">
        <f t="shared" si="3"/>
        <v>202.26000000000394</v>
      </c>
    </row>
    <row r="87" spans="1:12" ht="13.5" customHeight="1" x14ac:dyDescent="0.2">
      <c r="A87" s="19"/>
      <c r="B87" s="20"/>
      <c r="C87" s="21" t="s">
        <v>1448</v>
      </c>
      <c r="D87" s="11"/>
      <c r="E87" s="12"/>
      <c r="F87" s="22"/>
      <c r="G87" s="23"/>
      <c r="H87" s="24">
        <v>6.5</v>
      </c>
      <c r="I87" s="25"/>
      <c r="J87" s="26"/>
      <c r="K87" s="18">
        <f t="shared" si="2"/>
        <v>6173.9600000000009</v>
      </c>
      <c r="L87" s="18">
        <f t="shared" si="3"/>
        <v>195.76000000000394</v>
      </c>
    </row>
    <row r="88" spans="1:12" ht="13.5" customHeight="1" x14ac:dyDescent="0.2">
      <c r="A88" s="19"/>
      <c r="B88" s="20"/>
      <c r="C88" s="21" t="s">
        <v>1449</v>
      </c>
      <c r="D88" s="11"/>
      <c r="E88" s="12"/>
      <c r="F88" s="22"/>
      <c r="G88" s="23"/>
      <c r="H88" s="24">
        <v>15.5</v>
      </c>
      <c r="I88" s="25"/>
      <c r="J88" s="26"/>
      <c r="K88" s="18">
        <f t="shared" si="2"/>
        <v>6173.9600000000009</v>
      </c>
      <c r="L88" s="18">
        <f t="shared" si="3"/>
        <v>180.26000000000394</v>
      </c>
    </row>
    <row r="89" spans="1:12" ht="13.5" customHeight="1" x14ac:dyDescent="0.2">
      <c r="A89" s="19"/>
      <c r="B89" s="20"/>
      <c r="C89" s="21" t="s">
        <v>1450</v>
      </c>
      <c r="D89" s="11"/>
      <c r="E89" s="12"/>
      <c r="F89" s="22"/>
      <c r="G89" s="23"/>
      <c r="H89" s="24">
        <v>24.22</v>
      </c>
      <c r="I89" s="25"/>
      <c r="J89" s="26"/>
      <c r="K89" s="18">
        <f t="shared" si="2"/>
        <v>6173.9600000000009</v>
      </c>
      <c r="L89" s="18">
        <f t="shared" si="3"/>
        <v>156.04000000000394</v>
      </c>
    </row>
    <row r="90" spans="1:12" ht="13.5" customHeight="1" x14ac:dyDescent="0.2">
      <c r="A90" s="19"/>
      <c r="B90" s="20"/>
      <c r="C90" s="21" t="s">
        <v>1437</v>
      </c>
      <c r="D90" s="11"/>
      <c r="E90" s="12"/>
      <c r="F90" s="22"/>
      <c r="G90" s="23"/>
      <c r="H90" s="24">
        <v>17.96</v>
      </c>
      <c r="I90" s="25"/>
      <c r="J90" s="26">
        <v>138.07999999999984</v>
      </c>
      <c r="K90" s="18">
        <f t="shared" si="2"/>
        <v>6173.9600000000009</v>
      </c>
      <c r="L90" s="18">
        <f t="shared" si="3"/>
        <v>138.08000000000393</v>
      </c>
    </row>
    <row r="91" spans="1:12" ht="13.5" customHeight="1" x14ac:dyDescent="0.2">
      <c r="A91" s="19"/>
      <c r="B91" s="20"/>
      <c r="C91" s="34" t="s">
        <v>109</v>
      </c>
      <c r="D91" s="11" t="s">
        <v>19</v>
      </c>
      <c r="E91" s="12">
        <v>-52.65</v>
      </c>
      <c r="F91" s="22" t="s">
        <v>549</v>
      </c>
      <c r="G91" s="23"/>
      <c r="H91" s="24"/>
      <c r="I91" s="25"/>
      <c r="J91" s="26"/>
      <c r="K91" s="18">
        <f t="shared" si="2"/>
        <v>6121.3100000000013</v>
      </c>
      <c r="L91" s="18">
        <f t="shared" si="3"/>
        <v>138.08000000000393</v>
      </c>
    </row>
    <row r="92" spans="1:12" ht="13.5" customHeight="1" x14ac:dyDescent="0.2">
      <c r="A92" s="19"/>
      <c r="B92" s="20"/>
      <c r="C92" s="34" t="s">
        <v>18</v>
      </c>
      <c r="D92" s="11" t="s">
        <v>1451</v>
      </c>
      <c r="E92" s="12">
        <v>-356.15</v>
      </c>
      <c r="F92" s="22" t="s">
        <v>549</v>
      </c>
      <c r="G92" s="23"/>
      <c r="H92" s="24"/>
      <c r="I92" s="25"/>
      <c r="J92" s="26"/>
      <c r="K92" s="18">
        <f t="shared" si="2"/>
        <v>5765.1600000000017</v>
      </c>
      <c r="L92" s="18">
        <f t="shared" si="3"/>
        <v>138.08000000000393</v>
      </c>
    </row>
    <row r="93" spans="1:12" ht="13.5" customHeight="1" x14ac:dyDescent="0.2">
      <c r="A93" s="19"/>
      <c r="B93" s="20"/>
      <c r="C93" s="34" t="s">
        <v>20</v>
      </c>
      <c r="D93" s="11"/>
      <c r="E93" s="12"/>
      <c r="F93" s="22">
        <v>0.02</v>
      </c>
      <c r="G93" s="23">
        <v>5765.18</v>
      </c>
      <c r="H93" s="24"/>
      <c r="I93" s="25"/>
      <c r="J93" s="26"/>
      <c r="K93" s="18">
        <f t="shared" si="2"/>
        <v>5765.1800000000021</v>
      </c>
      <c r="L93" s="18">
        <f t="shared" si="3"/>
        <v>138.08000000000393</v>
      </c>
    </row>
    <row r="94" spans="1:12" ht="13.5" customHeight="1" x14ac:dyDescent="0.2">
      <c r="A94" s="19">
        <v>43515</v>
      </c>
      <c r="B94" s="172"/>
      <c r="C94" s="34" t="s">
        <v>1452</v>
      </c>
      <c r="D94" s="42"/>
      <c r="E94" s="43"/>
      <c r="F94" s="22"/>
      <c r="G94" s="23"/>
      <c r="H94" s="24"/>
      <c r="I94" s="25">
        <v>185</v>
      </c>
      <c r="J94" s="26">
        <v>323.07999999999981</v>
      </c>
      <c r="K94" s="18">
        <f t="shared" si="2"/>
        <v>5765.1800000000021</v>
      </c>
      <c r="L94" s="18">
        <f t="shared" si="3"/>
        <v>323.08000000000391</v>
      </c>
    </row>
    <row r="95" spans="1:12" ht="13.5" customHeight="1" x14ac:dyDescent="0.2">
      <c r="A95" s="19" t="s">
        <v>1453</v>
      </c>
      <c r="B95" s="20"/>
      <c r="C95" s="34" t="s">
        <v>132</v>
      </c>
      <c r="D95" s="11"/>
      <c r="E95" s="12">
        <v>-2067.4499999999998</v>
      </c>
      <c r="F95" s="22"/>
      <c r="G95" s="23"/>
      <c r="H95" s="24"/>
      <c r="I95" s="25"/>
      <c r="J95" s="26"/>
      <c r="K95" s="18">
        <f t="shared" si="2"/>
        <v>3697.7300000000023</v>
      </c>
      <c r="L95" s="18">
        <f t="shared" si="3"/>
        <v>323.08000000000391</v>
      </c>
    </row>
    <row r="96" spans="1:12" ht="13.5" customHeight="1" x14ac:dyDescent="0.2">
      <c r="A96" s="19"/>
      <c r="B96" s="20"/>
      <c r="C96" s="34" t="s">
        <v>20</v>
      </c>
      <c r="D96" s="11" t="s">
        <v>19</v>
      </c>
      <c r="E96" s="12" t="s">
        <v>549</v>
      </c>
      <c r="F96" s="22">
        <v>0.11</v>
      </c>
      <c r="G96" s="23">
        <v>3697.84</v>
      </c>
      <c r="H96" s="24"/>
      <c r="I96" s="25"/>
      <c r="J96" s="26"/>
      <c r="K96" s="18">
        <f t="shared" si="2"/>
        <v>3697.8400000000024</v>
      </c>
      <c r="L96" s="18">
        <f t="shared" si="3"/>
        <v>323.08000000000391</v>
      </c>
    </row>
    <row r="97" spans="1:12" ht="13.5" customHeight="1" x14ac:dyDescent="0.2">
      <c r="A97" s="19">
        <v>43517</v>
      </c>
      <c r="B97" s="172"/>
      <c r="C97" s="34" t="s">
        <v>1454</v>
      </c>
      <c r="D97" s="42"/>
      <c r="E97" s="43"/>
      <c r="F97" s="22"/>
      <c r="G97" s="23"/>
      <c r="H97" s="24">
        <v>34</v>
      </c>
      <c r="I97" s="25"/>
      <c r="J97" s="26"/>
      <c r="K97" s="18">
        <f t="shared" si="2"/>
        <v>3697.8400000000024</v>
      </c>
      <c r="L97" s="18">
        <f t="shared" si="3"/>
        <v>289.08000000000391</v>
      </c>
    </row>
    <row r="98" spans="1:12" ht="13.5" customHeight="1" x14ac:dyDescent="0.2">
      <c r="A98" s="19"/>
      <c r="B98" s="172"/>
      <c r="C98" s="34" t="s">
        <v>1455</v>
      </c>
      <c r="D98" s="42"/>
      <c r="E98" s="43"/>
      <c r="F98" s="22"/>
      <c r="G98" s="23"/>
      <c r="H98" s="24">
        <v>3</v>
      </c>
      <c r="I98" s="25"/>
      <c r="J98" s="26"/>
      <c r="K98" s="18">
        <f t="shared" si="2"/>
        <v>3697.8400000000024</v>
      </c>
      <c r="L98" s="18">
        <f t="shared" si="3"/>
        <v>286.08000000000391</v>
      </c>
    </row>
    <row r="99" spans="1:12" ht="13.5" customHeight="1" x14ac:dyDescent="0.2">
      <c r="A99" s="19"/>
      <c r="B99" s="172"/>
      <c r="C99" s="34" t="s">
        <v>1456</v>
      </c>
      <c r="D99" s="42"/>
      <c r="E99" s="43"/>
      <c r="F99" s="22"/>
      <c r="G99" s="23"/>
      <c r="H99" s="24">
        <v>16.98</v>
      </c>
      <c r="I99" s="25"/>
      <c r="J99" s="26"/>
      <c r="K99" s="18">
        <f t="shared" si="2"/>
        <v>3697.8400000000024</v>
      </c>
      <c r="L99" s="18">
        <f t="shared" si="3"/>
        <v>269.10000000000389</v>
      </c>
    </row>
    <row r="100" spans="1:12" ht="13.5" customHeight="1" x14ac:dyDescent="0.2">
      <c r="A100" s="19"/>
      <c r="B100" s="172"/>
      <c r="C100" s="34" t="s">
        <v>1457</v>
      </c>
      <c r="D100" s="42"/>
      <c r="E100" s="43"/>
      <c r="F100" s="22"/>
      <c r="G100" s="23"/>
      <c r="H100" s="24">
        <v>5.48</v>
      </c>
      <c r="I100" s="25"/>
      <c r="J100" s="26"/>
      <c r="K100" s="18">
        <f t="shared" si="2"/>
        <v>3697.8400000000024</v>
      </c>
      <c r="L100" s="18">
        <f t="shared" si="3"/>
        <v>263.62000000000387</v>
      </c>
    </row>
    <row r="101" spans="1:12" ht="13.5" customHeight="1" x14ac:dyDescent="0.2">
      <c r="A101" s="19"/>
      <c r="B101" s="172"/>
      <c r="C101" s="34" t="s">
        <v>1458</v>
      </c>
      <c r="D101" s="42"/>
      <c r="E101" s="43"/>
      <c r="F101" s="22"/>
      <c r="G101" s="23"/>
      <c r="H101" s="24">
        <v>43</v>
      </c>
      <c r="I101" s="25"/>
      <c r="J101" s="26"/>
      <c r="K101" s="18">
        <f t="shared" si="2"/>
        <v>3697.8400000000024</v>
      </c>
      <c r="L101" s="18">
        <f t="shared" si="3"/>
        <v>220.62000000000387</v>
      </c>
    </row>
    <row r="102" spans="1:12" ht="13.5" customHeight="1" x14ac:dyDescent="0.2">
      <c r="A102" s="19"/>
      <c r="B102" s="172"/>
      <c r="C102" s="34" t="s">
        <v>1459</v>
      </c>
      <c r="D102" s="42"/>
      <c r="E102" s="43"/>
      <c r="F102" s="22"/>
      <c r="G102" s="23"/>
      <c r="H102" s="24">
        <v>55.9</v>
      </c>
      <c r="I102" s="25"/>
      <c r="J102" s="26">
        <v>164.71999999999977</v>
      </c>
      <c r="K102" s="18">
        <f t="shared" si="2"/>
        <v>3697.8400000000024</v>
      </c>
      <c r="L102" s="18">
        <f t="shared" si="3"/>
        <v>164.72000000000386</v>
      </c>
    </row>
    <row r="103" spans="1:12" ht="13.5" customHeight="1" x14ac:dyDescent="0.2">
      <c r="A103" s="19"/>
      <c r="B103" s="20"/>
      <c r="C103" s="34" t="s">
        <v>1460</v>
      </c>
      <c r="D103" s="11"/>
      <c r="E103" s="277">
        <v>-1500</v>
      </c>
      <c r="F103" s="22"/>
      <c r="G103" s="23"/>
      <c r="H103" s="24"/>
      <c r="I103" s="25"/>
      <c r="J103" s="26"/>
      <c r="K103" s="18">
        <f t="shared" si="2"/>
        <v>2197.8400000000024</v>
      </c>
      <c r="L103" s="18">
        <f t="shared" si="3"/>
        <v>164.72000000000386</v>
      </c>
    </row>
    <row r="104" spans="1:12" ht="13.5" customHeight="1" x14ac:dyDescent="0.2">
      <c r="A104" s="19"/>
      <c r="B104" s="20"/>
      <c r="C104" s="34" t="s">
        <v>1460</v>
      </c>
      <c r="D104" s="11"/>
      <c r="E104" s="277">
        <v>-1000</v>
      </c>
      <c r="F104" s="22"/>
      <c r="G104" s="23"/>
      <c r="H104" s="24"/>
      <c r="I104" s="25"/>
      <c r="J104" s="26"/>
      <c r="K104" s="18">
        <f t="shared" si="2"/>
        <v>1197.8400000000024</v>
      </c>
      <c r="L104" s="18">
        <f t="shared" si="3"/>
        <v>164.72000000000386</v>
      </c>
    </row>
    <row r="105" spans="1:12" ht="13.5" customHeight="1" x14ac:dyDescent="0.2">
      <c r="A105" s="19"/>
      <c r="B105" s="20"/>
      <c r="C105" s="34" t="s">
        <v>20</v>
      </c>
      <c r="D105" s="11" t="s">
        <v>19</v>
      </c>
      <c r="E105" s="12" t="s">
        <v>549</v>
      </c>
      <c r="F105" s="22">
        <v>0.05</v>
      </c>
      <c r="G105" s="23">
        <v>1197.8900000000001</v>
      </c>
      <c r="H105" s="24"/>
      <c r="I105" s="25"/>
      <c r="J105" s="26"/>
      <c r="K105" s="18">
        <f t="shared" si="2"/>
        <v>1197.8900000000024</v>
      </c>
      <c r="L105" s="18">
        <f t="shared" si="3"/>
        <v>164.72000000000386</v>
      </c>
    </row>
    <row r="106" spans="1:12" ht="13.5" customHeight="1" x14ac:dyDescent="0.2">
      <c r="A106" s="19">
        <v>43518</v>
      </c>
      <c r="B106" s="172"/>
      <c r="C106" s="34" t="s">
        <v>1444</v>
      </c>
      <c r="D106" s="42"/>
      <c r="E106" s="43"/>
      <c r="F106" s="22"/>
      <c r="G106" s="23"/>
      <c r="H106" s="24">
        <v>44.3</v>
      </c>
      <c r="I106" s="25"/>
      <c r="J106" s="26"/>
      <c r="K106" s="18">
        <f t="shared" si="2"/>
        <v>1197.8900000000024</v>
      </c>
      <c r="L106" s="18">
        <f t="shared" si="3"/>
        <v>120.42000000000387</v>
      </c>
    </row>
    <row r="107" spans="1:12" ht="13.5" customHeight="1" x14ac:dyDescent="0.2">
      <c r="A107" s="19"/>
      <c r="B107" s="172"/>
      <c r="C107" s="34" t="s">
        <v>1461</v>
      </c>
      <c r="D107" s="42"/>
      <c r="E107" s="43"/>
      <c r="F107" s="22"/>
      <c r="G107" s="23"/>
      <c r="H107" s="24"/>
      <c r="I107" s="418">
        <v>1750</v>
      </c>
      <c r="J107" s="26"/>
      <c r="K107" s="18">
        <f t="shared" si="2"/>
        <v>1197.8900000000024</v>
      </c>
      <c r="L107" s="18">
        <f t="shared" si="3"/>
        <v>1870.4200000000039</v>
      </c>
    </row>
    <row r="108" spans="1:12" ht="13.5" customHeight="1" x14ac:dyDescent="0.2">
      <c r="A108" s="19"/>
      <c r="B108" s="172"/>
      <c r="C108" s="34" t="s">
        <v>1462</v>
      </c>
      <c r="D108" s="42"/>
      <c r="E108" s="43"/>
      <c r="F108" s="22"/>
      <c r="G108" s="23"/>
      <c r="H108" s="24">
        <v>210</v>
      </c>
      <c r="I108" s="25"/>
      <c r="J108" s="26"/>
      <c r="K108" s="18">
        <f t="shared" si="2"/>
        <v>1197.8900000000024</v>
      </c>
      <c r="L108" s="18">
        <f t="shared" si="3"/>
        <v>1660.4200000000039</v>
      </c>
    </row>
    <row r="109" spans="1:12" ht="13.5" customHeight="1" x14ac:dyDescent="0.2">
      <c r="A109" s="19"/>
      <c r="B109" s="172"/>
      <c r="C109" s="34" t="s">
        <v>318</v>
      </c>
      <c r="D109" s="42"/>
      <c r="E109" s="43"/>
      <c r="F109" s="22"/>
      <c r="G109" s="23"/>
      <c r="H109" s="24">
        <v>650</v>
      </c>
      <c r="I109" s="25"/>
      <c r="J109" s="26"/>
      <c r="K109" s="18">
        <f t="shared" si="2"/>
        <v>1197.8900000000024</v>
      </c>
      <c r="L109" s="18">
        <f t="shared" si="3"/>
        <v>1010.4200000000039</v>
      </c>
    </row>
    <row r="110" spans="1:12" ht="13.5" customHeight="1" x14ac:dyDescent="0.2">
      <c r="A110" s="19"/>
      <c r="B110" s="172"/>
      <c r="C110" s="34" t="s">
        <v>1303</v>
      </c>
      <c r="D110" s="42"/>
      <c r="E110" s="43"/>
      <c r="F110" s="22"/>
      <c r="G110" s="23"/>
      <c r="H110" s="24">
        <v>300</v>
      </c>
      <c r="I110" s="25"/>
      <c r="J110" s="26"/>
      <c r="K110" s="18">
        <f t="shared" si="2"/>
        <v>1197.8900000000024</v>
      </c>
      <c r="L110" s="18">
        <f t="shared" si="3"/>
        <v>710.42000000000394</v>
      </c>
    </row>
    <row r="111" spans="1:12" ht="13.5" customHeight="1" x14ac:dyDescent="0.2">
      <c r="A111" s="19"/>
      <c r="B111" s="172"/>
      <c r="C111" s="34" t="s">
        <v>52</v>
      </c>
      <c r="D111" s="42"/>
      <c r="E111" s="43"/>
      <c r="F111" s="22"/>
      <c r="G111" s="23"/>
      <c r="H111" s="24">
        <v>450</v>
      </c>
      <c r="I111" s="25"/>
      <c r="J111" s="26">
        <v>260.41999999999985</v>
      </c>
      <c r="K111" s="18">
        <f t="shared" si="2"/>
        <v>1197.8900000000024</v>
      </c>
      <c r="L111" s="18">
        <f t="shared" si="3"/>
        <v>260.42000000000394</v>
      </c>
    </row>
    <row r="112" spans="1:12" ht="13.5" customHeight="1" x14ac:dyDescent="0.2">
      <c r="A112" s="19"/>
      <c r="B112" s="20"/>
      <c r="C112" s="36" t="s">
        <v>127</v>
      </c>
      <c r="D112" s="11" t="s">
        <v>19</v>
      </c>
      <c r="E112" s="12">
        <v>-32.14</v>
      </c>
      <c r="F112" s="22" t="s">
        <v>549</v>
      </c>
      <c r="G112" s="23"/>
      <c r="H112" s="24"/>
      <c r="I112" s="25"/>
      <c r="J112" s="26"/>
      <c r="K112" s="18">
        <f t="shared" si="2"/>
        <v>1165.7500000000023</v>
      </c>
      <c r="L112" s="18">
        <f t="shared" si="3"/>
        <v>260.42000000000394</v>
      </c>
    </row>
    <row r="113" spans="1:12" ht="13.5" customHeight="1" x14ac:dyDescent="0.2">
      <c r="A113" s="19"/>
      <c r="B113" s="20"/>
      <c r="C113" s="33" t="s">
        <v>736</v>
      </c>
      <c r="D113" s="11" t="s">
        <v>19</v>
      </c>
      <c r="E113" s="12">
        <v>-44.26</v>
      </c>
      <c r="F113" s="22" t="s">
        <v>549</v>
      </c>
      <c r="G113" s="23"/>
      <c r="H113" s="24"/>
      <c r="I113" s="25"/>
      <c r="J113" s="26"/>
      <c r="K113" s="18">
        <f t="shared" si="2"/>
        <v>1121.4900000000023</v>
      </c>
      <c r="L113" s="18">
        <f t="shared" si="3"/>
        <v>260.42000000000394</v>
      </c>
    </row>
    <row r="114" spans="1:12" ht="13.5" customHeight="1" x14ac:dyDescent="0.2">
      <c r="A114" s="19"/>
      <c r="B114" s="20"/>
      <c r="C114" s="36" t="s">
        <v>129</v>
      </c>
      <c r="D114" s="11" t="s">
        <v>19</v>
      </c>
      <c r="E114" s="12">
        <v>-74.69</v>
      </c>
      <c r="F114" s="22" t="s">
        <v>549</v>
      </c>
      <c r="G114" s="23"/>
      <c r="H114" s="24"/>
      <c r="I114" s="25"/>
      <c r="J114" s="26"/>
      <c r="K114" s="18">
        <f t="shared" si="2"/>
        <v>1046.8000000000022</v>
      </c>
      <c r="L114" s="18">
        <f t="shared" si="3"/>
        <v>260.42000000000394</v>
      </c>
    </row>
    <row r="115" spans="1:12" ht="13.5" customHeight="1" x14ac:dyDescent="0.2">
      <c r="A115" s="19"/>
      <c r="B115" s="20"/>
      <c r="C115" s="33" t="s">
        <v>737</v>
      </c>
      <c r="D115" s="11" t="s">
        <v>19</v>
      </c>
      <c r="E115" s="12">
        <v>-89.14</v>
      </c>
      <c r="F115" s="22" t="s">
        <v>549</v>
      </c>
      <c r="G115" s="23"/>
      <c r="H115" s="24"/>
      <c r="I115" s="25"/>
      <c r="J115" s="26"/>
      <c r="K115" s="18">
        <f t="shared" si="2"/>
        <v>957.66000000000224</v>
      </c>
      <c r="L115" s="18">
        <f t="shared" si="3"/>
        <v>260.42000000000394</v>
      </c>
    </row>
    <row r="116" spans="1:12" ht="13.5" customHeight="1" x14ac:dyDescent="0.2">
      <c r="A116" s="19"/>
      <c r="B116" s="20"/>
      <c r="C116" s="36" t="s">
        <v>130</v>
      </c>
      <c r="D116" s="11" t="s">
        <v>19</v>
      </c>
      <c r="E116" s="12">
        <v>-183.11</v>
      </c>
      <c r="F116" s="22" t="s">
        <v>549</v>
      </c>
      <c r="G116" s="23"/>
      <c r="H116" s="24"/>
      <c r="I116" s="25"/>
      <c r="J116" s="26"/>
      <c r="K116" s="18">
        <f t="shared" si="2"/>
        <v>774.55000000000223</v>
      </c>
      <c r="L116" s="18">
        <f t="shared" si="3"/>
        <v>260.42000000000394</v>
      </c>
    </row>
    <row r="117" spans="1:12" ht="13.5" customHeight="1" x14ac:dyDescent="0.2">
      <c r="A117" s="19"/>
      <c r="B117" s="20"/>
      <c r="C117" s="34" t="s">
        <v>20</v>
      </c>
      <c r="D117" s="11" t="s">
        <v>19</v>
      </c>
      <c r="E117" s="12" t="s">
        <v>549</v>
      </c>
      <c r="F117" s="22">
        <v>0.01</v>
      </c>
      <c r="G117" s="23">
        <v>774.56</v>
      </c>
      <c r="H117" s="24"/>
      <c r="I117" s="25"/>
      <c r="J117" s="26"/>
      <c r="K117" s="18">
        <f t="shared" si="2"/>
        <v>774.56000000000222</v>
      </c>
      <c r="L117" s="18">
        <f t="shared" si="3"/>
        <v>260.42000000000394</v>
      </c>
    </row>
    <row r="118" spans="1:12" ht="13.5" customHeight="1" x14ac:dyDescent="0.2">
      <c r="A118" s="19">
        <v>43521</v>
      </c>
      <c r="B118" s="172"/>
      <c r="C118" s="34" t="s">
        <v>1463</v>
      </c>
      <c r="D118" s="42"/>
      <c r="E118" s="43"/>
      <c r="F118" s="22"/>
      <c r="G118" s="23"/>
      <c r="H118" s="24">
        <v>16.5</v>
      </c>
      <c r="I118" s="25"/>
      <c r="J118" s="26"/>
      <c r="K118" s="18">
        <f t="shared" si="2"/>
        <v>774.56000000000222</v>
      </c>
      <c r="L118" s="18">
        <f t="shared" si="3"/>
        <v>243.92000000000394</v>
      </c>
    </row>
    <row r="119" spans="1:12" ht="13.5" customHeight="1" x14ac:dyDescent="0.2">
      <c r="A119" s="19"/>
      <c r="B119" s="172"/>
      <c r="C119" s="34" t="s">
        <v>1464</v>
      </c>
      <c r="D119" s="42"/>
      <c r="E119" s="43"/>
      <c r="F119" s="22"/>
      <c r="G119" s="23"/>
      <c r="H119" s="24">
        <v>10.97</v>
      </c>
      <c r="I119" s="25"/>
      <c r="J119" s="26"/>
      <c r="K119" s="18">
        <f t="shared" si="2"/>
        <v>774.56000000000222</v>
      </c>
      <c r="L119" s="18">
        <f t="shared" si="3"/>
        <v>232.95000000000394</v>
      </c>
    </row>
    <row r="120" spans="1:12" ht="13.5" customHeight="1" x14ac:dyDescent="0.2">
      <c r="A120" s="19"/>
      <c r="B120" s="172"/>
      <c r="C120" s="34" t="s">
        <v>1432</v>
      </c>
      <c r="D120" s="42"/>
      <c r="E120" s="43"/>
      <c r="F120" s="22"/>
      <c r="G120" s="23"/>
      <c r="H120" s="24">
        <v>12.6</v>
      </c>
      <c r="I120" s="25"/>
      <c r="J120" s="26"/>
      <c r="K120" s="18">
        <f t="shared" si="2"/>
        <v>774.56000000000222</v>
      </c>
      <c r="L120" s="18">
        <f t="shared" si="3"/>
        <v>220.35000000000394</v>
      </c>
    </row>
    <row r="121" spans="1:12" ht="13.5" customHeight="1" x14ac:dyDescent="0.2">
      <c r="A121" s="19"/>
      <c r="B121" s="172"/>
      <c r="C121" s="34" t="s">
        <v>1455</v>
      </c>
      <c r="D121" s="42"/>
      <c r="E121" s="43"/>
      <c r="F121" s="22"/>
      <c r="G121" s="23"/>
      <c r="H121" s="24">
        <v>6</v>
      </c>
      <c r="I121" s="25"/>
      <c r="J121" s="26">
        <v>214.34999999999985</v>
      </c>
      <c r="K121" s="18">
        <f t="shared" si="2"/>
        <v>774.56000000000222</v>
      </c>
      <c r="L121" s="18">
        <f t="shared" si="3"/>
        <v>214.35000000000394</v>
      </c>
    </row>
    <row r="122" spans="1:12" ht="13.5" customHeight="1" x14ac:dyDescent="0.2">
      <c r="A122" s="19"/>
      <c r="B122" s="20"/>
      <c r="C122" s="34" t="s">
        <v>136</v>
      </c>
      <c r="D122" s="11" t="s">
        <v>19</v>
      </c>
      <c r="E122" s="12">
        <v>-37.9</v>
      </c>
      <c r="F122" s="22" t="s">
        <v>549</v>
      </c>
      <c r="G122" s="23"/>
      <c r="H122" s="24"/>
      <c r="I122" s="25"/>
      <c r="J122" s="26"/>
      <c r="K122" s="18">
        <f t="shared" si="2"/>
        <v>736.66000000000224</v>
      </c>
      <c r="L122" s="18">
        <f t="shared" si="3"/>
        <v>214.35000000000394</v>
      </c>
    </row>
    <row r="123" spans="1:12" ht="13.5" customHeight="1" x14ac:dyDescent="0.2">
      <c r="A123" s="19"/>
      <c r="B123" s="20"/>
      <c r="C123" s="34" t="s">
        <v>82</v>
      </c>
      <c r="D123" s="11" t="s">
        <v>1465</v>
      </c>
      <c r="E123" s="12">
        <v>-811.99</v>
      </c>
      <c r="F123" s="22" t="s">
        <v>549</v>
      </c>
      <c r="G123" s="23"/>
      <c r="H123" s="24"/>
      <c r="I123" s="25"/>
      <c r="J123" s="26"/>
      <c r="K123" s="18">
        <f t="shared" si="2"/>
        <v>-75.329999999997767</v>
      </c>
      <c r="L123" s="18">
        <f t="shared" si="3"/>
        <v>214.35000000000394</v>
      </c>
    </row>
    <row r="124" spans="1:12" ht="13.5" customHeight="1" x14ac:dyDescent="0.2">
      <c r="A124" s="19"/>
      <c r="B124" s="20"/>
      <c r="C124" s="34" t="s">
        <v>1466</v>
      </c>
      <c r="D124" s="11" t="s">
        <v>1467</v>
      </c>
      <c r="E124" s="12">
        <v>-55.7</v>
      </c>
      <c r="F124" s="22" t="s">
        <v>549</v>
      </c>
      <c r="G124" s="23"/>
      <c r="H124" s="24"/>
      <c r="I124" s="25"/>
      <c r="J124" s="26"/>
      <c r="K124" s="18">
        <f t="shared" si="2"/>
        <v>-131.02999999999776</v>
      </c>
      <c r="L124" s="18">
        <f t="shared" si="3"/>
        <v>214.35000000000394</v>
      </c>
    </row>
    <row r="125" spans="1:12" ht="13.5" customHeight="1" x14ac:dyDescent="0.2">
      <c r="A125" s="19"/>
      <c r="B125" s="20"/>
      <c r="C125" s="34" t="s">
        <v>1468</v>
      </c>
      <c r="D125" s="11" t="s">
        <v>1469</v>
      </c>
      <c r="E125" s="12">
        <v>-29</v>
      </c>
      <c r="F125" s="22" t="s">
        <v>549</v>
      </c>
      <c r="G125" s="23">
        <v>-160.03</v>
      </c>
      <c r="H125" s="24"/>
      <c r="I125" s="25"/>
      <c r="J125" s="26"/>
      <c r="K125" s="18">
        <f t="shared" si="2"/>
        <v>-160.02999999999776</v>
      </c>
      <c r="L125" s="18">
        <f t="shared" si="3"/>
        <v>214.35000000000394</v>
      </c>
    </row>
    <row r="126" spans="1:12" ht="13.5" customHeight="1" x14ac:dyDescent="0.2">
      <c r="A126" s="19" t="s">
        <v>1470</v>
      </c>
      <c r="B126" s="20"/>
      <c r="C126" s="34" t="s">
        <v>1471</v>
      </c>
      <c r="D126" s="11" t="s">
        <v>1472</v>
      </c>
      <c r="E126" s="12">
        <v>-30</v>
      </c>
      <c r="F126" s="22" t="s">
        <v>549</v>
      </c>
      <c r="G126" s="23"/>
      <c r="H126" s="24"/>
      <c r="I126" s="25"/>
      <c r="J126" s="26"/>
      <c r="K126" s="18">
        <f t="shared" si="2"/>
        <v>-190.02999999999776</v>
      </c>
      <c r="L126" s="18">
        <f t="shared" si="3"/>
        <v>214.35000000000394</v>
      </c>
    </row>
    <row r="127" spans="1:12" ht="13.5" customHeight="1" x14ac:dyDescent="0.2">
      <c r="A127" s="19"/>
      <c r="B127" s="20"/>
      <c r="C127" s="34" t="s">
        <v>1473</v>
      </c>
      <c r="D127" s="11" t="s">
        <v>1474</v>
      </c>
      <c r="E127" s="12">
        <v>-199</v>
      </c>
      <c r="F127" s="22" t="s">
        <v>549</v>
      </c>
      <c r="G127" s="23"/>
      <c r="H127" s="24"/>
      <c r="I127" s="25"/>
      <c r="J127" s="26"/>
      <c r="K127" s="18">
        <f t="shared" si="2"/>
        <v>-389.02999999999776</v>
      </c>
      <c r="L127" s="18">
        <f t="shared" si="3"/>
        <v>214.35000000000394</v>
      </c>
    </row>
    <row r="128" spans="1:12" ht="13.5" customHeight="1" x14ac:dyDescent="0.2">
      <c r="A128" s="19"/>
      <c r="B128" s="20"/>
      <c r="C128" s="34" t="s">
        <v>1475</v>
      </c>
      <c r="D128" s="11" t="s">
        <v>1333</v>
      </c>
      <c r="E128" s="277">
        <v>-2500</v>
      </c>
      <c r="F128" s="22" t="s">
        <v>549</v>
      </c>
      <c r="G128" s="23"/>
      <c r="H128" s="24"/>
      <c r="I128" s="25"/>
      <c r="J128" s="26"/>
      <c r="K128" s="18">
        <f t="shared" si="2"/>
        <v>-2889.0299999999979</v>
      </c>
      <c r="L128" s="18">
        <f t="shared" si="3"/>
        <v>214.35000000000394</v>
      </c>
    </row>
    <row r="129" spans="1:15" ht="13.5" customHeight="1" x14ac:dyDescent="0.2">
      <c r="A129" s="19"/>
      <c r="B129" s="20"/>
      <c r="C129" s="34" t="s">
        <v>1476</v>
      </c>
      <c r="D129" s="11" t="s">
        <v>1477</v>
      </c>
      <c r="E129" s="12">
        <v>-88.96</v>
      </c>
      <c r="F129" s="22" t="s">
        <v>549</v>
      </c>
      <c r="G129" s="23"/>
      <c r="H129" s="24"/>
      <c r="I129" s="25"/>
      <c r="J129" s="26"/>
      <c r="K129" s="18">
        <f t="shared" si="2"/>
        <v>-2977.989999999998</v>
      </c>
      <c r="L129" s="18">
        <f t="shared" si="3"/>
        <v>214.35000000000394</v>
      </c>
    </row>
    <row r="130" spans="1:15" ht="13.5" customHeight="1" x14ac:dyDescent="0.2">
      <c r="A130" s="19"/>
      <c r="B130" s="20"/>
      <c r="C130" s="34" t="s">
        <v>1252</v>
      </c>
      <c r="D130" s="11" t="s">
        <v>19</v>
      </c>
      <c r="E130" s="168">
        <v>-1060</v>
      </c>
      <c r="F130" s="22" t="s">
        <v>549</v>
      </c>
      <c r="G130" s="23"/>
      <c r="H130" s="24"/>
      <c r="I130" s="25"/>
      <c r="J130" s="26"/>
      <c r="K130" s="18">
        <f t="shared" si="2"/>
        <v>-4037.989999999998</v>
      </c>
      <c r="L130" s="18">
        <f t="shared" si="3"/>
        <v>214.35000000000394</v>
      </c>
      <c r="O130" s="420"/>
    </row>
    <row r="131" spans="1:15" ht="13.5" customHeight="1" x14ac:dyDescent="0.2">
      <c r="A131" s="19"/>
      <c r="B131" s="20"/>
      <c r="C131" s="34" t="s">
        <v>1478</v>
      </c>
      <c r="D131" s="11" t="s">
        <v>1479</v>
      </c>
      <c r="E131" s="12">
        <v>-41.41</v>
      </c>
      <c r="F131" s="22" t="s">
        <v>549</v>
      </c>
      <c r="G131" s="23"/>
      <c r="H131" s="24"/>
      <c r="I131" s="25"/>
      <c r="J131" s="26"/>
      <c r="K131" s="18">
        <f t="shared" si="2"/>
        <v>-4079.3999999999978</v>
      </c>
      <c r="L131" s="18">
        <f t="shared" si="3"/>
        <v>214.35000000000394</v>
      </c>
    </row>
    <row r="132" spans="1:15" ht="13.5" customHeight="1" x14ac:dyDescent="0.2">
      <c r="A132" s="19"/>
      <c r="B132" s="27"/>
      <c r="C132" s="34" t="s">
        <v>1402</v>
      </c>
      <c r="D132" s="11" t="s">
        <v>3526</v>
      </c>
      <c r="E132" s="27"/>
      <c r="F132" s="162">
        <v>5000</v>
      </c>
      <c r="G132" s="23"/>
      <c r="H132" s="38"/>
      <c r="I132" s="38"/>
      <c r="J132" s="39"/>
      <c r="K132" s="18">
        <f t="shared" si="2"/>
        <v>920.60000000000218</v>
      </c>
      <c r="L132" s="18">
        <f t="shared" si="3"/>
        <v>214.35000000000394</v>
      </c>
      <c r="O132" s="420"/>
    </row>
    <row r="133" spans="1:15" ht="13.5" customHeight="1" x14ac:dyDescent="0.2">
      <c r="A133" s="19"/>
      <c r="B133" s="46"/>
      <c r="C133" s="34" t="s">
        <v>1480</v>
      </c>
      <c r="D133" s="11" t="s">
        <v>1481</v>
      </c>
      <c r="E133" s="419">
        <v>-183.71</v>
      </c>
      <c r="F133" s="419" t="s">
        <v>549</v>
      </c>
      <c r="G133" s="23">
        <v>736.89</v>
      </c>
      <c r="H133" s="24"/>
      <c r="I133" s="25"/>
      <c r="J133" s="26"/>
      <c r="K133" s="18">
        <f t="shared" ref="K133:K159" si="4">SUM(K132,F133,E133)</f>
        <v>736.89000000000215</v>
      </c>
      <c r="L133" s="18">
        <f t="shared" ref="L133:L159" si="5">L132+I133-H133</f>
        <v>214.35000000000394</v>
      </c>
    </row>
    <row r="134" spans="1:15" ht="13.5" customHeight="1" x14ac:dyDescent="0.2">
      <c r="A134" s="19">
        <v>43523</v>
      </c>
      <c r="B134" s="172"/>
      <c r="C134" s="34" t="s">
        <v>1482</v>
      </c>
      <c r="D134" s="42"/>
      <c r="E134" s="43"/>
      <c r="F134" s="22"/>
      <c r="G134" s="275"/>
      <c r="H134" s="24"/>
      <c r="I134" s="25">
        <v>900</v>
      </c>
      <c r="J134" s="26">
        <v>1114.3499999999999</v>
      </c>
      <c r="K134" s="18">
        <f t="shared" si="4"/>
        <v>736.89000000000215</v>
      </c>
      <c r="L134" s="18">
        <f t="shared" si="5"/>
        <v>1114.350000000004</v>
      </c>
    </row>
    <row r="135" spans="1:15" ht="13.5" customHeight="1" x14ac:dyDescent="0.2">
      <c r="A135" s="19"/>
      <c r="B135" s="46"/>
      <c r="C135" s="34" t="s">
        <v>3527</v>
      </c>
      <c r="D135" s="42"/>
      <c r="E135" s="43"/>
      <c r="F135" s="162">
        <v>1060</v>
      </c>
      <c r="G135" s="23"/>
      <c r="H135" s="24"/>
      <c r="I135" s="25"/>
      <c r="J135" s="26"/>
      <c r="K135" s="18">
        <f t="shared" si="4"/>
        <v>1796.8900000000021</v>
      </c>
      <c r="L135" s="18">
        <f t="shared" si="5"/>
        <v>1114.350000000004</v>
      </c>
      <c r="O135" s="420"/>
    </row>
    <row r="136" spans="1:15" ht="13.5" customHeight="1" x14ac:dyDescent="0.2">
      <c r="A136" s="19"/>
      <c r="B136" s="172"/>
      <c r="C136" s="34" t="s">
        <v>1478</v>
      </c>
      <c r="D136" s="42"/>
      <c r="E136" s="43">
        <v>-26.98</v>
      </c>
      <c r="F136" s="22"/>
      <c r="G136" s="23"/>
      <c r="H136" s="24"/>
      <c r="I136" s="25"/>
      <c r="J136" s="26"/>
      <c r="K136" s="18">
        <f t="shared" si="4"/>
        <v>1769.9100000000021</v>
      </c>
      <c r="L136" s="18">
        <f t="shared" si="5"/>
        <v>1114.350000000004</v>
      </c>
    </row>
    <row r="137" spans="1:15" ht="13.5" customHeight="1" x14ac:dyDescent="0.2">
      <c r="A137" s="19"/>
      <c r="B137" s="172"/>
      <c r="C137" s="34" t="s">
        <v>1478</v>
      </c>
      <c r="D137" s="42"/>
      <c r="E137" s="43">
        <v>-59.98</v>
      </c>
      <c r="F137" s="22"/>
      <c r="G137" s="23"/>
      <c r="H137" s="24"/>
      <c r="I137" s="25"/>
      <c r="J137" s="26"/>
      <c r="K137" s="18">
        <f t="shared" si="4"/>
        <v>1709.9300000000021</v>
      </c>
      <c r="L137" s="18">
        <f t="shared" si="5"/>
        <v>1114.350000000004</v>
      </c>
    </row>
    <row r="138" spans="1:15" ht="13.5" customHeight="1" x14ac:dyDescent="0.2">
      <c r="A138" s="19"/>
      <c r="B138" s="172"/>
      <c r="C138" s="34" t="s">
        <v>1480</v>
      </c>
      <c r="D138" s="42"/>
      <c r="E138" s="43">
        <v>-61.91</v>
      </c>
      <c r="F138" s="22"/>
      <c r="G138" s="23"/>
      <c r="H138" s="24"/>
      <c r="I138" s="25"/>
      <c r="J138" s="26"/>
      <c r="K138" s="18">
        <f t="shared" si="4"/>
        <v>1648.020000000002</v>
      </c>
      <c r="L138" s="18">
        <f t="shared" si="5"/>
        <v>1114.350000000004</v>
      </c>
    </row>
    <row r="139" spans="1:15" ht="13.5" customHeight="1" x14ac:dyDescent="0.2">
      <c r="A139" s="19"/>
      <c r="B139" s="172"/>
      <c r="C139" s="34" t="s">
        <v>1483</v>
      </c>
      <c r="D139" s="42" t="s">
        <v>1484</v>
      </c>
      <c r="E139" s="43">
        <v>-215.89</v>
      </c>
      <c r="F139" s="22" t="s">
        <v>549</v>
      </c>
      <c r="G139" s="23"/>
      <c r="H139" s="24"/>
      <c r="I139" s="25"/>
      <c r="J139" s="26"/>
      <c r="K139" s="18">
        <f t="shared" si="4"/>
        <v>1432.1300000000019</v>
      </c>
      <c r="L139" s="18">
        <f t="shared" si="5"/>
        <v>1114.350000000004</v>
      </c>
    </row>
    <row r="140" spans="1:15" ht="13.5" customHeight="1" x14ac:dyDescent="0.2">
      <c r="A140" s="19"/>
      <c r="B140" s="172"/>
      <c r="C140" s="34" t="s">
        <v>1485</v>
      </c>
      <c r="D140" s="42" t="s">
        <v>1486</v>
      </c>
      <c r="E140" s="43">
        <v>-100</v>
      </c>
      <c r="F140" s="22" t="s">
        <v>549</v>
      </c>
      <c r="G140" s="23"/>
      <c r="H140" s="24"/>
      <c r="I140" s="25"/>
      <c r="J140" s="26"/>
      <c r="K140" s="18">
        <f t="shared" si="4"/>
        <v>1332.1300000000019</v>
      </c>
      <c r="L140" s="18">
        <f t="shared" si="5"/>
        <v>1114.350000000004</v>
      </c>
    </row>
    <row r="141" spans="1:15" ht="13.5" customHeight="1" x14ac:dyDescent="0.2">
      <c r="A141" s="19"/>
      <c r="B141" s="172"/>
      <c r="C141" s="34" t="s">
        <v>1480</v>
      </c>
      <c r="D141" s="42" t="s">
        <v>1487</v>
      </c>
      <c r="E141" s="43">
        <v>-48.97</v>
      </c>
      <c r="F141" s="22" t="s">
        <v>549</v>
      </c>
      <c r="G141" s="23">
        <v>1283.19</v>
      </c>
      <c r="H141" s="24"/>
      <c r="I141" s="25"/>
      <c r="J141" s="26"/>
      <c r="K141" s="18">
        <f t="shared" si="4"/>
        <v>1283.1600000000019</v>
      </c>
      <c r="L141" s="18">
        <f t="shared" si="5"/>
        <v>1114.350000000004</v>
      </c>
    </row>
    <row r="142" spans="1:15" ht="13.5" customHeight="1" x14ac:dyDescent="0.2">
      <c r="A142" s="19">
        <v>43524</v>
      </c>
      <c r="B142" s="172"/>
      <c r="C142" s="34" t="s">
        <v>1488</v>
      </c>
      <c r="D142" s="42"/>
      <c r="E142" s="43"/>
      <c r="F142" s="22"/>
      <c r="G142" s="275"/>
      <c r="H142" s="24">
        <v>280</v>
      </c>
      <c r="I142" s="25"/>
      <c r="J142" s="26"/>
      <c r="K142" s="18">
        <f t="shared" si="4"/>
        <v>1283.1600000000019</v>
      </c>
      <c r="L142" s="18">
        <f t="shared" si="5"/>
        <v>834.350000000004</v>
      </c>
    </row>
    <row r="143" spans="1:15" ht="13.5" customHeight="1" x14ac:dyDescent="0.2">
      <c r="A143" s="19"/>
      <c r="B143" s="172"/>
      <c r="C143" s="34" t="s">
        <v>1489</v>
      </c>
      <c r="D143" s="42"/>
      <c r="E143" s="43"/>
      <c r="F143" s="22"/>
      <c r="G143" s="275"/>
      <c r="H143" s="24">
        <v>42</v>
      </c>
      <c r="I143" s="25"/>
      <c r="J143" s="26"/>
      <c r="K143" s="18">
        <f t="shared" si="4"/>
        <v>1283.1600000000019</v>
      </c>
      <c r="L143" s="18">
        <f t="shared" si="5"/>
        <v>792.350000000004</v>
      </c>
    </row>
    <row r="144" spans="1:15" ht="13.5" customHeight="1" x14ac:dyDescent="0.2">
      <c r="A144" s="19"/>
      <c r="B144" s="172"/>
      <c r="C144" s="34" t="s">
        <v>1490</v>
      </c>
      <c r="D144" s="42"/>
      <c r="E144" s="43"/>
      <c r="F144" s="22"/>
      <c r="G144" s="275"/>
      <c r="H144" s="24">
        <v>10</v>
      </c>
      <c r="I144" s="25"/>
      <c r="J144" s="26"/>
      <c r="K144" s="18">
        <f t="shared" si="4"/>
        <v>1283.1600000000019</v>
      </c>
      <c r="L144" s="18">
        <f t="shared" si="5"/>
        <v>782.350000000004</v>
      </c>
    </row>
    <row r="145" spans="1:15" ht="13.5" customHeight="1" x14ac:dyDescent="0.2">
      <c r="A145" s="19"/>
      <c r="B145" s="172"/>
      <c r="C145" s="34" t="s">
        <v>1490</v>
      </c>
      <c r="D145" s="42"/>
      <c r="E145" s="43"/>
      <c r="F145" s="22"/>
      <c r="G145" s="275"/>
      <c r="H145" s="24">
        <v>6</v>
      </c>
      <c r="I145" s="25"/>
      <c r="J145" s="26"/>
      <c r="K145" s="18">
        <f t="shared" si="4"/>
        <v>1283.1600000000019</v>
      </c>
      <c r="L145" s="18">
        <f t="shared" si="5"/>
        <v>776.350000000004</v>
      </c>
    </row>
    <row r="146" spans="1:15" ht="13.5" customHeight="1" x14ac:dyDescent="0.2">
      <c r="A146" s="19"/>
      <c r="B146" s="172"/>
      <c r="C146" s="34" t="s">
        <v>1491</v>
      </c>
      <c r="D146" s="42"/>
      <c r="E146" s="43"/>
      <c r="F146" s="22"/>
      <c r="G146" s="275"/>
      <c r="H146" s="24">
        <v>2.99</v>
      </c>
      <c r="I146" s="25"/>
      <c r="J146" s="26"/>
      <c r="K146" s="18">
        <f t="shared" si="4"/>
        <v>1283.1600000000019</v>
      </c>
      <c r="L146" s="18">
        <f t="shared" si="5"/>
        <v>773.36000000000399</v>
      </c>
    </row>
    <row r="147" spans="1:15" ht="13.5" customHeight="1" x14ac:dyDescent="0.2">
      <c r="A147" s="19"/>
      <c r="B147" s="172"/>
      <c r="C147" s="34" t="s">
        <v>1492</v>
      </c>
      <c r="D147" s="42"/>
      <c r="E147" s="43"/>
      <c r="F147" s="22"/>
      <c r="G147" s="275"/>
      <c r="H147" s="24">
        <v>6</v>
      </c>
      <c r="I147" s="25"/>
      <c r="J147" s="26"/>
      <c r="K147" s="18">
        <f t="shared" si="4"/>
        <v>1283.1600000000019</v>
      </c>
      <c r="L147" s="18">
        <f t="shared" si="5"/>
        <v>767.36000000000399</v>
      </c>
    </row>
    <row r="148" spans="1:15" ht="13.5" customHeight="1" x14ac:dyDescent="0.2">
      <c r="A148" s="19"/>
      <c r="B148" s="172"/>
      <c r="C148" s="34" t="s">
        <v>1493</v>
      </c>
      <c r="D148" s="42"/>
      <c r="E148" s="43"/>
      <c r="F148" s="22"/>
      <c r="G148" s="275"/>
      <c r="H148" s="24">
        <v>15.85</v>
      </c>
      <c r="I148" s="25"/>
      <c r="J148" s="26"/>
      <c r="K148" s="18">
        <f t="shared" si="4"/>
        <v>1283.1600000000019</v>
      </c>
      <c r="L148" s="18">
        <f t="shared" si="5"/>
        <v>751.51000000000397</v>
      </c>
    </row>
    <row r="149" spans="1:15" ht="13.5" customHeight="1" x14ac:dyDescent="0.2">
      <c r="A149" s="19"/>
      <c r="B149" s="172"/>
      <c r="C149" s="34" t="s">
        <v>1494</v>
      </c>
      <c r="D149" s="42"/>
      <c r="E149" s="43"/>
      <c r="F149" s="22"/>
      <c r="G149" s="275"/>
      <c r="H149" s="24">
        <v>15.46</v>
      </c>
      <c r="I149" s="25"/>
      <c r="J149" s="26"/>
      <c r="K149" s="18">
        <f t="shared" si="4"/>
        <v>1283.1600000000019</v>
      </c>
      <c r="L149" s="18">
        <f t="shared" si="5"/>
        <v>736.05000000000393</v>
      </c>
    </row>
    <row r="150" spans="1:15" ht="13.5" customHeight="1" x14ac:dyDescent="0.2">
      <c r="A150" s="19"/>
      <c r="B150" s="172"/>
      <c r="C150" s="34" t="s">
        <v>1495</v>
      </c>
      <c r="D150" s="42"/>
      <c r="E150" s="43"/>
      <c r="F150" s="22"/>
      <c r="G150" s="275"/>
      <c r="H150" s="24">
        <v>12.5</v>
      </c>
      <c r="I150" s="25"/>
      <c r="J150" s="26"/>
      <c r="K150" s="18">
        <f t="shared" si="4"/>
        <v>1283.1600000000019</v>
      </c>
      <c r="L150" s="18">
        <f t="shared" si="5"/>
        <v>723.55000000000393</v>
      </c>
    </row>
    <row r="151" spans="1:15" ht="13.5" customHeight="1" x14ac:dyDescent="0.2">
      <c r="A151" s="19"/>
      <c r="B151" s="172"/>
      <c r="C151" s="34" t="s">
        <v>1496</v>
      </c>
      <c r="D151" s="42"/>
      <c r="E151" s="43"/>
      <c r="F151" s="22"/>
      <c r="G151" s="275"/>
      <c r="H151" s="24">
        <v>23</v>
      </c>
      <c r="I151" s="25"/>
      <c r="J151" s="26"/>
      <c r="K151" s="18">
        <f t="shared" si="4"/>
        <v>1283.1600000000019</v>
      </c>
      <c r="L151" s="18">
        <f t="shared" si="5"/>
        <v>700.55000000000393</v>
      </c>
    </row>
    <row r="152" spans="1:15" ht="13.5" customHeight="1" x14ac:dyDescent="0.2">
      <c r="A152" s="19"/>
      <c r="B152" s="172"/>
      <c r="C152" s="34" t="s">
        <v>1497</v>
      </c>
      <c r="D152" s="42"/>
      <c r="E152" s="43"/>
      <c r="F152" s="22"/>
      <c r="G152" s="275"/>
      <c r="H152" s="24">
        <v>4.75</v>
      </c>
      <c r="I152" s="25"/>
      <c r="J152" s="26"/>
      <c r="K152" s="18">
        <f t="shared" si="4"/>
        <v>1283.1600000000019</v>
      </c>
      <c r="L152" s="18">
        <f t="shared" si="5"/>
        <v>695.80000000000393</v>
      </c>
    </row>
    <row r="153" spans="1:15" ht="13.5" customHeight="1" x14ac:dyDescent="0.2">
      <c r="A153" s="19"/>
      <c r="B153" s="172"/>
      <c r="C153" s="34" t="s">
        <v>1461</v>
      </c>
      <c r="D153" s="42"/>
      <c r="E153" s="43"/>
      <c r="F153" s="22"/>
      <c r="G153" s="275"/>
      <c r="H153" s="24"/>
      <c r="I153" s="418">
        <v>700</v>
      </c>
      <c r="J153" s="26"/>
      <c r="K153" s="18">
        <f t="shared" si="4"/>
        <v>1283.1600000000019</v>
      </c>
      <c r="L153" s="18">
        <f t="shared" si="5"/>
        <v>1395.8000000000038</v>
      </c>
      <c r="N153" s="1">
        <v>111.21000000000001</v>
      </c>
      <c r="O153" s="420"/>
    </row>
    <row r="154" spans="1:15" ht="13.5" customHeight="1" x14ac:dyDescent="0.2">
      <c r="A154" s="19"/>
      <c r="B154" s="172"/>
      <c r="C154" s="34" t="s">
        <v>1498</v>
      </c>
      <c r="D154" s="42"/>
      <c r="E154" s="43"/>
      <c r="F154" s="22"/>
      <c r="G154" s="275"/>
      <c r="H154" s="24">
        <v>27.98</v>
      </c>
      <c r="I154" s="25"/>
      <c r="J154" s="26"/>
      <c r="K154" s="18">
        <f t="shared" si="4"/>
        <v>1283.1600000000019</v>
      </c>
      <c r="L154" s="18">
        <f t="shared" si="5"/>
        <v>1367.8200000000038</v>
      </c>
    </row>
    <row r="155" spans="1:15" ht="13.5" customHeight="1" x14ac:dyDescent="0.2">
      <c r="A155" s="19"/>
      <c r="B155" s="172"/>
      <c r="C155" s="34" t="s">
        <v>1499</v>
      </c>
      <c r="D155" s="42"/>
      <c r="E155" s="43"/>
      <c r="F155" s="22"/>
      <c r="G155" s="275"/>
      <c r="H155" s="24"/>
      <c r="I155" s="25">
        <v>1619.07</v>
      </c>
      <c r="J155" s="26"/>
      <c r="K155" s="18">
        <f t="shared" si="4"/>
        <v>1283.1600000000019</v>
      </c>
      <c r="L155" s="18">
        <f t="shared" si="5"/>
        <v>2986.890000000004</v>
      </c>
    </row>
    <row r="156" spans="1:15" ht="13.5" customHeight="1" x14ac:dyDescent="0.2">
      <c r="A156" s="19"/>
      <c r="B156" s="172"/>
      <c r="C156" s="34" t="s">
        <v>1500</v>
      </c>
      <c r="D156" s="42"/>
      <c r="E156" s="43"/>
      <c r="F156" s="22"/>
      <c r="G156" s="275"/>
      <c r="H156" s="24">
        <v>300</v>
      </c>
      <c r="I156" s="25"/>
      <c r="J156" s="26"/>
      <c r="K156" s="18">
        <f t="shared" si="4"/>
        <v>1283.1600000000019</v>
      </c>
      <c r="L156" s="18">
        <f t="shared" si="5"/>
        <v>2686.890000000004</v>
      </c>
    </row>
    <row r="157" spans="1:15" ht="13.5" customHeight="1" x14ac:dyDescent="0.2">
      <c r="A157" s="19"/>
      <c r="B157" s="172"/>
      <c r="C157" s="34" t="s">
        <v>1303</v>
      </c>
      <c r="D157" s="42"/>
      <c r="E157" s="43"/>
      <c r="F157" s="22"/>
      <c r="G157" s="275"/>
      <c r="H157" s="24">
        <v>240</v>
      </c>
      <c r="I157" s="25"/>
      <c r="J157" s="276">
        <v>2446.8899999999994</v>
      </c>
      <c r="K157" s="18">
        <f t="shared" si="4"/>
        <v>1283.1600000000019</v>
      </c>
      <c r="L157" s="18">
        <f t="shared" si="5"/>
        <v>2446.890000000004</v>
      </c>
    </row>
    <row r="158" spans="1:15" ht="13.5" customHeight="1" x14ac:dyDescent="0.2">
      <c r="A158" s="19"/>
      <c r="B158" s="172"/>
      <c r="C158" s="34" t="s">
        <v>1252</v>
      </c>
      <c r="D158" s="42" t="s">
        <v>1501</v>
      </c>
      <c r="E158" s="43">
        <v>-1060</v>
      </c>
      <c r="F158" s="22" t="s">
        <v>549</v>
      </c>
      <c r="G158" s="23"/>
      <c r="H158" s="24"/>
      <c r="I158" s="25"/>
      <c r="J158" s="26"/>
      <c r="K158" s="18">
        <f t="shared" si="4"/>
        <v>223.1600000000019</v>
      </c>
      <c r="L158" s="18">
        <f t="shared" si="5"/>
        <v>2446.890000000004</v>
      </c>
    </row>
    <row r="159" spans="1:15" ht="13.5" customHeight="1" x14ac:dyDescent="0.2">
      <c r="A159" s="19"/>
      <c r="B159" s="172"/>
      <c r="C159" s="34" t="s">
        <v>20</v>
      </c>
      <c r="D159" s="42" t="s">
        <v>19</v>
      </c>
      <c r="E159" s="43" t="s">
        <v>549</v>
      </c>
      <c r="F159" s="22">
        <v>0.01</v>
      </c>
      <c r="G159" s="275">
        <v>223.17000000000189</v>
      </c>
      <c r="H159" s="24"/>
      <c r="I159" s="25"/>
      <c r="J159" s="26"/>
      <c r="K159" s="18">
        <f t="shared" si="4"/>
        <v>223.17000000000189</v>
      </c>
      <c r="L159" s="18">
        <f t="shared" si="5"/>
        <v>2446.890000000004</v>
      </c>
    </row>
    <row r="160" spans="1:15" ht="13.5" customHeight="1" thickBot="1" x14ac:dyDescent="0.25">
      <c r="A160" s="19"/>
      <c r="B160" s="48"/>
      <c r="C160" s="49"/>
      <c r="D160" s="50"/>
      <c r="E160" s="51">
        <f>SUM(E131:E158)+E129+SUM(E105:E127)+SUM(E26:E96)+E17+SUM(E4:E15)</f>
        <v>-8051.86</v>
      </c>
      <c r="F160" s="22">
        <f>F159+F117+F105+F96+F93+F82+F57+F22+F18+F15</f>
        <v>9284.24</v>
      </c>
      <c r="G160" s="53"/>
      <c r="H160" s="54">
        <f>-(SUM(H62:H158)+H57+SUM(H26:H47)+SUM(H5:H11))</f>
        <v>-9040.18</v>
      </c>
      <c r="I160" s="55">
        <f>I155+I134+I94+SUM(I38:I60)+I12</f>
        <v>10715.07</v>
      </c>
      <c r="J160" s="52"/>
      <c r="K160" s="18"/>
    </row>
    <row r="161" spans="1:15" ht="13.5" customHeight="1" thickBot="1" x14ac:dyDescent="0.25">
      <c r="A161" s="2" t="s">
        <v>2</v>
      </c>
      <c r="B161" s="3"/>
      <c r="C161" s="3" t="s">
        <v>481</v>
      </c>
      <c r="D161" s="3" t="s">
        <v>4</v>
      </c>
      <c r="E161" s="3" t="s">
        <v>5</v>
      </c>
      <c r="F161" s="3" t="s">
        <v>6</v>
      </c>
      <c r="G161" s="5" t="s">
        <v>7</v>
      </c>
      <c r="H161" s="1415" t="s">
        <v>482</v>
      </c>
      <c r="I161" s="1416"/>
      <c r="J161" s="1417"/>
    </row>
    <row r="162" spans="1:15" ht="13.5" customHeight="1" x14ac:dyDescent="0.2">
      <c r="A162" s="8">
        <v>43497</v>
      </c>
      <c r="B162" s="56"/>
      <c r="C162" s="10" t="s">
        <v>8</v>
      </c>
      <c r="D162" s="11">
        <v>0</v>
      </c>
      <c r="E162" s="51"/>
      <c r="F162" s="12"/>
      <c r="G162" s="178">
        <v>-2672.81</v>
      </c>
      <c r="H162" s="179"/>
      <c r="I162" s="57"/>
      <c r="J162" s="58">
        <v>0</v>
      </c>
      <c r="K162" s="18">
        <f>G162</f>
        <v>-2672.81</v>
      </c>
    </row>
    <row r="163" spans="1:15" ht="13.5" customHeight="1" x14ac:dyDescent="0.2">
      <c r="A163" s="180"/>
      <c r="B163" s="56" t="s">
        <v>483</v>
      </c>
      <c r="C163" s="36" t="s">
        <v>1502</v>
      </c>
      <c r="D163" s="11" t="s">
        <v>768</v>
      </c>
      <c r="E163" s="181">
        <v>-128.25</v>
      </c>
      <c r="F163" s="12"/>
      <c r="G163" s="182" t="s">
        <v>483</v>
      </c>
      <c r="H163" s="59"/>
      <c r="I163" s="60"/>
      <c r="J163" s="61">
        <v>0</v>
      </c>
      <c r="K163" s="18">
        <f>SUM(K162,F163,E163)</f>
        <v>-2801.06</v>
      </c>
    </row>
    <row r="164" spans="1:15" ht="13.5" customHeight="1" x14ac:dyDescent="0.2">
      <c r="A164" s="180"/>
      <c r="B164" s="56" t="s">
        <v>483</v>
      </c>
      <c r="C164" s="36" t="s">
        <v>86</v>
      </c>
      <c r="D164" s="11" t="s">
        <v>488</v>
      </c>
      <c r="E164" s="181">
        <v>-0.12</v>
      </c>
      <c r="F164" s="12"/>
      <c r="G164" s="182" t="s">
        <v>483</v>
      </c>
      <c r="H164" s="59"/>
      <c r="I164" s="60"/>
      <c r="J164" s="61">
        <v>0</v>
      </c>
      <c r="K164" s="18">
        <f t="shared" ref="K164:K213" si="6">SUM(K163,F164,E164)</f>
        <v>-2801.18</v>
      </c>
    </row>
    <row r="165" spans="1:15" ht="13.5" customHeight="1" x14ac:dyDescent="0.2">
      <c r="A165" s="180"/>
      <c r="B165" s="56" t="s">
        <v>483</v>
      </c>
      <c r="C165" s="36" t="s">
        <v>86</v>
      </c>
      <c r="D165" s="11" t="s">
        <v>488</v>
      </c>
      <c r="E165" s="181">
        <v>-11.27</v>
      </c>
      <c r="F165" s="12"/>
      <c r="G165" s="182">
        <v>-2812.45</v>
      </c>
      <c r="H165" s="59"/>
      <c r="I165" s="60"/>
      <c r="J165" s="61">
        <v>0</v>
      </c>
      <c r="K165" s="18">
        <f t="shared" si="6"/>
        <v>-2812.45</v>
      </c>
    </row>
    <row r="166" spans="1:15" ht="13.5" customHeight="1" x14ac:dyDescent="0.2">
      <c r="A166" s="180" t="s">
        <v>1503</v>
      </c>
      <c r="B166" s="56" t="s">
        <v>483</v>
      </c>
      <c r="C166" s="36" t="s">
        <v>1504</v>
      </c>
      <c r="D166" s="11" t="s">
        <v>1505</v>
      </c>
      <c r="E166" s="30"/>
      <c r="F166" s="277">
        <v>1500</v>
      </c>
      <c r="G166" s="411" t="s">
        <v>483</v>
      </c>
      <c r="H166" s="59"/>
      <c r="I166" s="60"/>
      <c r="J166" s="61">
        <v>0</v>
      </c>
      <c r="K166" s="18">
        <f t="shared" si="6"/>
        <v>-1312.4499999999998</v>
      </c>
    </row>
    <row r="167" spans="1:15" ht="13.5" customHeight="1" x14ac:dyDescent="0.2">
      <c r="A167" s="180"/>
      <c r="B167" s="56" t="s">
        <v>483</v>
      </c>
      <c r="C167" s="36" t="s">
        <v>1504</v>
      </c>
      <c r="D167" s="11" t="s">
        <v>1506</v>
      </c>
      <c r="E167" s="30"/>
      <c r="F167" s="277">
        <v>1500</v>
      </c>
      <c r="G167" s="411" t="s">
        <v>483</v>
      </c>
      <c r="H167" s="59"/>
      <c r="I167" s="60"/>
      <c r="J167" s="61">
        <v>0</v>
      </c>
      <c r="K167" s="18">
        <f t="shared" si="6"/>
        <v>187.55000000000018</v>
      </c>
    </row>
    <row r="168" spans="1:15" ht="13.5" customHeight="1" x14ac:dyDescent="0.2">
      <c r="A168" s="180"/>
      <c r="B168" s="56" t="s">
        <v>483</v>
      </c>
      <c r="C168" s="34" t="s">
        <v>189</v>
      </c>
      <c r="D168" s="11" t="s">
        <v>488</v>
      </c>
      <c r="E168" s="181">
        <v>-187.55</v>
      </c>
      <c r="F168" s="12"/>
      <c r="G168" s="182">
        <v>0</v>
      </c>
      <c r="H168" s="59"/>
      <c r="I168" s="60">
        <v>187.55</v>
      </c>
      <c r="J168" s="61">
        <v>187.55</v>
      </c>
      <c r="K168" s="18">
        <f t="shared" si="6"/>
        <v>0</v>
      </c>
    </row>
    <row r="169" spans="1:15" ht="13.5" customHeight="1" x14ac:dyDescent="0.2">
      <c r="A169" s="180" t="s">
        <v>1507</v>
      </c>
      <c r="B169" s="56" t="s">
        <v>483</v>
      </c>
      <c r="C169" s="36" t="s">
        <v>180</v>
      </c>
      <c r="D169" s="11" t="s">
        <v>488</v>
      </c>
      <c r="E169" s="181">
        <v>-244.48</v>
      </c>
      <c r="F169" s="12"/>
      <c r="G169" s="182" t="s">
        <v>483</v>
      </c>
      <c r="H169" s="59"/>
      <c r="I169" s="60"/>
      <c r="J169" s="61">
        <v>187.55</v>
      </c>
      <c r="K169" s="18">
        <f t="shared" si="6"/>
        <v>-244.48</v>
      </c>
    </row>
    <row r="170" spans="1:15" ht="13.5" customHeight="1" x14ac:dyDescent="0.2">
      <c r="A170" s="180"/>
      <c r="B170" s="56" t="s">
        <v>483</v>
      </c>
      <c r="C170" s="34" t="s">
        <v>1402</v>
      </c>
      <c r="D170" s="11" t="s">
        <v>3523</v>
      </c>
      <c r="E170" s="30"/>
      <c r="F170" s="168">
        <v>4000</v>
      </c>
      <c r="G170" s="411" t="s">
        <v>483</v>
      </c>
      <c r="H170" s="59"/>
      <c r="I170" s="60"/>
      <c r="J170" s="61">
        <v>187.55</v>
      </c>
      <c r="K170" s="18">
        <f t="shared" si="6"/>
        <v>3755.52</v>
      </c>
      <c r="L170" s="30"/>
      <c r="O170" s="420"/>
    </row>
    <row r="171" spans="1:15" ht="13.5" customHeight="1" x14ac:dyDescent="0.2">
      <c r="A171" s="180"/>
      <c r="B171" s="56" t="s">
        <v>483</v>
      </c>
      <c r="C171" s="36" t="s">
        <v>86</v>
      </c>
      <c r="D171" s="11" t="s">
        <v>488</v>
      </c>
      <c r="E171" s="181">
        <v>-40.58</v>
      </c>
      <c r="F171" s="12"/>
      <c r="G171" s="182" t="s">
        <v>483</v>
      </c>
      <c r="H171" s="59"/>
      <c r="I171" s="60"/>
      <c r="J171" s="61">
        <v>187.55</v>
      </c>
      <c r="K171" s="18">
        <f t="shared" si="6"/>
        <v>3714.94</v>
      </c>
    </row>
    <row r="172" spans="1:15" ht="13.5" customHeight="1" x14ac:dyDescent="0.2">
      <c r="A172" s="180"/>
      <c r="B172" s="56" t="s">
        <v>483</v>
      </c>
      <c r="C172" s="34" t="s">
        <v>189</v>
      </c>
      <c r="D172" s="11" t="s">
        <v>488</v>
      </c>
      <c r="E172" s="181">
        <v>-3714.94</v>
      </c>
      <c r="F172" s="12"/>
      <c r="G172" s="182">
        <v>0</v>
      </c>
      <c r="H172" s="59"/>
      <c r="I172" s="60">
        <v>3714.94</v>
      </c>
      <c r="J172" s="61">
        <v>3902.4900000000002</v>
      </c>
      <c r="K172" s="18">
        <f t="shared" si="6"/>
        <v>0</v>
      </c>
    </row>
    <row r="173" spans="1:15" ht="13.5" customHeight="1" x14ac:dyDescent="0.2">
      <c r="A173" s="180" t="s">
        <v>1508</v>
      </c>
      <c r="B173" s="56" t="s">
        <v>483</v>
      </c>
      <c r="C173" s="36" t="s">
        <v>382</v>
      </c>
      <c r="D173" s="11" t="s">
        <v>488</v>
      </c>
      <c r="E173" s="181">
        <v>-280.88</v>
      </c>
      <c r="F173" s="12"/>
      <c r="G173" s="182" t="s">
        <v>483</v>
      </c>
      <c r="H173" s="59"/>
      <c r="I173" s="60"/>
      <c r="J173" s="61">
        <v>3902.4900000000002</v>
      </c>
      <c r="K173" s="18">
        <f t="shared" si="6"/>
        <v>-280.88</v>
      </c>
    </row>
    <row r="174" spans="1:15" ht="13.5" customHeight="1" x14ac:dyDescent="0.2">
      <c r="A174" s="180"/>
      <c r="B174" s="56" t="s">
        <v>483</v>
      </c>
      <c r="C174" s="36" t="s">
        <v>1509</v>
      </c>
      <c r="D174" s="11" t="s">
        <v>488</v>
      </c>
      <c r="E174" s="181">
        <v>-19.16</v>
      </c>
      <c r="F174" s="12"/>
      <c r="G174" s="182" t="s">
        <v>483</v>
      </c>
      <c r="H174" s="59"/>
      <c r="I174" s="60"/>
      <c r="J174" s="61">
        <v>3902.4900000000002</v>
      </c>
      <c r="K174" s="18">
        <f t="shared" si="6"/>
        <v>-300.04000000000002</v>
      </c>
    </row>
    <row r="175" spans="1:15" ht="13.5" customHeight="1" x14ac:dyDescent="0.2">
      <c r="A175" s="180"/>
      <c r="B175" s="56" t="s">
        <v>483</v>
      </c>
      <c r="C175" s="36" t="s">
        <v>1510</v>
      </c>
      <c r="D175" s="11" t="s">
        <v>1511</v>
      </c>
      <c r="E175" s="181">
        <v>-1800</v>
      </c>
      <c r="F175" s="12"/>
      <c r="G175" s="182" t="s">
        <v>483</v>
      </c>
      <c r="H175" s="59"/>
      <c r="I175" s="60"/>
      <c r="J175" s="61">
        <v>3902.4900000000002</v>
      </c>
      <c r="K175" s="18">
        <f t="shared" si="6"/>
        <v>-2100.04</v>
      </c>
    </row>
    <row r="176" spans="1:15" ht="13.5" customHeight="1" x14ac:dyDescent="0.2">
      <c r="A176" s="180"/>
      <c r="B176" s="56" t="s">
        <v>483</v>
      </c>
      <c r="C176" s="34" t="s">
        <v>1512</v>
      </c>
      <c r="D176" s="11" t="s">
        <v>1513</v>
      </c>
      <c r="E176" s="181">
        <v>-1081.01</v>
      </c>
      <c r="F176" s="12"/>
      <c r="G176" s="182" t="s">
        <v>483</v>
      </c>
      <c r="H176" s="59"/>
      <c r="I176" s="60"/>
      <c r="J176" s="61">
        <v>3902.4900000000002</v>
      </c>
      <c r="K176" s="18">
        <f t="shared" si="6"/>
        <v>-3181.05</v>
      </c>
    </row>
    <row r="177" spans="1:15" ht="13.5" customHeight="1" x14ac:dyDescent="0.2">
      <c r="A177" s="180"/>
      <c r="B177" s="56" t="s">
        <v>483</v>
      </c>
      <c r="C177" s="34" t="s">
        <v>173</v>
      </c>
      <c r="D177" s="11" t="s">
        <v>1514</v>
      </c>
      <c r="E177" s="181">
        <v>-1170.0899999999999</v>
      </c>
      <c r="F177" s="12"/>
      <c r="G177" s="182" t="s">
        <v>483</v>
      </c>
      <c r="H177" s="59"/>
      <c r="I177" s="60"/>
      <c r="J177" s="61">
        <v>3902.4900000000002</v>
      </c>
      <c r="K177" s="18">
        <f t="shared" si="6"/>
        <v>-4351.1400000000003</v>
      </c>
    </row>
    <row r="178" spans="1:15" ht="13.5" customHeight="1" x14ac:dyDescent="0.2">
      <c r="A178" s="180"/>
      <c r="B178" s="56" t="s">
        <v>483</v>
      </c>
      <c r="C178" s="36" t="s">
        <v>174</v>
      </c>
      <c r="D178" s="11" t="s">
        <v>488</v>
      </c>
      <c r="E178" s="30"/>
      <c r="F178" s="183">
        <v>3902.5</v>
      </c>
      <c r="G178" s="182">
        <v>-448.64</v>
      </c>
      <c r="H178" s="59">
        <v>3902.5</v>
      </c>
      <c r="I178" s="60"/>
      <c r="J178" s="61">
        <v>-9.9999999997635314E-3</v>
      </c>
      <c r="K178" s="18">
        <f t="shared" si="6"/>
        <v>-448.64000000000033</v>
      </c>
    </row>
    <row r="179" spans="1:15" ht="13.5" customHeight="1" x14ac:dyDescent="0.2">
      <c r="A179" s="180" t="s">
        <v>3524</v>
      </c>
      <c r="B179" s="56" t="s">
        <v>483</v>
      </c>
      <c r="C179" s="34" t="s">
        <v>1402</v>
      </c>
      <c r="D179" s="11" t="s">
        <v>3525</v>
      </c>
      <c r="E179" s="30"/>
      <c r="F179" s="168">
        <v>2000</v>
      </c>
      <c r="G179" s="411" t="s">
        <v>483</v>
      </c>
      <c r="H179" s="59"/>
      <c r="I179" s="60"/>
      <c r="J179" s="61">
        <v>-9.9999999997635314E-3</v>
      </c>
      <c r="K179" s="18">
        <f t="shared" si="6"/>
        <v>1551.3599999999997</v>
      </c>
      <c r="L179" s="30"/>
      <c r="O179" s="420"/>
    </row>
    <row r="180" spans="1:15" ht="13.5" customHeight="1" x14ac:dyDescent="0.2">
      <c r="A180" s="180"/>
      <c r="B180" s="56" t="s">
        <v>483</v>
      </c>
      <c r="C180" s="34" t="s">
        <v>189</v>
      </c>
      <c r="D180" s="11" t="s">
        <v>488</v>
      </c>
      <c r="E180" s="181">
        <v>-1551.36</v>
      </c>
      <c r="F180" s="12"/>
      <c r="G180" s="182">
        <v>0</v>
      </c>
      <c r="H180" s="59"/>
      <c r="I180" s="60">
        <v>1551.36</v>
      </c>
      <c r="J180" s="61">
        <v>1551.3500000000001</v>
      </c>
      <c r="K180" s="18">
        <f t="shared" si="6"/>
        <v>0</v>
      </c>
    </row>
    <row r="181" spans="1:15" ht="13.5" customHeight="1" x14ac:dyDescent="0.2">
      <c r="A181" s="180" t="s">
        <v>1515</v>
      </c>
      <c r="B181" s="56" t="s">
        <v>483</v>
      </c>
      <c r="C181" s="36" t="s">
        <v>1516</v>
      </c>
      <c r="D181" s="11" t="s">
        <v>488</v>
      </c>
      <c r="E181" s="30"/>
      <c r="F181" s="183">
        <v>4731.47</v>
      </c>
      <c r="G181" s="182">
        <v>4731.47</v>
      </c>
      <c r="H181" s="59"/>
      <c r="I181" s="60"/>
      <c r="J181" s="61">
        <v>1551.3500000000001</v>
      </c>
      <c r="K181" s="18">
        <f t="shared" si="6"/>
        <v>4731.47</v>
      </c>
    </row>
    <row r="182" spans="1:15" ht="13.5" customHeight="1" x14ac:dyDescent="0.2">
      <c r="A182" s="180"/>
      <c r="B182" s="56" t="s">
        <v>483</v>
      </c>
      <c r="C182" s="36" t="s">
        <v>398</v>
      </c>
      <c r="D182" s="11" t="s">
        <v>1517</v>
      </c>
      <c r="E182" s="181">
        <v>-187.65</v>
      </c>
      <c r="F182" s="12"/>
      <c r="G182" s="182" t="s">
        <v>483</v>
      </c>
      <c r="H182" s="59"/>
      <c r="I182" s="60"/>
      <c r="J182" s="61">
        <v>1551.3500000000001</v>
      </c>
      <c r="K182" s="18">
        <f t="shared" si="6"/>
        <v>4543.8200000000006</v>
      </c>
    </row>
    <row r="183" spans="1:15" ht="13.5" customHeight="1" x14ac:dyDescent="0.2">
      <c r="A183" s="180"/>
      <c r="B183" s="56" t="s">
        <v>483</v>
      </c>
      <c r="C183" s="34" t="s">
        <v>189</v>
      </c>
      <c r="D183" s="11" t="s">
        <v>488</v>
      </c>
      <c r="E183" s="181">
        <v>-4543.82</v>
      </c>
      <c r="F183" s="12"/>
      <c r="G183" s="182">
        <v>0</v>
      </c>
      <c r="H183" s="59"/>
      <c r="I183" s="60">
        <v>4543.82</v>
      </c>
      <c r="J183" s="61">
        <v>6095.17</v>
      </c>
      <c r="K183" s="18">
        <f t="shared" si="6"/>
        <v>0</v>
      </c>
    </row>
    <row r="184" spans="1:15" ht="13.5" customHeight="1" x14ac:dyDescent="0.2">
      <c r="A184" s="180" t="s">
        <v>1518</v>
      </c>
      <c r="B184" s="56" t="s">
        <v>483</v>
      </c>
      <c r="C184" s="36" t="s">
        <v>1377</v>
      </c>
      <c r="D184" s="11" t="s">
        <v>1167</v>
      </c>
      <c r="E184" s="181">
        <v>-520.29999999999995</v>
      </c>
      <c r="F184" s="30"/>
      <c r="G184" s="182" t="s">
        <v>483</v>
      </c>
      <c r="H184" s="59"/>
      <c r="I184" s="60"/>
      <c r="J184" s="61">
        <v>6095.17</v>
      </c>
      <c r="K184" s="18">
        <f t="shared" si="6"/>
        <v>-520.29999999999995</v>
      </c>
    </row>
    <row r="185" spans="1:15" ht="13.5" customHeight="1" x14ac:dyDescent="0.2">
      <c r="A185" s="180"/>
      <c r="B185" s="56" t="s">
        <v>483</v>
      </c>
      <c r="C185" s="36" t="s">
        <v>1519</v>
      </c>
      <c r="D185" s="11" t="s">
        <v>510</v>
      </c>
      <c r="E185" s="181">
        <v>-95.4</v>
      </c>
      <c r="F185" s="30"/>
      <c r="G185" s="182" t="s">
        <v>483</v>
      </c>
      <c r="H185" s="59"/>
      <c r="I185" s="60"/>
      <c r="J185" s="61">
        <v>6095.17</v>
      </c>
      <c r="K185" s="18">
        <f t="shared" si="6"/>
        <v>-615.69999999999993</v>
      </c>
    </row>
    <row r="186" spans="1:15" ht="13.5" customHeight="1" x14ac:dyDescent="0.2">
      <c r="A186" s="180"/>
      <c r="B186" s="56" t="s">
        <v>483</v>
      </c>
      <c r="C186" s="36" t="s">
        <v>1520</v>
      </c>
      <c r="D186" s="11" t="s">
        <v>590</v>
      </c>
      <c r="E186" s="181">
        <v>-619.9</v>
      </c>
      <c r="F186" s="30"/>
      <c r="G186" s="182" t="s">
        <v>483</v>
      </c>
      <c r="H186" s="59"/>
      <c r="I186" s="60"/>
      <c r="J186" s="61">
        <v>6095.17</v>
      </c>
      <c r="K186" s="18">
        <f t="shared" si="6"/>
        <v>-1235.5999999999999</v>
      </c>
    </row>
    <row r="187" spans="1:15" ht="13.5" customHeight="1" x14ac:dyDescent="0.2">
      <c r="A187" s="180"/>
      <c r="B187" s="56" t="s">
        <v>591</v>
      </c>
      <c r="C187" s="34" t="s">
        <v>1521</v>
      </c>
      <c r="D187" s="11" t="s">
        <v>1522</v>
      </c>
      <c r="E187" s="30"/>
      <c r="F187" s="181">
        <v>8000</v>
      </c>
      <c r="G187" s="182" t="s">
        <v>483</v>
      </c>
      <c r="H187" s="59"/>
      <c r="I187" s="60"/>
      <c r="J187" s="61">
        <v>6095.17</v>
      </c>
      <c r="K187" s="18">
        <f t="shared" si="6"/>
        <v>6764.4</v>
      </c>
    </row>
    <row r="188" spans="1:15" ht="13.5" customHeight="1" x14ac:dyDescent="0.2">
      <c r="A188" s="180"/>
      <c r="B188" s="56" t="s">
        <v>483</v>
      </c>
      <c r="C188" s="36" t="s">
        <v>1523</v>
      </c>
      <c r="D188" s="11" t="s">
        <v>1524</v>
      </c>
      <c r="E188" s="181">
        <v>-793.85</v>
      </c>
      <c r="F188" s="30"/>
      <c r="G188" s="182" t="s">
        <v>483</v>
      </c>
      <c r="H188" s="59"/>
      <c r="I188" s="60"/>
      <c r="J188" s="61">
        <v>6095.17</v>
      </c>
      <c r="K188" s="18">
        <f t="shared" si="6"/>
        <v>5970.5499999999993</v>
      </c>
    </row>
    <row r="189" spans="1:15" ht="13.5" customHeight="1" x14ac:dyDescent="0.2">
      <c r="A189" s="180"/>
      <c r="B189" s="56" t="s">
        <v>483</v>
      </c>
      <c r="C189" s="36" t="s">
        <v>1525</v>
      </c>
      <c r="D189" s="11" t="s">
        <v>1526</v>
      </c>
      <c r="E189" s="181">
        <v>-421.52</v>
      </c>
      <c r="F189" s="30"/>
      <c r="G189" s="182" t="s">
        <v>483</v>
      </c>
      <c r="H189" s="59"/>
      <c r="I189" s="60"/>
      <c r="J189" s="61">
        <v>6095.17</v>
      </c>
      <c r="K189" s="18">
        <f t="shared" si="6"/>
        <v>5549.0299999999988</v>
      </c>
    </row>
    <row r="190" spans="1:15" ht="13.5" customHeight="1" x14ac:dyDescent="0.2">
      <c r="A190" s="180"/>
      <c r="B190" s="56" t="s">
        <v>483</v>
      </c>
      <c r="C190" s="36" t="s">
        <v>174</v>
      </c>
      <c r="D190" s="11" t="s">
        <v>488</v>
      </c>
      <c r="E190" s="30"/>
      <c r="F190" s="181">
        <v>2450.9699999999998</v>
      </c>
      <c r="G190" s="182">
        <v>8000</v>
      </c>
      <c r="H190" s="59">
        <v>2450.9699999999998</v>
      </c>
      <c r="I190" s="60"/>
      <c r="J190" s="61">
        <v>3644.2000000000003</v>
      </c>
      <c r="K190" s="18">
        <f t="shared" si="6"/>
        <v>7999.9999999999982</v>
      </c>
    </row>
    <row r="191" spans="1:15" ht="13.5" customHeight="1" x14ac:dyDescent="0.2">
      <c r="A191" s="180" t="s">
        <v>1527</v>
      </c>
      <c r="B191" s="56" t="s">
        <v>483</v>
      </c>
      <c r="C191" s="34" t="s">
        <v>189</v>
      </c>
      <c r="D191" s="11" t="s">
        <v>488</v>
      </c>
      <c r="E191" s="181">
        <v>-8000</v>
      </c>
      <c r="F191" s="30"/>
      <c r="G191" s="182">
        <v>0</v>
      </c>
      <c r="H191" s="59"/>
      <c r="I191" s="60">
        <v>8000</v>
      </c>
      <c r="J191" s="61">
        <v>11644.2</v>
      </c>
      <c r="K191" s="18">
        <f t="shared" si="6"/>
        <v>0</v>
      </c>
    </row>
    <row r="192" spans="1:15" ht="13.5" customHeight="1" x14ac:dyDescent="0.2">
      <c r="A192" s="180" t="s">
        <v>1528</v>
      </c>
      <c r="B192" s="56" t="s">
        <v>483</v>
      </c>
      <c r="C192" s="36" t="s">
        <v>1529</v>
      </c>
      <c r="D192" s="11" t="s">
        <v>1175</v>
      </c>
      <c r="E192" s="181">
        <v>-42.25</v>
      </c>
      <c r="F192" s="30"/>
      <c r="G192" s="182" t="s">
        <v>483</v>
      </c>
      <c r="H192" s="59"/>
      <c r="I192" s="60"/>
      <c r="J192" s="61">
        <v>11644.2</v>
      </c>
      <c r="K192" s="18">
        <f t="shared" si="6"/>
        <v>-42.25</v>
      </c>
    </row>
    <row r="193" spans="1:15" ht="13.5" customHeight="1" x14ac:dyDescent="0.2">
      <c r="A193" s="180"/>
      <c r="B193" s="56" t="s">
        <v>483</v>
      </c>
      <c r="C193" s="36" t="s">
        <v>198</v>
      </c>
      <c r="D193" s="11" t="s">
        <v>1530</v>
      </c>
      <c r="E193" s="181">
        <v>-1523.66</v>
      </c>
      <c r="F193" s="30"/>
      <c r="G193" s="182" t="s">
        <v>483</v>
      </c>
      <c r="H193" s="59"/>
      <c r="I193" s="60"/>
      <c r="J193" s="61">
        <v>11644.2</v>
      </c>
      <c r="K193" s="18">
        <f t="shared" si="6"/>
        <v>-1565.91</v>
      </c>
    </row>
    <row r="194" spans="1:15" ht="13.5" customHeight="1" x14ac:dyDescent="0.2">
      <c r="A194" s="180"/>
      <c r="B194" s="56" t="s">
        <v>483</v>
      </c>
      <c r="C194" s="36" t="s">
        <v>1531</v>
      </c>
      <c r="D194" s="11" t="s">
        <v>793</v>
      </c>
      <c r="E194" s="181">
        <v>-45.08</v>
      </c>
      <c r="F194" s="30"/>
      <c r="G194" s="182" t="s">
        <v>483</v>
      </c>
      <c r="H194" s="59"/>
      <c r="I194" s="60"/>
      <c r="J194" s="61">
        <v>11644.2</v>
      </c>
      <c r="K194" s="18">
        <f t="shared" si="6"/>
        <v>-1610.99</v>
      </c>
    </row>
    <row r="195" spans="1:15" ht="13.5" customHeight="1" x14ac:dyDescent="0.2">
      <c r="A195" s="180"/>
      <c r="B195" s="56" t="s">
        <v>483</v>
      </c>
      <c r="C195" s="36" t="s">
        <v>174</v>
      </c>
      <c r="D195" s="11" t="s">
        <v>488</v>
      </c>
      <c r="E195" s="30"/>
      <c r="F195" s="181">
        <v>1610.99</v>
      </c>
      <c r="G195" s="182">
        <v>0</v>
      </c>
      <c r="H195" s="59">
        <v>1610.99</v>
      </c>
      <c r="I195" s="60"/>
      <c r="J195" s="61">
        <v>10033.210000000001</v>
      </c>
      <c r="K195" s="18">
        <f t="shared" si="6"/>
        <v>0</v>
      </c>
    </row>
    <row r="196" spans="1:15" ht="13.5" customHeight="1" x14ac:dyDescent="0.2">
      <c r="A196" s="180" t="s">
        <v>1532</v>
      </c>
      <c r="B196" s="56" t="s">
        <v>483</v>
      </c>
      <c r="C196" s="36" t="s">
        <v>86</v>
      </c>
      <c r="D196" s="11" t="s">
        <v>488</v>
      </c>
      <c r="E196" s="181">
        <v>-85</v>
      </c>
      <c r="F196" s="30"/>
      <c r="G196" s="182" t="s">
        <v>483</v>
      </c>
      <c r="H196" s="59"/>
      <c r="I196" s="60"/>
      <c r="J196" s="61">
        <v>10033.210000000001</v>
      </c>
      <c r="K196" s="18">
        <f t="shared" si="6"/>
        <v>-85</v>
      </c>
    </row>
    <row r="197" spans="1:15" ht="13.5" customHeight="1" x14ac:dyDescent="0.2">
      <c r="A197" s="180"/>
      <c r="B197" s="56" t="s">
        <v>483</v>
      </c>
      <c r="C197" s="34" t="s">
        <v>1533</v>
      </c>
      <c r="D197" s="11" t="s">
        <v>488</v>
      </c>
      <c r="E197" s="181">
        <v>-754</v>
      </c>
      <c r="F197" s="30"/>
      <c r="G197" s="182" t="s">
        <v>483</v>
      </c>
      <c r="H197" s="59"/>
      <c r="I197" s="60"/>
      <c r="J197" s="61">
        <v>10033.210000000001</v>
      </c>
      <c r="K197" s="18">
        <f t="shared" si="6"/>
        <v>-839</v>
      </c>
    </row>
    <row r="198" spans="1:15" ht="13.5" customHeight="1" x14ac:dyDescent="0.2">
      <c r="A198" s="180"/>
      <c r="B198" s="56" t="s">
        <v>483</v>
      </c>
      <c r="C198" s="34" t="s">
        <v>194</v>
      </c>
      <c r="D198" s="11" t="s">
        <v>488</v>
      </c>
      <c r="E198" s="181">
        <v>-82.75</v>
      </c>
      <c r="F198" s="30"/>
      <c r="G198" s="182" t="s">
        <v>483</v>
      </c>
      <c r="H198" s="59"/>
      <c r="I198" s="60"/>
      <c r="J198" s="61">
        <v>10033.210000000001</v>
      </c>
      <c r="K198" s="18">
        <f t="shared" si="6"/>
        <v>-921.75</v>
      </c>
    </row>
    <row r="199" spans="1:15" ht="13.5" customHeight="1" x14ac:dyDescent="0.2">
      <c r="A199" s="180"/>
      <c r="B199" s="56" t="s">
        <v>483</v>
      </c>
      <c r="C199" s="34" t="s">
        <v>195</v>
      </c>
      <c r="D199" s="11" t="s">
        <v>488</v>
      </c>
      <c r="E199" s="181">
        <v>-381.94</v>
      </c>
      <c r="F199" s="30"/>
      <c r="G199" s="182"/>
      <c r="H199" s="59"/>
      <c r="I199" s="60"/>
      <c r="J199" s="61">
        <v>10033.210000000001</v>
      </c>
      <c r="K199" s="18">
        <f t="shared" si="6"/>
        <v>-1303.69</v>
      </c>
    </row>
    <row r="200" spans="1:15" ht="13.5" customHeight="1" x14ac:dyDescent="0.2">
      <c r="A200" s="180"/>
      <c r="B200" s="56" t="s">
        <v>483</v>
      </c>
      <c r="C200" s="36" t="s">
        <v>174</v>
      </c>
      <c r="D200" s="11" t="s">
        <v>488</v>
      </c>
      <c r="E200" s="30"/>
      <c r="F200" s="181">
        <v>1303.69</v>
      </c>
      <c r="G200" s="182">
        <v>0</v>
      </c>
      <c r="H200" s="59">
        <v>1303.69</v>
      </c>
      <c r="I200" s="60"/>
      <c r="J200" s="61">
        <v>8729.52</v>
      </c>
      <c r="K200" s="18">
        <f t="shared" si="6"/>
        <v>0</v>
      </c>
    </row>
    <row r="201" spans="1:15" ht="13.5" customHeight="1" x14ac:dyDescent="0.2">
      <c r="A201" s="180" t="s">
        <v>1534</v>
      </c>
      <c r="B201" s="56" t="s">
        <v>483</v>
      </c>
      <c r="C201" s="34" t="s">
        <v>199</v>
      </c>
      <c r="D201" s="11" t="s">
        <v>488</v>
      </c>
      <c r="E201" s="181">
        <v>-261.60000000000002</v>
      </c>
      <c r="F201" s="30"/>
      <c r="G201" s="182" t="s">
        <v>483</v>
      </c>
      <c r="H201" s="59"/>
      <c r="I201" s="60"/>
      <c r="J201" s="61">
        <v>8729.52</v>
      </c>
      <c r="K201" s="18">
        <f t="shared" si="6"/>
        <v>-261.60000000000002</v>
      </c>
    </row>
    <row r="202" spans="1:15" ht="13.5" customHeight="1" x14ac:dyDescent="0.2">
      <c r="A202" s="180"/>
      <c r="B202" s="56" t="s">
        <v>483</v>
      </c>
      <c r="C202" s="36" t="s">
        <v>174</v>
      </c>
      <c r="D202" s="11" t="s">
        <v>488</v>
      </c>
      <c r="E202" s="30"/>
      <c r="F202" s="181">
        <v>261.60000000000002</v>
      </c>
      <c r="G202" s="182">
        <v>0</v>
      </c>
      <c r="H202" s="59">
        <v>261.60000000000002</v>
      </c>
      <c r="I202" s="60"/>
      <c r="J202" s="61">
        <v>8467.92</v>
      </c>
      <c r="K202" s="18">
        <f t="shared" si="6"/>
        <v>0</v>
      </c>
    </row>
    <row r="203" spans="1:15" ht="13.5" customHeight="1" x14ac:dyDescent="0.2">
      <c r="A203" s="180" t="s">
        <v>1535</v>
      </c>
      <c r="B203" s="56" t="s">
        <v>483</v>
      </c>
      <c r="C203" s="41" t="s">
        <v>1536</v>
      </c>
      <c r="D203" s="11" t="s">
        <v>488</v>
      </c>
      <c r="E203" s="30">
        <v>-128.80000000000001</v>
      </c>
      <c r="F203" s="30"/>
      <c r="G203" s="182" t="s">
        <v>483</v>
      </c>
      <c r="H203" s="59"/>
      <c r="I203" s="60"/>
      <c r="J203" s="61">
        <v>8467.92</v>
      </c>
      <c r="K203" s="18">
        <f t="shared" si="6"/>
        <v>-128.80000000000001</v>
      </c>
    </row>
    <row r="204" spans="1:15" ht="13.5" customHeight="1" x14ac:dyDescent="0.2">
      <c r="A204" s="180"/>
      <c r="B204" s="56" t="s">
        <v>483</v>
      </c>
      <c r="C204" s="36" t="s">
        <v>1537</v>
      </c>
      <c r="D204" s="11" t="s">
        <v>488</v>
      </c>
      <c r="E204" s="181">
        <v>-569.70000000000005</v>
      </c>
      <c r="F204" s="30"/>
      <c r="G204" s="182" t="s">
        <v>483</v>
      </c>
      <c r="H204" s="59"/>
      <c r="I204" s="60"/>
      <c r="J204" s="61">
        <v>8467.92</v>
      </c>
      <c r="K204" s="18">
        <f t="shared" si="6"/>
        <v>-698.5</v>
      </c>
    </row>
    <row r="205" spans="1:15" ht="13.5" customHeight="1" x14ac:dyDescent="0.2">
      <c r="A205" s="180"/>
      <c r="B205" s="56" t="s">
        <v>483</v>
      </c>
      <c r="C205" s="36" t="s">
        <v>174</v>
      </c>
      <c r="D205" s="11" t="s">
        <v>488</v>
      </c>
      <c r="E205" s="30"/>
      <c r="F205" s="181">
        <v>698.5</v>
      </c>
      <c r="G205" s="182">
        <v>0</v>
      </c>
      <c r="H205" s="59">
        <v>698.5</v>
      </c>
      <c r="I205" s="60"/>
      <c r="J205" s="61">
        <v>7769.42</v>
      </c>
      <c r="K205" s="18">
        <f t="shared" si="6"/>
        <v>0</v>
      </c>
    </row>
    <row r="206" spans="1:15" ht="13.5" customHeight="1" x14ac:dyDescent="0.2">
      <c r="A206" s="180" t="s">
        <v>3521</v>
      </c>
      <c r="B206" s="56" t="s">
        <v>483</v>
      </c>
      <c r="C206" s="34" t="s">
        <v>1402</v>
      </c>
      <c r="D206" s="11" t="s">
        <v>3522</v>
      </c>
      <c r="E206" s="165">
        <v>-5000</v>
      </c>
      <c r="F206" s="636"/>
      <c r="G206" s="182"/>
      <c r="H206" s="59"/>
      <c r="I206" s="60"/>
      <c r="J206" s="61">
        <v>7769.42</v>
      </c>
      <c r="K206" s="18">
        <f t="shared" si="6"/>
        <v>-5000</v>
      </c>
      <c r="L206" s="30"/>
      <c r="O206" s="420"/>
    </row>
    <row r="207" spans="1:15" ht="13.5" customHeight="1" x14ac:dyDescent="0.2">
      <c r="A207" s="180"/>
      <c r="B207" s="56"/>
      <c r="C207" s="36" t="s">
        <v>1538</v>
      </c>
      <c r="D207" s="50">
        <v>469</v>
      </c>
      <c r="E207" s="181">
        <v>-700</v>
      </c>
      <c r="F207" s="30"/>
      <c r="G207" s="182"/>
      <c r="H207" s="59"/>
      <c r="I207" s="60"/>
      <c r="J207" s="61">
        <v>7769.42</v>
      </c>
      <c r="K207" s="18">
        <f t="shared" si="6"/>
        <v>-5700</v>
      </c>
    </row>
    <row r="208" spans="1:15" ht="13.5" customHeight="1" x14ac:dyDescent="0.2">
      <c r="A208" s="180"/>
      <c r="B208" s="56" t="s">
        <v>483</v>
      </c>
      <c r="C208" s="36" t="s">
        <v>174</v>
      </c>
      <c r="D208" s="11" t="s">
        <v>488</v>
      </c>
      <c r="E208" s="30"/>
      <c r="F208" s="181">
        <v>5700</v>
      </c>
      <c r="G208" s="182">
        <v>0</v>
      </c>
      <c r="H208" s="59">
        <v>5700</v>
      </c>
      <c r="I208" s="60"/>
      <c r="J208" s="61">
        <v>2069.42</v>
      </c>
      <c r="K208" s="18">
        <f t="shared" si="6"/>
        <v>0</v>
      </c>
    </row>
    <row r="209" spans="1:12" ht="13.5" customHeight="1" x14ac:dyDescent="0.2">
      <c r="A209" s="180" t="s">
        <v>1539</v>
      </c>
      <c r="B209" s="56" t="s">
        <v>483</v>
      </c>
      <c r="C209" s="36" t="s">
        <v>86</v>
      </c>
      <c r="D209" s="11" t="s">
        <v>488</v>
      </c>
      <c r="E209" s="181">
        <v>-12.5</v>
      </c>
      <c r="F209" s="30"/>
      <c r="G209" s="182"/>
      <c r="H209" s="59"/>
      <c r="I209" s="60"/>
      <c r="J209" s="61">
        <v>2069.42</v>
      </c>
      <c r="K209" s="18">
        <f t="shared" si="6"/>
        <v>-12.5</v>
      </c>
    </row>
    <row r="210" spans="1:12" ht="13.5" customHeight="1" x14ac:dyDescent="0.2">
      <c r="A210" s="180"/>
      <c r="B210" s="56" t="s">
        <v>483</v>
      </c>
      <c r="C210" s="36" t="s">
        <v>1540</v>
      </c>
      <c r="D210" s="11" t="s">
        <v>1541</v>
      </c>
      <c r="E210" s="181">
        <v>-270</v>
      </c>
      <c r="F210" s="30"/>
      <c r="G210" s="182" t="s">
        <v>483</v>
      </c>
      <c r="H210" s="59"/>
      <c r="I210" s="60"/>
      <c r="J210" s="61">
        <v>2069.42</v>
      </c>
      <c r="K210" s="18">
        <f t="shared" si="6"/>
        <v>-282.5</v>
      </c>
    </row>
    <row r="211" spans="1:12" ht="13.5" customHeight="1" x14ac:dyDescent="0.2">
      <c r="A211" s="180"/>
      <c r="B211" s="56" t="s">
        <v>483</v>
      </c>
      <c r="C211" s="36" t="s">
        <v>174</v>
      </c>
      <c r="D211" s="11" t="s">
        <v>488</v>
      </c>
      <c r="E211" s="30"/>
      <c r="F211" s="181">
        <v>282.5</v>
      </c>
      <c r="G211" s="182">
        <v>0</v>
      </c>
      <c r="H211" s="59">
        <v>282.5</v>
      </c>
      <c r="I211" s="60"/>
      <c r="J211" s="61">
        <v>1786.92</v>
      </c>
      <c r="K211" s="18">
        <f t="shared" si="6"/>
        <v>0</v>
      </c>
    </row>
    <row r="212" spans="1:12" ht="13.5" customHeight="1" x14ac:dyDescent="0.2">
      <c r="A212" s="180" t="s">
        <v>1542</v>
      </c>
      <c r="B212" s="56" t="s">
        <v>483</v>
      </c>
      <c r="C212" s="32" t="s">
        <v>813</v>
      </c>
      <c r="D212" s="11" t="s">
        <v>1167</v>
      </c>
      <c r="E212" s="181">
        <v>-75</v>
      </c>
      <c r="F212" s="30"/>
      <c r="G212" s="182" t="s">
        <v>483</v>
      </c>
      <c r="H212" s="59"/>
      <c r="I212" s="60"/>
      <c r="J212" s="61">
        <v>1786.92</v>
      </c>
      <c r="K212" s="18">
        <f t="shared" si="6"/>
        <v>-75</v>
      </c>
    </row>
    <row r="213" spans="1:12" ht="13.5" customHeight="1" x14ac:dyDescent="0.2">
      <c r="A213" s="180"/>
      <c r="B213" s="56" t="s">
        <v>483</v>
      </c>
      <c r="C213" s="36" t="s">
        <v>174</v>
      </c>
      <c r="D213" s="11" t="s">
        <v>488</v>
      </c>
      <c r="E213" s="30"/>
      <c r="F213" s="181">
        <v>75</v>
      </c>
      <c r="G213" s="205">
        <v>0</v>
      </c>
      <c r="H213" s="59">
        <v>75</v>
      </c>
      <c r="I213" s="60"/>
      <c r="J213" s="421">
        <v>1711.92</v>
      </c>
      <c r="K213" s="18">
        <f t="shared" si="6"/>
        <v>0</v>
      </c>
    </row>
    <row r="214" spans="1:12" ht="13.5" customHeight="1" x14ac:dyDescent="0.2">
      <c r="A214" s="180"/>
      <c r="B214" s="56"/>
      <c r="C214" s="36"/>
      <c r="D214" s="11"/>
      <c r="E214" s="30"/>
      <c r="F214" s="30"/>
      <c r="G214" s="205"/>
      <c r="H214" s="59"/>
      <c r="I214" s="60"/>
      <c r="J214" s="186"/>
    </row>
    <row r="215" spans="1:12" s="64" customFormat="1" ht="13.5" customHeight="1" thickBot="1" x14ac:dyDescent="0.25">
      <c r="A215" s="184"/>
      <c r="B215" s="63"/>
      <c r="C215" s="63"/>
      <c r="D215" s="50"/>
      <c r="E215" s="51">
        <f>SUM(E207:E212)+SUM(E162:E204)</f>
        <v>-30344.409999999996</v>
      </c>
      <c r="F215" s="13">
        <f>SUM(F180:F213)+F178</f>
        <v>29017.219999999998</v>
      </c>
      <c r="G215" s="53"/>
      <c r="H215" s="179"/>
      <c r="I215" s="57"/>
      <c r="J215" s="67"/>
      <c r="L215" s="422"/>
    </row>
    <row r="216" spans="1:12" ht="13.5" customHeight="1" thickBot="1" x14ac:dyDescent="0.25">
      <c r="A216" s="2" t="s">
        <v>2</v>
      </c>
      <c r="B216" s="3"/>
      <c r="C216" s="3" t="s">
        <v>525</v>
      </c>
      <c r="D216" s="3" t="s">
        <v>4</v>
      </c>
      <c r="E216" s="3" t="s">
        <v>5</v>
      </c>
      <c r="F216" s="3" t="s">
        <v>6</v>
      </c>
      <c r="G216" s="5" t="s">
        <v>7</v>
      </c>
      <c r="H216" s="187"/>
      <c r="I216" s="188"/>
      <c r="J216" s="189"/>
    </row>
    <row r="217" spans="1:12" ht="13.5" customHeight="1" x14ac:dyDescent="0.2">
      <c r="A217" s="8">
        <v>43497</v>
      </c>
      <c r="B217" s="56"/>
      <c r="C217" s="10" t="s">
        <v>8</v>
      </c>
      <c r="D217" s="11"/>
      <c r="E217" s="51"/>
      <c r="F217" s="12"/>
      <c r="G217" s="178">
        <v>709.67</v>
      </c>
      <c r="H217" s="179"/>
      <c r="I217" s="57"/>
      <c r="J217" s="67"/>
    </row>
    <row r="218" spans="1:12" customFormat="1" ht="13.5" customHeight="1" x14ac:dyDescent="0.2">
      <c r="A218" s="180"/>
      <c r="B218" s="36"/>
      <c r="C218" s="32" t="s">
        <v>611</v>
      </c>
      <c r="D218" s="42"/>
      <c r="E218" s="196"/>
      <c r="F218" s="199">
        <v>1500</v>
      </c>
      <c r="G218" s="190">
        <v>2209.67</v>
      </c>
      <c r="H218" s="197"/>
      <c r="I218" s="57"/>
      <c r="J218" s="198"/>
      <c r="L218" s="420"/>
    </row>
    <row r="219" spans="1:12" ht="13.5" customHeight="1" x14ac:dyDescent="0.2">
      <c r="A219" s="180">
        <v>43504</v>
      </c>
      <c r="B219" s="56"/>
      <c r="C219" s="36" t="s">
        <v>530</v>
      </c>
      <c r="D219" s="11"/>
      <c r="E219" s="181">
        <v>888.22</v>
      </c>
      <c r="F219" s="12"/>
      <c r="G219" s="190">
        <v>1321.45</v>
      </c>
      <c r="H219" s="59"/>
      <c r="I219" s="60"/>
      <c r="J219" s="61"/>
    </row>
    <row r="220" spans="1:12" ht="13.5" customHeight="1" x14ac:dyDescent="0.2">
      <c r="A220" s="180"/>
      <c r="B220" s="56"/>
      <c r="C220" s="32" t="s">
        <v>1543</v>
      </c>
      <c r="D220" s="11"/>
      <c r="E220" s="181">
        <v>750</v>
      </c>
      <c r="F220" s="12"/>
      <c r="G220" s="190">
        <v>571.45000000000005</v>
      </c>
      <c r="H220" s="59"/>
      <c r="I220" s="60"/>
      <c r="J220" s="61"/>
    </row>
    <row r="221" spans="1:12" ht="13.5" customHeight="1" x14ac:dyDescent="0.2">
      <c r="A221" s="180">
        <v>43514</v>
      </c>
      <c r="B221" s="56"/>
      <c r="C221" s="36" t="s">
        <v>613</v>
      </c>
      <c r="D221" s="11"/>
      <c r="E221" s="181">
        <v>34</v>
      </c>
      <c r="F221" s="12"/>
      <c r="G221" s="190">
        <v>537.45000000000005</v>
      </c>
      <c r="H221" s="59"/>
      <c r="I221" s="60"/>
      <c r="J221" s="61"/>
    </row>
    <row r="222" spans="1:12" ht="13.5" customHeight="1" x14ac:dyDescent="0.2">
      <c r="A222" s="180">
        <v>43524</v>
      </c>
      <c r="B222" s="56"/>
      <c r="C222" s="36" t="s">
        <v>613</v>
      </c>
      <c r="D222" s="11"/>
      <c r="E222" s="181">
        <v>27.5</v>
      </c>
      <c r="F222" s="12"/>
      <c r="G222" s="178">
        <v>509.95000000000005</v>
      </c>
      <c r="H222" s="59"/>
      <c r="I222" s="60"/>
      <c r="J222" s="61"/>
    </row>
    <row r="223" spans="1:12" s="64" customFormat="1" ht="13.5" customHeight="1" thickBot="1" x14ac:dyDescent="0.25">
      <c r="A223" s="184"/>
      <c r="B223" s="63"/>
      <c r="C223" s="63"/>
      <c r="D223" s="50"/>
      <c r="E223" s="51"/>
      <c r="F223" s="13"/>
      <c r="G223" s="53"/>
      <c r="H223" s="179"/>
      <c r="I223" s="57"/>
      <c r="J223" s="67"/>
      <c r="L223" s="422"/>
    </row>
    <row r="224" spans="1:12" customFormat="1" ht="13.5" customHeight="1" thickBot="1" x14ac:dyDescent="0.25">
      <c r="A224" s="2" t="s">
        <v>2</v>
      </c>
      <c r="B224" s="3"/>
      <c r="C224" s="3" t="s">
        <v>534</v>
      </c>
      <c r="D224" s="191" t="s">
        <v>4</v>
      </c>
      <c r="E224" s="3" t="s">
        <v>5</v>
      </c>
      <c r="F224" s="3" t="s">
        <v>6</v>
      </c>
      <c r="G224" s="5" t="s">
        <v>7</v>
      </c>
      <c r="H224" s="192"/>
      <c r="I224" s="193"/>
      <c r="J224" s="194"/>
    </row>
    <row r="225" spans="1:12" customFormat="1" ht="13.5" customHeight="1" x14ac:dyDescent="0.2">
      <c r="A225" s="8">
        <v>42370</v>
      </c>
      <c r="B225" s="36"/>
      <c r="C225" s="10" t="s">
        <v>8</v>
      </c>
      <c r="D225" s="195"/>
      <c r="E225" s="196"/>
      <c r="F225" s="43"/>
      <c r="G225" s="178">
        <v>0</v>
      </c>
      <c r="H225" s="197"/>
      <c r="I225" s="57"/>
      <c r="J225" s="198"/>
    </row>
    <row r="226" spans="1:12" customFormat="1" ht="13.5" customHeight="1" x14ac:dyDescent="0.2">
      <c r="A226" s="180">
        <v>43284</v>
      </c>
      <c r="B226" s="32"/>
      <c r="C226" s="32" t="s">
        <v>535</v>
      </c>
      <c r="D226" s="195"/>
      <c r="E226" s="196"/>
      <c r="F226" s="199">
        <v>500</v>
      </c>
      <c r="G226" s="190">
        <v>500</v>
      </c>
      <c r="H226" s="197"/>
      <c r="I226" s="57"/>
      <c r="J226" s="198"/>
    </row>
    <row r="227" spans="1:12" customFormat="1" ht="13.5" customHeight="1" x14ac:dyDescent="0.2">
      <c r="A227" s="180">
        <v>43346</v>
      </c>
      <c r="B227" s="36"/>
      <c r="C227" s="32" t="s">
        <v>535</v>
      </c>
      <c r="D227" s="195"/>
      <c r="E227" s="200"/>
      <c r="F227" s="199">
        <v>3000</v>
      </c>
      <c r="G227" s="190">
        <v>3500</v>
      </c>
      <c r="H227" s="68"/>
      <c r="I227" s="60"/>
      <c r="J227" s="69"/>
    </row>
    <row r="228" spans="1:12" customFormat="1" ht="13.5" customHeight="1" x14ac:dyDescent="0.2">
      <c r="A228" s="180">
        <v>43374</v>
      </c>
      <c r="B228" s="36"/>
      <c r="C228" s="32" t="s">
        <v>535</v>
      </c>
      <c r="D228" s="195"/>
      <c r="E228" s="200"/>
      <c r="F228" s="199">
        <v>2000</v>
      </c>
      <c r="G228" s="190">
        <v>5500</v>
      </c>
      <c r="H228" s="68"/>
      <c r="I228" s="60"/>
      <c r="J228" s="69"/>
    </row>
    <row r="229" spans="1:12" customFormat="1" ht="13.5" customHeight="1" x14ac:dyDescent="0.2">
      <c r="A229" s="180">
        <v>43409</v>
      </c>
      <c r="B229" s="36"/>
      <c r="C229" s="32" t="s">
        <v>535</v>
      </c>
      <c r="D229" s="195"/>
      <c r="E229" s="200"/>
      <c r="F229" s="199">
        <v>1000</v>
      </c>
      <c r="G229" s="190">
        <v>6500</v>
      </c>
      <c r="H229" s="68"/>
      <c r="I229" s="60"/>
      <c r="J229" s="69"/>
    </row>
    <row r="230" spans="1:12" customFormat="1" ht="13.5" customHeight="1" x14ac:dyDescent="0.2">
      <c r="A230" s="180">
        <v>43439</v>
      </c>
      <c r="B230" s="36"/>
      <c r="C230" s="32" t="s">
        <v>535</v>
      </c>
      <c r="D230" s="195"/>
      <c r="E230" s="200"/>
      <c r="F230" s="199">
        <v>500</v>
      </c>
      <c r="G230" s="190">
        <v>7000</v>
      </c>
      <c r="H230" s="68"/>
      <c r="I230" s="60"/>
      <c r="J230" s="69"/>
    </row>
    <row r="231" spans="1:12" customFormat="1" ht="13.5" customHeight="1" x14ac:dyDescent="0.2">
      <c r="A231" s="180">
        <v>43469</v>
      </c>
      <c r="B231" s="36"/>
      <c r="C231" s="32" t="s">
        <v>1390</v>
      </c>
      <c r="D231" s="195"/>
      <c r="E231" s="200"/>
      <c r="F231" s="199">
        <v>1500</v>
      </c>
      <c r="G231" s="190">
        <v>8500</v>
      </c>
      <c r="H231" s="68"/>
      <c r="I231" s="60"/>
      <c r="J231" s="69"/>
    </row>
    <row r="232" spans="1:12" s="64" customFormat="1" ht="13.5" customHeight="1" x14ac:dyDescent="0.2">
      <c r="A232" s="184">
        <v>43475</v>
      </c>
      <c r="B232" s="63"/>
      <c r="C232" s="32" t="s">
        <v>1391</v>
      </c>
      <c r="D232" s="50"/>
      <c r="E232" s="51"/>
      <c r="F232" s="183">
        <v>5000</v>
      </c>
      <c r="G232" s="190">
        <v>13500</v>
      </c>
      <c r="H232" s="179"/>
      <c r="I232" s="57"/>
      <c r="J232" s="67"/>
      <c r="L232" s="422"/>
    </row>
    <row r="233" spans="1:12" s="64" customFormat="1" ht="13.5" customHeight="1" x14ac:dyDescent="0.2">
      <c r="A233" s="184">
        <v>43482</v>
      </c>
      <c r="B233" s="63"/>
      <c r="C233" s="32" t="s">
        <v>1391</v>
      </c>
      <c r="D233" s="50"/>
      <c r="E233" s="51"/>
      <c r="F233" s="183">
        <v>5000</v>
      </c>
      <c r="G233" s="190">
        <v>18500</v>
      </c>
      <c r="H233" s="179"/>
      <c r="I233" s="57"/>
      <c r="J233" s="67"/>
      <c r="L233" s="422"/>
    </row>
    <row r="234" spans="1:12" s="64" customFormat="1" ht="13.5" customHeight="1" x14ac:dyDescent="0.2">
      <c r="A234" s="184">
        <v>43500</v>
      </c>
      <c r="B234" s="63"/>
      <c r="C234" s="32" t="s">
        <v>1391</v>
      </c>
      <c r="D234" s="50"/>
      <c r="E234" s="51"/>
      <c r="F234" s="183">
        <v>3000</v>
      </c>
      <c r="G234" s="190">
        <v>21500</v>
      </c>
      <c r="H234" s="179"/>
      <c r="I234" s="57"/>
      <c r="J234" s="67"/>
      <c r="L234" s="422"/>
    </row>
    <row r="235" spans="1:12" s="64" customFormat="1" ht="13.5" customHeight="1" x14ac:dyDescent="0.2">
      <c r="A235" s="184">
        <v>43501</v>
      </c>
      <c r="B235" s="63"/>
      <c r="C235" s="32" t="s">
        <v>1391</v>
      </c>
      <c r="D235" s="50"/>
      <c r="E235" s="51"/>
      <c r="F235" s="183">
        <v>4000</v>
      </c>
      <c r="G235" s="190">
        <v>25500</v>
      </c>
      <c r="H235" s="179"/>
      <c r="I235" s="57"/>
      <c r="J235" s="67"/>
      <c r="L235" s="422"/>
    </row>
    <row r="236" spans="1:12" s="64" customFormat="1" ht="13.5" customHeight="1" x14ac:dyDescent="0.2">
      <c r="A236" s="184">
        <v>43503</v>
      </c>
      <c r="B236" s="63"/>
      <c r="C236" s="32" t="s">
        <v>1391</v>
      </c>
      <c r="D236" s="50"/>
      <c r="E236" s="51"/>
      <c r="F236" s="183">
        <v>2000</v>
      </c>
      <c r="G236" s="190">
        <v>27500</v>
      </c>
      <c r="H236" s="179"/>
      <c r="I236" s="57"/>
      <c r="J236" s="67"/>
      <c r="L236" s="422"/>
    </row>
    <row r="237" spans="1:12" s="64" customFormat="1" ht="13.5" customHeight="1" x14ac:dyDescent="0.2">
      <c r="A237" s="184">
        <v>43504</v>
      </c>
      <c r="B237" s="63"/>
      <c r="C237" s="32" t="s">
        <v>1390</v>
      </c>
      <c r="D237" s="50"/>
      <c r="E237" s="51"/>
      <c r="F237" s="183">
        <v>1500</v>
      </c>
      <c r="G237" s="190">
        <v>29000</v>
      </c>
      <c r="H237" s="179"/>
      <c r="I237" s="57"/>
      <c r="J237" s="67"/>
      <c r="L237" s="422"/>
    </row>
    <row r="238" spans="1:12" s="64" customFormat="1" ht="13.5" customHeight="1" x14ac:dyDescent="0.2">
      <c r="A238" s="184">
        <v>43522</v>
      </c>
      <c r="B238" s="63"/>
      <c r="C238" s="32" t="s">
        <v>1544</v>
      </c>
      <c r="D238" s="50"/>
      <c r="E238" s="181">
        <v>5000</v>
      </c>
      <c r="F238" s="12"/>
      <c r="G238" s="178">
        <v>24000</v>
      </c>
      <c r="H238" s="179"/>
      <c r="I238" s="57"/>
      <c r="J238" s="67"/>
      <c r="L238" s="422"/>
    </row>
    <row r="239" spans="1:12" s="64" customFormat="1" ht="13.5" customHeight="1" x14ac:dyDescent="0.2">
      <c r="A239" s="184"/>
      <c r="B239" s="63"/>
      <c r="C239" s="63"/>
      <c r="D239" s="50"/>
      <c r="E239" s="51"/>
      <c r="F239" s="13"/>
      <c r="G239" s="53"/>
      <c r="H239" s="179"/>
      <c r="I239" s="57"/>
      <c r="J239" s="67"/>
      <c r="L239" s="422"/>
    </row>
    <row r="240" spans="1:12" ht="13.5" customHeight="1" thickBot="1" x14ac:dyDescent="0.25">
      <c r="A240" s="180"/>
      <c r="B240" s="56"/>
      <c r="C240" s="56"/>
      <c r="D240" s="11"/>
      <c r="E240" s="30"/>
      <c r="F240" s="12"/>
      <c r="G240" s="182"/>
      <c r="H240" s="59"/>
      <c r="I240" s="60"/>
      <c r="J240" s="61"/>
    </row>
    <row r="241" spans="1:15" ht="13.5" customHeight="1" thickBot="1" x14ac:dyDescent="0.25">
      <c r="A241" s="2" t="s">
        <v>2</v>
      </c>
      <c r="B241" s="3"/>
      <c r="C241" s="3" t="s">
        <v>536</v>
      </c>
      <c r="D241" s="3"/>
      <c r="E241" s="3"/>
      <c r="F241" s="3"/>
      <c r="G241" s="5" t="s">
        <v>7</v>
      </c>
      <c r="H241" s="6" t="s">
        <v>5</v>
      </c>
      <c r="I241" s="4" t="s">
        <v>6</v>
      </c>
      <c r="J241" s="7" t="s">
        <v>7</v>
      </c>
    </row>
    <row r="242" spans="1:15" ht="13.5" customHeight="1" x14ac:dyDescent="0.2">
      <c r="A242" s="8">
        <v>43497</v>
      </c>
      <c r="B242" s="70"/>
      <c r="C242" s="10" t="s">
        <v>537</v>
      </c>
      <c r="D242" s="125"/>
      <c r="E242" s="67"/>
      <c r="F242" s="67"/>
      <c r="G242" s="178"/>
      <c r="H242" s="179"/>
      <c r="I242" s="57"/>
      <c r="J242" s="58">
        <v>844.57000000000062</v>
      </c>
      <c r="K242" s="18">
        <f>J242</f>
        <v>844.57000000000062</v>
      </c>
    </row>
    <row r="243" spans="1:15" ht="13.5" customHeight="1" x14ac:dyDescent="0.2">
      <c r="A243" s="171">
        <v>43500</v>
      </c>
      <c r="B243" s="46"/>
      <c r="C243" s="34" t="s">
        <v>1545</v>
      </c>
      <c r="D243" s="125"/>
      <c r="E243" s="69"/>
      <c r="F243" s="69"/>
      <c r="G243" s="203"/>
      <c r="H243" s="68"/>
      <c r="I243" s="71">
        <v>4200</v>
      </c>
      <c r="J243" s="69">
        <v>5044.5700000000006</v>
      </c>
      <c r="K243" s="18">
        <f>K242+I243-H243</f>
        <v>5044.5700000000006</v>
      </c>
    </row>
    <row r="244" spans="1:15" ht="13.5" customHeight="1" x14ac:dyDescent="0.2">
      <c r="A244" s="171"/>
      <c r="B244" s="46"/>
      <c r="C244" s="34" t="s">
        <v>1546</v>
      </c>
      <c r="D244" s="125"/>
      <c r="E244" s="69"/>
      <c r="F244" s="69"/>
      <c r="G244" s="203"/>
      <c r="H244" s="68">
        <v>14.2</v>
      </c>
      <c r="I244" s="68"/>
      <c r="J244" s="69">
        <v>5030.3700000000008</v>
      </c>
      <c r="K244" s="18">
        <f t="shared" ref="K244:K304" si="7">K243+I244-H244</f>
        <v>5030.3700000000008</v>
      </c>
    </row>
    <row r="245" spans="1:15" ht="13.5" customHeight="1" x14ac:dyDescent="0.2">
      <c r="A245" s="171"/>
      <c r="B245" s="46"/>
      <c r="C245" s="36" t="s">
        <v>1504</v>
      </c>
      <c r="D245" s="229"/>
      <c r="E245" s="69"/>
      <c r="F245" s="69"/>
      <c r="G245" s="203"/>
      <c r="H245" s="412">
        <v>3000</v>
      </c>
      <c r="I245" s="68"/>
      <c r="J245" s="69">
        <v>2030.3700000000008</v>
      </c>
      <c r="K245" s="18">
        <f t="shared" si="7"/>
        <v>2030.3700000000008</v>
      </c>
      <c r="L245" s="18"/>
      <c r="O245" s="420"/>
    </row>
    <row r="246" spans="1:15" ht="13.5" customHeight="1" x14ac:dyDescent="0.2">
      <c r="A246" s="180"/>
      <c r="B246" s="46"/>
      <c r="C246" s="34" t="s">
        <v>1280</v>
      </c>
      <c r="D246" s="229"/>
      <c r="E246" s="69"/>
      <c r="F246" s="69"/>
      <c r="G246" s="203"/>
      <c r="H246" s="412">
        <v>1000</v>
      </c>
      <c r="I246" s="71"/>
      <c r="J246" s="69">
        <v>1030.3700000000008</v>
      </c>
      <c r="K246" s="18">
        <f t="shared" si="7"/>
        <v>1030.3700000000008</v>
      </c>
      <c r="L246" s="1"/>
      <c r="O246" s="420"/>
    </row>
    <row r="247" spans="1:15" ht="13.5" customHeight="1" x14ac:dyDescent="0.2">
      <c r="A247" s="180"/>
      <c r="B247" s="46"/>
      <c r="C247" s="34" t="s">
        <v>1547</v>
      </c>
      <c r="D247" s="229"/>
      <c r="E247" s="61"/>
      <c r="F247" s="69"/>
      <c r="G247" s="205"/>
      <c r="H247" s="59"/>
      <c r="I247" s="71">
        <v>400</v>
      </c>
      <c r="J247" s="69">
        <v>1430.3700000000008</v>
      </c>
      <c r="K247" s="18">
        <f t="shared" si="7"/>
        <v>1430.3700000000008</v>
      </c>
    </row>
    <row r="248" spans="1:15" ht="13.5" customHeight="1" x14ac:dyDescent="0.2">
      <c r="A248" s="180"/>
      <c r="B248" s="46"/>
      <c r="C248" s="34" t="s">
        <v>211</v>
      </c>
      <c r="D248" s="229"/>
      <c r="E248" s="61"/>
      <c r="F248" s="69"/>
      <c r="G248" s="203"/>
      <c r="H248" s="68">
        <v>2831.42</v>
      </c>
      <c r="I248" s="71"/>
      <c r="J248" s="69">
        <v>-1401.0499999999993</v>
      </c>
      <c r="K248" s="18">
        <f t="shared" si="7"/>
        <v>-1401.0499999999993</v>
      </c>
    </row>
    <row r="249" spans="1:15" ht="13.5" customHeight="1" x14ac:dyDescent="0.2">
      <c r="A249" s="180">
        <v>43502</v>
      </c>
      <c r="B249" s="9"/>
      <c r="C249" s="34" t="s">
        <v>1548</v>
      </c>
      <c r="D249" s="230"/>
      <c r="E249" s="61"/>
      <c r="F249" s="61"/>
      <c r="G249" s="205"/>
      <c r="H249" s="59"/>
      <c r="I249" s="71">
        <v>1500</v>
      </c>
      <c r="J249" s="69">
        <v>98.950000000000728</v>
      </c>
      <c r="K249" s="18">
        <f t="shared" si="7"/>
        <v>98.950000000000728</v>
      </c>
    </row>
    <row r="250" spans="1:15" ht="13.5" customHeight="1" x14ac:dyDescent="0.2">
      <c r="A250" s="180"/>
      <c r="B250" s="9"/>
      <c r="C250" s="34" t="s">
        <v>1549</v>
      </c>
      <c r="D250" s="230"/>
      <c r="E250" s="61"/>
      <c r="F250" s="61"/>
      <c r="G250" s="205"/>
      <c r="H250" s="59"/>
      <c r="I250" s="71">
        <v>1169</v>
      </c>
      <c r="J250" s="69">
        <v>1267.9500000000007</v>
      </c>
      <c r="K250" s="18">
        <f t="shared" si="7"/>
        <v>1267.9500000000007</v>
      </c>
    </row>
    <row r="251" spans="1:15" ht="13.5" customHeight="1" x14ac:dyDescent="0.2">
      <c r="A251" s="180"/>
      <c r="B251" s="9"/>
      <c r="C251" s="34" t="s">
        <v>1550</v>
      </c>
      <c r="D251" s="230"/>
      <c r="E251" s="61"/>
      <c r="F251" s="61"/>
      <c r="G251" s="205"/>
      <c r="H251" s="59"/>
      <c r="I251" s="71">
        <v>1070</v>
      </c>
      <c r="J251" s="69">
        <v>2337.9500000000007</v>
      </c>
      <c r="K251" s="18">
        <f t="shared" si="7"/>
        <v>2337.9500000000007</v>
      </c>
    </row>
    <row r="252" spans="1:15" ht="13.5" customHeight="1" x14ac:dyDescent="0.2">
      <c r="A252" s="180"/>
      <c r="B252" s="9"/>
      <c r="C252" s="34" t="s">
        <v>1551</v>
      </c>
      <c r="D252" s="230"/>
      <c r="E252" s="61"/>
      <c r="F252" s="61"/>
      <c r="G252" s="205"/>
      <c r="H252" s="59"/>
      <c r="I252" s="71">
        <v>1431</v>
      </c>
      <c r="J252" s="69">
        <v>3768.9500000000007</v>
      </c>
      <c r="K252" s="18">
        <f t="shared" si="7"/>
        <v>3768.9500000000007</v>
      </c>
    </row>
    <row r="253" spans="1:15" ht="13.5" customHeight="1" x14ac:dyDescent="0.2">
      <c r="A253" s="180">
        <v>43503</v>
      </c>
      <c r="B253" s="9"/>
      <c r="C253" s="34" t="s">
        <v>1552</v>
      </c>
      <c r="D253" s="230"/>
      <c r="E253" s="61"/>
      <c r="F253" s="61"/>
      <c r="G253" s="205"/>
      <c r="H253" s="59"/>
      <c r="I253" s="71">
        <v>5000</v>
      </c>
      <c r="J253" s="69">
        <v>8768.9500000000007</v>
      </c>
      <c r="K253" s="18">
        <f t="shared" si="7"/>
        <v>8768.9500000000007</v>
      </c>
    </row>
    <row r="254" spans="1:15" ht="13.5" customHeight="1" x14ac:dyDescent="0.2">
      <c r="A254" s="180"/>
      <c r="B254" s="46"/>
      <c r="C254" s="34" t="s">
        <v>1553</v>
      </c>
      <c r="D254" s="230"/>
      <c r="E254" s="69"/>
      <c r="F254" s="69"/>
      <c r="G254" s="203"/>
      <c r="H254" s="68">
        <v>5000</v>
      </c>
      <c r="I254" s="71"/>
      <c r="J254" s="69">
        <v>3768.9500000000007</v>
      </c>
      <c r="K254" s="18">
        <f t="shared" si="7"/>
        <v>3768.9500000000007</v>
      </c>
    </row>
    <row r="255" spans="1:15" ht="13.5" customHeight="1" x14ac:dyDescent="0.2">
      <c r="A255" s="180"/>
      <c r="B255" s="46"/>
      <c r="C255" s="34" t="s">
        <v>1406</v>
      </c>
      <c r="D255" s="230"/>
      <c r="E255" s="69"/>
      <c r="F255" s="69"/>
      <c r="G255" s="203"/>
      <c r="H255" s="68"/>
      <c r="I255" s="73">
        <v>149</v>
      </c>
      <c r="J255" s="69">
        <v>3917.9500000000007</v>
      </c>
      <c r="K255" s="18">
        <f t="shared" si="7"/>
        <v>3917.9500000000007</v>
      </c>
    </row>
    <row r="256" spans="1:15" ht="13.5" customHeight="1" x14ac:dyDescent="0.2">
      <c r="A256" s="180"/>
      <c r="B256" s="46"/>
      <c r="C256" s="34" t="s">
        <v>1554</v>
      </c>
      <c r="D256" s="229"/>
      <c r="E256" s="69"/>
      <c r="F256" s="69"/>
      <c r="G256" s="203"/>
      <c r="H256" s="68">
        <v>1465</v>
      </c>
      <c r="I256" s="71"/>
      <c r="J256" s="69">
        <v>2452.9500000000007</v>
      </c>
      <c r="K256" s="18">
        <f t="shared" si="7"/>
        <v>2452.9500000000007</v>
      </c>
    </row>
    <row r="257" spans="1:15" ht="13.5" customHeight="1" x14ac:dyDescent="0.2">
      <c r="A257" s="171">
        <v>43504</v>
      </c>
      <c r="B257" s="46"/>
      <c r="C257" s="34" t="s">
        <v>3518</v>
      </c>
      <c r="D257" s="229"/>
      <c r="E257" s="69"/>
      <c r="F257" s="69"/>
      <c r="G257" s="203"/>
      <c r="H257" s="412">
        <v>2000</v>
      </c>
      <c r="I257" s="68"/>
      <c r="J257" s="69">
        <v>452.95000000000073</v>
      </c>
      <c r="K257" s="18">
        <f t="shared" si="7"/>
        <v>452.95000000000073</v>
      </c>
      <c r="L257" s="18"/>
      <c r="M257" s="18"/>
      <c r="O257" s="420"/>
    </row>
    <row r="258" spans="1:15" ht="13.5" customHeight="1" x14ac:dyDescent="0.2">
      <c r="A258" s="171"/>
      <c r="B258" s="46"/>
      <c r="C258" s="34" t="s">
        <v>1555</v>
      </c>
      <c r="D258" s="229"/>
      <c r="E258" s="69"/>
      <c r="F258" s="69"/>
      <c r="G258" s="203"/>
      <c r="H258" s="68">
        <v>150</v>
      </c>
      <c r="I258" s="68"/>
      <c r="J258" s="69">
        <v>302.95000000000073</v>
      </c>
      <c r="K258" s="18">
        <f t="shared" si="7"/>
        <v>302.95000000000073</v>
      </c>
    </row>
    <row r="259" spans="1:15" ht="13.5" customHeight="1" x14ac:dyDescent="0.2">
      <c r="A259" s="171"/>
      <c r="B259" s="46"/>
      <c r="C259" s="34" t="s">
        <v>1556</v>
      </c>
      <c r="D259" s="229"/>
      <c r="E259" s="69"/>
      <c r="F259" s="69"/>
      <c r="G259" s="203"/>
      <c r="H259" s="68">
        <v>30</v>
      </c>
      <c r="I259" s="68"/>
      <c r="J259" s="69">
        <v>272.95000000000073</v>
      </c>
      <c r="K259" s="18">
        <f t="shared" si="7"/>
        <v>272.95000000000073</v>
      </c>
    </row>
    <row r="260" spans="1:15" ht="13.5" customHeight="1" x14ac:dyDescent="0.2">
      <c r="A260" s="171"/>
      <c r="B260" s="46"/>
      <c r="C260" s="34" t="s">
        <v>1557</v>
      </c>
      <c r="D260" s="229"/>
      <c r="E260" s="69"/>
      <c r="F260" s="69"/>
      <c r="G260" s="203"/>
      <c r="H260" s="68">
        <v>750</v>
      </c>
      <c r="I260" s="68"/>
      <c r="J260" s="69">
        <v>-477.04999999999927</v>
      </c>
      <c r="K260" s="18">
        <f t="shared" si="7"/>
        <v>-477.04999999999927</v>
      </c>
    </row>
    <row r="261" spans="1:15" ht="13.5" customHeight="1" x14ac:dyDescent="0.2">
      <c r="A261" s="171"/>
      <c r="B261" s="46"/>
      <c r="C261" s="34" t="s">
        <v>3519</v>
      </c>
      <c r="D261" s="229"/>
      <c r="E261" s="69"/>
      <c r="F261" s="69"/>
      <c r="G261" s="203"/>
      <c r="H261" s="68"/>
      <c r="I261" s="412">
        <v>250</v>
      </c>
      <c r="J261" s="69">
        <v>-227.04999999999927</v>
      </c>
      <c r="K261" s="18">
        <f t="shared" si="7"/>
        <v>-227.04999999999927</v>
      </c>
      <c r="L261" s="18"/>
      <c r="M261" s="18"/>
      <c r="O261" s="420"/>
    </row>
    <row r="262" spans="1:15" ht="13.5" customHeight="1" x14ac:dyDescent="0.2">
      <c r="A262" s="171"/>
      <c r="B262" s="46"/>
      <c r="C262" s="34" t="s">
        <v>3520</v>
      </c>
      <c r="D262" s="229"/>
      <c r="E262" s="69"/>
      <c r="F262" s="69"/>
      <c r="G262" s="203"/>
      <c r="H262" s="68"/>
      <c r="I262" s="412">
        <v>447.18</v>
      </c>
      <c r="J262" s="69">
        <v>220.13000000000073</v>
      </c>
      <c r="K262" s="18">
        <f t="shared" si="7"/>
        <v>220.13000000000073</v>
      </c>
      <c r="L262" s="18"/>
      <c r="M262" s="18"/>
      <c r="O262" s="420"/>
    </row>
    <row r="263" spans="1:15" ht="13.5" customHeight="1" x14ac:dyDescent="0.2">
      <c r="A263" s="171">
        <v>43507</v>
      </c>
      <c r="B263" s="46"/>
      <c r="C263" s="34" t="s">
        <v>1558</v>
      </c>
      <c r="D263" s="229"/>
      <c r="E263" s="69"/>
      <c r="F263" s="69"/>
      <c r="G263" s="203"/>
      <c r="H263" s="68">
        <v>20</v>
      </c>
      <c r="I263" s="68"/>
      <c r="J263" s="69">
        <v>200.13000000000073</v>
      </c>
      <c r="K263" s="18">
        <f t="shared" si="7"/>
        <v>200.13000000000073</v>
      </c>
    </row>
    <row r="264" spans="1:15" ht="13.5" customHeight="1" x14ac:dyDescent="0.2">
      <c r="A264" s="171"/>
      <c r="B264" s="46"/>
      <c r="C264" s="34" t="s">
        <v>1559</v>
      </c>
      <c r="D264" s="229"/>
      <c r="E264" s="69"/>
      <c r="F264" s="69"/>
      <c r="G264" s="203"/>
      <c r="H264" s="68">
        <v>23.95</v>
      </c>
      <c r="I264" s="68"/>
      <c r="J264" s="69">
        <v>176.18000000000075</v>
      </c>
      <c r="K264" s="18">
        <f t="shared" si="7"/>
        <v>176.18000000000075</v>
      </c>
    </row>
    <row r="265" spans="1:15" ht="13.5" customHeight="1" x14ac:dyDescent="0.2">
      <c r="A265" s="171"/>
      <c r="B265" s="46"/>
      <c r="C265" s="34" t="s">
        <v>1560</v>
      </c>
      <c r="D265" s="229"/>
      <c r="E265" s="69"/>
      <c r="F265" s="69"/>
      <c r="G265" s="203"/>
      <c r="H265" s="68">
        <v>4</v>
      </c>
      <c r="I265" s="68"/>
      <c r="J265" s="69">
        <v>172.18000000000075</v>
      </c>
      <c r="K265" s="18">
        <f t="shared" si="7"/>
        <v>172.18000000000075</v>
      </c>
    </row>
    <row r="266" spans="1:15" ht="13.5" customHeight="1" x14ac:dyDescent="0.2">
      <c r="A266" s="171"/>
      <c r="B266" s="46"/>
      <c r="C266" s="34" t="s">
        <v>1561</v>
      </c>
      <c r="D266" s="229"/>
      <c r="E266" s="69"/>
      <c r="F266" s="69"/>
      <c r="G266" s="203"/>
      <c r="H266" s="68">
        <v>5.9</v>
      </c>
      <c r="I266" s="68"/>
      <c r="J266" s="69">
        <v>166.28000000000074</v>
      </c>
      <c r="K266" s="18">
        <f t="shared" si="7"/>
        <v>166.28000000000074</v>
      </c>
    </row>
    <row r="267" spans="1:15" ht="13.5" customHeight="1" x14ac:dyDescent="0.2">
      <c r="A267" s="171"/>
      <c r="B267" s="46"/>
      <c r="C267" s="34" t="s">
        <v>1562</v>
      </c>
      <c r="D267" s="229"/>
      <c r="E267" s="69"/>
      <c r="F267" s="69"/>
      <c r="G267" s="203"/>
      <c r="H267" s="68">
        <v>3</v>
      </c>
      <c r="I267" s="68"/>
      <c r="J267" s="69">
        <v>163.28000000000074</v>
      </c>
      <c r="K267" s="18">
        <f t="shared" si="7"/>
        <v>163.28000000000074</v>
      </c>
    </row>
    <row r="268" spans="1:15" ht="13.5" customHeight="1" x14ac:dyDescent="0.2">
      <c r="A268" s="171"/>
      <c r="B268" s="46"/>
      <c r="C268" s="34" t="s">
        <v>1563</v>
      </c>
      <c r="D268" s="229"/>
      <c r="E268" s="69"/>
      <c r="F268" s="69"/>
      <c r="G268" s="203"/>
      <c r="H268" s="68">
        <v>1.9</v>
      </c>
      <c r="I268" s="68"/>
      <c r="J268" s="69">
        <v>161.38000000000073</v>
      </c>
      <c r="K268" s="18">
        <f t="shared" si="7"/>
        <v>161.38000000000073</v>
      </c>
    </row>
    <row r="269" spans="1:15" ht="13.5" customHeight="1" x14ac:dyDescent="0.2">
      <c r="A269" s="171"/>
      <c r="B269" s="46"/>
      <c r="C269" s="34" t="s">
        <v>1564</v>
      </c>
      <c r="D269" s="229"/>
      <c r="E269" s="69"/>
      <c r="F269" s="69"/>
      <c r="G269" s="203"/>
      <c r="H269" s="68">
        <v>11.9</v>
      </c>
      <c r="I269" s="68"/>
      <c r="J269" s="69">
        <v>149.48000000000073</v>
      </c>
      <c r="K269" s="18">
        <f t="shared" si="7"/>
        <v>149.48000000000073</v>
      </c>
    </row>
    <row r="270" spans="1:15" ht="13.5" customHeight="1" x14ac:dyDescent="0.2">
      <c r="A270" s="171"/>
      <c r="B270" s="46"/>
      <c r="C270" s="34" t="s">
        <v>1411</v>
      </c>
      <c r="D270" s="229"/>
      <c r="E270" s="69"/>
      <c r="F270" s="69"/>
      <c r="G270" s="203"/>
      <c r="H270" s="68">
        <v>1.98</v>
      </c>
      <c r="I270" s="68"/>
      <c r="J270" s="69">
        <v>147.50000000000074</v>
      </c>
      <c r="K270" s="18">
        <f t="shared" si="7"/>
        <v>147.50000000000074</v>
      </c>
    </row>
    <row r="271" spans="1:15" ht="13.5" customHeight="1" x14ac:dyDescent="0.2">
      <c r="A271" s="171"/>
      <c r="B271" s="46"/>
      <c r="C271" s="34" t="s">
        <v>1565</v>
      </c>
      <c r="D271" s="229"/>
      <c r="E271" s="69"/>
      <c r="F271" s="69"/>
      <c r="G271" s="203"/>
      <c r="H271" s="68">
        <v>58</v>
      </c>
      <c r="I271" s="68"/>
      <c r="J271" s="69">
        <v>89.500000000000739</v>
      </c>
      <c r="K271" s="18">
        <f t="shared" si="7"/>
        <v>89.500000000000739</v>
      </c>
    </row>
    <row r="272" spans="1:15" ht="13.5" customHeight="1" x14ac:dyDescent="0.2">
      <c r="A272" s="171"/>
      <c r="B272" s="46"/>
      <c r="C272" s="34" t="s">
        <v>1546</v>
      </c>
      <c r="D272" s="229"/>
      <c r="E272" s="69"/>
      <c r="F272" s="69"/>
      <c r="G272" s="203"/>
      <c r="H272" s="68">
        <v>21.3</v>
      </c>
      <c r="I272" s="68"/>
      <c r="J272" s="69">
        <v>68.200000000000742</v>
      </c>
      <c r="K272" s="18">
        <f t="shared" si="7"/>
        <v>68.200000000000742</v>
      </c>
    </row>
    <row r="273" spans="1:15" ht="13.5" customHeight="1" x14ac:dyDescent="0.2">
      <c r="A273" s="171"/>
      <c r="B273" s="46"/>
      <c r="C273" s="34" t="s">
        <v>1566</v>
      </c>
      <c r="D273" s="229"/>
      <c r="E273" s="69"/>
      <c r="F273" s="69"/>
      <c r="G273" s="203"/>
      <c r="H273" s="68"/>
      <c r="I273" s="68">
        <v>1290</v>
      </c>
      <c r="J273" s="69">
        <v>1358.2000000000007</v>
      </c>
      <c r="K273" s="18">
        <f t="shared" si="7"/>
        <v>1358.2000000000007</v>
      </c>
    </row>
    <row r="274" spans="1:15" ht="13.5" customHeight="1" x14ac:dyDescent="0.2">
      <c r="A274" s="171"/>
      <c r="B274" s="46"/>
      <c r="C274" s="34" t="s">
        <v>1567</v>
      </c>
      <c r="D274" s="229"/>
      <c r="E274" s="69"/>
      <c r="F274" s="69"/>
      <c r="G274" s="203"/>
      <c r="H274" s="68">
        <v>111</v>
      </c>
      <c r="I274" s="68"/>
      <c r="J274" s="69">
        <v>1247.2000000000007</v>
      </c>
      <c r="K274" s="18">
        <f t="shared" si="7"/>
        <v>1247.2000000000007</v>
      </c>
    </row>
    <row r="275" spans="1:15" ht="13.5" customHeight="1" x14ac:dyDescent="0.2">
      <c r="A275" s="171"/>
      <c r="B275" s="46"/>
      <c r="C275" s="34" t="s">
        <v>1568</v>
      </c>
      <c r="D275" s="229"/>
      <c r="E275" s="69"/>
      <c r="F275" s="69"/>
      <c r="G275" s="203"/>
      <c r="H275" s="68">
        <v>14.75</v>
      </c>
      <c r="I275" s="68"/>
      <c r="J275" s="69">
        <v>1232.4500000000007</v>
      </c>
      <c r="K275" s="18">
        <f t="shared" si="7"/>
        <v>1232.4500000000007</v>
      </c>
    </row>
    <row r="276" spans="1:15" ht="13.5" customHeight="1" x14ac:dyDescent="0.2">
      <c r="A276" s="171"/>
      <c r="B276" s="46"/>
      <c r="C276" s="34" t="s">
        <v>1569</v>
      </c>
      <c r="D276" s="229"/>
      <c r="E276" s="69"/>
      <c r="F276" s="69"/>
      <c r="G276" s="203"/>
      <c r="H276" s="68">
        <v>100</v>
      </c>
      <c r="I276" s="68"/>
      <c r="J276" s="69">
        <v>1132.4500000000007</v>
      </c>
      <c r="K276" s="18">
        <f t="shared" si="7"/>
        <v>1132.4500000000007</v>
      </c>
    </row>
    <row r="277" spans="1:15" ht="13.5" customHeight="1" x14ac:dyDescent="0.2">
      <c r="A277" s="171">
        <v>43508</v>
      </c>
      <c r="B277" s="46"/>
      <c r="C277" s="34" t="s">
        <v>1570</v>
      </c>
      <c r="D277" s="229"/>
      <c r="E277" s="69"/>
      <c r="F277" s="69"/>
      <c r="G277" s="203"/>
      <c r="H277" s="68">
        <v>14</v>
      </c>
      <c r="I277" s="68"/>
      <c r="J277" s="69">
        <v>1118.4500000000007</v>
      </c>
      <c r="K277" s="18">
        <f t="shared" si="7"/>
        <v>1118.4500000000007</v>
      </c>
    </row>
    <row r="278" spans="1:15" ht="13.5" customHeight="1" x14ac:dyDescent="0.2">
      <c r="A278" s="171">
        <v>43509</v>
      </c>
      <c r="B278" s="46"/>
      <c r="C278" s="34" t="s">
        <v>1428</v>
      </c>
      <c r="D278" s="229"/>
      <c r="E278" s="69"/>
      <c r="F278" s="69"/>
      <c r="G278" s="203"/>
      <c r="H278" s="68"/>
      <c r="I278" s="412">
        <v>3000</v>
      </c>
      <c r="J278" s="69">
        <v>4118.4500000000007</v>
      </c>
      <c r="K278" s="18">
        <f t="shared" si="7"/>
        <v>4118.4500000000007</v>
      </c>
      <c r="L278" s="18"/>
      <c r="M278" s="18"/>
      <c r="O278" s="420"/>
    </row>
    <row r="279" spans="1:15" ht="13.5" customHeight="1" x14ac:dyDescent="0.2">
      <c r="A279" s="171"/>
      <c r="B279" s="46"/>
      <c r="C279" s="34" t="s">
        <v>1571</v>
      </c>
      <c r="D279" s="229"/>
      <c r="E279" s="69"/>
      <c r="F279" s="69"/>
      <c r="G279" s="203"/>
      <c r="H279" s="68">
        <v>1860</v>
      </c>
      <c r="I279" s="68"/>
      <c r="J279" s="69">
        <v>2258.4500000000007</v>
      </c>
      <c r="K279" s="18">
        <f t="shared" si="7"/>
        <v>2258.4500000000007</v>
      </c>
    </row>
    <row r="280" spans="1:15" ht="13.5" customHeight="1" x14ac:dyDescent="0.2">
      <c r="A280" s="171"/>
      <c r="B280" s="46"/>
      <c r="C280" s="34" t="s">
        <v>1572</v>
      </c>
      <c r="D280" s="229"/>
      <c r="E280" s="69"/>
      <c r="F280" s="69"/>
      <c r="G280" s="203"/>
      <c r="H280" s="68">
        <v>1150</v>
      </c>
      <c r="I280" s="68"/>
      <c r="J280" s="69">
        <v>1108.4500000000007</v>
      </c>
      <c r="K280" s="18">
        <f t="shared" si="7"/>
        <v>1108.4500000000007</v>
      </c>
    </row>
    <row r="281" spans="1:15" ht="13.5" customHeight="1" x14ac:dyDescent="0.2">
      <c r="A281" s="171">
        <v>43511</v>
      </c>
      <c r="B281" s="46"/>
      <c r="C281" s="36" t="s">
        <v>1442</v>
      </c>
      <c r="D281" s="229"/>
      <c r="E281" s="69"/>
      <c r="F281" s="69"/>
      <c r="G281" s="203"/>
      <c r="H281" s="412">
        <v>1500</v>
      </c>
      <c r="I281" s="68"/>
      <c r="J281" s="69">
        <v>-391.54999999999927</v>
      </c>
      <c r="K281" s="18">
        <f t="shared" si="7"/>
        <v>-391.54999999999927</v>
      </c>
    </row>
    <row r="282" spans="1:15" ht="13.5" customHeight="1" x14ac:dyDescent="0.2">
      <c r="A282" s="171">
        <v>43817</v>
      </c>
      <c r="B282" s="46"/>
      <c r="C282" s="34" t="s">
        <v>1573</v>
      </c>
      <c r="D282" s="229"/>
      <c r="E282" s="69"/>
      <c r="F282" s="69"/>
      <c r="G282" s="203"/>
      <c r="H282" s="68">
        <v>15.01</v>
      </c>
      <c r="I282" s="68"/>
      <c r="J282" s="69">
        <v>-406.55999999999926</v>
      </c>
      <c r="K282" s="18">
        <f t="shared" si="7"/>
        <v>-406.55999999999926</v>
      </c>
    </row>
    <row r="283" spans="1:15" ht="13.5" customHeight="1" x14ac:dyDescent="0.2">
      <c r="A283" s="171">
        <v>43516</v>
      </c>
      <c r="B283" s="46"/>
      <c r="C283" s="34" t="s">
        <v>1574</v>
      </c>
      <c r="D283" s="229"/>
      <c r="E283" s="69"/>
      <c r="F283" s="69"/>
      <c r="G283" s="203"/>
      <c r="H283" s="68">
        <v>300</v>
      </c>
      <c r="I283" s="68"/>
      <c r="J283" s="69">
        <v>-706.55999999999926</v>
      </c>
      <c r="K283" s="18">
        <f t="shared" si="7"/>
        <v>-706.55999999999926</v>
      </c>
    </row>
    <row r="284" spans="1:15" ht="13.5" customHeight="1" x14ac:dyDescent="0.2">
      <c r="A284" s="171"/>
      <c r="B284" s="46"/>
      <c r="C284" s="34" t="s">
        <v>1575</v>
      </c>
      <c r="D284" s="229"/>
      <c r="E284" s="69"/>
      <c r="F284" s="69"/>
      <c r="G284" s="203"/>
      <c r="H284" s="68">
        <v>7.71</v>
      </c>
      <c r="I284" s="68"/>
      <c r="J284" s="69">
        <v>-714.2699999999993</v>
      </c>
      <c r="K284" s="18">
        <f t="shared" si="7"/>
        <v>-714.2699999999993</v>
      </c>
    </row>
    <row r="285" spans="1:15" ht="13.5" customHeight="1" x14ac:dyDescent="0.2">
      <c r="A285" s="171"/>
      <c r="B285" s="46"/>
      <c r="C285" s="34" t="s">
        <v>1576</v>
      </c>
      <c r="D285" s="229"/>
      <c r="E285" s="69"/>
      <c r="F285" s="69"/>
      <c r="G285" s="203"/>
      <c r="H285" s="68">
        <v>59.95</v>
      </c>
      <c r="I285" s="68"/>
      <c r="J285" s="69">
        <v>-774.21999999999935</v>
      </c>
      <c r="K285" s="18">
        <f t="shared" si="7"/>
        <v>-774.21999999999935</v>
      </c>
    </row>
    <row r="286" spans="1:15" ht="13.5" customHeight="1" x14ac:dyDescent="0.2">
      <c r="A286" s="171"/>
      <c r="B286" s="46"/>
      <c r="C286" s="34" t="s">
        <v>1577</v>
      </c>
      <c r="D286" s="229"/>
      <c r="E286" s="69"/>
      <c r="F286" s="69"/>
      <c r="G286" s="203"/>
      <c r="H286" s="68">
        <v>37</v>
      </c>
      <c r="I286" s="68"/>
      <c r="J286" s="69">
        <v>-811.21999999999935</v>
      </c>
      <c r="K286" s="18">
        <f t="shared" si="7"/>
        <v>-811.21999999999935</v>
      </c>
    </row>
    <row r="287" spans="1:15" ht="13.5" customHeight="1" x14ac:dyDescent="0.2">
      <c r="A287" s="171">
        <v>43517</v>
      </c>
      <c r="B287" s="46"/>
      <c r="C287" s="34" t="s">
        <v>1460</v>
      </c>
      <c r="D287" s="229"/>
      <c r="E287" s="69"/>
      <c r="F287" s="69"/>
      <c r="G287" s="203"/>
      <c r="H287" s="68"/>
      <c r="I287" s="412">
        <v>1500</v>
      </c>
      <c r="J287" s="69">
        <v>688.78000000000065</v>
      </c>
      <c r="K287" s="18">
        <f t="shared" si="7"/>
        <v>688.78000000000065</v>
      </c>
    </row>
    <row r="288" spans="1:15" ht="13.5" customHeight="1" x14ac:dyDescent="0.2">
      <c r="A288" s="171"/>
      <c r="B288" s="46"/>
      <c r="C288" s="34" t="s">
        <v>1460</v>
      </c>
      <c r="D288" s="229"/>
      <c r="E288" s="69"/>
      <c r="F288" s="69"/>
      <c r="G288" s="203"/>
      <c r="H288" s="68"/>
      <c r="I288" s="412">
        <v>1000</v>
      </c>
      <c r="J288" s="69">
        <v>1688.7800000000007</v>
      </c>
      <c r="K288" s="18">
        <f t="shared" si="7"/>
        <v>1688.7800000000007</v>
      </c>
      <c r="L288" s="18"/>
      <c r="M288" s="18"/>
      <c r="O288" s="420"/>
    </row>
    <row r="289" spans="1:15" ht="13.5" customHeight="1" x14ac:dyDescent="0.2">
      <c r="A289" s="171"/>
      <c r="B289" s="46"/>
      <c r="C289" s="34" t="s">
        <v>1578</v>
      </c>
      <c r="D289" s="229"/>
      <c r="E289" s="69"/>
      <c r="F289" s="69"/>
      <c r="G289" s="203"/>
      <c r="H289" s="68">
        <v>200</v>
      </c>
      <c r="I289" s="68"/>
      <c r="J289" s="69">
        <v>1488.7800000000007</v>
      </c>
      <c r="K289" s="18">
        <f t="shared" si="7"/>
        <v>1488.7800000000007</v>
      </c>
    </row>
    <row r="290" spans="1:15" ht="13.5" customHeight="1" x14ac:dyDescent="0.2">
      <c r="A290" s="171">
        <v>43518</v>
      </c>
      <c r="B290" s="46"/>
      <c r="C290" s="34" t="s">
        <v>1579</v>
      </c>
      <c r="D290" s="229"/>
      <c r="E290" s="69"/>
      <c r="F290" s="69"/>
      <c r="G290" s="203"/>
      <c r="H290" s="68">
        <v>56.78</v>
      </c>
      <c r="I290" s="68"/>
      <c r="J290" s="69">
        <v>1432.0000000000007</v>
      </c>
      <c r="K290" s="18">
        <f t="shared" si="7"/>
        <v>1432.0000000000007</v>
      </c>
    </row>
    <row r="291" spans="1:15" ht="13.5" customHeight="1" x14ac:dyDescent="0.2">
      <c r="A291" s="171"/>
      <c r="B291" s="46"/>
      <c r="C291" s="34" t="s">
        <v>1580</v>
      </c>
      <c r="D291" s="229"/>
      <c r="E291" s="69"/>
      <c r="F291" s="69"/>
      <c r="G291" s="203"/>
      <c r="H291" s="68">
        <v>17</v>
      </c>
      <c r="I291" s="68"/>
      <c r="J291" s="69">
        <v>1415.0000000000007</v>
      </c>
      <c r="K291" s="18">
        <f t="shared" si="7"/>
        <v>1415.0000000000007</v>
      </c>
    </row>
    <row r="292" spans="1:15" ht="13.5" customHeight="1" x14ac:dyDescent="0.2">
      <c r="A292" s="171"/>
      <c r="B292" s="46"/>
      <c r="C292" s="34" t="s">
        <v>1581</v>
      </c>
      <c r="D292" s="229"/>
      <c r="F292" s="69">
        <f>SUM(C292,C276,C274,C253,C251,C247,C233,C229,C203,C150,C123,C118,C113,C109,C89,C83,C64,C57,C51)-SUM(D32,D27)</f>
        <v>0</v>
      </c>
      <c r="G292" s="203"/>
      <c r="H292" s="68">
        <v>15</v>
      </c>
      <c r="I292" s="68"/>
      <c r="J292" s="69">
        <v>1400.0000000000007</v>
      </c>
      <c r="K292" s="18">
        <f t="shared" si="7"/>
        <v>1400.0000000000007</v>
      </c>
    </row>
    <row r="293" spans="1:15" ht="13.5" customHeight="1" x14ac:dyDescent="0.2">
      <c r="A293" s="171"/>
      <c r="B293" s="46"/>
      <c r="C293" s="34" t="s">
        <v>1444</v>
      </c>
      <c r="D293" s="229"/>
      <c r="E293" s="69"/>
      <c r="F293" s="69"/>
      <c r="G293" s="203"/>
      <c r="H293" s="412">
        <v>1750</v>
      </c>
      <c r="I293" s="68"/>
      <c r="J293" s="69">
        <v>-349.99999999999932</v>
      </c>
      <c r="K293" s="18">
        <f t="shared" si="7"/>
        <v>-349.99999999999932</v>
      </c>
    </row>
    <row r="294" spans="1:15" ht="13.5" customHeight="1" x14ac:dyDescent="0.2">
      <c r="A294" s="171">
        <v>43521</v>
      </c>
      <c r="B294" s="46"/>
      <c r="C294" s="34" t="s">
        <v>1582</v>
      </c>
      <c r="D294" s="229"/>
      <c r="E294" s="69"/>
      <c r="F294" s="69"/>
      <c r="G294" s="203"/>
      <c r="H294" s="68"/>
      <c r="I294" s="68">
        <v>7000</v>
      </c>
      <c r="J294" s="69">
        <v>6650.0000000000009</v>
      </c>
      <c r="K294" s="18">
        <f t="shared" si="7"/>
        <v>6650.0000000000009</v>
      </c>
    </row>
    <row r="295" spans="1:15" ht="13.5" customHeight="1" x14ac:dyDescent="0.2">
      <c r="A295" s="171"/>
      <c r="B295" s="46"/>
      <c r="C295" s="34" t="s">
        <v>1583</v>
      </c>
      <c r="D295" s="229"/>
      <c r="E295" s="69"/>
      <c r="F295" s="69"/>
      <c r="G295" s="203"/>
      <c r="H295" s="68">
        <v>7000</v>
      </c>
      <c r="I295" s="68"/>
      <c r="J295" s="69">
        <v>-349.99999999999909</v>
      </c>
      <c r="K295" s="18">
        <f t="shared" si="7"/>
        <v>-349.99999999999909</v>
      </c>
    </row>
    <row r="296" spans="1:15" ht="13.5" customHeight="1" x14ac:dyDescent="0.2">
      <c r="A296" s="171"/>
      <c r="B296" s="46"/>
      <c r="C296" s="34" t="s">
        <v>1584</v>
      </c>
      <c r="D296" s="229"/>
      <c r="E296" s="69"/>
      <c r="F296" s="69"/>
      <c r="G296" s="203"/>
      <c r="H296" s="68">
        <v>60</v>
      </c>
      <c r="I296" s="68"/>
      <c r="J296" s="69">
        <v>-409.99999999999909</v>
      </c>
      <c r="K296" s="18">
        <f t="shared" si="7"/>
        <v>-409.99999999999909</v>
      </c>
    </row>
    <row r="297" spans="1:15" ht="13.5" customHeight="1" x14ac:dyDescent="0.2">
      <c r="A297" s="171">
        <v>43522</v>
      </c>
      <c r="B297" s="46"/>
      <c r="C297" s="34" t="s">
        <v>1460</v>
      </c>
      <c r="D297" s="229"/>
      <c r="E297" s="69"/>
      <c r="F297" s="69"/>
      <c r="G297" s="203"/>
      <c r="H297" s="68"/>
      <c r="I297" s="412">
        <v>2500</v>
      </c>
      <c r="J297" s="69">
        <v>2090.0000000000009</v>
      </c>
      <c r="K297" s="18">
        <f t="shared" si="7"/>
        <v>2090.0000000000009</v>
      </c>
    </row>
    <row r="298" spans="1:15" ht="13.5" customHeight="1" x14ac:dyDescent="0.2">
      <c r="A298" s="171"/>
      <c r="B298" s="46"/>
      <c r="C298" s="33" t="s">
        <v>1585</v>
      </c>
      <c r="D298" s="229"/>
      <c r="E298" s="69"/>
      <c r="F298" s="69"/>
      <c r="G298" s="203"/>
      <c r="H298" s="68"/>
      <c r="I298" s="68">
        <v>1360</v>
      </c>
      <c r="J298" s="69">
        <v>3450.0000000000009</v>
      </c>
      <c r="K298" s="18">
        <f t="shared" si="7"/>
        <v>3450.0000000000009</v>
      </c>
    </row>
    <row r="299" spans="1:15" ht="13.5" customHeight="1" x14ac:dyDescent="0.2">
      <c r="A299" s="171"/>
      <c r="B299" s="46"/>
      <c r="C299" s="34" t="s">
        <v>1586</v>
      </c>
      <c r="D299" s="229"/>
      <c r="E299" s="69"/>
      <c r="F299" s="69"/>
      <c r="G299" s="203"/>
      <c r="H299" s="68"/>
      <c r="I299" s="68">
        <v>250</v>
      </c>
      <c r="J299" s="69">
        <v>3700.0000000000009</v>
      </c>
      <c r="K299" s="18">
        <f t="shared" si="7"/>
        <v>3700.0000000000009</v>
      </c>
    </row>
    <row r="300" spans="1:15" ht="13.5" customHeight="1" x14ac:dyDescent="0.2">
      <c r="A300" s="171"/>
      <c r="B300" s="46"/>
      <c r="C300" s="34" t="s">
        <v>1587</v>
      </c>
      <c r="D300" s="229"/>
      <c r="E300" s="69"/>
      <c r="F300" s="69"/>
      <c r="G300" s="203"/>
      <c r="H300" s="68"/>
      <c r="I300" s="68">
        <v>7000</v>
      </c>
      <c r="J300" s="69">
        <v>10700</v>
      </c>
      <c r="K300" s="18">
        <f t="shared" si="7"/>
        <v>10700</v>
      </c>
    </row>
    <row r="301" spans="1:15" ht="13.5" customHeight="1" x14ac:dyDescent="0.2">
      <c r="A301" s="171"/>
      <c r="B301" s="46"/>
      <c r="C301" s="34" t="s">
        <v>1588</v>
      </c>
      <c r="D301" s="229"/>
      <c r="E301" s="69"/>
      <c r="F301" s="69"/>
      <c r="G301" s="203"/>
      <c r="H301" s="68">
        <v>7010.18</v>
      </c>
      <c r="I301" s="68"/>
      <c r="J301" s="69">
        <v>3689.8199999999997</v>
      </c>
      <c r="K301" s="18">
        <f t="shared" si="7"/>
        <v>3689.8199999999997</v>
      </c>
    </row>
    <row r="302" spans="1:15" ht="13.5" customHeight="1" x14ac:dyDescent="0.2">
      <c r="A302" s="171">
        <v>43523</v>
      </c>
      <c r="B302" s="46"/>
      <c r="C302" s="33" t="s">
        <v>1589</v>
      </c>
      <c r="D302" s="229"/>
      <c r="E302" s="69"/>
      <c r="F302" s="69"/>
      <c r="G302" s="203"/>
      <c r="H302" s="68">
        <v>2000</v>
      </c>
      <c r="I302" s="68"/>
      <c r="J302" s="69">
        <v>1689.8199999999997</v>
      </c>
      <c r="K302" s="18">
        <f t="shared" si="7"/>
        <v>1689.8199999999997</v>
      </c>
    </row>
    <row r="303" spans="1:15" ht="13.5" customHeight="1" x14ac:dyDescent="0.2">
      <c r="A303" s="171"/>
      <c r="B303" s="46"/>
      <c r="C303" s="237" t="s">
        <v>1590</v>
      </c>
      <c r="D303" s="229"/>
      <c r="E303" s="69"/>
      <c r="F303" s="69"/>
      <c r="G303" s="203"/>
      <c r="H303" s="68">
        <v>253.59</v>
      </c>
      <c r="I303" s="68"/>
      <c r="J303" s="69">
        <v>1436.2299999999998</v>
      </c>
      <c r="K303" s="18">
        <f t="shared" si="7"/>
        <v>1436.2299999999998</v>
      </c>
    </row>
    <row r="304" spans="1:15" ht="13.5" customHeight="1" x14ac:dyDescent="0.2">
      <c r="A304" s="171">
        <v>43524</v>
      </c>
      <c r="B304" s="46"/>
      <c r="C304" s="34" t="s">
        <v>1461</v>
      </c>
      <c r="D304" s="229"/>
      <c r="E304" s="69"/>
      <c r="F304" s="69"/>
      <c r="G304" s="203"/>
      <c r="H304" s="412">
        <v>700</v>
      </c>
      <c r="I304" s="68"/>
      <c r="J304" s="186">
        <v>736.22999999999979</v>
      </c>
      <c r="K304" s="18">
        <f t="shared" si="7"/>
        <v>736.22999999999979</v>
      </c>
      <c r="L304" s="18"/>
      <c r="M304" s="18"/>
      <c r="O304" s="420"/>
    </row>
    <row r="305" spans="1:14" ht="13.5" customHeight="1" thickBot="1" x14ac:dyDescent="0.25">
      <c r="A305" s="207"/>
      <c r="B305" s="207"/>
      <c r="C305" s="208"/>
      <c r="D305" s="208"/>
      <c r="E305" s="208"/>
      <c r="F305" s="208"/>
      <c r="G305" s="210"/>
      <c r="H305" s="423">
        <f>-(SUM(H295:H303)+SUM(H282:H292)+SUM(H258:H280)+SUM(H248:H256)+H244)</f>
        <v>-30674.52</v>
      </c>
      <c r="I305" s="423">
        <f>SUM(I298:I300)+I294+I273+SUM(I243:I253)</f>
        <v>31670</v>
      </c>
      <c r="J305" s="186"/>
      <c r="K305" s="18"/>
    </row>
    <row r="306" spans="1:14" ht="13.5" customHeight="1" thickBot="1" x14ac:dyDescent="0.25">
      <c r="A306" s="213"/>
      <c r="B306" s="214"/>
      <c r="C306" s="215" t="s">
        <v>539</v>
      </c>
      <c r="D306" s="216"/>
      <c r="E306" s="187"/>
      <c r="F306" s="187"/>
      <c r="G306" s="217" t="s">
        <v>7</v>
      </c>
      <c r="H306" s="187"/>
      <c r="I306" s="187"/>
      <c r="J306" s="189"/>
      <c r="K306" s="18"/>
    </row>
    <row r="307" spans="1:14" ht="13.5" customHeight="1" x14ac:dyDescent="0.2">
      <c r="A307" s="74" t="s">
        <v>540</v>
      </c>
      <c r="B307" s="74"/>
      <c r="C307" s="218" t="s">
        <v>541</v>
      </c>
      <c r="D307" s="219"/>
      <c r="E307" s="220"/>
      <c r="F307" s="220"/>
      <c r="G307" s="75">
        <v>0</v>
      </c>
      <c r="H307" s="220"/>
      <c r="I307" s="220"/>
      <c r="J307" s="220"/>
      <c r="K307" s="18"/>
      <c r="M307" s="30">
        <f>SUM(G3,J3,G162,J242)</f>
        <v>830.73000000000502</v>
      </c>
      <c r="N307" t="s">
        <v>8082</v>
      </c>
    </row>
    <row r="308" spans="1:14" ht="13.5" customHeight="1" x14ac:dyDescent="0.2">
      <c r="A308" s="221" t="s">
        <v>540</v>
      </c>
      <c r="B308" s="70"/>
      <c r="C308" s="63" t="s">
        <v>542</v>
      </c>
      <c r="D308" s="50"/>
      <c r="E308" s="13"/>
      <c r="F308" s="13"/>
      <c r="G308" s="75">
        <v>1711.92</v>
      </c>
      <c r="H308" s="13"/>
      <c r="I308" s="13"/>
      <c r="J308" s="13"/>
      <c r="K308" s="18"/>
    </row>
    <row r="309" spans="1:14" ht="13.5" customHeight="1" x14ac:dyDescent="0.2">
      <c r="A309" s="70"/>
      <c r="B309" s="70"/>
      <c r="C309" s="222" t="s">
        <v>543</v>
      </c>
      <c r="D309" s="50"/>
      <c r="E309" s="13"/>
      <c r="F309" s="13"/>
      <c r="G309" s="14">
        <f>SUM(G307:G308)</f>
        <v>1711.92</v>
      </c>
      <c r="H309" s="13"/>
      <c r="I309" s="13"/>
      <c r="J309" s="13"/>
      <c r="K309" s="18"/>
    </row>
    <row r="310" spans="1:14" ht="13.5" customHeight="1" x14ac:dyDescent="0.2">
      <c r="A310" s="70"/>
      <c r="B310" s="70"/>
      <c r="C310" s="63"/>
      <c r="D310" s="50"/>
      <c r="E310" s="13"/>
      <c r="F310" s="13"/>
      <c r="G310" s="14"/>
      <c r="H310" s="13"/>
      <c r="I310" s="13"/>
      <c r="J310" s="13"/>
      <c r="M310" s="30">
        <f>SUM(J304,G213,G159,J157)</f>
        <v>3406.2900000000009</v>
      </c>
      <c r="N310" t="s">
        <v>8083</v>
      </c>
    </row>
    <row r="311" spans="1:14" ht="13.5" customHeight="1" x14ac:dyDescent="0.2">
      <c r="A311" s="70"/>
      <c r="B311" s="70"/>
      <c r="C311" s="222" t="s">
        <v>544</v>
      </c>
      <c r="D311" s="50"/>
      <c r="E311" s="13"/>
      <c r="F311" s="13"/>
      <c r="G311" s="14">
        <v>3406.2900000000009</v>
      </c>
      <c r="H311" s="13"/>
      <c r="I311" s="13"/>
      <c r="J311" s="13"/>
    </row>
    <row r="312" spans="1:14" ht="13.5" customHeight="1" x14ac:dyDescent="0.2">
      <c r="A312" s="70"/>
      <c r="B312" s="70"/>
      <c r="C312" s="63"/>
      <c r="D312" s="50"/>
      <c r="E312" s="13"/>
      <c r="F312" s="13"/>
      <c r="G312" s="75"/>
      <c r="H312" s="13"/>
      <c r="I312" s="13"/>
      <c r="J312" s="13"/>
      <c r="M312" s="30">
        <f>SUM(I305,H305,F215,E215,F160,E160,I160,H160)</f>
        <v>2575.5600000000013</v>
      </c>
      <c r="N312" t="s">
        <v>1800</v>
      </c>
    </row>
    <row r="313" spans="1:14" ht="13.5" customHeight="1" x14ac:dyDescent="0.2">
      <c r="A313" s="76"/>
      <c r="B313" s="76"/>
      <c r="C313" s="222" t="s">
        <v>545</v>
      </c>
      <c r="D313" s="78"/>
      <c r="E313" s="78"/>
      <c r="F313" s="223"/>
      <c r="G313" s="14">
        <v>4142.5200000000004</v>
      </c>
      <c r="H313" s="424"/>
      <c r="I313" s="424"/>
      <c r="J313" s="13"/>
    </row>
    <row r="314" spans="1:14" ht="13.5" customHeight="1" x14ac:dyDescent="0.2">
      <c r="A314" s="76"/>
      <c r="B314" s="76"/>
      <c r="C314" s="78"/>
      <c r="D314" s="78"/>
      <c r="E314" s="78"/>
      <c r="F314" s="78"/>
      <c r="G314" s="75"/>
      <c r="H314" s="424"/>
      <c r="I314" s="424"/>
      <c r="J314" s="13"/>
    </row>
    <row r="315" spans="1:14" ht="13.5" customHeight="1" x14ac:dyDescent="0.2">
      <c r="A315" s="70"/>
      <c r="B315" s="70"/>
      <c r="C315" s="63"/>
      <c r="D315" s="50"/>
      <c r="E315" s="13"/>
      <c r="F315" s="13"/>
      <c r="G315" s="75"/>
      <c r="H315" s="13"/>
      <c r="I315" s="13"/>
      <c r="J315" s="13"/>
    </row>
    <row r="316" spans="1:14" ht="13.5" customHeight="1" x14ac:dyDescent="0.2">
      <c r="A316" s="79"/>
      <c r="B316" s="70"/>
      <c r="C316" s="63"/>
      <c r="D316" s="50"/>
      <c r="E316" s="13"/>
      <c r="F316" s="13"/>
      <c r="G316" s="75"/>
      <c r="H316" s="13"/>
      <c r="I316" s="13"/>
      <c r="J316" s="13"/>
      <c r="M316" s="30">
        <f>M307+M312-M310</f>
        <v>5.4569682106375694E-12</v>
      </c>
      <c r="N316" t="s">
        <v>8084</v>
      </c>
    </row>
    <row r="317" spans="1:14" ht="13.5" customHeight="1" x14ac:dyDescent="0.2">
      <c r="A317" s="79"/>
      <c r="B317" s="79"/>
      <c r="C317" s="63"/>
      <c r="D317" s="78"/>
      <c r="E317" s="13"/>
      <c r="F317" s="13"/>
      <c r="G317" s="75"/>
      <c r="H317" s="424"/>
      <c r="I317" s="424"/>
      <c r="J317" s="13"/>
    </row>
    <row r="318" spans="1:14" ht="13.5" customHeight="1" x14ac:dyDescent="0.2">
      <c r="A318" s="79"/>
      <c r="B318" s="79"/>
      <c r="C318" s="78"/>
      <c r="D318" s="78"/>
      <c r="E318" s="78"/>
      <c r="F318" s="78"/>
      <c r="G318" s="75"/>
      <c r="H318" s="424"/>
      <c r="I318" s="424"/>
      <c r="J318" s="13"/>
    </row>
    <row r="319" spans="1:14" ht="13.5" customHeight="1" x14ac:dyDescent="0.2">
      <c r="A319" s="79"/>
      <c r="B319" s="79"/>
      <c r="C319" s="78"/>
      <c r="D319" s="78"/>
      <c r="E319" s="78"/>
      <c r="F319" s="78"/>
      <c r="G319" s="75"/>
      <c r="H319" s="424"/>
      <c r="I319" s="424"/>
      <c r="J319" s="13"/>
    </row>
    <row r="320" spans="1:14" ht="13.5" customHeight="1" x14ac:dyDescent="0.2">
      <c r="A320" s="79"/>
      <c r="B320" s="79"/>
      <c r="C320" s="78"/>
      <c r="D320" s="78"/>
      <c r="E320" s="13"/>
      <c r="F320" s="13"/>
      <c r="G320" s="75"/>
      <c r="H320" s="424"/>
      <c r="I320" s="424"/>
      <c r="J320" s="13"/>
    </row>
    <row r="321" spans="1:12" ht="13.5" customHeight="1" x14ac:dyDescent="0.2">
      <c r="A321" s="74"/>
      <c r="B321" s="80"/>
      <c r="C321" s="81"/>
      <c r="D321" s="50"/>
      <c r="E321" s="13"/>
      <c r="F321" s="13"/>
      <c r="G321" s="75"/>
      <c r="H321" s="13"/>
      <c r="I321" s="13"/>
      <c r="J321" s="13"/>
    </row>
    <row r="322" spans="1:12" ht="13.5" customHeight="1" x14ac:dyDescent="0.2">
      <c r="A322" s="79"/>
      <c r="B322" s="79"/>
      <c r="C322" s="78"/>
      <c r="D322" s="78"/>
      <c r="E322" s="13"/>
      <c r="F322" s="13"/>
      <c r="G322" s="75"/>
      <c r="H322" s="424"/>
      <c r="I322" s="424"/>
      <c r="J322" s="13"/>
    </row>
    <row r="323" spans="1:12" ht="13.5" customHeight="1" x14ac:dyDescent="0.2">
      <c r="A323" s="79"/>
      <c r="B323" s="79"/>
      <c r="C323" s="78"/>
      <c r="D323" s="78"/>
      <c r="E323" s="13"/>
      <c r="F323" s="13"/>
      <c r="G323" s="75"/>
      <c r="H323" s="424"/>
      <c r="I323" s="424"/>
      <c r="J323" s="13"/>
    </row>
    <row r="324" spans="1:12" ht="13.5" customHeight="1" x14ac:dyDescent="0.2">
      <c r="A324" s="79"/>
      <c r="B324" s="79"/>
      <c r="C324" s="78"/>
      <c r="D324" s="78"/>
      <c r="E324" s="78"/>
      <c r="F324" s="78"/>
      <c r="G324" s="75"/>
      <c r="H324" s="424"/>
      <c r="I324" s="424"/>
      <c r="J324" s="13"/>
    </row>
    <row r="325" spans="1:12" ht="13.5" customHeight="1" x14ac:dyDescent="0.2">
      <c r="A325" s="79"/>
      <c r="B325" s="79"/>
      <c r="C325" s="78"/>
      <c r="D325" s="78"/>
      <c r="E325" s="78"/>
      <c r="F325" s="78"/>
      <c r="G325" s="75"/>
      <c r="H325" s="424"/>
      <c r="I325" s="424"/>
      <c r="J325" s="13"/>
    </row>
    <row r="326" spans="1:12" ht="13.5" customHeight="1" x14ac:dyDescent="0.2">
      <c r="A326" s="79"/>
      <c r="B326" s="79"/>
      <c r="C326" s="78"/>
      <c r="D326" s="78"/>
      <c r="E326" s="78"/>
      <c r="F326" s="78"/>
      <c r="G326" s="75"/>
      <c r="H326" s="424"/>
      <c r="I326" s="424"/>
      <c r="J326" s="13"/>
    </row>
    <row r="327" spans="1:12" ht="13.5" customHeight="1" x14ac:dyDescent="0.2">
      <c r="A327" s="79"/>
      <c r="B327" s="79"/>
      <c r="C327" s="78"/>
      <c r="D327" s="78"/>
      <c r="E327" s="78"/>
      <c r="F327" s="78"/>
      <c r="G327" s="75"/>
      <c r="H327" s="424"/>
      <c r="I327" s="424"/>
      <c r="J327" s="13"/>
    </row>
    <row r="328" spans="1:12" ht="13.5" customHeight="1" x14ac:dyDescent="0.2">
      <c r="A328" s="79"/>
      <c r="B328" s="79"/>
      <c r="C328" s="78"/>
      <c r="D328" s="78"/>
      <c r="E328" s="78"/>
      <c r="F328" s="78"/>
      <c r="G328" s="75"/>
      <c r="H328" s="424"/>
      <c r="I328" s="424"/>
      <c r="J328" s="13"/>
      <c r="K328" s="40"/>
      <c r="L328" s="1"/>
    </row>
    <row r="329" spans="1:12" ht="13.5" customHeight="1" x14ac:dyDescent="0.2">
      <c r="A329" s="79"/>
      <c r="B329" s="79"/>
      <c r="C329" s="78"/>
      <c r="D329" s="78"/>
      <c r="E329" s="78"/>
      <c r="F329" s="78"/>
      <c r="G329" s="14"/>
      <c r="H329" s="424"/>
      <c r="I329" s="424"/>
      <c r="J329" s="130"/>
    </row>
    <row r="330" spans="1:12" ht="13.5" customHeight="1" x14ac:dyDescent="0.2">
      <c r="A330" s="70"/>
      <c r="B330" s="70"/>
      <c r="C330" s="63"/>
      <c r="D330" s="50"/>
      <c r="E330" s="13"/>
      <c r="F330" s="13"/>
      <c r="G330" s="75"/>
      <c r="H330" s="82"/>
      <c r="I330" s="13"/>
      <c r="J330" s="13"/>
    </row>
    <row r="331" spans="1:12" ht="13.5" customHeight="1" x14ac:dyDescent="0.2">
      <c r="A331" s="70"/>
      <c r="B331" s="70"/>
      <c r="C331" s="63"/>
      <c r="D331" s="50"/>
      <c r="E331" s="13"/>
      <c r="F331" s="13"/>
      <c r="G331" s="75"/>
      <c r="H331" s="82"/>
      <c r="I331" s="13"/>
      <c r="J331" s="13"/>
    </row>
    <row r="332" spans="1:12" ht="13.5" customHeight="1" x14ac:dyDescent="0.2">
      <c r="A332" s="70"/>
      <c r="B332" s="70"/>
      <c r="C332" s="63"/>
      <c r="D332" s="50"/>
      <c r="E332" s="13"/>
      <c r="F332" s="13"/>
      <c r="G332" s="75"/>
      <c r="H332" s="82"/>
      <c r="I332" s="13"/>
      <c r="J332" s="13"/>
    </row>
    <row r="333" spans="1:12" ht="13.5" customHeight="1" x14ac:dyDescent="0.2">
      <c r="A333" s="70"/>
      <c r="B333" s="70"/>
      <c r="C333" s="63"/>
      <c r="D333" s="50"/>
      <c r="E333" s="13"/>
      <c r="F333" s="13"/>
      <c r="G333" s="75"/>
      <c r="H333" s="82"/>
      <c r="I333" s="13"/>
      <c r="J333" s="13"/>
    </row>
    <row r="334" spans="1:12" ht="13.5" customHeight="1" x14ac:dyDescent="0.2">
      <c r="A334" s="70"/>
      <c r="B334" s="70"/>
      <c r="C334" s="63"/>
      <c r="D334" s="50"/>
      <c r="E334" s="13"/>
      <c r="F334" s="13"/>
      <c r="G334" s="75"/>
      <c r="H334" s="82"/>
      <c r="I334" s="13"/>
      <c r="J334" s="13"/>
    </row>
    <row r="335" spans="1:12" ht="13.5" customHeight="1" x14ac:dyDescent="0.2">
      <c r="A335" s="70"/>
      <c r="B335" s="70"/>
      <c r="C335" s="63"/>
      <c r="D335" s="50"/>
      <c r="E335" s="13"/>
      <c r="F335" s="13"/>
      <c r="G335" s="75"/>
      <c r="H335" s="82"/>
      <c r="I335" s="13"/>
      <c r="J335" s="13"/>
    </row>
    <row r="336" spans="1:12" ht="13.5" customHeight="1" x14ac:dyDescent="0.2">
      <c r="A336" s="70"/>
      <c r="B336" s="70"/>
      <c r="C336" s="63"/>
      <c r="D336" s="50"/>
      <c r="E336" s="13"/>
      <c r="F336" s="13"/>
      <c r="G336" s="75"/>
      <c r="H336" s="82"/>
      <c r="I336" s="13"/>
      <c r="J336" s="13"/>
    </row>
    <row r="337" spans="1:10" ht="13.5" customHeight="1" x14ac:dyDescent="0.2">
      <c r="A337" s="70"/>
      <c r="B337" s="70"/>
      <c r="C337" s="63"/>
      <c r="D337" s="50"/>
      <c r="E337" s="13"/>
      <c r="F337" s="13"/>
      <c r="G337" s="75"/>
      <c r="H337" s="82"/>
      <c r="I337" s="13"/>
      <c r="J337" s="13"/>
    </row>
    <row r="338" spans="1:10" ht="13.5" customHeight="1" x14ac:dyDescent="0.2">
      <c r="A338" s="70"/>
      <c r="B338" s="70"/>
      <c r="C338" s="63"/>
      <c r="D338" s="50"/>
      <c r="E338" s="13"/>
      <c r="F338" s="13"/>
      <c r="G338" s="75"/>
      <c r="H338" s="82"/>
      <c r="I338" s="13"/>
      <c r="J338" s="13"/>
    </row>
    <row r="339" spans="1:10" ht="13.5" customHeight="1" x14ac:dyDescent="0.2">
      <c r="A339" s="70"/>
      <c r="B339" s="70"/>
      <c r="C339" s="63"/>
      <c r="D339" s="50"/>
      <c r="E339" s="13"/>
      <c r="F339" s="13"/>
      <c r="G339" s="75"/>
      <c r="H339" s="82"/>
      <c r="I339" s="13"/>
      <c r="J339" s="13"/>
    </row>
    <row r="340" spans="1:10" ht="13.5" customHeight="1" x14ac:dyDescent="0.2">
      <c r="A340" s="70"/>
      <c r="B340" s="70"/>
      <c r="C340" s="63"/>
      <c r="D340" s="50"/>
      <c r="E340" s="13"/>
      <c r="F340" s="13"/>
      <c r="G340" s="75"/>
      <c r="H340" s="82"/>
      <c r="I340" s="13"/>
      <c r="J340" s="13"/>
    </row>
    <row r="341" spans="1:10" ht="13.5" customHeight="1" x14ac:dyDescent="0.2">
      <c r="A341" s="70"/>
      <c r="B341" s="70"/>
      <c r="C341" s="63"/>
      <c r="D341" s="50"/>
      <c r="E341" s="13"/>
      <c r="F341" s="13"/>
      <c r="G341" s="75"/>
      <c r="H341" s="82"/>
      <c r="I341" s="13"/>
      <c r="J341" s="13"/>
    </row>
    <row r="342" spans="1:10" ht="13.5" customHeight="1" x14ac:dyDescent="0.2">
      <c r="A342" s="70"/>
      <c r="B342" s="70"/>
      <c r="C342" s="63"/>
      <c r="D342" s="50"/>
      <c r="E342" s="13"/>
      <c r="F342" s="13"/>
      <c r="G342" s="75"/>
      <c r="H342" s="82"/>
      <c r="I342" s="13"/>
      <c r="J342" s="13"/>
    </row>
    <row r="343" spans="1:10" ht="13.5" customHeight="1" x14ac:dyDescent="0.2">
      <c r="A343" s="70"/>
      <c r="B343" s="70"/>
      <c r="C343" s="63"/>
      <c r="D343" s="50"/>
      <c r="E343" s="13"/>
      <c r="F343" s="13"/>
      <c r="G343" s="75"/>
      <c r="H343" s="82"/>
      <c r="I343" s="13"/>
      <c r="J343" s="13"/>
    </row>
    <row r="344" spans="1:10" ht="13.5" customHeight="1" x14ac:dyDescent="0.2">
      <c r="A344" s="70"/>
      <c r="B344" s="70"/>
      <c r="C344" s="63"/>
      <c r="D344" s="50"/>
      <c r="E344" s="13"/>
      <c r="F344" s="13"/>
      <c r="G344" s="75"/>
      <c r="H344" s="82"/>
      <c r="I344" s="13"/>
      <c r="J344" s="13"/>
    </row>
    <row r="345" spans="1:10" ht="13.5" customHeight="1" x14ac:dyDescent="0.2">
      <c r="A345" s="70"/>
      <c r="B345" s="70"/>
      <c r="C345" s="63"/>
      <c r="D345" s="50"/>
      <c r="E345" s="13"/>
      <c r="F345" s="13"/>
      <c r="G345" s="75"/>
      <c r="H345" s="82"/>
      <c r="I345" s="13"/>
      <c r="J345" s="13"/>
    </row>
    <row r="346" spans="1:10" ht="13.5" customHeight="1" x14ac:dyDescent="0.2">
      <c r="A346" s="70"/>
      <c r="B346" s="70"/>
      <c r="C346" s="63"/>
      <c r="D346" s="50"/>
      <c r="E346" s="13"/>
      <c r="F346" s="13"/>
      <c r="G346" s="75"/>
      <c r="H346" s="82"/>
      <c r="I346" s="13"/>
      <c r="J346" s="13"/>
    </row>
    <row r="347" spans="1:10" ht="13.5" customHeight="1" x14ac:dyDescent="0.2">
      <c r="A347" s="70"/>
      <c r="B347" s="70"/>
      <c r="C347" s="63"/>
      <c r="D347" s="50"/>
      <c r="E347" s="13"/>
      <c r="F347" s="13"/>
      <c r="G347" s="75"/>
      <c r="H347" s="82"/>
      <c r="I347" s="13"/>
      <c r="J347" s="13"/>
    </row>
    <row r="348" spans="1:10" ht="13.5" customHeight="1" x14ac:dyDescent="0.2">
      <c r="A348" s="70"/>
      <c r="B348" s="70"/>
      <c r="C348" s="63"/>
      <c r="D348" s="50"/>
      <c r="E348" s="13"/>
      <c r="F348" s="13"/>
      <c r="G348" s="75"/>
      <c r="H348" s="82"/>
      <c r="I348" s="13"/>
      <c r="J348" s="13"/>
    </row>
    <row r="349" spans="1:10" ht="13.5" customHeight="1" x14ac:dyDescent="0.2">
      <c r="A349" s="70"/>
      <c r="B349" s="70"/>
      <c r="C349" s="63"/>
      <c r="D349" s="50"/>
      <c r="E349" s="13"/>
      <c r="F349" s="13"/>
      <c r="G349" s="75"/>
      <c r="H349" s="82"/>
      <c r="I349" s="13"/>
      <c r="J349" s="13"/>
    </row>
    <row r="350" spans="1:10" ht="13.5" customHeight="1" x14ac:dyDescent="0.2">
      <c r="A350" s="70"/>
      <c r="B350" s="70"/>
      <c r="C350" s="63"/>
      <c r="D350" s="50"/>
      <c r="E350" s="13"/>
      <c r="F350" s="13"/>
      <c r="G350" s="75"/>
      <c r="H350" s="82"/>
      <c r="I350" s="13"/>
      <c r="J350" s="13"/>
    </row>
    <row r="351" spans="1:10" ht="13.5" customHeight="1" x14ac:dyDescent="0.2">
      <c r="A351" s="70"/>
      <c r="B351" s="70"/>
      <c r="C351" s="63"/>
      <c r="D351" s="50"/>
      <c r="E351" s="13"/>
      <c r="F351" s="13"/>
      <c r="G351" s="75"/>
      <c r="H351" s="82"/>
      <c r="I351" s="13"/>
      <c r="J351" s="13"/>
    </row>
    <row r="352" spans="1:10" ht="13.5" customHeight="1" x14ac:dyDescent="0.2">
      <c r="A352" s="70"/>
      <c r="B352" s="70"/>
      <c r="C352" s="63"/>
      <c r="D352" s="50"/>
      <c r="E352" s="13"/>
      <c r="F352" s="13"/>
      <c r="G352" s="75"/>
      <c r="H352" s="82"/>
      <c r="I352" s="13"/>
      <c r="J352" s="13"/>
    </row>
    <row r="353" spans="1:10" ht="13.5" customHeight="1" x14ac:dyDescent="0.2">
      <c r="A353" s="70"/>
      <c r="B353" s="70"/>
      <c r="C353" s="63"/>
      <c r="D353" s="50"/>
      <c r="E353" s="13"/>
      <c r="F353" s="13"/>
      <c r="G353" s="75"/>
      <c r="H353" s="82"/>
      <c r="I353" s="13"/>
      <c r="J353" s="13"/>
    </row>
    <row r="354" spans="1:10" ht="13.5" customHeight="1" x14ac:dyDescent="0.2">
      <c r="A354" s="70"/>
      <c r="B354" s="70"/>
      <c r="C354" s="63"/>
      <c r="D354" s="50"/>
      <c r="E354" s="13"/>
      <c r="F354" s="13"/>
      <c r="G354" s="75"/>
      <c r="H354" s="82"/>
      <c r="I354" s="13"/>
      <c r="J354" s="13"/>
    </row>
    <row r="355" spans="1:10" ht="13.5" customHeight="1" x14ac:dyDescent="0.2">
      <c r="A355" s="70"/>
      <c r="B355" s="70"/>
      <c r="C355" s="63"/>
      <c r="D355" s="50"/>
      <c r="E355" s="13"/>
      <c r="F355" s="13"/>
      <c r="G355" s="75"/>
      <c r="H355" s="82"/>
      <c r="I355" s="13"/>
      <c r="J355" s="13"/>
    </row>
    <row r="356" spans="1:10" ht="13.5" customHeight="1" x14ac:dyDescent="0.2">
      <c r="A356" s="70"/>
      <c r="B356" s="70"/>
      <c r="C356" s="63"/>
      <c r="D356" s="50"/>
      <c r="E356" s="13"/>
      <c r="F356" s="13"/>
      <c r="G356" s="75"/>
      <c r="H356" s="82"/>
      <c r="I356" s="13"/>
      <c r="J356" s="13"/>
    </row>
    <row r="357" spans="1:10" ht="13.5" customHeight="1" x14ac:dyDescent="0.2">
      <c r="A357" s="70"/>
      <c r="B357" s="70"/>
      <c r="C357" s="63"/>
      <c r="D357" s="50"/>
      <c r="E357" s="13"/>
      <c r="F357" s="13"/>
      <c r="G357" s="75"/>
      <c r="H357" s="82"/>
      <c r="I357" s="13"/>
      <c r="J357" s="13"/>
    </row>
    <row r="358" spans="1:10" ht="13.5" customHeight="1" x14ac:dyDescent="0.2">
      <c r="A358" s="70"/>
      <c r="B358" s="70"/>
      <c r="C358" s="63"/>
      <c r="D358" s="50"/>
      <c r="E358" s="13"/>
      <c r="F358" s="13"/>
      <c r="G358" s="75"/>
      <c r="H358" s="82"/>
      <c r="I358" s="13"/>
      <c r="J358" s="13"/>
    </row>
    <row r="359" spans="1:10" ht="13.5" customHeight="1" x14ac:dyDescent="0.2">
      <c r="A359" s="70"/>
      <c r="B359" s="70"/>
      <c r="C359" s="63"/>
      <c r="D359" s="50"/>
      <c r="E359" s="13"/>
      <c r="F359" s="13"/>
      <c r="G359" s="75"/>
      <c r="H359" s="82"/>
      <c r="I359" s="13"/>
      <c r="J359" s="13"/>
    </row>
    <row r="360" spans="1:10" ht="13.5" customHeight="1" x14ac:dyDescent="0.2">
      <c r="A360" s="70"/>
      <c r="B360" s="70"/>
      <c r="C360" s="63"/>
      <c r="D360" s="50"/>
      <c r="E360" s="13"/>
      <c r="F360" s="13"/>
      <c r="G360" s="75"/>
      <c r="H360" s="82"/>
      <c r="I360" s="13"/>
      <c r="J360" s="13"/>
    </row>
    <row r="361" spans="1:10" ht="13.5" customHeight="1" x14ac:dyDescent="0.2">
      <c r="A361" s="70"/>
      <c r="B361" s="70"/>
      <c r="C361" s="63"/>
      <c r="D361" s="50"/>
      <c r="E361" s="13"/>
      <c r="F361" s="13"/>
      <c r="G361" s="75"/>
      <c r="H361" s="82"/>
      <c r="I361" s="13"/>
      <c r="J361" s="13"/>
    </row>
    <row r="362" spans="1:10" ht="13.5" customHeight="1" x14ac:dyDescent="0.2">
      <c r="A362" s="70"/>
      <c r="B362" s="70"/>
      <c r="C362" s="63"/>
      <c r="D362" s="50"/>
      <c r="E362" s="13"/>
      <c r="F362" s="13"/>
      <c r="G362" s="75"/>
      <c r="H362" s="82"/>
      <c r="I362" s="13"/>
      <c r="J362" s="13"/>
    </row>
    <row r="363" spans="1:10" ht="13.5" customHeight="1" x14ac:dyDescent="0.2">
      <c r="A363" s="70"/>
      <c r="B363" s="70"/>
      <c r="C363" s="63"/>
      <c r="D363" s="50"/>
      <c r="E363" s="13"/>
      <c r="F363" s="13"/>
      <c r="G363" s="75"/>
      <c r="H363" s="82"/>
      <c r="I363" s="13"/>
      <c r="J363" s="13"/>
    </row>
    <row r="364" spans="1:10" ht="13.5" customHeight="1" x14ac:dyDescent="0.2">
      <c r="A364" s="70"/>
      <c r="B364" s="70"/>
      <c r="C364" s="63"/>
      <c r="D364" s="50"/>
      <c r="E364" s="13"/>
      <c r="F364" s="13"/>
      <c r="G364" s="75"/>
      <c r="H364" s="82"/>
      <c r="I364" s="13"/>
      <c r="J364" s="13"/>
    </row>
    <row r="365" spans="1:10" ht="13.5" customHeight="1" x14ac:dyDescent="0.2">
      <c r="A365" s="70"/>
      <c r="B365" s="70"/>
      <c r="C365" s="63"/>
      <c r="D365" s="50"/>
      <c r="E365" s="13"/>
      <c r="F365" s="13"/>
      <c r="G365" s="75"/>
      <c r="H365" s="82"/>
      <c r="I365" s="13"/>
      <c r="J365" s="13"/>
    </row>
    <row r="366" spans="1:10" ht="13.5" customHeight="1" x14ac:dyDescent="0.2">
      <c r="A366" s="70"/>
      <c r="B366" s="70"/>
      <c r="C366" s="63"/>
      <c r="D366" s="50"/>
      <c r="E366" s="13"/>
      <c r="F366" s="13"/>
      <c r="G366" s="75"/>
      <c r="H366" s="82"/>
      <c r="I366" s="13"/>
      <c r="J366" s="13"/>
    </row>
    <row r="367" spans="1:10" ht="13.5" customHeight="1" x14ac:dyDescent="0.2">
      <c r="A367" s="70"/>
      <c r="B367" s="70"/>
      <c r="C367" s="63"/>
      <c r="D367" s="50"/>
      <c r="E367" s="13"/>
      <c r="F367" s="13"/>
      <c r="G367" s="75"/>
      <c r="H367" s="82"/>
      <c r="I367" s="13"/>
      <c r="J367" s="13"/>
    </row>
    <row r="368" spans="1:10" ht="13.5" customHeight="1" x14ac:dyDescent="0.2">
      <c r="A368" s="70"/>
      <c r="B368" s="70"/>
      <c r="C368" s="63"/>
      <c r="D368" s="50"/>
      <c r="E368" s="13"/>
      <c r="F368" s="13"/>
      <c r="G368" s="75"/>
      <c r="H368" s="82"/>
      <c r="I368" s="13"/>
      <c r="J368" s="13"/>
    </row>
    <row r="369" spans="1:10" ht="13.5" customHeight="1" x14ac:dyDescent="0.2">
      <c r="A369" s="70"/>
      <c r="B369" s="70"/>
      <c r="C369" s="63"/>
      <c r="D369" s="50"/>
      <c r="E369" s="13"/>
      <c r="F369" s="13"/>
      <c r="G369" s="75"/>
      <c r="H369" s="82"/>
      <c r="I369" s="13"/>
      <c r="J369" s="13"/>
    </row>
    <row r="370" spans="1:10" ht="13.5" customHeight="1" x14ac:dyDescent="0.2">
      <c r="A370" s="70"/>
      <c r="B370" s="70"/>
      <c r="C370" s="63"/>
      <c r="D370" s="50"/>
      <c r="E370" s="13"/>
      <c r="F370" s="13"/>
      <c r="G370" s="75"/>
      <c r="H370" s="83"/>
      <c r="I370" s="13"/>
      <c r="J370" s="13"/>
    </row>
    <row r="371" spans="1:10" ht="13.5" customHeight="1" x14ac:dyDescent="0.2">
      <c r="A371" s="70"/>
      <c r="B371" s="70"/>
      <c r="C371" s="63"/>
      <c r="D371" s="50"/>
      <c r="E371" s="13"/>
      <c r="F371" s="13"/>
      <c r="G371" s="75"/>
      <c r="H371" s="83"/>
      <c r="I371" s="13"/>
      <c r="J371" s="13"/>
    </row>
    <row r="372" spans="1:10" ht="13.5" customHeight="1" x14ac:dyDescent="0.2">
      <c r="A372" s="131"/>
      <c r="B372" s="70"/>
      <c r="C372" s="64"/>
      <c r="D372" s="50"/>
      <c r="E372" s="13"/>
      <c r="F372" s="13"/>
      <c r="G372" s="75"/>
      <c r="H372" s="425"/>
      <c r="I372" s="13"/>
      <c r="J372" s="13"/>
    </row>
    <row r="373" spans="1:10" ht="13.5" customHeight="1" x14ac:dyDescent="0.2">
      <c r="A373" s="70"/>
      <c r="B373" s="70"/>
      <c r="C373" s="63"/>
      <c r="D373" s="50"/>
      <c r="E373" s="13"/>
      <c r="F373" s="13"/>
      <c r="G373" s="75"/>
      <c r="H373" s="83"/>
      <c r="I373" s="13"/>
      <c r="J373" s="13"/>
    </row>
    <row r="374" spans="1:10" ht="13.5" customHeight="1" x14ac:dyDescent="0.2">
      <c r="A374" s="70"/>
      <c r="B374" s="70"/>
      <c r="C374" s="63"/>
      <c r="D374" s="50"/>
      <c r="E374" s="13"/>
      <c r="F374" s="13"/>
      <c r="G374" s="75"/>
      <c r="H374" s="83"/>
      <c r="I374" s="13"/>
      <c r="J374" s="13"/>
    </row>
    <row r="375" spans="1:10" ht="13.5" customHeight="1" x14ac:dyDescent="0.2">
      <c r="A375" s="131"/>
      <c r="B375" s="70"/>
      <c r="C375" s="85"/>
      <c r="D375" s="50"/>
      <c r="E375" s="13"/>
      <c r="F375" s="13"/>
      <c r="G375" s="75"/>
      <c r="H375" s="83"/>
      <c r="I375" s="13"/>
      <c r="J375" s="13"/>
    </row>
    <row r="376" spans="1:10" ht="13.5" customHeight="1" x14ac:dyDescent="0.2">
      <c r="A376" s="131"/>
      <c r="B376" s="70"/>
      <c r="C376" s="63"/>
      <c r="D376" s="50"/>
      <c r="E376" s="13"/>
      <c r="F376" s="13"/>
      <c r="G376" s="75"/>
      <c r="H376" s="83"/>
      <c r="I376" s="13"/>
      <c r="J376" s="13"/>
    </row>
    <row r="377" spans="1:10" ht="13.5" customHeight="1" x14ac:dyDescent="0.2">
      <c r="A377" s="131"/>
      <c r="B377" s="70"/>
      <c r="C377" s="63"/>
      <c r="D377" s="50"/>
      <c r="E377" s="13"/>
      <c r="F377" s="13"/>
      <c r="G377" s="75"/>
      <c r="H377" s="425"/>
      <c r="I377" s="13"/>
      <c r="J377" s="13"/>
    </row>
    <row r="378" spans="1:10" ht="13.5" customHeight="1" x14ac:dyDescent="0.2">
      <c r="A378" s="131"/>
      <c r="B378" s="70"/>
      <c r="C378" s="64"/>
      <c r="D378" s="50"/>
      <c r="E378" s="13"/>
      <c r="F378" s="13"/>
      <c r="G378" s="75"/>
      <c r="H378" s="83"/>
      <c r="I378" s="13"/>
      <c r="J378" s="13"/>
    </row>
    <row r="379" spans="1:10" ht="13.5" customHeight="1" x14ac:dyDescent="0.2">
      <c r="A379" s="70"/>
      <c r="B379" s="70"/>
      <c r="C379" s="63"/>
      <c r="D379" s="50"/>
      <c r="E379" s="13"/>
      <c r="F379" s="13"/>
      <c r="G379" s="75"/>
      <c r="H379" s="83"/>
      <c r="I379" s="13"/>
      <c r="J379" s="13"/>
    </row>
    <row r="380" spans="1:10" ht="13.5" customHeight="1" x14ac:dyDescent="0.2">
      <c r="A380" s="131"/>
      <c r="B380" s="70"/>
      <c r="C380" s="63"/>
      <c r="D380" s="50"/>
      <c r="E380" s="13"/>
      <c r="F380" s="13"/>
      <c r="G380" s="75"/>
      <c r="H380" s="425"/>
      <c r="I380" s="13"/>
      <c r="J380" s="13"/>
    </row>
    <row r="381" spans="1:10" ht="13.5" customHeight="1" x14ac:dyDescent="0.2">
      <c r="A381" s="131"/>
      <c r="B381" s="70"/>
      <c r="C381" s="64"/>
      <c r="D381" s="50"/>
      <c r="E381" s="13"/>
      <c r="F381" s="13"/>
      <c r="G381" s="75"/>
      <c r="H381" s="425"/>
      <c r="I381" s="13"/>
      <c r="J381" s="13"/>
    </row>
    <row r="382" spans="1:10" ht="13.5" customHeight="1" x14ac:dyDescent="0.2">
      <c r="A382" s="70"/>
      <c r="B382" s="70"/>
      <c r="C382" s="63"/>
      <c r="D382" s="50"/>
      <c r="E382" s="13"/>
      <c r="F382" s="13"/>
      <c r="G382" s="75"/>
      <c r="H382" s="83"/>
      <c r="I382" s="13"/>
      <c r="J382" s="13"/>
    </row>
    <row r="383" spans="1:10" ht="13.5" customHeight="1" x14ac:dyDescent="0.2">
      <c r="A383" s="131"/>
      <c r="B383" s="70"/>
      <c r="C383" s="63"/>
      <c r="D383" s="50"/>
      <c r="E383" s="13"/>
      <c r="F383" s="13"/>
      <c r="G383" s="75"/>
      <c r="H383" s="425"/>
      <c r="I383" s="13"/>
      <c r="J383" s="13"/>
    </row>
    <row r="384" spans="1:10" ht="13.5" customHeight="1" x14ac:dyDescent="0.2">
      <c r="A384" s="131"/>
      <c r="B384" s="70"/>
      <c r="C384" s="64"/>
      <c r="D384" s="50"/>
      <c r="E384" s="13"/>
      <c r="F384" s="13"/>
      <c r="G384" s="75"/>
      <c r="H384" s="425"/>
      <c r="I384" s="13"/>
      <c r="J384" s="13"/>
    </row>
    <row r="385" spans="1:10" ht="13.5" customHeight="1" x14ac:dyDescent="0.2">
      <c r="A385" s="70"/>
      <c r="B385" s="70"/>
      <c r="C385" s="63"/>
      <c r="D385" s="50"/>
      <c r="E385" s="13"/>
      <c r="F385" s="13"/>
      <c r="G385" s="75"/>
      <c r="H385" s="83"/>
      <c r="I385" s="13"/>
      <c r="J385" s="13"/>
    </row>
    <row r="386" spans="1:10" ht="13.5" customHeight="1" x14ac:dyDescent="0.2">
      <c r="A386" s="70"/>
      <c r="B386" s="70"/>
      <c r="C386" s="63"/>
      <c r="D386" s="50"/>
      <c r="E386" s="13"/>
      <c r="F386" s="13"/>
      <c r="G386" s="75"/>
      <c r="H386" s="83"/>
      <c r="I386" s="13"/>
      <c r="J386" s="13"/>
    </row>
    <row r="387" spans="1:10" ht="13.5" customHeight="1" x14ac:dyDescent="0.2">
      <c r="A387" s="70"/>
      <c r="B387" s="70"/>
      <c r="C387" s="63"/>
      <c r="D387" s="50"/>
      <c r="E387" s="13"/>
      <c r="F387" s="13"/>
      <c r="G387" s="75"/>
      <c r="H387" s="82"/>
      <c r="I387" s="13"/>
      <c r="J387" s="13"/>
    </row>
    <row r="388" spans="1:10" ht="13.5" customHeight="1" x14ac:dyDescent="0.2">
      <c r="A388" s="131"/>
      <c r="B388" s="70"/>
      <c r="C388" s="86"/>
      <c r="D388" s="50"/>
      <c r="E388" s="13"/>
      <c r="F388" s="13"/>
      <c r="G388" s="75"/>
      <c r="H388" s="82"/>
      <c r="I388" s="13"/>
      <c r="J388" s="13"/>
    </row>
    <row r="389" spans="1:10" ht="13.5" customHeight="1" x14ac:dyDescent="0.2">
      <c r="A389" s="131"/>
      <c r="B389" s="70"/>
      <c r="C389" s="85"/>
      <c r="D389" s="50"/>
      <c r="E389" s="13"/>
      <c r="F389" s="13"/>
      <c r="G389" s="75"/>
      <c r="H389" s="82"/>
      <c r="I389" s="13"/>
      <c r="J389" s="13"/>
    </row>
    <row r="390" spans="1:10" ht="13.5" customHeight="1" x14ac:dyDescent="0.2">
      <c r="A390" s="131"/>
      <c r="B390" s="70"/>
      <c r="C390" s="87"/>
      <c r="D390" s="50"/>
      <c r="E390" s="13"/>
      <c r="F390" s="13"/>
      <c r="G390" s="75"/>
      <c r="H390" s="82"/>
      <c r="I390" s="13"/>
      <c r="J390" s="13"/>
    </row>
    <row r="391" spans="1:10" ht="13.5" customHeight="1" x14ac:dyDescent="0.2">
      <c r="A391" s="131"/>
      <c r="B391" s="70"/>
      <c r="C391" s="88"/>
      <c r="D391" s="50"/>
      <c r="E391" s="13"/>
      <c r="F391" s="13"/>
      <c r="G391" s="75"/>
      <c r="H391" s="82"/>
      <c r="I391" s="13"/>
      <c r="J391" s="13"/>
    </row>
    <row r="392" spans="1:10" ht="13.5" customHeight="1" x14ac:dyDescent="0.2">
      <c r="A392" s="91"/>
      <c r="B392" s="9"/>
      <c r="C392" s="56"/>
      <c r="D392" s="11"/>
      <c r="E392" s="12"/>
      <c r="F392" s="12"/>
      <c r="G392" s="23"/>
      <c r="H392" s="89"/>
      <c r="I392" s="12"/>
      <c r="J392" s="13"/>
    </row>
    <row r="393" spans="1:10" ht="13.5" customHeight="1" x14ac:dyDescent="0.2">
      <c r="A393" s="9"/>
      <c r="B393" s="9"/>
      <c r="C393" s="56"/>
      <c r="D393" s="11"/>
      <c r="E393" s="12"/>
      <c r="F393" s="12"/>
      <c r="G393" s="23"/>
      <c r="H393" s="90"/>
      <c r="I393" s="12"/>
      <c r="J393" s="13"/>
    </row>
    <row r="394" spans="1:10" ht="13.5" customHeight="1" x14ac:dyDescent="0.2">
      <c r="A394" s="9"/>
      <c r="B394" s="9"/>
      <c r="C394" s="56"/>
      <c r="D394" s="11"/>
      <c r="E394" s="12"/>
      <c r="F394" s="12"/>
      <c r="G394" s="23"/>
      <c r="H394" s="89"/>
      <c r="I394" s="12"/>
      <c r="J394" s="13"/>
    </row>
    <row r="395" spans="1:10" ht="13.5" customHeight="1" x14ac:dyDescent="0.2">
      <c r="A395" s="91"/>
      <c r="B395" s="9"/>
      <c r="D395" s="11"/>
      <c r="E395" s="12"/>
      <c r="F395" s="12"/>
      <c r="G395" s="23"/>
      <c r="H395" s="89"/>
      <c r="I395" s="12"/>
      <c r="J395" s="13"/>
    </row>
    <row r="396" spans="1:10" ht="13.5" customHeight="1" x14ac:dyDescent="0.2">
      <c r="A396" s="9"/>
      <c r="B396" s="9"/>
      <c r="C396" s="56"/>
      <c r="D396" s="11"/>
      <c r="E396" s="12"/>
      <c r="F396" s="12"/>
      <c r="G396" s="23"/>
      <c r="H396" s="90"/>
      <c r="I396" s="12"/>
      <c r="J396" s="13"/>
    </row>
    <row r="397" spans="1:10" ht="13.5" customHeight="1" x14ac:dyDescent="0.2">
      <c r="A397" s="9"/>
      <c r="B397" s="9"/>
      <c r="C397" s="56"/>
      <c r="D397" s="11"/>
      <c r="E397" s="12"/>
      <c r="F397" s="12"/>
      <c r="G397" s="23"/>
      <c r="H397" s="90"/>
      <c r="I397" s="12"/>
      <c r="J397" s="13"/>
    </row>
    <row r="398" spans="1:10" ht="13.5" customHeight="1" x14ac:dyDescent="0.2">
      <c r="A398" s="9"/>
      <c r="B398" s="9"/>
      <c r="C398" s="56"/>
      <c r="D398" s="11"/>
      <c r="E398" s="12"/>
      <c r="F398" s="12"/>
      <c r="G398" s="23"/>
      <c r="H398" s="90"/>
      <c r="I398" s="12"/>
      <c r="J398" s="13"/>
    </row>
    <row r="399" spans="1:10" ht="13.5" customHeight="1" x14ac:dyDescent="0.2">
      <c r="A399" s="91"/>
      <c r="B399" s="9"/>
      <c r="C399" s="27"/>
      <c r="D399" s="11"/>
      <c r="E399" s="12"/>
      <c r="F399" s="12"/>
      <c r="G399" s="23"/>
      <c r="H399" s="426"/>
      <c r="I399" s="12"/>
      <c r="J399" s="13"/>
    </row>
    <row r="400" spans="1:10" ht="13.5" customHeight="1" x14ac:dyDescent="0.2">
      <c r="A400" s="91"/>
      <c r="B400" s="9"/>
      <c r="C400" s="27"/>
      <c r="D400" s="11"/>
      <c r="E400" s="12"/>
      <c r="F400" s="12"/>
      <c r="G400" s="23"/>
      <c r="H400" s="90"/>
      <c r="I400" s="12"/>
      <c r="J400" s="13"/>
    </row>
    <row r="401" spans="1:10" ht="13.5" customHeight="1" x14ac:dyDescent="0.2">
      <c r="A401" s="91"/>
      <c r="B401" s="9"/>
      <c r="D401" s="11"/>
      <c r="E401" s="12"/>
      <c r="F401" s="12"/>
      <c r="G401" s="23"/>
      <c r="H401" s="426"/>
      <c r="I401" s="12"/>
      <c r="J401" s="13"/>
    </row>
    <row r="402" spans="1:10" ht="13.5" customHeight="1" x14ac:dyDescent="0.2">
      <c r="A402" s="9"/>
      <c r="B402" s="9"/>
      <c r="C402" s="56"/>
      <c r="D402" s="11"/>
      <c r="E402" s="12"/>
      <c r="F402" s="12"/>
      <c r="G402" s="23"/>
      <c r="H402" s="89"/>
      <c r="I402" s="12"/>
      <c r="J402" s="13"/>
    </row>
    <row r="403" spans="1:10" ht="13.5" customHeight="1" x14ac:dyDescent="0.2">
      <c r="A403" s="9"/>
      <c r="B403" s="9"/>
      <c r="C403" s="56"/>
      <c r="D403" s="11"/>
      <c r="E403" s="12"/>
      <c r="F403" s="12"/>
      <c r="G403" s="23"/>
      <c r="H403" s="89"/>
      <c r="I403" s="12"/>
      <c r="J403" s="13"/>
    </row>
    <row r="404" spans="1:10" ht="13.5" customHeight="1" x14ac:dyDescent="0.2">
      <c r="A404" s="9"/>
      <c r="B404" s="9"/>
      <c r="C404" s="56"/>
      <c r="D404" s="11"/>
      <c r="E404" s="12"/>
      <c r="F404" s="12"/>
      <c r="G404" s="23"/>
      <c r="H404" s="89"/>
      <c r="I404" s="12"/>
      <c r="J404" s="13"/>
    </row>
    <row r="405" spans="1:10" ht="13.5" customHeight="1" x14ac:dyDescent="0.2">
      <c r="A405" s="9"/>
      <c r="B405" s="9"/>
      <c r="C405" s="56"/>
      <c r="D405" s="11"/>
      <c r="E405" s="12"/>
      <c r="F405" s="12"/>
      <c r="G405" s="23"/>
      <c r="H405" s="89"/>
      <c r="I405" s="12"/>
      <c r="J405" s="13"/>
    </row>
    <row r="406" spans="1:10" x14ac:dyDescent="0.2">
      <c r="A406" s="132"/>
      <c r="B406" s="93"/>
      <c r="C406" s="94"/>
      <c r="D406" s="27"/>
      <c r="E406" s="27"/>
      <c r="F406" s="27"/>
      <c r="G406" s="27"/>
      <c r="H406" s="427"/>
      <c r="I406" s="30"/>
      <c r="J406" s="51"/>
    </row>
  </sheetData>
  <mergeCells count="4">
    <mergeCell ref="A1:C1"/>
    <mergeCell ref="D1:G1"/>
    <mergeCell ref="H1:J1"/>
    <mergeCell ref="H161:J161"/>
  </mergeCells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J374"/>
  <sheetViews>
    <sheetView topLeftCell="A224" zoomScale="90" zoomScaleNormal="90" workbookViewId="0">
      <selection activeCell="B247" sqref="B247"/>
    </sheetView>
  </sheetViews>
  <sheetFormatPr defaultColWidth="9" defaultRowHeight="12.75" x14ac:dyDescent="0.2"/>
  <cols>
    <col min="1" max="1" width="13.125" style="1" customWidth="1"/>
    <col min="2" max="2" width="65.125" style="1" customWidth="1"/>
    <col min="3" max="3" width="13.125" style="18" customWidth="1"/>
    <col min="4" max="4" width="11.125" style="18" customWidth="1"/>
    <col min="5" max="5" width="9" style="1"/>
    <col min="6" max="6" width="10.625" style="1" customWidth="1"/>
    <col min="7" max="9" width="9" style="1"/>
    <col min="10" max="10" width="11.25" style="1" customWidth="1"/>
    <col min="11" max="16384" width="9" style="1"/>
  </cols>
  <sheetData>
    <row r="1" spans="1:10" x14ac:dyDescent="0.2">
      <c r="F1" s="97" t="s">
        <v>218</v>
      </c>
      <c r="G1" s="97" t="s">
        <v>219</v>
      </c>
      <c r="H1" s="97" t="s">
        <v>220</v>
      </c>
      <c r="I1" s="97" t="s">
        <v>221</v>
      </c>
      <c r="J1" s="97" t="s">
        <v>222</v>
      </c>
    </row>
    <row r="2" spans="1:10" ht="13.5" customHeight="1" x14ac:dyDescent="0.2">
      <c r="A2" s="126" t="s">
        <v>240</v>
      </c>
      <c r="B2" s="34" t="s">
        <v>1400</v>
      </c>
      <c r="C2" s="24"/>
      <c r="D2" s="25">
        <v>6900</v>
      </c>
      <c r="F2" s="25">
        <v>6900</v>
      </c>
      <c r="G2" s="25"/>
      <c r="H2" s="402"/>
      <c r="I2" s="402"/>
      <c r="J2" s="104">
        <f>F2-G2-H2-I2</f>
        <v>6900</v>
      </c>
    </row>
    <row r="3" spans="1:10" ht="13.5" customHeight="1" x14ac:dyDescent="0.2">
      <c r="A3" s="126" t="s">
        <v>240</v>
      </c>
      <c r="B3" s="34" t="s">
        <v>1549</v>
      </c>
      <c r="C3" s="24"/>
      <c r="D3" s="25">
        <v>1089</v>
      </c>
      <c r="F3" s="25">
        <v>1169</v>
      </c>
      <c r="G3" s="25">
        <v>80</v>
      </c>
      <c r="H3" s="402"/>
      <c r="I3" s="402"/>
      <c r="J3" s="104">
        <f t="shared" ref="J3:J14" si="0">F3-G3-H3-I3</f>
        <v>1089</v>
      </c>
    </row>
    <row r="4" spans="1:10" ht="13.5" customHeight="1" x14ac:dyDescent="0.2">
      <c r="A4" s="126" t="s">
        <v>240</v>
      </c>
      <c r="B4" s="34" t="s">
        <v>1550</v>
      </c>
      <c r="C4" s="24"/>
      <c r="D4" s="25">
        <v>990</v>
      </c>
      <c r="F4" s="25">
        <v>1070</v>
      </c>
      <c r="G4" s="25">
        <v>80</v>
      </c>
      <c r="H4" s="402"/>
      <c r="I4" s="402"/>
      <c r="J4" s="104">
        <f t="shared" si="0"/>
        <v>990</v>
      </c>
    </row>
    <row r="5" spans="1:10" ht="13.5" customHeight="1" x14ac:dyDescent="0.2">
      <c r="A5" s="126" t="s">
        <v>240</v>
      </c>
      <c r="B5" s="34" t="s">
        <v>1566</v>
      </c>
      <c r="C5" s="24"/>
      <c r="D5" s="25">
        <v>1290</v>
      </c>
      <c r="F5" s="25">
        <v>1290</v>
      </c>
      <c r="G5" s="25"/>
      <c r="H5" s="402"/>
      <c r="I5" s="402"/>
      <c r="J5" s="104">
        <f t="shared" si="0"/>
        <v>1290</v>
      </c>
    </row>
    <row r="6" spans="1:10" ht="13.5" customHeight="1" x14ac:dyDescent="0.2">
      <c r="A6" s="126" t="s">
        <v>240</v>
      </c>
      <c r="B6" s="21" t="s">
        <v>9</v>
      </c>
      <c r="C6" s="24"/>
      <c r="D6" s="25">
        <v>900</v>
      </c>
      <c r="F6" s="25">
        <v>0</v>
      </c>
      <c r="G6" s="25"/>
      <c r="H6" s="402"/>
      <c r="I6" s="402"/>
      <c r="J6" s="104">
        <f t="shared" si="0"/>
        <v>0</v>
      </c>
    </row>
    <row r="7" spans="1:10" ht="13.5" customHeight="1" x14ac:dyDescent="0.2">
      <c r="A7" s="126" t="s">
        <v>240</v>
      </c>
      <c r="B7" s="34" t="s">
        <v>1548</v>
      </c>
      <c r="C7" s="24"/>
      <c r="D7" s="25">
        <v>1500</v>
      </c>
      <c r="F7" s="25">
        <v>1500</v>
      </c>
      <c r="G7" s="25"/>
      <c r="H7" s="402"/>
      <c r="I7" s="402"/>
      <c r="J7" s="104">
        <f>F7-G7-H7-I7</f>
        <v>1500</v>
      </c>
    </row>
    <row r="8" spans="1:10" ht="13.5" customHeight="1" x14ac:dyDescent="0.2">
      <c r="A8" s="126" t="s">
        <v>240</v>
      </c>
      <c r="B8" s="21" t="s">
        <v>10</v>
      </c>
      <c r="C8" s="24"/>
      <c r="D8" s="25">
        <v>160</v>
      </c>
      <c r="F8" s="25">
        <v>0</v>
      </c>
      <c r="G8" s="25"/>
      <c r="H8" s="403"/>
      <c r="I8" s="403"/>
      <c r="J8" s="104">
        <f t="shared" si="0"/>
        <v>0</v>
      </c>
    </row>
    <row r="9" spans="1:10" ht="13.5" customHeight="1" x14ac:dyDescent="0.2">
      <c r="A9" s="126" t="s">
        <v>240</v>
      </c>
      <c r="B9" s="34" t="s">
        <v>1499</v>
      </c>
      <c r="C9" s="24"/>
      <c r="D9" s="25">
        <v>1600</v>
      </c>
      <c r="F9" s="25">
        <v>1619.07</v>
      </c>
      <c r="G9" s="25"/>
      <c r="H9" s="403"/>
      <c r="I9" s="403">
        <v>19.07</v>
      </c>
      <c r="J9" s="104">
        <f t="shared" si="0"/>
        <v>1600</v>
      </c>
    </row>
    <row r="10" spans="1:10" ht="13.5" customHeight="1" x14ac:dyDescent="0.2">
      <c r="A10" s="126" t="s">
        <v>240</v>
      </c>
      <c r="B10" s="21" t="s">
        <v>1420</v>
      </c>
      <c r="C10" s="24"/>
      <c r="D10" s="25">
        <v>1976</v>
      </c>
      <c r="F10" s="25">
        <v>1976</v>
      </c>
      <c r="G10" s="25"/>
      <c r="H10" s="403"/>
      <c r="I10" s="403"/>
      <c r="J10" s="104">
        <f t="shared" si="0"/>
        <v>1976</v>
      </c>
    </row>
    <row r="11" spans="1:10" ht="13.5" customHeight="1" x14ac:dyDescent="0.2">
      <c r="A11" s="126" t="s">
        <v>240</v>
      </c>
      <c r="B11" s="34" t="s">
        <v>1426</v>
      </c>
      <c r="C11" s="24"/>
      <c r="D11" s="25">
        <v>3500</v>
      </c>
      <c r="F11" s="25">
        <v>3500</v>
      </c>
      <c r="G11" s="25"/>
      <c r="H11" s="403"/>
      <c r="I11" s="403"/>
      <c r="J11" s="104">
        <f t="shared" si="0"/>
        <v>3500</v>
      </c>
    </row>
    <row r="12" spans="1:10" ht="13.5" customHeight="1" x14ac:dyDescent="0.2">
      <c r="A12" s="126" t="s">
        <v>240</v>
      </c>
      <c r="B12" s="34" t="s">
        <v>1419</v>
      </c>
      <c r="C12" s="24"/>
      <c r="D12" s="25">
        <v>600</v>
      </c>
      <c r="F12" s="25">
        <v>600</v>
      </c>
      <c r="G12" s="25"/>
      <c r="H12" s="403"/>
      <c r="I12" s="403"/>
      <c r="J12" s="104">
        <f t="shared" si="0"/>
        <v>600</v>
      </c>
    </row>
    <row r="13" spans="1:10" ht="13.5" customHeight="1" x14ac:dyDescent="0.2">
      <c r="A13" s="126" t="s">
        <v>240</v>
      </c>
      <c r="B13" s="34" t="s">
        <v>1418</v>
      </c>
      <c r="C13" s="24"/>
      <c r="D13" s="25">
        <v>1450</v>
      </c>
      <c r="F13" s="25">
        <v>1450</v>
      </c>
      <c r="G13" s="25"/>
      <c r="H13" s="404"/>
      <c r="I13" s="404"/>
      <c r="J13" s="104">
        <f>F13-G13-H13-I13</f>
        <v>1450</v>
      </c>
    </row>
    <row r="14" spans="1:10" ht="13.5" customHeight="1" x14ac:dyDescent="0.2">
      <c r="A14" s="126" t="s">
        <v>240</v>
      </c>
      <c r="B14" s="34" t="s">
        <v>1552</v>
      </c>
      <c r="C14" s="24"/>
      <c r="D14" s="25">
        <v>5000</v>
      </c>
      <c r="F14" s="25">
        <v>5000</v>
      </c>
      <c r="G14" s="25"/>
      <c r="H14" s="403"/>
      <c r="I14" s="403"/>
      <c r="J14" s="104">
        <f t="shared" si="0"/>
        <v>5000</v>
      </c>
    </row>
    <row r="15" spans="1:10" ht="13.5" customHeight="1" x14ac:dyDescent="0.2">
      <c r="A15" s="126" t="s">
        <v>240</v>
      </c>
      <c r="B15" s="237" t="s">
        <v>1585</v>
      </c>
      <c r="C15" s="24"/>
      <c r="D15" s="25">
        <v>1360</v>
      </c>
      <c r="F15" s="25">
        <v>1360</v>
      </c>
      <c r="G15" s="25"/>
      <c r="H15" s="403"/>
      <c r="I15" s="403"/>
      <c r="J15" s="104">
        <f>F15-G15-H15-I15</f>
        <v>1360</v>
      </c>
    </row>
    <row r="16" spans="1:10" ht="13.5" customHeight="1" x14ac:dyDescent="0.2">
      <c r="A16" s="126" t="s">
        <v>240</v>
      </c>
      <c r="B16" s="34" t="s">
        <v>1429</v>
      </c>
      <c r="C16" s="24"/>
      <c r="D16" s="447">
        <v>185</v>
      </c>
      <c r="F16" s="399"/>
      <c r="G16" s="107">
        <f>SUM(G2:G15)</f>
        <v>160</v>
      </c>
      <c r="H16" s="107">
        <f>SUM(H2:H15)</f>
        <v>0</v>
      </c>
      <c r="I16" s="107">
        <f>SUM(I2:I15)</f>
        <v>19.07</v>
      </c>
    </row>
    <row r="17" spans="1:10" ht="13.5" customHeight="1" x14ac:dyDescent="0.2">
      <c r="A17" s="126" t="s">
        <v>240</v>
      </c>
      <c r="B17" s="34" t="s">
        <v>1452</v>
      </c>
      <c r="C17" s="24"/>
      <c r="D17" s="447">
        <v>185</v>
      </c>
    </row>
    <row r="18" spans="1:10" ht="13.5" customHeight="1" x14ac:dyDescent="0.2">
      <c r="A18" s="126" t="s">
        <v>240</v>
      </c>
      <c r="B18" s="34" t="s">
        <v>1422</v>
      </c>
      <c r="C18" s="24"/>
      <c r="D18" s="447">
        <v>80</v>
      </c>
    </row>
    <row r="19" spans="1:10" ht="13.5" customHeight="1" x14ac:dyDescent="0.2">
      <c r="A19" s="126" t="s">
        <v>240</v>
      </c>
      <c r="B19" s="34" t="s">
        <v>1397</v>
      </c>
      <c r="C19" s="24"/>
      <c r="D19" s="447">
        <v>220</v>
      </c>
      <c r="E19" s="504">
        <f>SUM(D16:D19)</f>
        <v>670</v>
      </c>
    </row>
    <row r="20" spans="1:10" ht="13.5" customHeight="1" x14ac:dyDescent="0.2">
      <c r="A20" s="126" t="s">
        <v>240</v>
      </c>
      <c r="B20" s="34" t="s">
        <v>1792</v>
      </c>
      <c r="C20" s="24"/>
      <c r="D20" s="25">
        <v>19.07</v>
      </c>
      <c r="E20" s="124"/>
    </row>
    <row r="21" spans="1:10" ht="13.5" customHeight="1" x14ac:dyDescent="0.2">
      <c r="A21" s="126"/>
      <c r="B21" s="34"/>
      <c r="C21" s="24"/>
      <c r="D21" s="506">
        <f>SUM(D2:D20)</f>
        <v>29004.07</v>
      </c>
    </row>
    <row r="22" spans="1:10" ht="13.5" customHeight="1" x14ac:dyDescent="0.2">
      <c r="A22" s="126"/>
      <c r="B22" s="34"/>
      <c r="C22" s="24"/>
      <c r="D22" s="25"/>
    </row>
    <row r="23" spans="1:10" ht="13.5" customHeight="1" x14ac:dyDescent="0.2">
      <c r="A23" s="126" t="s">
        <v>240</v>
      </c>
      <c r="B23" s="34" t="s">
        <v>1482</v>
      </c>
      <c r="C23" s="24"/>
      <c r="D23" s="25">
        <v>900</v>
      </c>
      <c r="F23" s="100">
        <v>900</v>
      </c>
      <c r="G23" s="109"/>
      <c r="H23" s="109"/>
      <c r="I23" s="109"/>
      <c r="J23" s="104">
        <f>F23-G23-H23-I23</f>
        <v>900</v>
      </c>
    </row>
    <row r="24" spans="1:10" ht="13.5" customHeight="1" x14ac:dyDescent="0.2">
      <c r="A24" s="126" t="s">
        <v>240</v>
      </c>
      <c r="B24" s="34" t="s">
        <v>1521</v>
      </c>
      <c r="C24" s="24"/>
      <c r="D24" s="25">
        <v>8000</v>
      </c>
      <c r="F24" s="100">
        <v>8000</v>
      </c>
      <c r="G24" s="109"/>
      <c r="H24" s="109"/>
      <c r="I24" s="109"/>
      <c r="J24" s="104">
        <f>F24-G24-H24-I24</f>
        <v>8000</v>
      </c>
    </row>
    <row r="25" spans="1:10" ht="13.5" customHeight="1" x14ac:dyDescent="0.2">
      <c r="A25" s="126" t="s">
        <v>240</v>
      </c>
      <c r="B25" s="34" t="s">
        <v>1516</v>
      </c>
      <c r="C25" s="24"/>
      <c r="D25" s="25">
        <v>4731.47</v>
      </c>
      <c r="F25" s="100">
        <v>4731.47</v>
      </c>
      <c r="G25" s="109"/>
      <c r="H25" s="109"/>
      <c r="I25" s="109"/>
      <c r="J25" s="104">
        <f>F25-G25-H25-I25</f>
        <v>4731.47</v>
      </c>
    </row>
    <row r="26" spans="1:10" ht="13.5" customHeight="1" x14ac:dyDescent="0.2">
      <c r="A26" s="126"/>
      <c r="B26" s="34"/>
      <c r="C26" s="24"/>
      <c r="D26" s="506">
        <f>SUM(D23:D25)</f>
        <v>13631.470000000001</v>
      </c>
      <c r="G26" s="107">
        <f>SUM(G23:G25)</f>
        <v>0</v>
      </c>
      <c r="H26" s="107">
        <f>SUM(H23:H25)</f>
        <v>0</v>
      </c>
      <c r="I26" s="107">
        <f>SUM(I23:I25)</f>
        <v>0</v>
      </c>
    </row>
    <row r="27" spans="1:10" ht="13.5" customHeight="1" x14ac:dyDescent="0.2">
      <c r="A27" s="126"/>
      <c r="B27" s="34"/>
      <c r="C27" s="24"/>
      <c r="D27" s="25"/>
    </row>
    <row r="28" spans="1:10" ht="13.5" customHeight="1" x14ac:dyDescent="0.2">
      <c r="A28" s="126" t="s">
        <v>241</v>
      </c>
      <c r="B28" s="34" t="s">
        <v>189</v>
      </c>
      <c r="C28" s="110">
        <v>8000</v>
      </c>
      <c r="D28" s="25"/>
    </row>
    <row r="29" spans="1:10" ht="13.5" customHeight="1" x14ac:dyDescent="0.2">
      <c r="A29" s="126" t="s">
        <v>241</v>
      </c>
      <c r="B29" s="34" t="s">
        <v>189</v>
      </c>
      <c r="C29" s="110">
        <v>4543.82</v>
      </c>
      <c r="D29" s="25"/>
    </row>
    <row r="30" spans="1:10" ht="13.5" customHeight="1" x14ac:dyDescent="0.2">
      <c r="A30" s="126" t="s">
        <v>241</v>
      </c>
      <c r="B30" s="34" t="s">
        <v>189</v>
      </c>
      <c r="C30" s="110">
        <v>3714.94</v>
      </c>
      <c r="D30" s="25"/>
    </row>
    <row r="31" spans="1:10" ht="13.5" customHeight="1" x14ac:dyDescent="0.2">
      <c r="A31" s="126" t="s">
        <v>241</v>
      </c>
      <c r="B31" s="34" t="s">
        <v>189</v>
      </c>
      <c r="C31" s="110">
        <v>1551.36</v>
      </c>
      <c r="D31" s="25"/>
    </row>
    <row r="32" spans="1:10" ht="13.5" customHeight="1" x14ac:dyDescent="0.2">
      <c r="A32" s="126" t="s">
        <v>241</v>
      </c>
      <c r="B32" s="34" t="s">
        <v>189</v>
      </c>
      <c r="C32" s="110">
        <v>187.55</v>
      </c>
      <c r="D32" s="25"/>
    </row>
    <row r="33" spans="1:4" ht="13.5" customHeight="1" x14ac:dyDescent="0.2">
      <c r="A33" s="126" t="s">
        <v>241</v>
      </c>
      <c r="B33" s="34" t="s">
        <v>174</v>
      </c>
      <c r="C33" s="24">
        <v>-75</v>
      </c>
      <c r="D33" s="25"/>
    </row>
    <row r="34" spans="1:4" ht="13.5" customHeight="1" x14ac:dyDescent="0.2">
      <c r="A34" s="126" t="s">
        <v>241</v>
      </c>
      <c r="B34" s="34" t="s">
        <v>174</v>
      </c>
      <c r="C34" s="24">
        <v>-261.60000000000002</v>
      </c>
      <c r="D34" s="25"/>
    </row>
    <row r="35" spans="1:4" ht="13.5" customHeight="1" x14ac:dyDescent="0.2">
      <c r="A35" s="126" t="s">
        <v>241</v>
      </c>
      <c r="B35" s="34" t="s">
        <v>174</v>
      </c>
      <c r="C35" s="24">
        <v>-282.5</v>
      </c>
      <c r="D35" s="25"/>
    </row>
    <row r="36" spans="1:4" ht="13.5" customHeight="1" x14ac:dyDescent="0.2">
      <c r="A36" s="126" t="s">
        <v>241</v>
      </c>
      <c r="B36" s="34" t="s">
        <v>174</v>
      </c>
      <c r="C36" s="24">
        <v>-698.5</v>
      </c>
      <c r="D36" s="25"/>
    </row>
    <row r="37" spans="1:4" ht="13.5" customHeight="1" x14ac:dyDescent="0.2">
      <c r="A37" s="126" t="s">
        <v>241</v>
      </c>
      <c r="B37" s="34" t="s">
        <v>174</v>
      </c>
      <c r="C37" s="24">
        <v>-1303.69</v>
      </c>
      <c r="D37" s="25"/>
    </row>
    <row r="38" spans="1:4" ht="13.5" customHeight="1" x14ac:dyDescent="0.2">
      <c r="A38" s="126" t="s">
        <v>241</v>
      </c>
      <c r="B38" s="34" t="s">
        <v>174</v>
      </c>
      <c r="C38" s="24">
        <v>-1610.99</v>
      </c>
      <c r="D38" s="25"/>
    </row>
    <row r="39" spans="1:4" ht="13.5" customHeight="1" x14ac:dyDescent="0.2">
      <c r="A39" s="126" t="s">
        <v>241</v>
      </c>
      <c r="B39" s="34" t="s">
        <v>174</v>
      </c>
      <c r="C39" s="24">
        <v>-2450.9699999999998</v>
      </c>
      <c r="D39" s="25"/>
    </row>
    <row r="40" spans="1:4" ht="13.5" customHeight="1" x14ac:dyDescent="0.2">
      <c r="A40" s="126" t="s">
        <v>241</v>
      </c>
      <c r="B40" s="34" t="s">
        <v>174</v>
      </c>
      <c r="C40" s="24">
        <v>-3902.5</v>
      </c>
      <c r="D40" s="25"/>
    </row>
    <row r="41" spans="1:4" ht="13.5" customHeight="1" x14ac:dyDescent="0.2">
      <c r="A41" s="126" t="s">
        <v>241</v>
      </c>
      <c r="B41" s="34" t="s">
        <v>174</v>
      </c>
      <c r="C41" s="24">
        <v>-5700</v>
      </c>
      <c r="D41" s="25"/>
    </row>
    <row r="42" spans="1:4" ht="13.5" customHeight="1" x14ac:dyDescent="0.2">
      <c r="A42" s="126"/>
      <c r="B42" s="34"/>
      <c r="C42" s="505">
        <f>SUM(C28:C41)</f>
        <v>1711.92</v>
      </c>
      <c r="D42" s="25"/>
    </row>
    <row r="43" spans="1:4" ht="13.5" customHeight="1" x14ac:dyDescent="0.2">
      <c r="A43" s="126"/>
      <c r="B43" s="34"/>
      <c r="C43" s="24"/>
      <c r="D43" s="25"/>
    </row>
    <row r="44" spans="1:4" ht="13.5" customHeight="1" x14ac:dyDescent="0.2">
      <c r="A44" s="126" t="s">
        <v>224</v>
      </c>
      <c r="B44" s="34" t="s">
        <v>62</v>
      </c>
      <c r="C44" s="110">
        <v>390.74</v>
      </c>
      <c r="D44" s="25"/>
    </row>
    <row r="45" spans="1:4" ht="13.5" customHeight="1" x14ac:dyDescent="0.2">
      <c r="A45" s="126" t="s">
        <v>224</v>
      </c>
      <c r="B45" s="36" t="s">
        <v>68</v>
      </c>
      <c r="C45" s="110">
        <v>129.9</v>
      </c>
      <c r="D45" s="25"/>
    </row>
    <row r="46" spans="1:4" ht="13.5" customHeight="1" x14ac:dyDescent="0.2">
      <c r="A46" s="126" t="s">
        <v>224</v>
      </c>
      <c r="B46" s="34" t="s">
        <v>1795</v>
      </c>
      <c r="C46" s="110">
        <f>D49</f>
        <v>400</v>
      </c>
      <c r="D46" s="25"/>
    </row>
    <row r="47" spans="1:4" ht="13.5" customHeight="1" x14ac:dyDescent="0.2">
      <c r="A47" s="126"/>
      <c r="B47" s="34"/>
      <c r="C47" s="508">
        <f>SUM(C44:C46)</f>
        <v>920.64</v>
      </c>
      <c r="D47" s="25"/>
    </row>
    <row r="48" spans="1:4" ht="13.5" customHeight="1" x14ac:dyDescent="0.2">
      <c r="A48" s="126"/>
      <c r="B48" s="34"/>
      <c r="C48" s="110"/>
      <c r="D48" s="25"/>
    </row>
    <row r="49" spans="1:9" ht="13.5" customHeight="1" x14ac:dyDescent="0.2">
      <c r="A49" s="126" t="s">
        <v>224</v>
      </c>
      <c r="B49" s="237" t="s">
        <v>1439</v>
      </c>
      <c r="C49" s="133">
        <v>300</v>
      </c>
      <c r="D49" s="507">
        <f>SUM(C49:C50)-D50</f>
        <v>400</v>
      </c>
    </row>
    <row r="50" spans="1:9" ht="13.5" customHeight="1" x14ac:dyDescent="0.2">
      <c r="A50" s="126" t="s">
        <v>224</v>
      </c>
      <c r="B50" s="34" t="s">
        <v>1500</v>
      </c>
      <c r="C50" s="24">
        <v>300</v>
      </c>
      <c r="D50" s="450">
        <f t="array" ref="D50">SUM(C49:C50/3)</f>
        <v>200</v>
      </c>
    </row>
    <row r="51" spans="1:9" ht="13.5" customHeight="1" x14ac:dyDescent="0.2">
      <c r="A51" s="126"/>
      <c r="B51" s="34"/>
      <c r="C51" s="24"/>
      <c r="D51" s="25"/>
    </row>
    <row r="52" spans="1:9" ht="13.5" customHeight="1" x14ac:dyDescent="0.2">
      <c r="A52" s="126"/>
      <c r="B52" s="34"/>
      <c r="C52" s="24"/>
      <c r="D52" s="25"/>
    </row>
    <row r="53" spans="1:9" ht="13.5" customHeight="1" x14ac:dyDescent="0.2">
      <c r="A53" s="126" t="s">
        <v>225</v>
      </c>
      <c r="B53" s="34" t="s">
        <v>1533</v>
      </c>
      <c r="C53" s="508">
        <v>754</v>
      </c>
      <c r="D53" s="25"/>
    </row>
    <row r="54" spans="1:9" ht="13.5" customHeight="1" x14ac:dyDescent="0.2">
      <c r="A54" s="126"/>
      <c r="B54" s="34"/>
      <c r="C54" s="110"/>
      <c r="D54" s="25"/>
    </row>
    <row r="55" spans="1:9" ht="13.5" customHeight="1" x14ac:dyDescent="0.2">
      <c r="A55" s="126"/>
      <c r="B55" s="34"/>
      <c r="C55" s="110"/>
      <c r="D55" s="25"/>
    </row>
    <row r="56" spans="1:9" ht="13.5" customHeight="1" x14ac:dyDescent="0.2">
      <c r="A56" s="126" t="s">
        <v>242</v>
      </c>
      <c r="B56" s="34" t="s">
        <v>1545</v>
      </c>
      <c r="C56" s="24">
        <v>-4200</v>
      </c>
      <c r="D56" s="25"/>
    </row>
    <row r="57" spans="1:9" ht="13.5" customHeight="1" x14ac:dyDescent="0.2">
      <c r="A57" s="126" t="s">
        <v>242</v>
      </c>
      <c r="B57" s="34" t="s">
        <v>1424</v>
      </c>
      <c r="C57" s="110">
        <v>46.79</v>
      </c>
      <c r="D57" s="25"/>
    </row>
    <row r="58" spans="1:9" ht="13.5" customHeight="1" x14ac:dyDescent="0.2">
      <c r="A58" s="126" t="s">
        <v>242</v>
      </c>
      <c r="B58" s="34" t="s">
        <v>127</v>
      </c>
      <c r="C58" s="110">
        <v>32.14</v>
      </c>
      <c r="D58" s="25"/>
    </row>
    <row r="59" spans="1:9" ht="13.5" customHeight="1" x14ac:dyDescent="0.2">
      <c r="A59" s="126" t="s">
        <v>242</v>
      </c>
      <c r="B59" s="237" t="s">
        <v>736</v>
      </c>
      <c r="C59" s="110">
        <v>44.26</v>
      </c>
      <c r="D59" s="25"/>
    </row>
    <row r="60" spans="1:9" ht="13.5" customHeight="1" x14ac:dyDescent="0.2">
      <c r="A60" s="126" t="s">
        <v>242</v>
      </c>
      <c r="B60" s="34" t="s">
        <v>109</v>
      </c>
      <c r="C60" s="110">
        <v>52.65</v>
      </c>
      <c r="D60" s="25"/>
    </row>
    <row r="61" spans="1:9" ht="13.5" customHeight="1" x14ac:dyDescent="0.2">
      <c r="A61" s="126" t="s">
        <v>242</v>
      </c>
      <c r="B61" s="34" t="s">
        <v>129</v>
      </c>
      <c r="C61" s="110">
        <v>74.69</v>
      </c>
      <c r="D61" s="25"/>
    </row>
    <row r="62" spans="1:9" ht="13.5" customHeight="1" x14ac:dyDescent="0.2">
      <c r="A62" s="126" t="s">
        <v>242</v>
      </c>
      <c r="B62" s="237" t="s">
        <v>737</v>
      </c>
      <c r="C62" s="110">
        <v>89.14</v>
      </c>
      <c r="D62" s="25"/>
      <c r="G62" s="126" t="s">
        <v>242</v>
      </c>
      <c r="H62" s="34" t="s">
        <v>1556</v>
      </c>
      <c r="I62" s="113">
        <v>30</v>
      </c>
    </row>
    <row r="63" spans="1:9" ht="13.5" customHeight="1" x14ac:dyDescent="0.2">
      <c r="A63" s="126" t="s">
        <v>242</v>
      </c>
      <c r="B63" s="36" t="s">
        <v>87</v>
      </c>
      <c r="C63" s="110">
        <v>37.93</v>
      </c>
      <c r="D63" s="25"/>
      <c r="G63" s="126" t="s">
        <v>242</v>
      </c>
      <c r="H63" s="34" t="s">
        <v>1576</v>
      </c>
      <c r="I63" s="113">
        <v>59.95</v>
      </c>
    </row>
    <row r="64" spans="1:9" ht="13.5" customHeight="1" x14ac:dyDescent="0.2">
      <c r="A64" s="126" t="s">
        <v>242</v>
      </c>
      <c r="B64" s="36" t="s">
        <v>1587</v>
      </c>
      <c r="C64" s="24">
        <v>-7000</v>
      </c>
      <c r="D64" s="428"/>
      <c r="G64" s="126" t="s">
        <v>242</v>
      </c>
      <c r="H64" s="32" t="s">
        <v>813</v>
      </c>
      <c r="I64" s="110">
        <v>75</v>
      </c>
    </row>
    <row r="65" spans="1:4" ht="13.5" customHeight="1" x14ac:dyDescent="0.2">
      <c r="A65" s="126" t="s">
        <v>242</v>
      </c>
      <c r="B65" s="34" t="s">
        <v>1582</v>
      </c>
      <c r="C65" s="24">
        <v>-7000</v>
      </c>
      <c r="D65" s="428"/>
    </row>
    <row r="66" spans="1:4" ht="13.5" customHeight="1" x14ac:dyDescent="0.2">
      <c r="A66" s="126" t="s">
        <v>242</v>
      </c>
      <c r="B66" s="36" t="s">
        <v>1546</v>
      </c>
      <c r="C66" s="113">
        <v>14.2</v>
      </c>
      <c r="D66" s="69"/>
    </row>
    <row r="67" spans="1:4" ht="13.5" customHeight="1" x14ac:dyDescent="0.2">
      <c r="A67" s="126" t="s">
        <v>242</v>
      </c>
      <c r="B67" s="36" t="s">
        <v>1546</v>
      </c>
      <c r="C67" s="113">
        <v>21.3</v>
      </c>
      <c r="D67" s="69"/>
    </row>
    <row r="68" spans="1:4" ht="13.5" customHeight="1" x14ac:dyDescent="0.2">
      <c r="A68" s="126" t="s">
        <v>242</v>
      </c>
      <c r="B68" s="36" t="s">
        <v>1404</v>
      </c>
      <c r="C68" s="24">
        <v>-2384</v>
      </c>
      <c r="D68" s="60"/>
    </row>
    <row r="69" spans="1:4" ht="13.5" customHeight="1" x14ac:dyDescent="0.2">
      <c r="A69" s="126" t="s">
        <v>242</v>
      </c>
      <c r="B69" s="34" t="s">
        <v>1416</v>
      </c>
      <c r="C69" s="24">
        <v>19.37</v>
      </c>
      <c r="D69" s="25"/>
    </row>
    <row r="70" spans="1:4" ht="13.5" customHeight="1" x14ac:dyDescent="0.2">
      <c r="A70" s="126" t="s">
        <v>242</v>
      </c>
      <c r="B70" s="36" t="s">
        <v>1551</v>
      </c>
      <c r="C70" s="24">
        <v>-1431</v>
      </c>
      <c r="D70" s="60"/>
    </row>
    <row r="71" spans="1:4" ht="13.5" customHeight="1" x14ac:dyDescent="0.2">
      <c r="A71" s="126" t="s">
        <v>242</v>
      </c>
      <c r="B71" s="34" t="s">
        <v>624</v>
      </c>
      <c r="C71" s="267">
        <f>SUM(I62:I64)/2</f>
        <v>82.474999999999994</v>
      </c>
      <c r="D71" s="25"/>
    </row>
    <row r="72" spans="1:4" ht="13.5" customHeight="1" x14ac:dyDescent="0.2">
      <c r="A72" s="126"/>
      <c r="B72" s="34"/>
      <c r="C72" s="505">
        <f>SUM(C56:C71)</f>
        <v>-21500.055000000004</v>
      </c>
      <c r="D72" s="25"/>
    </row>
    <row r="73" spans="1:4" ht="13.5" customHeight="1" x14ac:dyDescent="0.2">
      <c r="A73" s="126"/>
      <c r="B73" s="34"/>
      <c r="C73" s="24"/>
      <c r="D73" s="25"/>
    </row>
    <row r="74" spans="1:4" ht="13.5" customHeight="1" x14ac:dyDescent="0.2">
      <c r="A74" s="126" t="s">
        <v>242</v>
      </c>
      <c r="B74" s="36" t="s">
        <v>199</v>
      </c>
      <c r="C74" s="110">
        <v>261.60000000000002</v>
      </c>
      <c r="D74" s="60"/>
    </row>
    <row r="75" spans="1:4" ht="13.5" customHeight="1" x14ac:dyDescent="0.2">
      <c r="A75" s="126" t="s">
        <v>242</v>
      </c>
      <c r="B75" s="34" t="s">
        <v>180</v>
      </c>
      <c r="C75" s="110">
        <v>244.48</v>
      </c>
      <c r="D75" s="25"/>
    </row>
    <row r="76" spans="1:4" ht="13.5" customHeight="1" x14ac:dyDescent="0.2">
      <c r="A76" s="126" t="s">
        <v>242</v>
      </c>
      <c r="B76" s="34" t="s">
        <v>1584</v>
      </c>
      <c r="C76" s="113">
        <v>60</v>
      </c>
      <c r="D76" s="428"/>
    </row>
    <row r="77" spans="1:4" ht="13.5" customHeight="1" x14ac:dyDescent="0.2">
      <c r="A77" s="126" t="s">
        <v>242</v>
      </c>
      <c r="B77" s="34" t="s">
        <v>423</v>
      </c>
      <c r="C77" s="113">
        <f>C71</f>
        <v>82.474999999999994</v>
      </c>
      <c r="D77" s="428"/>
    </row>
    <row r="78" spans="1:4" ht="13.5" customHeight="1" x14ac:dyDescent="0.2">
      <c r="A78" s="126"/>
      <c r="B78" s="34"/>
      <c r="C78" s="508">
        <f>SUM(C74:C77)</f>
        <v>648.55500000000006</v>
      </c>
      <c r="D78" s="428"/>
    </row>
    <row r="79" spans="1:4" ht="13.5" customHeight="1" x14ac:dyDescent="0.2">
      <c r="A79" s="126"/>
      <c r="B79" s="34"/>
      <c r="C79" s="113"/>
      <c r="D79" s="428"/>
    </row>
    <row r="80" spans="1:4" ht="13.5" customHeight="1" x14ac:dyDescent="0.2">
      <c r="A80" s="126" t="s">
        <v>243</v>
      </c>
      <c r="B80" s="34" t="s">
        <v>1571</v>
      </c>
      <c r="C80" s="113">
        <v>1860</v>
      </c>
      <c r="D80" s="428"/>
    </row>
    <row r="81" spans="1:4" ht="13.5" customHeight="1" x14ac:dyDescent="0.2">
      <c r="A81" s="126" t="s">
        <v>243</v>
      </c>
      <c r="B81" s="34" t="s">
        <v>1577</v>
      </c>
      <c r="C81" s="113">
        <v>37</v>
      </c>
      <c r="D81" s="428"/>
    </row>
    <row r="82" spans="1:4" ht="13.5" customHeight="1" x14ac:dyDescent="0.2">
      <c r="A82" s="126" t="s">
        <v>243</v>
      </c>
      <c r="B82" s="34" t="s">
        <v>1574</v>
      </c>
      <c r="C82" s="113">
        <v>300</v>
      </c>
      <c r="D82" s="428"/>
    </row>
    <row r="83" spans="1:4" ht="13.5" customHeight="1" x14ac:dyDescent="0.2">
      <c r="A83" s="126" t="s">
        <v>243</v>
      </c>
      <c r="B83" s="34" t="s">
        <v>1494</v>
      </c>
      <c r="C83" s="24">
        <v>15.46</v>
      </c>
      <c r="D83" s="25"/>
    </row>
    <row r="84" spans="1:4" ht="13.5" customHeight="1" x14ac:dyDescent="0.2">
      <c r="A84" s="126" t="s">
        <v>243</v>
      </c>
      <c r="B84" s="34" t="s">
        <v>1558</v>
      </c>
      <c r="C84" s="113">
        <v>20</v>
      </c>
      <c r="D84" s="428"/>
    </row>
    <row r="85" spans="1:4" ht="13.5" customHeight="1" x14ac:dyDescent="0.2">
      <c r="A85" s="126" t="s">
        <v>243</v>
      </c>
      <c r="B85" s="34" t="s">
        <v>1417</v>
      </c>
      <c r="C85" s="24">
        <v>95</v>
      </c>
      <c r="D85" s="25"/>
    </row>
    <row r="86" spans="1:4" ht="13.5" customHeight="1" x14ac:dyDescent="0.2">
      <c r="A86" s="126" t="s">
        <v>243</v>
      </c>
      <c r="B86" s="34" t="s">
        <v>1417</v>
      </c>
      <c r="C86" s="24">
        <v>126</v>
      </c>
      <c r="D86" s="25"/>
    </row>
    <row r="87" spans="1:4" ht="13.5" customHeight="1" x14ac:dyDescent="0.2">
      <c r="A87" s="126" t="s">
        <v>243</v>
      </c>
      <c r="B87" s="34" t="s">
        <v>1444</v>
      </c>
      <c r="C87" s="24">
        <v>44.3</v>
      </c>
      <c r="D87" s="25"/>
    </row>
    <row r="88" spans="1:4" ht="13.5" customHeight="1" x14ac:dyDescent="0.2">
      <c r="A88" s="126" t="s">
        <v>243</v>
      </c>
      <c r="B88" s="21" t="s">
        <v>1444</v>
      </c>
      <c r="C88" s="24">
        <v>61.3</v>
      </c>
      <c r="D88" s="25"/>
    </row>
    <row r="89" spans="1:4" ht="13.5" customHeight="1" x14ac:dyDescent="0.2">
      <c r="A89" s="126" t="s">
        <v>243</v>
      </c>
      <c r="B89" s="34" t="s">
        <v>1413</v>
      </c>
      <c r="C89" s="24">
        <v>1.9</v>
      </c>
      <c r="D89" s="25"/>
    </row>
    <row r="90" spans="1:4" ht="13.5" customHeight="1" x14ac:dyDescent="0.2">
      <c r="A90" s="126" t="s">
        <v>243</v>
      </c>
      <c r="B90" s="34" t="s">
        <v>1563</v>
      </c>
      <c r="C90" s="113">
        <v>1.9</v>
      </c>
      <c r="D90" s="428"/>
    </row>
    <row r="91" spans="1:4" ht="13.5" customHeight="1" x14ac:dyDescent="0.2">
      <c r="A91" s="126" t="s">
        <v>243</v>
      </c>
      <c r="B91" s="34" t="s">
        <v>1554</v>
      </c>
      <c r="C91" s="113">
        <v>1465</v>
      </c>
      <c r="D91" s="25"/>
    </row>
    <row r="92" spans="1:4" ht="13.5" customHeight="1" x14ac:dyDescent="0.2">
      <c r="A92" s="126" t="s">
        <v>243</v>
      </c>
      <c r="B92" s="34" t="s">
        <v>1555</v>
      </c>
      <c r="C92" s="113">
        <v>150</v>
      </c>
      <c r="D92" s="428"/>
    </row>
    <row r="93" spans="1:4" ht="13.5" customHeight="1" x14ac:dyDescent="0.2">
      <c r="A93" s="126" t="s">
        <v>243</v>
      </c>
      <c r="B93" s="34" t="s">
        <v>1557</v>
      </c>
      <c r="C93" s="113">
        <v>750</v>
      </c>
      <c r="D93" s="428"/>
    </row>
    <row r="94" spans="1:4" ht="13.5" customHeight="1" x14ac:dyDescent="0.2">
      <c r="A94" s="126" t="s">
        <v>243</v>
      </c>
      <c r="B94" s="21" t="s">
        <v>113</v>
      </c>
      <c r="C94" s="110">
        <v>267</v>
      </c>
      <c r="D94" s="25"/>
    </row>
    <row r="95" spans="1:4" ht="13.5" customHeight="1" x14ac:dyDescent="0.2">
      <c r="A95" s="126" t="s">
        <v>243</v>
      </c>
      <c r="B95" s="34" t="s">
        <v>1459</v>
      </c>
      <c r="C95" s="24">
        <v>55.9</v>
      </c>
      <c r="D95" s="25"/>
    </row>
    <row r="96" spans="1:4" ht="13.5" customHeight="1" x14ac:dyDescent="0.2">
      <c r="A96" s="126" t="s">
        <v>243</v>
      </c>
      <c r="B96" s="34" t="s">
        <v>628</v>
      </c>
      <c r="C96" s="24">
        <v>900</v>
      </c>
      <c r="D96" s="25"/>
    </row>
    <row r="97" spans="1:5" ht="13.5" customHeight="1" x14ac:dyDescent="0.2">
      <c r="A97" s="126" t="s">
        <v>243</v>
      </c>
      <c r="B97" s="34" t="s">
        <v>1796</v>
      </c>
      <c r="C97" s="24">
        <f>D50</f>
        <v>200</v>
      </c>
      <c r="D97" s="25"/>
    </row>
    <row r="98" spans="1:5" ht="13.5" customHeight="1" x14ac:dyDescent="0.2">
      <c r="A98" s="126"/>
      <c r="B98" s="34"/>
      <c r="C98" s="505">
        <f>SUM(C80:C97)</f>
        <v>6350.76</v>
      </c>
      <c r="D98" s="25">
        <f t="array" ref="D98">SUM(C80:C97/2)</f>
        <v>3175.38</v>
      </c>
    </row>
    <row r="99" spans="1:5" ht="13.5" customHeight="1" x14ac:dyDescent="0.2">
      <c r="A99" s="126"/>
      <c r="B99" s="34"/>
      <c r="C99" s="24"/>
      <c r="D99" s="25"/>
    </row>
    <row r="100" spans="1:5" ht="13.5" customHeight="1" x14ac:dyDescent="0.2">
      <c r="A100" s="126" t="s">
        <v>230</v>
      </c>
      <c r="B100" s="34" t="s">
        <v>382</v>
      </c>
      <c r="C100" s="110">
        <v>280.88</v>
      </c>
      <c r="D100" s="25"/>
    </row>
    <row r="101" spans="1:5" ht="13.5" customHeight="1" x14ac:dyDescent="0.2">
      <c r="A101" s="126" t="s">
        <v>230</v>
      </c>
      <c r="B101" s="34" t="s">
        <v>1509</v>
      </c>
      <c r="C101" s="110">
        <v>19.16</v>
      </c>
      <c r="D101" s="25">
        <f>C102*D112</f>
        <v>21.491320673904763</v>
      </c>
      <c r="E101" t="s">
        <v>1793</v>
      </c>
    </row>
    <row r="102" spans="1:5" ht="13.5" customHeight="1" x14ac:dyDescent="0.2">
      <c r="A102" s="126"/>
      <c r="B102" s="34"/>
      <c r="C102" s="505">
        <f>SUM(C100:C101)</f>
        <v>300.04000000000002</v>
      </c>
      <c r="D102" s="25">
        <f>C102-D101</f>
        <v>278.54867932609528</v>
      </c>
      <c r="E102" t="s">
        <v>1794</v>
      </c>
    </row>
    <row r="103" spans="1:5" ht="13.5" customHeight="1" x14ac:dyDescent="0.2">
      <c r="A103" s="126"/>
      <c r="B103" s="34"/>
      <c r="C103" s="110"/>
      <c r="D103" s="25"/>
    </row>
    <row r="104" spans="1:5" ht="13.5" customHeight="1" x14ac:dyDescent="0.2">
      <c r="A104" s="126" t="s">
        <v>231</v>
      </c>
      <c r="B104" s="34" t="s">
        <v>198</v>
      </c>
      <c r="C104" s="110">
        <v>1523.66</v>
      </c>
      <c r="D104" s="25"/>
    </row>
    <row r="105" spans="1:5" ht="13.5" customHeight="1" x14ac:dyDescent="0.2">
      <c r="A105" s="126" t="s">
        <v>231</v>
      </c>
      <c r="B105" s="34" t="s">
        <v>1531</v>
      </c>
      <c r="C105" s="110">
        <v>45.08</v>
      </c>
      <c r="D105" s="25"/>
    </row>
    <row r="106" spans="1:5" ht="13.5" customHeight="1" x14ac:dyDescent="0.2">
      <c r="A106" s="126" t="s">
        <v>231</v>
      </c>
      <c r="B106" s="34" t="s">
        <v>1529</v>
      </c>
      <c r="C106" s="110">
        <v>42.25</v>
      </c>
      <c r="D106" s="25">
        <f>C107*D112</f>
        <v>115.39229000284573</v>
      </c>
      <c r="E106" t="s">
        <v>1793</v>
      </c>
    </row>
    <row r="107" spans="1:5" ht="13.5" customHeight="1" x14ac:dyDescent="0.2">
      <c r="A107" s="126"/>
      <c r="B107" s="34"/>
      <c r="C107" s="505">
        <f>SUM(C104:C106)</f>
        <v>1610.99</v>
      </c>
      <c r="D107" s="25">
        <f>C107-D106</f>
        <v>1495.5977099971542</v>
      </c>
      <c r="E107" t="s">
        <v>1794</v>
      </c>
    </row>
    <row r="108" spans="1:5" ht="13.5" customHeight="1" x14ac:dyDescent="0.2">
      <c r="A108" s="126"/>
      <c r="B108" s="36"/>
      <c r="C108" s="110"/>
      <c r="D108" s="25"/>
    </row>
    <row r="109" spans="1:5" ht="13.5" customHeight="1" x14ac:dyDescent="0.2">
      <c r="A109" s="126" t="s">
        <v>417</v>
      </c>
      <c r="B109" s="36" t="s">
        <v>1547</v>
      </c>
      <c r="C109" s="24">
        <v>-400</v>
      </c>
      <c r="D109" s="25"/>
    </row>
    <row r="110" spans="1:5" ht="13.5" customHeight="1" x14ac:dyDescent="0.2">
      <c r="A110" s="126" t="s">
        <v>417</v>
      </c>
      <c r="B110" s="36" t="s">
        <v>1456</v>
      </c>
      <c r="C110" s="24">
        <v>16.98</v>
      </c>
      <c r="D110" s="25"/>
    </row>
    <row r="111" spans="1:5" ht="13.5" customHeight="1" x14ac:dyDescent="0.2">
      <c r="A111" s="126" t="s">
        <v>417</v>
      </c>
      <c r="B111" s="34" t="s">
        <v>624</v>
      </c>
      <c r="C111" s="24">
        <f>SUM(H114:H115)/2</f>
        <v>1125.55</v>
      </c>
      <c r="D111" s="25"/>
    </row>
    <row r="112" spans="1:5" ht="13.5" customHeight="1" x14ac:dyDescent="0.2">
      <c r="A112" s="126"/>
      <c r="B112" s="34"/>
      <c r="C112" s="505">
        <f>SUM(C109:C111)</f>
        <v>742.53</v>
      </c>
      <c r="D112" s="441">
        <f>C112/(C112+C136)</f>
        <v>7.1628185154995208E-2</v>
      </c>
    </row>
    <row r="113" spans="1:8" ht="13.5" customHeight="1" x14ac:dyDescent="0.2">
      <c r="A113" s="126"/>
      <c r="B113" s="34"/>
      <c r="C113" s="24"/>
      <c r="D113" s="25"/>
    </row>
    <row r="114" spans="1:8" ht="13.5" customHeight="1" x14ac:dyDescent="0.2">
      <c r="A114" s="126" t="s">
        <v>417</v>
      </c>
      <c r="B114" s="34" t="s">
        <v>1523</v>
      </c>
      <c r="C114" s="110">
        <v>793.85</v>
      </c>
      <c r="D114" s="25"/>
      <c r="F114" s="126" t="s">
        <v>417</v>
      </c>
      <c r="G114" s="36" t="s">
        <v>173</v>
      </c>
      <c r="H114" s="110">
        <v>1170.0899999999999</v>
      </c>
    </row>
    <row r="115" spans="1:8" ht="13.5" customHeight="1" x14ac:dyDescent="0.2">
      <c r="A115" s="126" t="s">
        <v>417</v>
      </c>
      <c r="B115" s="34" t="s">
        <v>1525</v>
      </c>
      <c r="C115" s="110">
        <v>421.52</v>
      </c>
      <c r="D115" s="25"/>
      <c r="F115" s="126" t="s">
        <v>417</v>
      </c>
      <c r="G115" s="36" t="s">
        <v>1512</v>
      </c>
      <c r="H115" s="110">
        <v>1081.01</v>
      </c>
    </row>
    <row r="116" spans="1:8" ht="13.5" customHeight="1" x14ac:dyDescent="0.2">
      <c r="A116" s="126" t="s">
        <v>417</v>
      </c>
      <c r="B116" s="34" t="s">
        <v>1410</v>
      </c>
      <c r="C116" s="24">
        <v>58</v>
      </c>
      <c r="D116" s="25"/>
    </row>
    <row r="117" spans="1:8" ht="13.5" customHeight="1" x14ac:dyDescent="0.2">
      <c r="A117" s="126" t="s">
        <v>417</v>
      </c>
      <c r="B117" s="34" t="s">
        <v>1462</v>
      </c>
      <c r="C117" s="24">
        <v>210</v>
      </c>
      <c r="D117" s="25"/>
    </row>
    <row r="118" spans="1:8" ht="13.5" customHeight="1" x14ac:dyDescent="0.2">
      <c r="A118" s="126" t="s">
        <v>417</v>
      </c>
      <c r="B118" s="34" t="s">
        <v>1488</v>
      </c>
      <c r="C118" s="24">
        <v>280</v>
      </c>
      <c r="D118" s="25"/>
    </row>
    <row r="119" spans="1:8" ht="13.5" customHeight="1" x14ac:dyDescent="0.2">
      <c r="A119" s="126" t="s">
        <v>417</v>
      </c>
      <c r="B119" s="34" t="s">
        <v>1421</v>
      </c>
      <c r="C119" s="24">
        <v>350</v>
      </c>
      <c r="D119" s="25"/>
    </row>
    <row r="120" spans="1:8" ht="13.5" customHeight="1" x14ac:dyDescent="0.2">
      <c r="A120" s="126" t="s">
        <v>417</v>
      </c>
      <c r="B120" s="34" t="s">
        <v>1421</v>
      </c>
      <c r="C120" s="24">
        <v>350</v>
      </c>
      <c r="D120" s="25"/>
    </row>
    <row r="121" spans="1:8" ht="13.5" customHeight="1" x14ac:dyDescent="0.2">
      <c r="A121" s="126" t="s">
        <v>417</v>
      </c>
      <c r="B121" s="34" t="s">
        <v>36</v>
      </c>
      <c r="C121" s="24">
        <v>350</v>
      </c>
      <c r="D121" s="25"/>
    </row>
    <row r="122" spans="1:8" ht="13.5" customHeight="1" x14ac:dyDescent="0.2">
      <c r="A122" s="126" t="s">
        <v>417</v>
      </c>
      <c r="B122" s="34" t="s">
        <v>318</v>
      </c>
      <c r="C122" s="24">
        <v>585</v>
      </c>
      <c r="D122" s="25"/>
    </row>
    <row r="123" spans="1:8" ht="13.5" customHeight="1" x14ac:dyDescent="0.2">
      <c r="A123" s="126" t="s">
        <v>417</v>
      </c>
      <c r="B123" s="34" t="s">
        <v>318</v>
      </c>
      <c r="C123" s="24">
        <v>650</v>
      </c>
      <c r="D123" s="25"/>
    </row>
    <row r="124" spans="1:8" ht="13.5" customHeight="1" x14ac:dyDescent="0.2">
      <c r="A124" s="126" t="s">
        <v>417</v>
      </c>
      <c r="B124" s="34" t="s">
        <v>318</v>
      </c>
      <c r="C124" s="24">
        <v>650</v>
      </c>
      <c r="D124" s="25"/>
    </row>
    <row r="125" spans="1:8" ht="13.5" customHeight="1" x14ac:dyDescent="0.2">
      <c r="A125" s="126" t="s">
        <v>417</v>
      </c>
      <c r="B125" s="34" t="s">
        <v>318</v>
      </c>
      <c r="C125" s="24">
        <v>650</v>
      </c>
      <c r="D125" s="25"/>
    </row>
    <row r="126" spans="1:8" ht="13.5" customHeight="1" x14ac:dyDescent="0.2">
      <c r="A126" s="126" t="s">
        <v>417</v>
      </c>
      <c r="B126" s="34" t="s">
        <v>52</v>
      </c>
      <c r="C126" s="133">
        <v>360</v>
      </c>
      <c r="D126" s="116"/>
    </row>
    <row r="127" spans="1:8" ht="13.5" customHeight="1" x14ac:dyDescent="0.2">
      <c r="A127" s="126" t="s">
        <v>417</v>
      </c>
      <c r="B127" s="34" t="s">
        <v>52</v>
      </c>
      <c r="C127" s="24">
        <v>450</v>
      </c>
      <c r="D127" s="25"/>
    </row>
    <row r="128" spans="1:8" ht="13.5" customHeight="1" x14ac:dyDescent="0.2">
      <c r="A128" s="126" t="s">
        <v>417</v>
      </c>
      <c r="B128" s="34" t="s">
        <v>52</v>
      </c>
      <c r="C128" s="24">
        <v>450</v>
      </c>
      <c r="D128" s="25"/>
    </row>
    <row r="129" spans="1:4" ht="13.5" customHeight="1" x14ac:dyDescent="0.2">
      <c r="A129" s="126" t="s">
        <v>417</v>
      </c>
      <c r="B129" s="34" t="s">
        <v>52</v>
      </c>
      <c r="C129" s="24">
        <v>450</v>
      </c>
      <c r="D129" s="25"/>
    </row>
    <row r="130" spans="1:4" ht="13.5" customHeight="1" x14ac:dyDescent="0.2">
      <c r="A130" s="126" t="s">
        <v>417</v>
      </c>
      <c r="B130" s="34" t="s">
        <v>1303</v>
      </c>
      <c r="C130" s="24">
        <v>240</v>
      </c>
      <c r="D130" s="25"/>
    </row>
    <row r="131" spans="1:4" ht="13.5" customHeight="1" x14ac:dyDescent="0.2">
      <c r="A131" s="126" t="s">
        <v>417</v>
      </c>
      <c r="B131" s="34" t="s">
        <v>1303</v>
      </c>
      <c r="C131" s="24">
        <v>300</v>
      </c>
      <c r="D131" s="25"/>
    </row>
    <row r="132" spans="1:4" ht="13.5" customHeight="1" x14ac:dyDescent="0.2">
      <c r="A132" s="126" t="s">
        <v>417</v>
      </c>
      <c r="B132" s="34" t="s">
        <v>1303</v>
      </c>
      <c r="C132" s="24">
        <v>300</v>
      </c>
      <c r="D132" s="25"/>
    </row>
    <row r="133" spans="1:4" ht="13.5" customHeight="1" x14ac:dyDescent="0.2">
      <c r="A133" s="126" t="s">
        <v>417</v>
      </c>
      <c r="B133" s="34" t="s">
        <v>1303</v>
      </c>
      <c r="C133" s="133">
        <v>300</v>
      </c>
      <c r="D133" s="116"/>
    </row>
    <row r="134" spans="1:4" ht="13.5" customHeight="1" x14ac:dyDescent="0.2">
      <c r="A134" s="126" t="s">
        <v>417</v>
      </c>
      <c r="B134" s="34" t="s">
        <v>1303</v>
      </c>
      <c r="C134" s="24">
        <v>300</v>
      </c>
      <c r="D134" s="25"/>
    </row>
    <row r="135" spans="1:4" ht="13.5" customHeight="1" x14ac:dyDescent="0.2">
      <c r="A135" s="126" t="s">
        <v>417</v>
      </c>
      <c r="B135" s="34" t="s">
        <v>423</v>
      </c>
      <c r="C135" s="24">
        <f>C111</f>
        <v>1125.55</v>
      </c>
      <c r="D135" s="25"/>
    </row>
    <row r="136" spans="1:4" ht="13.5" customHeight="1" x14ac:dyDescent="0.2">
      <c r="A136" s="126"/>
      <c r="B136" s="34"/>
      <c r="C136" s="505">
        <f>SUM(C114:C135)</f>
        <v>9623.9199999999983</v>
      </c>
      <c r="D136" s="25"/>
    </row>
    <row r="137" spans="1:4" ht="13.5" customHeight="1" x14ac:dyDescent="0.2">
      <c r="A137" s="126"/>
      <c r="B137" s="34"/>
      <c r="C137" s="24"/>
      <c r="D137" s="25"/>
    </row>
    <row r="138" spans="1:4" ht="13.5" customHeight="1" x14ac:dyDescent="0.2">
      <c r="A138" s="126" t="s">
        <v>245</v>
      </c>
      <c r="B138" s="34" t="s">
        <v>1580</v>
      </c>
      <c r="C138" s="113">
        <v>17</v>
      </c>
      <c r="D138" s="428"/>
    </row>
    <row r="139" spans="1:4" ht="13.5" customHeight="1" x14ac:dyDescent="0.2">
      <c r="A139" s="126" t="s">
        <v>245</v>
      </c>
      <c r="B139" s="34" t="s">
        <v>1468</v>
      </c>
      <c r="C139" s="110">
        <v>29</v>
      </c>
      <c r="D139" s="25"/>
    </row>
    <row r="140" spans="1:4" ht="13.5" customHeight="1" x14ac:dyDescent="0.2">
      <c r="A140" s="126" t="s">
        <v>245</v>
      </c>
      <c r="B140" s="34" t="s">
        <v>1434</v>
      </c>
      <c r="C140" s="24">
        <v>12.4</v>
      </c>
      <c r="D140" s="25"/>
    </row>
    <row r="141" spans="1:4" ht="13.5" customHeight="1" x14ac:dyDescent="0.2">
      <c r="A141" s="126" t="s">
        <v>245</v>
      </c>
      <c r="B141" s="34" t="s">
        <v>1433</v>
      </c>
      <c r="C141" s="24">
        <v>13</v>
      </c>
      <c r="D141" s="25"/>
    </row>
    <row r="142" spans="1:4" ht="13.5" customHeight="1" x14ac:dyDescent="0.2">
      <c r="A142" s="126" t="s">
        <v>245</v>
      </c>
      <c r="B142" s="34" t="s">
        <v>1492</v>
      </c>
      <c r="C142" s="24">
        <v>6</v>
      </c>
      <c r="D142" s="25"/>
    </row>
    <row r="143" spans="1:4" ht="13.5" customHeight="1" x14ac:dyDescent="0.2">
      <c r="A143" s="126" t="s">
        <v>245</v>
      </c>
      <c r="B143" s="34" t="s">
        <v>1495</v>
      </c>
      <c r="C143" s="24">
        <v>12.5</v>
      </c>
      <c r="D143" s="25"/>
    </row>
    <row r="144" spans="1:4" ht="13.5" customHeight="1" x14ac:dyDescent="0.2">
      <c r="A144" s="126" t="s">
        <v>245</v>
      </c>
      <c r="B144" s="34" t="s">
        <v>1438</v>
      </c>
      <c r="C144" s="133">
        <v>5.9</v>
      </c>
      <c r="D144" s="116"/>
    </row>
    <row r="145" spans="1:4" ht="13.5" customHeight="1" x14ac:dyDescent="0.2">
      <c r="A145" s="126" t="s">
        <v>245</v>
      </c>
      <c r="B145" s="21" t="s">
        <v>1449</v>
      </c>
      <c r="C145" s="24">
        <v>15.5</v>
      </c>
      <c r="D145" s="25"/>
    </row>
    <row r="146" spans="1:4" ht="13.5" customHeight="1" x14ac:dyDescent="0.2">
      <c r="A146" s="126" t="s">
        <v>245</v>
      </c>
      <c r="B146" s="34" t="s">
        <v>1489</v>
      </c>
      <c r="C146" s="24">
        <v>42</v>
      </c>
      <c r="D146" s="25"/>
    </row>
    <row r="147" spans="1:4" ht="13.5" customHeight="1" x14ac:dyDescent="0.2">
      <c r="A147" s="126" t="s">
        <v>245</v>
      </c>
      <c r="B147" s="34" t="s">
        <v>1493</v>
      </c>
      <c r="C147" s="24">
        <v>15.85</v>
      </c>
      <c r="D147" s="25"/>
    </row>
    <row r="148" spans="1:4" ht="13.5" customHeight="1" x14ac:dyDescent="0.2">
      <c r="A148" s="126" t="s">
        <v>245</v>
      </c>
      <c r="B148" s="34" t="s">
        <v>1491</v>
      </c>
      <c r="C148" s="24">
        <v>2.99</v>
      </c>
      <c r="D148" s="25"/>
    </row>
    <row r="149" spans="1:4" ht="13.5" customHeight="1" x14ac:dyDescent="0.2">
      <c r="A149" s="126" t="s">
        <v>245</v>
      </c>
      <c r="B149" s="21" t="s">
        <v>1446</v>
      </c>
      <c r="C149" s="24">
        <v>8</v>
      </c>
      <c r="D149" s="25"/>
    </row>
    <row r="150" spans="1:4" ht="13.5" customHeight="1" x14ac:dyDescent="0.2">
      <c r="A150" s="126" t="s">
        <v>245</v>
      </c>
      <c r="B150" s="21" t="s">
        <v>1447</v>
      </c>
      <c r="C150" s="24">
        <v>11.6</v>
      </c>
      <c r="D150" s="25"/>
    </row>
    <row r="151" spans="1:4" ht="13.5" customHeight="1" x14ac:dyDescent="0.2">
      <c r="A151" s="126" t="s">
        <v>245</v>
      </c>
      <c r="B151" s="34" t="s">
        <v>1432</v>
      </c>
      <c r="C151" s="24">
        <v>12.6</v>
      </c>
      <c r="D151" s="25"/>
    </row>
    <row r="152" spans="1:4" ht="13.5" customHeight="1" x14ac:dyDescent="0.2">
      <c r="A152" s="126" t="s">
        <v>245</v>
      </c>
      <c r="B152" s="34" t="s">
        <v>1432</v>
      </c>
      <c r="C152" s="24">
        <v>50</v>
      </c>
      <c r="D152" s="25"/>
    </row>
    <row r="153" spans="1:4" ht="13.5" customHeight="1" x14ac:dyDescent="0.2">
      <c r="A153" s="126" t="s">
        <v>245</v>
      </c>
      <c r="B153" s="34" t="s">
        <v>1457</v>
      </c>
      <c r="C153" s="24">
        <v>5.48</v>
      </c>
      <c r="D153" s="25"/>
    </row>
    <row r="154" spans="1:4" ht="13.5" customHeight="1" x14ac:dyDescent="0.2">
      <c r="A154" s="126" t="s">
        <v>245</v>
      </c>
      <c r="B154" s="21" t="s">
        <v>1448</v>
      </c>
      <c r="C154" s="24">
        <v>6.5</v>
      </c>
      <c r="D154" s="25"/>
    </row>
    <row r="155" spans="1:4" ht="13.5" customHeight="1" x14ac:dyDescent="0.2">
      <c r="A155" s="126" t="s">
        <v>245</v>
      </c>
      <c r="B155" s="34" t="s">
        <v>1464</v>
      </c>
      <c r="C155" s="259">
        <v>10.97</v>
      </c>
      <c r="D155" s="235"/>
    </row>
    <row r="156" spans="1:4" ht="13.5" customHeight="1" x14ac:dyDescent="0.2">
      <c r="A156" s="126" t="s">
        <v>245</v>
      </c>
      <c r="B156" s="36" t="s">
        <v>1498</v>
      </c>
      <c r="C156" s="119">
        <v>27.98</v>
      </c>
      <c r="D156" s="60"/>
    </row>
    <row r="157" spans="1:4" ht="13.5" customHeight="1" x14ac:dyDescent="0.2">
      <c r="A157" s="126" t="s">
        <v>245</v>
      </c>
      <c r="B157" s="36" t="s">
        <v>1431</v>
      </c>
      <c r="C157" s="119">
        <v>30</v>
      </c>
      <c r="D157" s="60"/>
    </row>
    <row r="158" spans="1:4" ht="13.5" customHeight="1" x14ac:dyDescent="0.2">
      <c r="A158" s="126" t="s">
        <v>245</v>
      </c>
      <c r="B158" s="36" t="s">
        <v>1463</v>
      </c>
      <c r="C158" s="119">
        <v>16.5</v>
      </c>
      <c r="D158" s="60"/>
    </row>
    <row r="159" spans="1:4" ht="13.5" customHeight="1" x14ac:dyDescent="0.2">
      <c r="A159" s="126" t="s">
        <v>245</v>
      </c>
      <c r="B159" s="34" t="s">
        <v>1427</v>
      </c>
      <c r="C159" s="119">
        <v>13</v>
      </c>
      <c r="D159" s="60"/>
    </row>
    <row r="160" spans="1:4" ht="13.5" customHeight="1" x14ac:dyDescent="0.2">
      <c r="A160" s="126" t="s">
        <v>245</v>
      </c>
      <c r="B160" s="36" t="s">
        <v>1458</v>
      </c>
      <c r="C160" s="119">
        <v>43</v>
      </c>
      <c r="D160" s="60"/>
    </row>
    <row r="161" spans="1:4" ht="13.5" customHeight="1" x14ac:dyDescent="0.2">
      <c r="A161" s="126" t="s">
        <v>245</v>
      </c>
      <c r="B161" s="36" t="s">
        <v>1430</v>
      </c>
      <c r="C161" s="119">
        <v>17.5</v>
      </c>
      <c r="D161" s="60"/>
    </row>
    <row r="162" spans="1:4" ht="13.5" customHeight="1" x14ac:dyDescent="0.2">
      <c r="A162" s="126" t="s">
        <v>245</v>
      </c>
      <c r="B162" s="34" t="s">
        <v>1570</v>
      </c>
      <c r="C162" s="68">
        <v>14</v>
      </c>
      <c r="D162" s="69"/>
    </row>
    <row r="163" spans="1:4" ht="13.5" customHeight="1" x14ac:dyDescent="0.2">
      <c r="A163" s="126" t="s">
        <v>245</v>
      </c>
      <c r="B163" s="36" t="s">
        <v>1519</v>
      </c>
      <c r="C163" s="59">
        <v>95.4</v>
      </c>
      <c r="D163" s="60"/>
    </row>
    <row r="164" spans="1:4" ht="13.5" customHeight="1" x14ac:dyDescent="0.2">
      <c r="A164" s="126" t="s">
        <v>245</v>
      </c>
      <c r="B164" s="36" t="s">
        <v>1411</v>
      </c>
      <c r="C164" s="119">
        <v>1.98</v>
      </c>
      <c r="D164" s="60"/>
    </row>
    <row r="165" spans="1:4" ht="13.5" customHeight="1" x14ac:dyDescent="0.2">
      <c r="A165" s="126" t="s">
        <v>245</v>
      </c>
      <c r="B165" s="34" t="s">
        <v>1411</v>
      </c>
      <c r="C165" s="68">
        <v>1.98</v>
      </c>
      <c r="D165" s="69"/>
    </row>
    <row r="166" spans="1:4" ht="13.5" customHeight="1" x14ac:dyDescent="0.2">
      <c r="A166" s="126" t="s">
        <v>245</v>
      </c>
      <c r="B166" s="34" t="s">
        <v>1466</v>
      </c>
      <c r="C166" s="59">
        <v>55.7</v>
      </c>
      <c r="D166" s="60"/>
    </row>
    <row r="167" spans="1:4" ht="13.5" customHeight="1" x14ac:dyDescent="0.2">
      <c r="A167" s="126" t="s">
        <v>245</v>
      </c>
      <c r="B167" s="36" t="s">
        <v>1562</v>
      </c>
      <c r="C167" s="68">
        <v>3</v>
      </c>
      <c r="D167" s="69"/>
    </row>
    <row r="168" spans="1:4" ht="13.5" customHeight="1" x14ac:dyDescent="0.2">
      <c r="A168" s="126" t="s">
        <v>245</v>
      </c>
      <c r="B168" s="34" t="s">
        <v>1569</v>
      </c>
      <c r="C168" s="68">
        <v>100</v>
      </c>
      <c r="D168" s="69"/>
    </row>
    <row r="169" spans="1:4" ht="13.5" customHeight="1" x14ac:dyDescent="0.2">
      <c r="A169" s="126" t="s">
        <v>245</v>
      </c>
      <c r="B169" s="36" t="s">
        <v>1409</v>
      </c>
      <c r="C169" s="119">
        <v>23.95</v>
      </c>
      <c r="D169" s="60"/>
    </row>
    <row r="170" spans="1:4" ht="13.5" customHeight="1" x14ac:dyDescent="0.2">
      <c r="A170" s="126" t="s">
        <v>245</v>
      </c>
      <c r="B170" s="36" t="s">
        <v>1559</v>
      </c>
      <c r="C170" s="68">
        <v>23.95</v>
      </c>
      <c r="D170" s="69"/>
    </row>
    <row r="171" spans="1:4" ht="13.5" customHeight="1" x14ac:dyDescent="0.2">
      <c r="A171" s="126" t="s">
        <v>245</v>
      </c>
      <c r="B171" s="34" t="s">
        <v>1480</v>
      </c>
      <c r="C171" s="59">
        <v>183.71</v>
      </c>
      <c r="D171" s="60"/>
    </row>
    <row r="172" spans="1:4" ht="13.5" customHeight="1" x14ac:dyDescent="0.2">
      <c r="A172" s="126" t="s">
        <v>245</v>
      </c>
      <c r="B172" s="36" t="s">
        <v>1480</v>
      </c>
      <c r="C172" s="59">
        <v>61.91</v>
      </c>
      <c r="D172" s="60"/>
    </row>
    <row r="173" spans="1:4" ht="13.5" customHeight="1" x14ac:dyDescent="0.2">
      <c r="A173" s="126" t="s">
        <v>245</v>
      </c>
      <c r="B173" s="36" t="s">
        <v>1480</v>
      </c>
      <c r="C173" s="59">
        <v>48.97</v>
      </c>
      <c r="D173" s="60"/>
    </row>
    <row r="174" spans="1:4" ht="13.5" customHeight="1" x14ac:dyDescent="0.2">
      <c r="A174" s="126" t="s">
        <v>245</v>
      </c>
      <c r="B174" s="36" t="s">
        <v>1478</v>
      </c>
      <c r="C174" s="59">
        <v>59.98</v>
      </c>
      <c r="D174" s="60"/>
    </row>
    <row r="175" spans="1:4" ht="13.5" customHeight="1" x14ac:dyDescent="0.2">
      <c r="A175" s="126" t="s">
        <v>245</v>
      </c>
      <c r="B175" s="34" t="s">
        <v>1478</v>
      </c>
      <c r="C175" s="59">
        <v>41.41</v>
      </c>
      <c r="D175" s="60"/>
    </row>
    <row r="176" spans="1:4" ht="13.5" customHeight="1" x14ac:dyDescent="0.2">
      <c r="A176" s="126" t="s">
        <v>245</v>
      </c>
      <c r="B176" s="36" t="s">
        <v>1478</v>
      </c>
      <c r="C176" s="59">
        <v>26.98</v>
      </c>
      <c r="D176" s="60"/>
    </row>
    <row r="177" spans="1:9" ht="13.5" customHeight="1" x14ac:dyDescent="0.2">
      <c r="A177" s="126" t="s">
        <v>245</v>
      </c>
      <c r="B177" s="36" t="s">
        <v>1561</v>
      </c>
      <c r="C177" s="68">
        <v>5.9</v>
      </c>
      <c r="D177" s="69"/>
      <c r="G177" s="126" t="s">
        <v>245</v>
      </c>
      <c r="H177" s="34" t="s">
        <v>1573</v>
      </c>
      <c r="I177" s="68">
        <v>15.01</v>
      </c>
    </row>
    <row r="178" spans="1:9" ht="13.5" customHeight="1" x14ac:dyDescent="0.2">
      <c r="A178" s="126" t="s">
        <v>245</v>
      </c>
      <c r="B178" s="36" t="s">
        <v>1415</v>
      </c>
      <c r="C178" s="119">
        <v>5.9</v>
      </c>
      <c r="D178" s="60"/>
      <c r="G178" s="126" t="s">
        <v>245</v>
      </c>
      <c r="H178" s="34" t="s">
        <v>398</v>
      </c>
      <c r="I178" s="59">
        <v>187.65</v>
      </c>
    </row>
    <row r="179" spans="1:9" ht="13.5" customHeight="1" x14ac:dyDescent="0.2">
      <c r="A179" s="126" t="s">
        <v>245</v>
      </c>
      <c r="B179" s="34" t="s">
        <v>1568</v>
      </c>
      <c r="C179" s="68">
        <v>14.75</v>
      </c>
      <c r="D179" s="69"/>
      <c r="G179" s="126" t="s">
        <v>245</v>
      </c>
      <c r="H179" s="34" t="s">
        <v>1520</v>
      </c>
      <c r="I179" s="59">
        <v>619.9</v>
      </c>
    </row>
    <row r="180" spans="1:9" ht="13.5" customHeight="1" x14ac:dyDescent="0.2">
      <c r="A180" s="126" t="s">
        <v>245</v>
      </c>
      <c r="B180" s="36" t="s">
        <v>1564</v>
      </c>
      <c r="C180" s="68">
        <v>11.9</v>
      </c>
      <c r="D180" s="69"/>
      <c r="G180" s="126" t="s">
        <v>245</v>
      </c>
      <c r="H180" s="45" t="s">
        <v>1536</v>
      </c>
      <c r="I180" s="59">
        <v>128.80000000000001</v>
      </c>
    </row>
    <row r="181" spans="1:9" ht="13.5" customHeight="1" x14ac:dyDescent="0.2">
      <c r="A181" s="126" t="s">
        <v>245</v>
      </c>
      <c r="B181" s="36" t="s">
        <v>1412</v>
      </c>
      <c r="C181" s="119">
        <v>11.9</v>
      </c>
      <c r="D181" s="60"/>
      <c r="G181" s="126" t="s">
        <v>245</v>
      </c>
      <c r="H181" s="36" t="s">
        <v>1408</v>
      </c>
      <c r="I181" s="119">
        <v>20</v>
      </c>
    </row>
    <row r="182" spans="1:9" ht="13.5" customHeight="1" x14ac:dyDescent="0.2">
      <c r="A182" s="126" t="s">
        <v>245</v>
      </c>
      <c r="B182" s="36" t="s">
        <v>1476</v>
      </c>
      <c r="C182" s="59">
        <v>88.96</v>
      </c>
      <c r="D182" s="60"/>
      <c r="G182" s="126" t="s">
        <v>245</v>
      </c>
      <c r="H182" s="34" t="s">
        <v>1407</v>
      </c>
      <c r="I182" s="119">
        <v>4</v>
      </c>
    </row>
    <row r="183" spans="1:9" ht="13.5" customHeight="1" x14ac:dyDescent="0.2">
      <c r="A183" s="126" t="s">
        <v>245</v>
      </c>
      <c r="B183" s="36" t="s">
        <v>1473</v>
      </c>
      <c r="C183" s="59">
        <v>199</v>
      </c>
      <c r="D183" s="60"/>
      <c r="G183" s="126" t="s">
        <v>245</v>
      </c>
      <c r="H183" s="36" t="s">
        <v>1560</v>
      </c>
      <c r="I183" s="68">
        <v>4</v>
      </c>
    </row>
    <row r="184" spans="1:9" ht="13.5" customHeight="1" x14ac:dyDescent="0.2">
      <c r="A184" s="126" t="s">
        <v>245</v>
      </c>
      <c r="B184" s="36" t="s">
        <v>1586</v>
      </c>
      <c r="C184" s="119">
        <v>-250</v>
      </c>
      <c r="D184" s="69"/>
      <c r="G184" s="126" t="s">
        <v>245</v>
      </c>
      <c r="H184" s="36" t="s">
        <v>1575</v>
      </c>
      <c r="I184" s="68">
        <v>7.71</v>
      </c>
    </row>
    <row r="185" spans="1:9" ht="13.5" customHeight="1" x14ac:dyDescent="0.2">
      <c r="A185" s="126" t="s">
        <v>245</v>
      </c>
      <c r="B185" s="36" t="s">
        <v>624</v>
      </c>
      <c r="C185" s="119">
        <f>SUM(I177:I184)/2</f>
        <v>493.53499999999997</v>
      </c>
      <c r="D185" s="69"/>
      <c r="G185" s="126"/>
      <c r="H185" s="395"/>
      <c r="I185" s="434"/>
    </row>
    <row r="186" spans="1:9" ht="13.5" customHeight="1" x14ac:dyDescent="0.2">
      <c r="A186" s="126"/>
      <c r="B186" s="36"/>
      <c r="C186" s="510">
        <f>SUM(C138:C185)</f>
        <v>1750.0350000000008</v>
      </c>
      <c r="D186" s="69"/>
      <c r="G186" s="126"/>
      <c r="H186" s="395"/>
      <c r="I186" s="434"/>
    </row>
    <row r="187" spans="1:9" ht="13.5" customHeight="1" x14ac:dyDescent="0.2">
      <c r="A187" s="126"/>
      <c r="B187" s="36"/>
      <c r="C187" s="119"/>
      <c r="D187" s="69"/>
      <c r="G187" s="126"/>
      <c r="H187" s="395"/>
      <c r="I187" s="434"/>
    </row>
    <row r="188" spans="1:9" ht="13.5" customHeight="1" x14ac:dyDescent="0.2">
      <c r="A188" s="126" t="s">
        <v>245</v>
      </c>
      <c r="B188" s="36" t="s">
        <v>1510</v>
      </c>
      <c r="C188" s="59">
        <v>1800</v>
      </c>
      <c r="D188" s="60"/>
    </row>
    <row r="189" spans="1:9" ht="13.5" customHeight="1" x14ac:dyDescent="0.2">
      <c r="A189" s="126" t="s">
        <v>245</v>
      </c>
      <c r="B189" s="36" t="s">
        <v>1581</v>
      </c>
      <c r="C189" s="68">
        <v>15</v>
      </c>
      <c r="D189" s="69"/>
    </row>
    <row r="190" spans="1:9" ht="13.5" customHeight="1" x14ac:dyDescent="0.2">
      <c r="A190" s="126" t="s">
        <v>245</v>
      </c>
      <c r="B190" s="36" t="s">
        <v>1490</v>
      </c>
      <c r="C190" s="119">
        <v>6</v>
      </c>
      <c r="D190" s="60"/>
    </row>
    <row r="191" spans="1:9" ht="13.5" customHeight="1" x14ac:dyDescent="0.2">
      <c r="A191" s="126" t="s">
        <v>245</v>
      </c>
      <c r="B191" s="36" t="s">
        <v>1490</v>
      </c>
      <c r="C191" s="119">
        <v>10</v>
      </c>
      <c r="D191" s="60"/>
    </row>
    <row r="192" spans="1:9" ht="13.5" customHeight="1" x14ac:dyDescent="0.2">
      <c r="A192" s="126" t="s">
        <v>245</v>
      </c>
      <c r="B192" s="36" t="s">
        <v>1437</v>
      </c>
      <c r="C192" s="121">
        <v>8.98</v>
      </c>
      <c r="D192" s="38"/>
    </row>
    <row r="193" spans="1:4" ht="13.5" customHeight="1" x14ac:dyDescent="0.2">
      <c r="A193" s="126" t="s">
        <v>245</v>
      </c>
      <c r="B193" s="56" t="s">
        <v>1437</v>
      </c>
      <c r="C193" s="119">
        <v>17.96</v>
      </c>
      <c r="D193" s="60"/>
    </row>
    <row r="194" spans="1:4" ht="13.5" customHeight="1" x14ac:dyDescent="0.2">
      <c r="A194" s="126" t="s">
        <v>245</v>
      </c>
      <c r="B194" s="36" t="s">
        <v>1435</v>
      </c>
      <c r="C194" s="119">
        <v>15.96</v>
      </c>
      <c r="D194" s="60"/>
    </row>
    <row r="195" spans="1:4" ht="13.5" customHeight="1" x14ac:dyDescent="0.2">
      <c r="A195" s="126" t="s">
        <v>245</v>
      </c>
      <c r="B195" s="36" t="s">
        <v>1440</v>
      </c>
      <c r="C195" s="121">
        <v>2</v>
      </c>
      <c r="D195" s="38"/>
    </row>
    <row r="196" spans="1:4" ht="13.5" customHeight="1" x14ac:dyDescent="0.2">
      <c r="A196" s="126" t="s">
        <v>245</v>
      </c>
      <c r="B196" s="36" t="s">
        <v>1454</v>
      </c>
      <c r="C196" s="119">
        <v>34</v>
      </c>
      <c r="D196" s="60"/>
    </row>
    <row r="197" spans="1:4" ht="13.5" customHeight="1" x14ac:dyDescent="0.2">
      <c r="A197" s="126" t="s">
        <v>245</v>
      </c>
      <c r="B197" s="36" t="s">
        <v>1496</v>
      </c>
      <c r="C197" s="119">
        <v>23</v>
      </c>
      <c r="D197" s="60"/>
    </row>
    <row r="198" spans="1:4" ht="13.5" customHeight="1" x14ac:dyDescent="0.2">
      <c r="A198" s="126" t="s">
        <v>245</v>
      </c>
      <c r="B198" s="21" t="s">
        <v>1450</v>
      </c>
      <c r="C198" s="119">
        <v>24.22</v>
      </c>
      <c r="D198" s="71"/>
    </row>
    <row r="199" spans="1:4" ht="13.5" customHeight="1" x14ac:dyDescent="0.2">
      <c r="A199" s="126" t="s">
        <v>245</v>
      </c>
      <c r="B199" s="34" t="s">
        <v>1436</v>
      </c>
      <c r="C199" s="119">
        <v>44.18</v>
      </c>
      <c r="D199" s="71"/>
    </row>
    <row r="200" spans="1:4" ht="13.5" customHeight="1" x14ac:dyDescent="0.2">
      <c r="A200" s="126" t="s">
        <v>245</v>
      </c>
      <c r="B200" s="34" t="s">
        <v>1497</v>
      </c>
      <c r="C200" s="119">
        <v>4.75</v>
      </c>
      <c r="D200" s="71"/>
    </row>
    <row r="201" spans="1:4" ht="13.5" customHeight="1" x14ac:dyDescent="0.2">
      <c r="A201" s="126" t="s">
        <v>245</v>
      </c>
      <c r="B201" s="34" t="s">
        <v>1455</v>
      </c>
      <c r="C201" s="119">
        <v>3</v>
      </c>
      <c r="D201" s="71"/>
    </row>
    <row r="202" spans="1:4" ht="13.5" customHeight="1" x14ac:dyDescent="0.2">
      <c r="A202" s="126" t="s">
        <v>245</v>
      </c>
      <c r="B202" s="34" t="s">
        <v>1455</v>
      </c>
      <c r="C202" s="119">
        <v>6</v>
      </c>
      <c r="D202" s="71"/>
    </row>
    <row r="203" spans="1:4" ht="13.5" customHeight="1" x14ac:dyDescent="0.2">
      <c r="A203" s="126" t="s">
        <v>245</v>
      </c>
      <c r="B203" s="34" t="s">
        <v>1441</v>
      </c>
      <c r="C203" s="121">
        <v>11.02</v>
      </c>
      <c r="D203" s="121"/>
    </row>
    <row r="204" spans="1:4" ht="13.5" customHeight="1" x14ac:dyDescent="0.2">
      <c r="A204" s="126" t="s">
        <v>245</v>
      </c>
      <c r="B204" s="34" t="s">
        <v>1583</v>
      </c>
      <c r="C204" s="68">
        <v>7000</v>
      </c>
      <c r="D204" s="68"/>
    </row>
    <row r="205" spans="1:4" ht="13.5" customHeight="1" x14ac:dyDescent="0.2">
      <c r="A205" s="126" t="s">
        <v>245</v>
      </c>
      <c r="B205" s="21" t="s">
        <v>294</v>
      </c>
      <c r="C205" s="119">
        <v>19.899999999999999</v>
      </c>
      <c r="D205" s="71"/>
    </row>
    <row r="206" spans="1:4" ht="13.5" customHeight="1" x14ac:dyDescent="0.2">
      <c r="A206" s="126" t="s">
        <v>245</v>
      </c>
      <c r="B206" s="34" t="s">
        <v>1377</v>
      </c>
      <c r="C206" s="59">
        <v>520.29999999999995</v>
      </c>
      <c r="D206" s="71"/>
    </row>
    <row r="207" spans="1:4" ht="13.5" customHeight="1" x14ac:dyDescent="0.2">
      <c r="A207" s="126" t="s">
        <v>245</v>
      </c>
      <c r="B207" s="34" t="s">
        <v>1588</v>
      </c>
      <c r="C207" s="68">
        <v>7010.18</v>
      </c>
      <c r="D207" s="68"/>
    </row>
    <row r="208" spans="1:4" ht="13.5" customHeight="1" x14ac:dyDescent="0.2">
      <c r="A208" s="126" t="s">
        <v>245</v>
      </c>
      <c r="B208" s="34" t="s">
        <v>1565</v>
      </c>
      <c r="C208" s="68">
        <v>58</v>
      </c>
      <c r="D208" s="68"/>
    </row>
    <row r="209" spans="1:4" s="64" customFormat="1" ht="13.5" customHeight="1" x14ac:dyDescent="0.2">
      <c r="A209" s="126" t="s">
        <v>245</v>
      </c>
      <c r="B209" s="34" t="s">
        <v>1537</v>
      </c>
      <c r="C209" s="59">
        <v>569.70000000000005</v>
      </c>
      <c r="D209" s="71"/>
    </row>
    <row r="210" spans="1:4" ht="13.5" customHeight="1" x14ac:dyDescent="0.2">
      <c r="A210" s="126" t="s">
        <v>245</v>
      </c>
      <c r="B210" s="34" t="s">
        <v>625</v>
      </c>
      <c r="C210" s="59">
        <f>C185</f>
        <v>493.53499999999997</v>
      </c>
      <c r="D210" s="71"/>
    </row>
    <row r="211" spans="1:4" ht="13.5" customHeight="1" x14ac:dyDescent="0.2">
      <c r="A211" s="126"/>
      <c r="B211" s="34"/>
      <c r="C211" s="509">
        <f>SUM(C188:C210)</f>
        <v>17697.684999999998</v>
      </c>
      <c r="D211" s="71"/>
    </row>
    <row r="212" spans="1:4" ht="13.5" customHeight="1" x14ac:dyDescent="0.2">
      <c r="A212" s="126"/>
      <c r="B212" s="34"/>
      <c r="C212" s="59"/>
      <c r="D212" s="71"/>
    </row>
    <row r="213" spans="1:4" ht="13.5" customHeight="1" x14ac:dyDescent="0.2">
      <c r="A213" s="126" t="s">
        <v>246</v>
      </c>
      <c r="B213" s="34" t="s">
        <v>195</v>
      </c>
      <c r="C213" s="59">
        <v>381.94</v>
      </c>
      <c r="D213" s="71"/>
    </row>
    <row r="214" spans="1:4" ht="13.5" customHeight="1" x14ac:dyDescent="0.2">
      <c r="A214" s="126" t="s">
        <v>246</v>
      </c>
      <c r="B214" s="34" t="s">
        <v>194</v>
      </c>
      <c r="C214" s="59">
        <v>82.75</v>
      </c>
      <c r="D214" s="71"/>
    </row>
    <row r="215" spans="1:4" ht="13.5" customHeight="1" x14ac:dyDescent="0.2">
      <c r="A215" s="126"/>
      <c r="B215" s="34"/>
      <c r="C215" s="509">
        <f>SUM(C213:C214)</f>
        <v>464.69</v>
      </c>
      <c r="D215" s="71"/>
    </row>
    <row r="216" spans="1:4" ht="13.5" customHeight="1" x14ac:dyDescent="0.2">
      <c r="A216" s="126"/>
      <c r="B216" s="34"/>
      <c r="C216" s="59"/>
      <c r="D216" s="71"/>
    </row>
    <row r="217" spans="1:4" ht="13.5" customHeight="1" x14ac:dyDescent="0.2">
      <c r="A217" s="126" t="s">
        <v>248</v>
      </c>
      <c r="B217" s="34" t="s">
        <v>132</v>
      </c>
      <c r="C217" s="59">
        <v>2067.4499999999998</v>
      </c>
      <c r="D217" s="71"/>
    </row>
    <row r="218" spans="1:4" ht="13.5" customHeight="1" x14ac:dyDescent="0.2">
      <c r="A218" s="126" t="s">
        <v>248</v>
      </c>
      <c r="B218" s="34" t="s">
        <v>130</v>
      </c>
      <c r="C218" s="59">
        <v>183.11</v>
      </c>
      <c r="D218" s="71"/>
    </row>
    <row r="219" spans="1:4" ht="13.5" customHeight="1" x14ac:dyDescent="0.2">
      <c r="A219" s="126" t="s">
        <v>248</v>
      </c>
      <c r="B219" s="34" t="s">
        <v>53</v>
      </c>
      <c r="C219" s="59">
        <v>532.21</v>
      </c>
      <c r="D219" s="71"/>
    </row>
    <row r="220" spans="1:4" ht="13.5" customHeight="1" x14ac:dyDescent="0.2">
      <c r="A220" s="126" t="s">
        <v>248</v>
      </c>
      <c r="B220" s="34" t="s">
        <v>55</v>
      </c>
      <c r="C220" s="59">
        <v>400</v>
      </c>
      <c r="D220" s="71"/>
    </row>
    <row r="221" spans="1:4" ht="13.5" customHeight="1" x14ac:dyDescent="0.2">
      <c r="A221" s="126" t="s">
        <v>248</v>
      </c>
      <c r="B221" s="34" t="s">
        <v>211</v>
      </c>
      <c r="C221" s="68">
        <v>2831.42</v>
      </c>
      <c r="D221" s="71"/>
    </row>
    <row r="222" spans="1:4" ht="13.5" customHeight="1" x14ac:dyDescent="0.2">
      <c r="A222" s="126" t="s">
        <v>248</v>
      </c>
      <c r="B222" s="34" t="s">
        <v>136</v>
      </c>
      <c r="C222" s="59">
        <v>37.9</v>
      </c>
      <c r="D222" s="71"/>
    </row>
    <row r="223" spans="1:4" ht="13.5" customHeight="1" x14ac:dyDescent="0.2">
      <c r="A223" s="126" t="s">
        <v>248</v>
      </c>
      <c r="B223" s="34" t="s">
        <v>82</v>
      </c>
      <c r="C223" s="59">
        <v>811.99</v>
      </c>
      <c r="D223" s="71"/>
    </row>
    <row r="224" spans="1:4" ht="13.5" customHeight="1" x14ac:dyDescent="0.2">
      <c r="A224" s="126" t="s">
        <v>248</v>
      </c>
      <c r="B224" s="34" t="s">
        <v>18</v>
      </c>
      <c r="C224" s="59">
        <v>356.15</v>
      </c>
      <c r="D224" s="71"/>
    </row>
    <row r="225" spans="1:4" ht="13.5" customHeight="1" x14ac:dyDescent="0.2">
      <c r="A225" s="126" t="s">
        <v>248</v>
      </c>
      <c r="B225" s="34" t="s">
        <v>1572</v>
      </c>
      <c r="C225" s="68">
        <v>1150</v>
      </c>
      <c r="D225" s="68"/>
    </row>
    <row r="226" spans="1:4" ht="13.5" customHeight="1" x14ac:dyDescent="0.2">
      <c r="A226" s="126" t="s">
        <v>248</v>
      </c>
      <c r="B226" s="34" t="s">
        <v>114</v>
      </c>
      <c r="C226" s="59">
        <v>222.25</v>
      </c>
      <c r="D226" s="71"/>
    </row>
    <row r="227" spans="1:4" ht="13.5" customHeight="1" x14ac:dyDescent="0.2">
      <c r="A227" s="126"/>
      <c r="B227" s="34"/>
      <c r="C227" s="509">
        <f>SUM(C217:C226)</f>
        <v>8592.48</v>
      </c>
      <c r="D227" s="71"/>
    </row>
    <row r="228" spans="1:4" ht="13.5" customHeight="1" x14ac:dyDescent="0.2">
      <c r="A228" s="126"/>
      <c r="B228" s="34"/>
      <c r="C228" s="59"/>
      <c r="D228" s="71"/>
    </row>
    <row r="229" spans="1:4" ht="13.5" customHeight="1" x14ac:dyDescent="0.2">
      <c r="A229" s="126" t="s">
        <v>248</v>
      </c>
      <c r="B229" s="34" t="s">
        <v>1553</v>
      </c>
      <c r="C229" s="68">
        <v>5000</v>
      </c>
      <c r="D229" s="71"/>
    </row>
    <row r="230" spans="1:4" ht="13.5" customHeight="1" x14ac:dyDescent="0.2">
      <c r="A230" s="126" t="s">
        <v>248</v>
      </c>
      <c r="B230" s="237" t="s">
        <v>1589</v>
      </c>
      <c r="C230" s="68">
        <v>2000</v>
      </c>
      <c r="D230" s="68"/>
    </row>
    <row r="231" spans="1:4" ht="13.5" customHeight="1" x14ac:dyDescent="0.2">
      <c r="A231" s="126"/>
      <c r="B231" s="34"/>
      <c r="C231" s="509">
        <f>SUM(C229:C230)</f>
        <v>7000</v>
      </c>
      <c r="D231" s="68"/>
    </row>
    <row r="232" spans="1:4" ht="13.5" customHeight="1" x14ac:dyDescent="0.2">
      <c r="A232" s="126"/>
      <c r="B232" s="34"/>
      <c r="C232" s="68"/>
      <c r="D232" s="68"/>
    </row>
    <row r="233" spans="1:4" ht="13.5" customHeight="1" x14ac:dyDescent="0.2">
      <c r="A233" s="126" t="s">
        <v>249</v>
      </c>
      <c r="B233" s="21" t="s">
        <v>1445</v>
      </c>
      <c r="C233" s="510">
        <v>40</v>
      </c>
      <c r="D233" s="71"/>
    </row>
    <row r="234" spans="1:4" ht="13.5" customHeight="1" x14ac:dyDescent="0.2">
      <c r="A234" s="126"/>
      <c r="B234" s="21"/>
      <c r="C234" s="119"/>
      <c r="D234" s="71"/>
    </row>
    <row r="235" spans="1:4" ht="13.5" customHeight="1" x14ac:dyDescent="0.2">
      <c r="A235" s="126"/>
      <c r="B235" s="21"/>
      <c r="C235" s="119"/>
      <c r="D235" s="71"/>
    </row>
    <row r="236" spans="1:4" ht="13.5" customHeight="1" x14ac:dyDescent="0.2">
      <c r="A236" s="126" t="s">
        <v>250</v>
      </c>
      <c r="B236" s="34" t="s">
        <v>20</v>
      </c>
      <c r="C236" s="119">
        <v>-0.01</v>
      </c>
      <c r="D236" s="71"/>
    </row>
    <row r="237" spans="1:4" ht="13.5" customHeight="1" x14ac:dyDescent="0.2">
      <c r="A237" s="126" t="s">
        <v>250</v>
      </c>
      <c r="B237" s="34" t="s">
        <v>20</v>
      </c>
      <c r="C237" s="119">
        <v>-0.01</v>
      </c>
      <c r="D237" s="71"/>
    </row>
    <row r="238" spans="1:4" ht="13.5" customHeight="1" x14ac:dyDescent="0.2">
      <c r="A238" s="126" t="s">
        <v>250</v>
      </c>
      <c r="B238" s="34" t="s">
        <v>20</v>
      </c>
      <c r="C238" s="119">
        <v>-0.02</v>
      </c>
      <c r="D238" s="71"/>
    </row>
    <row r="239" spans="1:4" ht="13.5" customHeight="1" x14ac:dyDescent="0.2">
      <c r="A239" s="126" t="s">
        <v>250</v>
      </c>
      <c r="B239" s="34" t="s">
        <v>20</v>
      </c>
      <c r="C239" s="119">
        <v>-0.02</v>
      </c>
      <c r="D239" s="71"/>
    </row>
    <row r="240" spans="1:4" ht="13.5" customHeight="1" x14ac:dyDescent="0.2">
      <c r="A240" s="126" t="s">
        <v>250</v>
      </c>
      <c r="B240" s="34" t="s">
        <v>20</v>
      </c>
      <c r="C240" s="119">
        <v>-0.05</v>
      </c>
      <c r="D240" s="71"/>
    </row>
    <row r="241" spans="1:4" ht="13.5" customHeight="1" x14ac:dyDescent="0.2">
      <c r="A241" s="126" t="s">
        <v>250</v>
      </c>
      <c r="B241" s="34" t="s">
        <v>20</v>
      </c>
      <c r="C241" s="119">
        <v>-0.11</v>
      </c>
      <c r="D241" s="71"/>
    </row>
    <row r="242" spans="1:4" ht="13.5" customHeight="1" x14ac:dyDescent="0.2">
      <c r="A242" s="126" t="s">
        <v>250</v>
      </c>
      <c r="B242" s="34" t="s">
        <v>20</v>
      </c>
      <c r="C242" s="119">
        <v>-0.02</v>
      </c>
      <c r="D242" s="71"/>
    </row>
    <row r="243" spans="1:4" ht="13.5" customHeight="1" x14ac:dyDescent="0.2">
      <c r="A243" s="126" t="s">
        <v>250</v>
      </c>
      <c r="B243" s="34" t="s">
        <v>86</v>
      </c>
      <c r="C243" s="110">
        <v>85</v>
      </c>
      <c r="D243" s="25"/>
    </row>
    <row r="244" spans="1:4" ht="13.5" customHeight="1" x14ac:dyDescent="0.2">
      <c r="A244" s="126" t="s">
        <v>250</v>
      </c>
      <c r="B244" s="34" t="s">
        <v>86</v>
      </c>
      <c r="C244" s="110">
        <v>72.900000000000006</v>
      </c>
      <c r="D244" s="25"/>
    </row>
    <row r="245" spans="1:4" ht="13.5" customHeight="1" x14ac:dyDescent="0.2">
      <c r="A245" s="126" t="s">
        <v>250</v>
      </c>
      <c r="B245" s="34" t="s">
        <v>86</v>
      </c>
      <c r="C245" s="110">
        <v>40.58</v>
      </c>
      <c r="D245" s="25"/>
    </row>
    <row r="246" spans="1:4" ht="13.5" customHeight="1" x14ac:dyDescent="0.2">
      <c r="A246" s="126" t="s">
        <v>250</v>
      </c>
      <c r="B246" s="34" t="s">
        <v>86</v>
      </c>
      <c r="C246" s="110">
        <v>12.5</v>
      </c>
      <c r="D246" s="25"/>
    </row>
    <row r="247" spans="1:4" ht="13.5" customHeight="1" x14ac:dyDescent="0.2">
      <c r="A247" s="126" t="s">
        <v>250</v>
      </c>
      <c r="B247" s="34" t="s">
        <v>86</v>
      </c>
      <c r="C247" s="110">
        <v>11.27</v>
      </c>
      <c r="D247" s="25"/>
    </row>
    <row r="248" spans="1:4" ht="13.5" customHeight="1" x14ac:dyDescent="0.2">
      <c r="A248" s="126" t="s">
        <v>250</v>
      </c>
      <c r="B248" s="34" t="s">
        <v>86</v>
      </c>
      <c r="C248" s="110">
        <v>1.1299999999999999</v>
      </c>
      <c r="D248" s="25"/>
    </row>
    <row r="249" spans="1:4" ht="13.5" customHeight="1" x14ac:dyDescent="0.2">
      <c r="A249" s="126" t="s">
        <v>250</v>
      </c>
      <c r="B249" s="34" t="s">
        <v>86</v>
      </c>
      <c r="C249" s="110">
        <v>0.12</v>
      </c>
      <c r="D249" s="25"/>
    </row>
    <row r="250" spans="1:4" ht="13.5" customHeight="1" x14ac:dyDescent="0.2">
      <c r="A250" s="126" t="s">
        <v>250</v>
      </c>
      <c r="B250" s="36" t="s">
        <v>86</v>
      </c>
      <c r="C250" s="110">
        <v>0.02</v>
      </c>
      <c r="D250" s="25"/>
    </row>
    <row r="251" spans="1:4" ht="13.5" customHeight="1" x14ac:dyDescent="0.2">
      <c r="A251" s="126"/>
      <c r="B251" s="34"/>
      <c r="C251" s="509">
        <f>SUM(C236:C250)</f>
        <v>223.28000000000003</v>
      </c>
      <c r="D251" s="71">
        <f>C251/2</f>
        <v>111.64000000000001</v>
      </c>
    </row>
    <row r="252" spans="1:4" ht="13.5" customHeight="1" x14ac:dyDescent="0.2">
      <c r="A252" s="126"/>
      <c r="B252" s="34"/>
      <c r="C252" s="119"/>
      <c r="D252" s="71"/>
    </row>
    <row r="253" spans="1:4" ht="13.5" customHeight="1" x14ac:dyDescent="0.2">
      <c r="A253" s="126" t="s">
        <v>251</v>
      </c>
      <c r="B253" s="237" t="s">
        <v>1590</v>
      </c>
      <c r="C253" s="509">
        <v>253.59</v>
      </c>
      <c r="D253" s="511">
        <f>SUM(C253/2)</f>
        <v>126.795</v>
      </c>
    </row>
    <row r="254" spans="1:4" ht="13.5" customHeight="1" x14ac:dyDescent="0.2">
      <c r="A254" s="126"/>
      <c r="B254" s="237"/>
      <c r="C254" s="68"/>
      <c r="D254" s="68"/>
    </row>
    <row r="255" spans="1:4" ht="13.5" customHeight="1" x14ac:dyDescent="0.2">
      <c r="A255" s="126"/>
      <c r="B255" s="237"/>
      <c r="C255" s="68"/>
      <c r="D255" s="68"/>
    </row>
    <row r="256" spans="1:4" ht="13.5" customHeight="1" x14ac:dyDescent="0.2">
      <c r="A256" s="126" t="s">
        <v>421</v>
      </c>
      <c r="B256" s="34" t="s">
        <v>1483</v>
      </c>
      <c r="C256" s="59">
        <v>215.89</v>
      </c>
      <c r="D256" s="71"/>
    </row>
    <row r="257" spans="1:6" ht="13.5" customHeight="1" x14ac:dyDescent="0.2">
      <c r="A257" s="126" t="s">
        <v>421</v>
      </c>
      <c r="B257" s="34" t="s">
        <v>1578</v>
      </c>
      <c r="C257" s="68">
        <v>200</v>
      </c>
      <c r="D257" s="68"/>
    </row>
    <row r="258" spans="1:6" ht="13.5" customHeight="1" x14ac:dyDescent="0.2">
      <c r="A258" s="126" t="s">
        <v>421</v>
      </c>
      <c r="B258" s="34" t="s">
        <v>1538</v>
      </c>
      <c r="C258" s="59">
        <v>700</v>
      </c>
      <c r="D258" s="71"/>
    </row>
    <row r="259" spans="1:6" ht="13.5" customHeight="1" x14ac:dyDescent="0.2">
      <c r="A259" s="126" t="s">
        <v>421</v>
      </c>
      <c r="B259" s="34" t="s">
        <v>1252</v>
      </c>
      <c r="C259" s="59">
        <v>1060</v>
      </c>
      <c r="D259" s="71"/>
    </row>
    <row r="260" spans="1:6" ht="13.5" customHeight="1" x14ac:dyDescent="0.2">
      <c r="A260" s="126" t="s">
        <v>421</v>
      </c>
      <c r="B260" s="34" t="s">
        <v>1414</v>
      </c>
      <c r="C260" s="119">
        <v>3</v>
      </c>
      <c r="D260" s="71"/>
    </row>
    <row r="261" spans="1:6" ht="13.5" customHeight="1" x14ac:dyDescent="0.2">
      <c r="A261" s="126" t="s">
        <v>421</v>
      </c>
      <c r="B261" s="34" t="s">
        <v>1567</v>
      </c>
      <c r="C261" s="68">
        <v>111</v>
      </c>
      <c r="D261" s="68"/>
    </row>
    <row r="262" spans="1:6" ht="13.5" customHeight="1" x14ac:dyDescent="0.2">
      <c r="A262" s="126" t="s">
        <v>421</v>
      </c>
      <c r="B262" s="34" t="s">
        <v>1502</v>
      </c>
      <c r="C262" s="59">
        <v>128.25</v>
      </c>
      <c r="D262" s="71"/>
    </row>
    <row r="263" spans="1:6" ht="13.5" customHeight="1" x14ac:dyDescent="0.2">
      <c r="A263" s="126" t="s">
        <v>421</v>
      </c>
      <c r="B263" s="34" t="s">
        <v>1579</v>
      </c>
      <c r="C263" s="68">
        <v>56.78</v>
      </c>
      <c r="D263" s="68"/>
    </row>
    <row r="264" spans="1:6" ht="13.5" customHeight="1" x14ac:dyDescent="0.2">
      <c r="A264" s="126" t="s">
        <v>421</v>
      </c>
      <c r="B264" s="34" t="s">
        <v>1471</v>
      </c>
      <c r="C264" s="59">
        <v>30</v>
      </c>
      <c r="D264" s="71"/>
    </row>
    <row r="265" spans="1:6" ht="13.5" customHeight="1" x14ac:dyDescent="0.2">
      <c r="A265" s="126" t="s">
        <v>421</v>
      </c>
      <c r="B265" s="36" t="s">
        <v>1540</v>
      </c>
      <c r="C265" s="59">
        <v>270</v>
      </c>
      <c r="D265" s="71"/>
    </row>
    <row r="266" spans="1:6" ht="13.5" customHeight="1" x14ac:dyDescent="0.2">
      <c r="A266" s="126" t="s">
        <v>421</v>
      </c>
      <c r="B266" s="34" t="s">
        <v>1485</v>
      </c>
      <c r="C266" s="59">
        <v>100</v>
      </c>
      <c r="D266" s="71"/>
    </row>
    <row r="267" spans="1:6" ht="13.5" customHeight="1" x14ac:dyDescent="0.2">
      <c r="B267" s="49"/>
      <c r="C267" s="509">
        <f>SUM(C256:C266)</f>
        <v>2874.92</v>
      </c>
      <c r="D267" s="122"/>
      <c r="F267" s="18">
        <f>SUM(C267,C253,C251,C233,C231,C227,C215,C211,C186,C136,C112,C107,C102,C98,C78,C72,C53,C47,C42)-SUM(D26,D21)</f>
        <v>-2575.5600000000049</v>
      </c>
    </row>
    <row r="268" spans="1:6" ht="13.5" customHeight="1" x14ac:dyDescent="0.2">
      <c r="B268" s="36"/>
      <c r="C268" s="59"/>
      <c r="D268" s="71"/>
    </row>
    <row r="269" spans="1:6" ht="13.5" customHeight="1" x14ac:dyDescent="0.2">
      <c r="B269" s="357"/>
      <c r="C269" s="179"/>
      <c r="D269" s="122"/>
    </row>
    <row r="270" spans="1:6" ht="13.5" customHeight="1" x14ac:dyDescent="0.2">
      <c r="B270" s="208"/>
      <c r="C270" s="423"/>
      <c r="D270" s="423"/>
    </row>
    <row r="271" spans="1:6" ht="13.5" customHeight="1" x14ac:dyDescent="0.2">
      <c r="B271" s="78"/>
      <c r="C271" s="424"/>
      <c r="D271" s="424"/>
    </row>
    <row r="272" spans="1:6" ht="13.5" customHeight="1" x14ac:dyDescent="0.2">
      <c r="B272" s="63"/>
      <c r="C272" s="13"/>
      <c r="D272" s="13"/>
    </row>
    <row r="273" spans="2:4" ht="13.5" customHeight="1" x14ac:dyDescent="0.2">
      <c r="B273" s="63"/>
      <c r="C273" s="13"/>
      <c r="D273" s="13"/>
    </row>
    <row r="274" spans="2:4" ht="13.5" customHeight="1" x14ac:dyDescent="0.2">
      <c r="B274" s="63"/>
      <c r="C274" s="424"/>
      <c r="D274" s="424"/>
    </row>
    <row r="275" spans="2:4" ht="13.5" customHeight="1" x14ac:dyDescent="0.2">
      <c r="B275" s="78"/>
      <c r="C275" s="424"/>
      <c r="D275" s="424"/>
    </row>
    <row r="276" spans="2:4" ht="13.5" customHeight="1" x14ac:dyDescent="0.2">
      <c r="B276" s="78"/>
      <c r="C276" s="424"/>
      <c r="D276" s="424"/>
    </row>
    <row r="277" spans="2:4" ht="13.5" customHeight="1" x14ac:dyDescent="0.2">
      <c r="B277" s="78"/>
      <c r="C277" s="424"/>
      <c r="D277" s="424"/>
    </row>
    <row r="278" spans="2:4" ht="13.5" customHeight="1" x14ac:dyDescent="0.2">
      <c r="B278" s="81"/>
      <c r="C278" s="13"/>
      <c r="D278" s="13"/>
    </row>
    <row r="279" spans="2:4" ht="13.5" customHeight="1" x14ac:dyDescent="0.2">
      <c r="B279" s="78"/>
      <c r="C279" s="424"/>
      <c r="D279" s="424"/>
    </row>
    <row r="280" spans="2:4" ht="13.5" customHeight="1" x14ac:dyDescent="0.2">
      <c r="B280" s="78"/>
      <c r="C280" s="424"/>
      <c r="D280" s="424"/>
    </row>
    <row r="281" spans="2:4" ht="13.5" customHeight="1" x14ac:dyDescent="0.2">
      <c r="B281" s="78"/>
      <c r="C281" s="424"/>
      <c r="D281" s="424"/>
    </row>
    <row r="282" spans="2:4" ht="13.5" customHeight="1" x14ac:dyDescent="0.2">
      <c r="B282" s="78"/>
      <c r="C282" s="424"/>
      <c r="D282" s="424"/>
    </row>
    <row r="283" spans="2:4" ht="13.5" customHeight="1" x14ac:dyDescent="0.2">
      <c r="B283" s="78"/>
      <c r="C283" s="424"/>
      <c r="D283" s="424"/>
    </row>
    <row r="284" spans="2:4" ht="13.5" customHeight="1" x14ac:dyDescent="0.2">
      <c r="B284" s="78"/>
      <c r="C284" s="424"/>
      <c r="D284" s="424"/>
    </row>
    <row r="285" spans="2:4" ht="13.5" customHeight="1" x14ac:dyDescent="0.2">
      <c r="B285" s="78"/>
      <c r="C285" s="424"/>
      <c r="D285" s="424"/>
    </row>
    <row r="286" spans="2:4" ht="13.5" customHeight="1" x14ac:dyDescent="0.2">
      <c r="B286" s="78"/>
      <c r="C286" s="424"/>
      <c r="D286" s="424"/>
    </row>
    <row r="287" spans="2:4" ht="13.5" customHeight="1" x14ac:dyDescent="0.2">
      <c r="B287" s="63"/>
      <c r="C287" s="82"/>
      <c r="D287" s="13"/>
    </row>
    <row r="288" spans="2:4" ht="13.5" customHeight="1" x14ac:dyDescent="0.2">
      <c r="B288" s="63"/>
      <c r="C288" s="82"/>
      <c r="D288" s="13"/>
    </row>
    <row r="289" spans="2:4" ht="13.5" customHeight="1" x14ac:dyDescent="0.2">
      <c r="B289" s="63"/>
      <c r="C289" s="82"/>
      <c r="D289" s="13"/>
    </row>
    <row r="290" spans="2:4" ht="13.5" customHeight="1" x14ac:dyDescent="0.2">
      <c r="B290" s="63"/>
      <c r="C290" s="82"/>
      <c r="D290" s="13"/>
    </row>
    <row r="291" spans="2:4" ht="13.5" customHeight="1" x14ac:dyDescent="0.2">
      <c r="B291" s="63"/>
      <c r="C291" s="82"/>
      <c r="D291" s="13"/>
    </row>
    <row r="292" spans="2:4" ht="13.5" customHeight="1" x14ac:dyDescent="0.2">
      <c r="B292" s="63"/>
      <c r="C292" s="82"/>
      <c r="D292" s="13"/>
    </row>
    <row r="293" spans="2:4" ht="13.5" customHeight="1" x14ac:dyDescent="0.2">
      <c r="B293" s="63"/>
      <c r="C293" s="82"/>
      <c r="D293" s="13"/>
    </row>
    <row r="294" spans="2:4" ht="13.5" customHeight="1" x14ac:dyDescent="0.2">
      <c r="B294" s="63"/>
      <c r="C294" s="82"/>
      <c r="D294" s="13"/>
    </row>
    <row r="295" spans="2:4" ht="13.5" customHeight="1" x14ac:dyDescent="0.2">
      <c r="B295" s="63"/>
      <c r="C295" s="82"/>
      <c r="D295" s="13"/>
    </row>
    <row r="296" spans="2:4" ht="13.5" customHeight="1" x14ac:dyDescent="0.2">
      <c r="B296" s="63"/>
      <c r="C296" s="82"/>
      <c r="D296" s="13"/>
    </row>
    <row r="297" spans="2:4" ht="13.5" customHeight="1" x14ac:dyDescent="0.2">
      <c r="B297" s="63"/>
      <c r="C297" s="82"/>
      <c r="D297" s="13"/>
    </row>
    <row r="298" spans="2:4" ht="13.5" customHeight="1" x14ac:dyDescent="0.2">
      <c r="B298" s="63"/>
      <c r="C298" s="82"/>
      <c r="D298" s="13"/>
    </row>
    <row r="299" spans="2:4" ht="13.5" customHeight="1" x14ac:dyDescent="0.2">
      <c r="B299" s="63"/>
      <c r="C299" s="82"/>
      <c r="D299" s="13"/>
    </row>
    <row r="300" spans="2:4" ht="13.5" customHeight="1" x14ac:dyDescent="0.2">
      <c r="B300" s="63"/>
      <c r="C300" s="82"/>
      <c r="D300" s="13"/>
    </row>
    <row r="301" spans="2:4" ht="13.5" customHeight="1" x14ac:dyDescent="0.2">
      <c r="B301" s="63"/>
      <c r="C301" s="82"/>
      <c r="D301" s="13"/>
    </row>
    <row r="302" spans="2:4" ht="13.5" customHeight="1" x14ac:dyDescent="0.2">
      <c r="B302" s="63"/>
      <c r="C302" s="82"/>
      <c r="D302" s="13"/>
    </row>
    <row r="303" spans="2:4" ht="13.5" customHeight="1" x14ac:dyDescent="0.2">
      <c r="B303" s="63"/>
      <c r="C303" s="82"/>
      <c r="D303" s="13"/>
    </row>
    <row r="304" spans="2:4" ht="13.5" customHeight="1" x14ac:dyDescent="0.2">
      <c r="B304" s="63"/>
      <c r="C304" s="82"/>
      <c r="D304" s="13"/>
    </row>
    <row r="305" spans="2:4" ht="13.5" customHeight="1" x14ac:dyDescent="0.2">
      <c r="B305" s="63"/>
      <c r="C305" s="82"/>
      <c r="D305" s="13"/>
    </row>
    <row r="306" spans="2:4" ht="13.5" customHeight="1" x14ac:dyDescent="0.2">
      <c r="B306" s="63"/>
      <c r="C306" s="82"/>
      <c r="D306" s="13"/>
    </row>
    <row r="307" spans="2:4" ht="13.5" customHeight="1" x14ac:dyDescent="0.2">
      <c r="B307" s="63"/>
      <c r="C307" s="82"/>
      <c r="D307" s="13"/>
    </row>
    <row r="308" spans="2:4" ht="13.5" customHeight="1" x14ac:dyDescent="0.2">
      <c r="B308" s="63"/>
      <c r="C308" s="82"/>
      <c r="D308" s="13"/>
    </row>
    <row r="309" spans="2:4" ht="13.5" customHeight="1" x14ac:dyDescent="0.2">
      <c r="B309" s="63"/>
      <c r="C309" s="82"/>
      <c r="D309" s="13"/>
    </row>
    <row r="310" spans="2:4" ht="13.5" customHeight="1" x14ac:dyDescent="0.2">
      <c r="B310" s="63"/>
      <c r="C310" s="82"/>
      <c r="D310" s="13"/>
    </row>
    <row r="311" spans="2:4" ht="13.5" customHeight="1" x14ac:dyDescent="0.2">
      <c r="B311" s="63"/>
      <c r="C311" s="82"/>
      <c r="D311" s="13"/>
    </row>
    <row r="312" spans="2:4" ht="13.5" customHeight="1" x14ac:dyDescent="0.2">
      <c r="B312" s="63"/>
      <c r="C312" s="82"/>
      <c r="D312" s="13"/>
    </row>
    <row r="313" spans="2:4" ht="13.5" customHeight="1" x14ac:dyDescent="0.2">
      <c r="B313" s="63"/>
      <c r="C313" s="82"/>
      <c r="D313" s="13"/>
    </row>
    <row r="314" spans="2:4" ht="13.5" customHeight="1" x14ac:dyDescent="0.2">
      <c r="B314" s="63"/>
      <c r="C314" s="82"/>
      <c r="D314" s="13"/>
    </row>
    <row r="315" spans="2:4" ht="13.5" customHeight="1" x14ac:dyDescent="0.2">
      <c r="B315" s="63"/>
      <c r="C315" s="82"/>
      <c r="D315" s="13"/>
    </row>
    <row r="316" spans="2:4" ht="13.5" customHeight="1" x14ac:dyDescent="0.2">
      <c r="B316" s="63"/>
      <c r="C316" s="82"/>
      <c r="D316" s="13"/>
    </row>
    <row r="317" spans="2:4" ht="13.5" customHeight="1" x14ac:dyDescent="0.2">
      <c r="B317" s="63"/>
      <c r="C317" s="82"/>
      <c r="D317" s="13"/>
    </row>
    <row r="318" spans="2:4" ht="13.5" customHeight="1" x14ac:dyDescent="0.2">
      <c r="B318" s="63"/>
      <c r="C318" s="82"/>
      <c r="D318" s="13"/>
    </row>
    <row r="319" spans="2:4" ht="13.5" customHeight="1" x14ac:dyDescent="0.2">
      <c r="B319" s="63"/>
      <c r="C319" s="82"/>
      <c r="D319" s="13"/>
    </row>
    <row r="320" spans="2:4" ht="13.5" customHeight="1" x14ac:dyDescent="0.2">
      <c r="B320" s="63"/>
      <c r="C320" s="82"/>
      <c r="D320" s="13"/>
    </row>
    <row r="321" spans="2:4" ht="13.5" customHeight="1" x14ac:dyDescent="0.2">
      <c r="B321" s="63"/>
      <c r="C321" s="82"/>
      <c r="D321" s="13"/>
    </row>
    <row r="322" spans="2:4" ht="13.5" customHeight="1" x14ac:dyDescent="0.2">
      <c r="B322" s="63"/>
      <c r="C322" s="82"/>
      <c r="D322" s="13"/>
    </row>
    <row r="323" spans="2:4" ht="13.5" customHeight="1" x14ac:dyDescent="0.2">
      <c r="B323" s="63"/>
      <c r="C323" s="82"/>
      <c r="D323" s="13"/>
    </row>
    <row r="324" spans="2:4" ht="13.5" customHeight="1" x14ac:dyDescent="0.2">
      <c r="B324" s="63"/>
      <c r="C324" s="82"/>
      <c r="D324" s="13"/>
    </row>
    <row r="325" spans="2:4" ht="13.5" customHeight="1" x14ac:dyDescent="0.2">
      <c r="B325" s="63"/>
      <c r="C325" s="82"/>
      <c r="D325" s="13"/>
    </row>
    <row r="326" spans="2:4" ht="13.5" customHeight="1" x14ac:dyDescent="0.2">
      <c r="B326" s="63"/>
      <c r="C326" s="82"/>
      <c r="D326" s="13"/>
    </row>
    <row r="327" spans="2:4" ht="13.5" customHeight="1" x14ac:dyDescent="0.2">
      <c r="B327" s="63"/>
      <c r="C327" s="83"/>
      <c r="D327" s="13"/>
    </row>
    <row r="328" spans="2:4" ht="13.5" customHeight="1" x14ac:dyDescent="0.2">
      <c r="B328" s="63"/>
      <c r="C328" s="83"/>
      <c r="D328" s="13"/>
    </row>
    <row r="329" spans="2:4" ht="13.5" customHeight="1" x14ac:dyDescent="0.2">
      <c r="B329" s="64"/>
      <c r="C329" s="425"/>
      <c r="D329" s="13"/>
    </row>
    <row r="330" spans="2:4" ht="13.5" customHeight="1" x14ac:dyDescent="0.2">
      <c r="B330" s="63"/>
      <c r="C330" s="83"/>
      <c r="D330" s="13"/>
    </row>
    <row r="331" spans="2:4" ht="13.5" customHeight="1" x14ac:dyDescent="0.2">
      <c r="B331" s="63"/>
      <c r="C331" s="83"/>
      <c r="D331" s="13"/>
    </row>
    <row r="332" spans="2:4" ht="13.5" customHeight="1" x14ac:dyDescent="0.2">
      <c r="B332" s="85"/>
      <c r="C332" s="83"/>
      <c r="D332" s="13"/>
    </row>
    <row r="333" spans="2:4" ht="13.5" customHeight="1" x14ac:dyDescent="0.2">
      <c r="B333" s="63"/>
      <c r="C333" s="83"/>
      <c r="D333" s="13"/>
    </row>
    <row r="334" spans="2:4" ht="13.5" customHeight="1" x14ac:dyDescent="0.2">
      <c r="B334" s="63"/>
      <c r="C334" s="425"/>
      <c r="D334" s="13"/>
    </row>
    <row r="335" spans="2:4" ht="13.5" customHeight="1" x14ac:dyDescent="0.2">
      <c r="B335" s="64"/>
      <c r="C335" s="83"/>
      <c r="D335" s="13"/>
    </row>
    <row r="336" spans="2:4" ht="13.5" customHeight="1" x14ac:dyDescent="0.2">
      <c r="B336" s="63"/>
      <c r="C336" s="83"/>
      <c r="D336" s="13"/>
    </row>
    <row r="337" spans="2:4" ht="13.5" customHeight="1" x14ac:dyDescent="0.2">
      <c r="B337" s="63"/>
      <c r="C337" s="425"/>
      <c r="D337" s="13"/>
    </row>
    <row r="338" spans="2:4" ht="13.5" customHeight="1" x14ac:dyDescent="0.2">
      <c r="B338" s="64"/>
      <c r="C338" s="425"/>
      <c r="D338" s="13"/>
    </row>
    <row r="339" spans="2:4" ht="13.5" customHeight="1" x14ac:dyDescent="0.2">
      <c r="B339" s="63"/>
      <c r="C339" s="83"/>
      <c r="D339" s="13"/>
    </row>
    <row r="340" spans="2:4" ht="13.5" customHeight="1" x14ac:dyDescent="0.2">
      <c r="B340" s="63"/>
      <c r="C340" s="425"/>
      <c r="D340" s="13"/>
    </row>
    <row r="341" spans="2:4" ht="13.5" customHeight="1" x14ac:dyDescent="0.2">
      <c r="B341" s="64"/>
      <c r="C341" s="425"/>
      <c r="D341" s="13"/>
    </row>
    <row r="342" spans="2:4" ht="13.5" customHeight="1" x14ac:dyDescent="0.2">
      <c r="B342" s="63"/>
      <c r="C342" s="83"/>
      <c r="D342" s="13"/>
    </row>
    <row r="343" spans="2:4" ht="13.5" customHeight="1" x14ac:dyDescent="0.2">
      <c r="B343" s="63"/>
      <c r="C343" s="83"/>
      <c r="D343" s="13"/>
    </row>
    <row r="344" spans="2:4" ht="13.5" customHeight="1" x14ac:dyDescent="0.2">
      <c r="B344" s="63"/>
      <c r="C344" s="82"/>
      <c r="D344" s="13"/>
    </row>
    <row r="345" spans="2:4" ht="13.5" customHeight="1" x14ac:dyDescent="0.2">
      <c r="B345" s="86"/>
      <c r="C345" s="82"/>
      <c r="D345" s="13"/>
    </row>
    <row r="346" spans="2:4" ht="13.5" customHeight="1" x14ac:dyDescent="0.2">
      <c r="B346" s="85"/>
      <c r="C346" s="82"/>
      <c r="D346" s="13"/>
    </row>
    <row r="347" spans="2:4" ht="13.5" customHeight="1" x14ac:dyDescent="0.2">
      <c r="B347" s="87"/>
      <c r="C347" s="82"/>
      <c r="D347" s="13"/>
    </row>
    <row r="348" spans="2:4" ht="13.5" customHeight="1" x14ac:dyDescent="0.2">
      <c r="B348" s="88"/>
      <c r="C348" s="82"/>
      <c r="D348" s="13"/>
    </row>
    <row r="349" spans="2:4" ht="13.5" customHeight="1" x14ac:dyDescent="0.2">
      <c r="B349" s="56"/>
      <c r="C349" s="89"/>
      <c r="D349" s="12"/>
    </row>
    <row r="350" spans="2:4" ht="13.5" customHeight="1" x14ac:dyDescent="0.2">
      <c r="B350" s="56"/>
      <c r="C350" s="90"/>
      <c r="D350" s="12"/>
    </row>
    <row r="351" spans="2:4" ht="13.5" customHeight="1" x14ac:dyDescent="0.2">
      <c r="B351" s="56"/>
      <c r="C351" s="89"/>
      <c r="D351" s="12"/>
    </row>
    <row r="352" spans="2:4" ht="13.5" customHeight="1" x14ac:dyDescent="0.2">
      <c r="C352" s="89"/>
      <c r="D352" s="12"/>
    </row>
    <row r="353" spans="2:4" ht="13.5" customHeight="1" x14ac:dyDescent="0.2">
      <c r="B353" s="56"/>
      <c r="C353" s="90"/>
      <c r="D353" s="12"/>
    </row>
    <row r="354" spans="2:4" ht="13.5" customHeight="1" x14ac:dyDescent="0.2">
      <c r="B354" s="56"/>
      <c r="C354" s="90"/>
      <c r="D354" s="12"/>
    </row>
    <row r="355" spans="2:4" ht="13.5" customHeight="1" x14ac:dyDescent="0.2">
      <c r="B355" s="56"/>
      <c r="C355" s="90"/>
      <c r="D355" s="12"/>
    </row>
    <row r="356" spans="2:4" ht="13.5" customHeight="1" x14ac:dyDescent="0.2">
      <c r="B356" s="27"/>
      <c r="C356" s="426"/>
      <c r="D356" s="12"/>
    </row>
    <row r="357" spans="2:4" ht="13.5" customHeight="1" x14ac:dyDescent="0.2">
      <c r="B357" s="27"/>
      <c r="C357" s="90"/>
      <c r="D357" s="12"/>
    </row>
    <row r="358" spans="2:4" ht="13.5" customHeight="1" x14ac:dyDescent="0.2">
      <c r="C358" s="426"/>
      <c r="D358" s="12"/>
    </row>
    <row r="359" spans="2:4" ht="13.5" customHeight="1" x14ac:dyDescent="0.2">
      <c r="B359" s="56"/>
      <c r="C359" s="89"/>
      <c r="D359" s="12"/>
    </row>
    <row r="360" spans="2:4" ht="13.5" customHeight="1" x14ac:dyDescent="0.2">
      <c r="B360" s="56"/>
      <c r="C360" s="89"/>
      <c r="D360" s="12"/>
    </row>
    <row r="361" spans="2:4" ht="13.5" customHeight="1" x14ac:dyDescent="0.2">
      <c r="B361" s="56"/>
      <c r="C361" s="89"/>
      <c r="D361" s="12"/>
    </row>
    <row r="362" spans="2:4" ht="13.5" customHeight="1" x14ac:dyDescent="0.2">
      <c r="B362" s="56"/>
      <c r="C362" s="89"/>
      <c r="D362" s="12"/>
    </row>
    <row r="363" spans="2:4" ht="13.5" customHeight="1" x14ac:dyDescent="0.2">
      <c r="B363" s="94"/>
      <c r="C363" s="427"/>
      <c r="D363" s="30"/>
    </row>
    <row r="364" spans="2:4" ht="13.5" customHeight="1" x14ac:dyDescent="0.2"/>
    <row r="365" spans="2:4" ht="13.5" customHeight="1" x14ac:dyDescent="0.2"/>
    <row r="366" spans="2:4" ht="13.5" customHeight="1" x14ac:dyDescent="0.2"/>
    <row r="367" spans="2:4" ht="13.5" customHeight="1" x14ac:dyDescent="0.2"/>
    <row r="368" spans="2:4" ht="13.5" customHeight="1" x14ac:dyDescent="0.2"/>
    <row r="369" ht="13.5" customHeight="1" x14ac:dyDescent="0.2"/>
    <row r="370" ht="13.5" customHeight="1" x14ac:dyDescent="0.2"/>
    <row r="371" ht="13.5" customHeight="1" x14ac:dyDescent="0.2"/>
    <row r="372" ht="13.5" customHeight="1" x14ac:dyDescent="0.2"/>
    <row r="373" ht="13.5" customHeight="1" x14ac:dyDescent="0.2"/>
    <row r="374" ht="13.5" customHeight="1" x14ac:dyDescent="0.2"/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M352"/>
  <sheetViews>
    <sheetView topLeftCell="F241" zoomScale="80" zoomScaleNormal="80" workbookViewId="0">
      <selection activeCell="L251" sqref="L251:N259"/>
    </sheetView>
  </sheetViews>
  <sheetFormatPr defaultColWidth="9" defaultRowHeight="12.75" x14ac:dyDescent="0.2"/>
  <cols>
    <col min="1" max="1" width="14" style="1" customWidth="1"/>
    <col min="2" max="2" width="1.875" style="1" customWidth="1"/>
    <col min="3" max="3" width="99.875" style="1" customWidth="1"/>
    <col min="4" max="4" width="12" style="1" customWidth="1"/>
    <col min="5" max="5" width="12.375" style="1" customWidth="1"/>
    <col min="6" max="6" width="10.75" style="1" customWidth="1"/>
    <col min="7" max="7" width="11.875" style="1" customWidth="1"/>
    <col min="8" max="9" width="10.75" style="18" customWidth="1"/>
    <col min="10" max="10" width="10.875" style="66" customWidth="1"/>
    <col min="11" max="11" width="9" style="1"/>
    <col min="12" max="12" width="10.25" style="1" customWidth="1"/>
    <col min="13" max="16384" width="9" style="1"/>
  </cols>
  <sheetData>
    <row r="1" spans="1:10" ht="13.5" customHeight="1" thickBot="1" x14ac:dyDescent="0.25">
      <c r="A1" s="1407" t="s">
        <v>1591</v>
      </c>
      <c r="B1" s="1407"/>
      <c r="C1" s="1408"/>
      <c r="D1" s="1409" t="s">
        <v>0</v>
      </c>
      <c r="E1" s="1410"/>
      <c r="F1" s="1410"/>
      <c r="G1" s="1411"/>
      <c r="H1" s="1412" t="s">
        <v>1</v>
      </c>
      <c r="I1" s="1413"/>
      <c r="J1" s="1414"/>
    </row>
    <row r="2" spans="1:10" ht="13.5" customHeight="1" thickBot="1" x14ac:dyDescent="0.25">
      <c r="A2" s="2" t="s">
        <v>2</v>
      </c>
      <c r="B2" s="3"/>
      <c r="C2" s="3" t="s">
        <v>3</v>
      </c>
      <c r="D2" s="3" t="s">
        <v>4</v>
      </c>
      <c r="E2" s="3" t="s">
        <v>5</v>
      </c>
      <c r="F2" s="3" t="s">
        <v>6</v>
      </c>
      <c r="G2" s="5" t="s">
        <v>7</v>
      </c>
      <c r="H2" s="6" t="s">
        <v>5</v>
      </c>
      <c r="I2" s="4" t="s">
        <v>6</v>
      </c>
      <c r="J2" s="7" t="s">
        <v>7</v>
      </c>
    </row>
    <row r="3" spans="1:10" ht="13.5" customHeight="1" x14ac:dyDescent="0.2">
      <c r="A3" s="8">
        <v>43497</v>
      </c>
      <c r="B3" s="9"/>
      <c r="C3" s="10" t="s">
        <v>8</v>
      </c>
      <c r="D3" s="11"/>
      <c r="E3" s="12"/>
      <c r="F3" s="13"/>
      <c r="G3" s="14">
        <v>223.2</v>
      </c>
      <c r="H3" s="15"/>
      <c r="I3" s="16"/>
      <c r="J3" s="17">
        <v>2446.8899999999994</v>
      </c>
    </row>
    <row r="4" spans="1:10" ht="13.5" customHeight="1" x14ac:dyDescent="0.2">
      <c r="A4" s="19">
        <v>43525</v>
      </c>
      <c r="B4" s="46"/>
      <c r="C4" s="34" t="s">
        <v>1592</v>
      </c>
      <c r="D4" s="42"/>
      <c r="E4" s="43"/>
      <c r="F4" s="43"/>
      <c r="G4" s="23"/>
      <c r="H4" s="24">
        <v>650</v>
      </c>
      <c r="I4" s="25"/>
      <c r="J4" s="26"/>
    </row>
    <row r="5" spans="1:10" ht="13.5" customHeight="1" x14ac:dyDescent="0.2">
      <c r="A5" s="19"/>
      <c r="B5" s="20"/>
      <c r="C5" s="34" t="s">
        <v>1593</v>
      </c>
      <c r="D5" s="11"/>
      <c r="E5" s="12"/>
      <c r="F5" s="22"/>
      <c r="G5" s="23"/>
      <c r="H5" s="24">
        <v>140</v>
      </c>
      <c r="I5" s="25"/>
      <c r="J5" s="26"/>
    </row>
    <row r="6" spans="1:10" ht="13.5" customHeight="1" x14ac:dyDescent="0.2">
      <c r="A6" s="19"/>
      <c r="B6" s="20"/>
      <c r="C6" s="34" t="s">
        <v>52</v>
      </c>
      <c r="D6" s="11"/>
      <c r="E6" s="12"/>
      <c r="F6" s="22"/>
      <c r="G6" s="23"/>
      <c r="H6" s="24">
        <v>450</v>
      </c>
      <c r="I6" s="25"/>
      <c r="J6" s="26"/>
    </row>
    <row r="7" spans="1:10" ht="13.5" customHeight="1" x14ac:dyDescent="0.2">
      <c r="A7" s="19"/>
      <c r="B7" s="20"/>
      <c r="C7" s="34" t="s">
        <v>1594</v>
      </c>
      <c r="D7" s="11"/>
      <c r="E7" s="12"/>
      <c r="F7" s="22"/>
      <c r="G7" s="23"/>
      <c r="H7" s="24">
        <v>300</v>
      </c>
      <c r="I7" s="25"/>
      <c r="J7" s="26"/>
    </row>
    <row r="8" spans="1:10" ht="13.5" customHeight="1" x14ac:dyDescent="0.2">
      <c r="A8" s="19"/>
      <c r="B8" s="20"/>
      <c r="C8" s="34" t="s">
        <v>1595</v>
      </c>
      <c r="D8" s="11"/>
      <c r="E8" s="12"/>
      <c r="F8" s="22"/>
      <c r="G8" s="23"/>
      <c r="H8" s="24"/>
      <c r="I8" s="25">
        <v>993.3</v>
      </c>
      <c r="J8" s="26"/>
    </row>
    <row r="9" spans="1:10" ht="13.5" customHeight="1" x14ac:dyDescent="0.2">
      <c r="A9" s="19"/>
      <c r="B9" s="20"/>
      <c r="C9" s="34" t="s">
        <v>1596</v>
      </c>
      <c r="D9" s="11"/>
      <c r="E9" s="12"/>
      <c r="F9" s="22"/>
      <c r="G9" s="23"/>
      <c r="H9" s="24">
        <v>120</v>
      </c>
      <c r="I9" s="25"/>
      <c r="J9" s="26">
        <v>1780.1899999999994</v>
      </c>
    </row>
    <row r="10" spans="1:10" ht="13.5" customHeight="1" x14ac:dyDescent="0.2">
      <c r="A10" s="19"/>
      <c r="B10" s="20"/>
      <c r="C10" s="21" t="s">
        <v>9</v>
      </c>
      <c r="D10" s="11"/>
      <c r="E10" s="12"/>
      <c r="F10" s="22">
        <v>0</v>
      </c>
      <c r="G10" s="23"/>
      <c r="H10" s="24"/>
      <c r="I10" s="25"/>
      <c r="J10" s="26"/>
    </row>
    <row r="11" spans="1:10" ht="13.5" customHeight="1" x14ac:dyDescent="0.2">
      <c r="A11" s="19"/>
      <c r="B11" s="20"/>
      <c r="C11" s="21" t="s">
        <v>10</v>
      </c>
      <c r="D11" s="11"/>
      <c r="E11" s="12"/>
      <c r="F11" s="22">
        <v>0</v>
      </c>
      <c r="G11" s="23"/>
      <c r="H11" s="24"/>
      <c r="I11" s="25"/>
      <c r="J11" s="26"/>
    </row>
    <row r="12" spans="1:10" ht="13.5" customHeight="1" x14ac:dyDescent="0.2">
      <c r="A12" s="19"/>
      <c r="B12" s="20"/>
      <c r="C12" s="32" t="s">
        <v>1597</v>
      </c>
      <c r="D12" s="11" t="s">
        <v>19</v>
      </c>
      <c r="E12" s="12">
        <v>-0.4</v>
      </c>
      <c r="F12" s="22" t="s">
        <v>549</v>
      </c>
      <c r="G12" s="23"/>
      <c r="H12" s="24"/>
      <c r="I12" s="25"/>
      <c r="J12" s="26"/>
    </row>
    <row r="13" spans="1:10" ht="13.5" customHeight="1" x14ac:dyDescent="0.2">
      <c r="A13" s="19"/>
      <c r="B13" s="20"/>
      <c r="C13" s="36" t="s">
        <v>1598</v>
      </c>
      <c r="D13" s="11" t="s">
        <v>19</v>
      </c>
      <c r="E13" s="12">
        <v>-15.16</v>
      </c>
      <c r="F13" s="22" t="s">
        <v>549</v>
      </c>
      <c r="G13" s="23">
        <v>207.64</v>
      </c>
      <c r="H13" s="24"/>
      <c r="I13" s="25"/>
      <c r="J13" s="26"/>
    </row>
    <row r="14" spans="1:10" ht="13.5" customHeight="1" x14ac:dyDescent="0.2">
      <c r="A14" s="19" t="s">
        <v>1599</v>
      </c>
      <c r="B14" s="20"/>
      <c r="C14" s="34" t="s">
        <v>53</v>
      </c>
      <c r="D14" s="11" t="s">
        <v>1600</v>
      </c>
      <c r="E14" s="12">
        <v>-532.21</v>
      </c>
      <c r="F14" s="22" t="s">
        <v>549</v>
      </c>
      <c r="G14" s="23"/>
      <c r="H14" s="24"/>
      <c r="I14" s="25"/>
      <c r="J14" s="26"/>
    </row>
    <row r="15" spans="1:10" ht="13.5" customHeight="1" x14ac:dyDescent="0.2">
      <c r="A15" s="19"/>
      <c r="B15" s="20"/>
      <c r="C15" s="34" t="s">
        <v>20</v>
      </c>
      <c r="D15" s="11" t="s">
        <v>19</v>
      </c>
      <c r="E15" s="12" t="s">
        <v>549</v>
      </c>
      <c r="F15" s="22">
        <v>0.01</v>
      </c>
      <c r="G15" s="23">
        <v>-324.56</v>
      </c>
      <c r="H15" s="24"/>
      <c r="I15" s="25"/>
      <c r="J15" s="26"/>
    </row>
    <row r="16" spans="1:10" ht="13.5" customHeight="1" x14ac:dyDescent="0.2">
      <c r="A16" s="19">
        <v>43531</v>
      </c>
      <c r="B16" s="20"/>
      <c r="C16" s="34" t="s">
        <v>1601</v>
      </c>
      <c r="D16" s="11"/>
      <c r="E16" s="12"/>
      <c r="F16" s="22"/>
      <c r="G16" s="23"/>
      <c r="H16" s="24"/>
      <c r="I16" s="25">
        <v>220</v>
      </c>
      <c r="J16" s="26"/>
    </row>
    <row r="17" spans="1:10" ht="13.5" customHeight="1" x14ac:dyDescent="0.2">
      <c r="A17" s="19"/>
      <c r="B17" s="20"/>
      <c r="C17" s="34" t="s">
        <v>1602</v>
      </c>
      <c r="D17" s="11"/>
      <c r="E17" s="12"/>
      <c r="F17" s="22"/>
      <c r="G17" s="23"/>
      <c r="H17" s="24">
        <v>4.5</v>
      </c>
      <c r="I17" s="25"/>
      <c r="J17" s="26"/>
    </row>
    <row r="18" spans="1:10" ht="13.5" customHeight="1" x14ac:dyDescent="0.2">
      <c r="A18" s="19"/>
      <c r="B18" s="20"/>
      <c r="C18" s="34" t="s">
        <v>1603</v>
      </c>
      <c r="D18" s="11"/>
      <c r="E18" s="12"/>
      <c r="F18" s="22"/>
      <c r="G18" s="23"/>
      <c r="H18" s="24">
        <v>34.799999999999997</v>
      </c>
      <c r="I18" s="25"/>
      <c r="J18" s="127"/>
    </row>
    <row r="19" spans="1:10" ht="13.5" customHeight="1" x14ac:dyDescent="0.2">
      <c r="A19" s="19"/>
      <c r="B19" s="20"/>
      <c r="C19" s="34" t="s">
        <v>1604</v>
      </c>
      <c r="D19" s="11"/>
      <c r="E19" s="12"/>
      <c r="F19" s="22"/>
      <c r="G19" s="23"/>
      <c r="H19" s="24">
        <v>30.7</v>
      </c>
      <c r="I19" s="25"/>
      <c r="J19" s="26"/>
    </row>
    <row r="20" spans="1:10" ht="13.5" customHeight="1" x14ac:dyDescent="0.2">
      <c r="A20" s="19"/>
      <c r="B20" s="20"/>
      <c r="C20" s="34" t="s">
        <v>1605</v>
      </c>
      <c r="D20" s="11"/>
      <c r="E20" s="12"/>
      <c r="F20" s="22"/>
      <c r="G20" s="23"/>
      <c r="H20" s="24">
        <v>8</v>
      </c>
      <c r="I20" s="25"/>
      <c r="J20" s="26"/>
    </row>
    <row r="21" spans="1:10" ht="13.5" customHeight="1" x14ac:dyDescent="0.2">
      <c r="A21" s="19"/>
      <c r="B21" s="20"/>
      <c r="C21" s="34" t="s">
        <v>1606</v>
      </c>
      <c r="D21" s="11"/>
      <c r="E21" s="12"/>
      <c r="F21" s="22"/>
      <c r="G21" s="23"/>
      <c r="H21" s="24">
        <v>18.72</v>
      </c>
      <c r="I21" s="25"/>
      <c r="J21" s="26"/>
    </row>
    <row r="22" spans="1:10" ht="13.5" customHeight="1" x14ac:dyDescent="0.2">
      <c r="A22" s="19"/>
      <c r="B22" s="20"/>
      <c r="C22" s="34" t="s">
        <v>1607</v>
      </c>
      <c r="D22" s="11"/>
      <c r="E22" s="12"/>
      <c r="F22" s="22"/>
      <c r="G22" s="23"/>
      <c r="H22" s="24">
        <v>40.950000000000003</v>
      </c>
      <c r="I22" s="25"/>
      <c r="J22" s="26"/>
    </row>
    <row r="23" spans="1:10" ht="13.5" customHeight="1" x14ac:dyDescent="0.2">
      <c r="A23" s="19"/>
      <c r="B23" s="20"/>
      <c r="C23" s="34" t="s">
        <v>1608</v>
      </c>
      <c r="D23" s="11"/>
      <c r="E23" s="12"/>
      <c r="F23" s="22"/>
      <c r="G23" s="23"/>
      <c r="H23" s="24">
        <v>7</v>
      </c>
      <c r="I23" s="25"/>
      <c r="J23" s="26"/>
    </row>
    <row r="24" spans="1:10" ht="13.5" customHeight="1" x14ac:dyDescent="0.2">
      <c r="A24" s="19"/>
      <c r="B24" s="20"/>
      <c r="C24" s="34" t="s">
        <v>1609</v>
      </c>
      <c r="D24" s="11"/>
      <c r="E24" s="12"/>
      <c r="F24" s="22"/>
      <c r="G24" s="23"/>
      <c r="H24" s="24">
        <v>18.899999999999999</v>
      </c>
      <c r="I24" s="25"/>
      <c r="J24" s="26"/>
    </row>
    <row r="25" spans="1:10" ht="13.5" customHeight="1" x14ac:dyDescent="0.2">
      <c r="A25" s="19"/>
      <c r="B25" s="20"/>
      <c r="C25" s="34" t="s">
        <v>1610</v>
      </c>
      <c r="D25" s="11"/>
      <c r="E25" s="12"/>
      <c r="F25" s="22"/>
      <c r="G25" s="23"/>
      <c r="H25" s="24">
        <v>10</v>
      </c>
      <c r="I25" s="25"/>
      <c r="J25" s="26"/>
    </row>
    <row r="26" spans="1:10" ht="13.5" customHeight="1" x14ac:dyDescent="0.2">
      <c r="A26" s="19"/>
      <c r="B26" s="20"/>
      <c r="C26" s="34" t="s">
        <v>1611</v>
      </c>
      <c r="D26" s="11"/>
      <c r="E26" s="12"/>
      <c r="F26" s="22"/>
      <c r="G26" s="23"/>
      <c r="H26" s="24">
        <v>27.5</v>
      </c>
      <c r="I26" s="25"/>
      <c r="J26" s="26"/>
    </row>
    <row r="27" spans="1:10" ht="13.5" customHeight="1" x14ac:dyDescent="0.2">
      <c r="A27" s="19"/>
      <c r="B27" s="20"/>
      <c r="C27" s="34" t="s">
        <v>1612</v>
      </c>
      <c r="D27" s="11"/>
      <c r="E27" s="12"/>
      <c r="F27" s="22"/>
      <c r="G27" s="23"/>
      <c r="H27" s="24">
        <v>12.5</v>
      </c>
      <c r="I27" s="25"/>
      <c r="J27" s="26"/>
    </row>
    <row r="28" spans="1:10" ht="13.5" customHeight="1" x14ac:dyDescent="0.2">
      <c r="A28" s="19"/>
      <c r="B28" s="20"/>
      <c r="C28" s="34" t="s">
        <v>1613</v>
      </c>
      <c r="D28" s="11"/>
      <c r="E28" s="12"/>
      <c r="F28" s="22"/>
      <c r="G28" s="23"/>
      <c r="H28" s="24">
        <v>29</v>
      </c>
      <c r="I28" s="25"/>
      <c r="J28" s="26"/>
    </row>
    <row r="29" spans="1:10" ht="13.5" customHeight="1" x14ac:dyDescent="0.2">
      <c r="A29" s="19"/>
      <c r="B29" s="20"/>
      <c r="C29" s="34" t="s">
        <v>1614</v>
      </c>
      <c r="D29" s="11"/>
      <c r="E29" s="12"/>
      <c r="F29" s="22"/>
      <c r="G29" s="23"/>
      <c r="H29" s="24"/>
      <c r="I29" s="25">
        <v>1500</v>
      </c>
      <c r="J29" s="26">
        <v>3257.619999999999</v>
      </c>
    </row>
    <row r="30" spans="1:10" ht="13.5" customHeight="1" x14ac:dyDescent="0.2">
      <c r="A30" s="19">
        <v>43532</v>
      </c>
      <c r="B30" s="20"/>
      <c r="C30" s="34" t="s">
        <v>1615</v>
      </c>
      <c r="D30" s="11"/>
      <c r="E30" s="12"/>
      <c r="F30" s="22"/>
      <c r="G30" s="23"/>
      <c r="H30" s="24"/>
      <c r="I30" s="25">
        <v>1976</v>
      </c>
      <c r="J30" s="26"/>
    </row>
    <row r="31" spans="1:10" ht="13.5" customHeight="1" x14ac:dyDescent="0.2">
      <c r="A31" s="19"/>
      <c r="B31" s="20"/>
      <c r="C31" s="34" t="s">
        <v>318</v>
      </c>
      <c r="D31" s="11"/>
      <c r="E31" s="12"/>
      <c r="F31" s="22"/>
      <c r="G31" s="23"/>
      <c r="H31" s="24">
        <v>325</v>
      </c>
      <c r="I31" s="25"/>
      <c r="J31" s="26"/>
    </row>
    <row r="32" spans="1:10" ht="13.5" customHeight="1" x14ac:dyDescent="0.2">
      <c r="A32" s="19"/>
      <c r="B32" s="20"/>
      <c r="C32" s="34" t="s">
        <v>52</v>
      </c>
      <c r="D32" s="11"/>
      <c r="E32" s="12"/>
      <c r="F32" s="22"/>
      <c r="G32" s="23"/>
      <c r="H32" s="24">
        <v>270</v>
      </c>
      <c r="I32" s="25"/>
      <c r="J32" s="26">
        <v>4638.619999999999</v>
      </c>
    </row>
    <row r="33" spans="1:10" ht="13.5" customHeight="1" x14ac:dyDescent="0.2">
      <c r="A33" s="19"/>
      <c r="B33" s="20"/>
      <c r="C33" s="34" t="s">
        <v>1616</v>
      </c>
      <c r="D33" s="11" t="s">
        <v>19</v>
      </c>
      <c r="E33" s="12">
        <v>-294.27</v>
      </c>
      <c r="F33" s="22" t="s">
        <v>549</v>
      </c>
      <c r="G33" s="23">
        <v>-618.83000000000004</v>
      </c>
      <c r="H33" s="24"/>
      <c r="I33" s="25"/>
      <c r="J33" s="26"/>
    </row>
    <row r="34" spans="1:10" ht="13.5" customHeight="1" x14ac:dyDescent="0.2">
      <c r="A34" s="19">
        <v>43535</v>
      </c>
      <c r="B34" s="20"/>
      <c r="C34" s="34" t="s">
        <v>1617</v>
      </c>
      <c r="D34" s="11"/>
      <c r="E34" s="12"/>
      <c r="F34" s="22"/>
      <c r="G34" s="23"/>
      <c r="H34" s="24">
        <v>25</v>
      </c>
      <c r="I34" s="25"/>
      <c r="J34" s="26"/>
    </row>
    <row r="35" spans="1:10" ht="13.5" customHeight="1" x14ac:dyDescent="0.2">
      <c r="A35" s="19"/>
      <c r="B35" s="20"/>
      <c r="C35" s="34" t="s">
        <v>1618</v>
      </c>
      <c r="D35" s="11"/>
      <c r="E35" s="12"/>
      <c r="F35" s="22"/>
      <c r="G35" s="23"/>
      <c r="H35" s="24">
        <v>16.2</v>
      </c>
      <c r="I35" s="25"/>
      <c r="J35" s="26"/>
    </row>
    <row r="36" spans="1:10" ht="13.5" customHeight="1" x14ac:dyDescent="0.2">
      <c r="A36" s="19"/>
      <c r="B36" s="20"/>
      <c r="C36" s="34" t="s">
        <v>1603</v>
      </c>
      <c r="D36" s="11"/>
      <c r="E36" s="12"/>
      <c r="F36" s="22"/>
      <c r="G36" s="23"/>
      <c r="H36" s="24">
        <v>14.4</v>
      </c>
      <c r="I36" s="25"/>
      <c r="J36" s="26"/>
    </row>
    <row r="37" spans="1:10" ht="13.5" customHeight="1" x14ac:dyDescent="0.2">
      <c r="A37" s="19"/>
      <c r="B37" s="20"/>
      <c r="C37" s="34" t="s">
        <v>1619</v>
      </c>
      <c r="D37" s="11"/>
      <c r="E37" s="12"/>
      <c r="F37" s="22"/>
      <c r="G37" s="23"/>
      <c r="H37" s="24">
        <v>3.9</v>
      </c>
      <c r="I37" s="25"/>
      <c r="J37" s="26"/>
    </row>
    <row r="38" spans="1:10" ht="13.5" customHeight="1" x14ac:dyDescent="0.2">
      <c r="A38" s="19"/>
      <c r="B38" s="20"/>
      <c r="C38" s="34" t="s">
        <v>1620</v>
      </c>
      <c r="D38" s="11"/>
      <c r="E38" s="12"/>
      <c r="F38" s="22"/>
      <c r="G38" s="23"/>
      <c r="H38" s="24">
        <v>1487</v>
      </c>
      <c r="I38" s="25"/>
      <c r="J38" s="26"/>
    </row>
    <row r="39" spans="1:10" ht="13.5" customHeight="1" x14ac:dyDescent="0.2">
      <c r="A39" s="19"/>
      <c r="B39" s="20"/>
      <c r="C39" s="34" t="s">
        <v>1621</v>
      </c>
      <c r="D39" s="11"/>
      <c r="E39" s="12"/>
      <c r="F39" s="22"/>
      <c r="G39" s="23"/>
      <c r="H39" s="24"/>
      <c r="I39" s="25">
        <v>5000</v>
      </c>
      <c r="J39" s="26">
        <v>8092.12</v>
      </c>
    </row>
    <row r="40" spans="1:10" ht="13.5" customHeight="1" x14ac:dyDescent="0.2">
      <c r="A40" s="19"/>
      <c r="B40" s="20"/>
      <c r="C40" s="34" t="s">
        <v>62</v>
      </c>
      <c r="D40" s="11" t="s">
        <v>19</v>
      </c>
      <c r="E40" s="12">
        <v>-443.3</v>
      </c>
      <c r="F40" s="22" t="s">
        <v>549</v>
      </c>
      <c r="G40" s="23"/>
      <c r="H40" s="24"/>
      <c r="I40" s="25"/>
      <c r="J40" s="26"/>
    </row>
    <row r="41" spans="1:10" ht="13.5" customHeight="1" x14ac:dyDescent="0.2">
      <c r="A41" s="19"/>
      <c r="B41" s="20"/>
      <c r="C41" s="34" t="s">
        <v>82</v>
      </c>
      <c r="D41" s="11" t="s">
        <v>333</v>
      </c>
      <c r="E41" s="12">
        <v>-811.99</v>
      </c>
      <c r="F41" s="22" t="s">
        <v>549</v>
      </c>
      <c r="G41" s="23"/>
      <c r="H41" s="24"/>
      <c r="I41" s="25"/>
      <c r="J41" s="26"/>
    </row>
    <row r="42" spans="1:10" ht="13.5" customHeight="1" x14ac:dyDescent="0.2">
      <c r="A42" s="19"/>
      <c r="B42" s="20"/>
      <c r="C42" s="34" t="s">
        <v>68</v>
      </c>
      <c r="D42" s="11" t="s">
        <v>1622</v>
      </c>
      <c r="E42" s="12">
        <v>-129.9</v>
      </c>
      <c r="F42" s="22" t="s">
        <v>549</v>
      </c>
      <c r="G42" s="23">
        <v>-2004.02</v>
      </c>
      <c r="H42" s="24"/>
      <c r="I42" s="25"/>
      <c r="J42" s="26"/>
    </row>
    <row r="43" spans="1:10" ht="13.5" customHeight="1" x14ac:dyDescent="0.2">
      <c r="A43" s="19">
        <v>43536</v>
      </c>
      <c r="B43" s="20"/>
      <c r="C43" s="34" t="s">
        <v>1623</v>
      </c>
      <c r="D43" s="11"/>
      <c r="E43" s="12"/>
      <c r="F43" s="22"/>
      <c r="G43" s="23"/>
      <c r="H43" s="24"/>
      <c r="I43" s="25">
        <v>2050</v>
      </c>
      <c r="J43" s="26"/>
    </row>
    <row r="44" spans="1:10" ht="13.5" customHeight="1" x14ac:dyDescent="0.2">
      <c r="A44" s="19"/>
      <c r="B44" s="20"/>
      <c r="C44" s="34" t="s">
        <v>1624</v>
      </c>
      <c r="D44" s="11"/>
      <c r="E44" s="12"/>
      <c r="F44" s="22"/>
      <c r="G44" s="23"/>
      <c r="H44" s="174">
        <v>3668.3</v>
      </c>
      <c r="I44" s="25"/>
      <c r="J44" s="26"/>
    </row>
    <row r="45" spans="1:10" ht="13.5" customHeight="1" x14ac:dyDescent="0.2">
      <c r="A45" s="19"/>
      <c r="B45" s="20"/>
      <c r="C45" s="34" t="s">
        <v>1625</v>
      </c>
      <c r="D45" s="11"/>
      <c r="E45" s="12"/>
      <c r="F45" s="22"/>
      <c r="G45" s="23"/>
      <c r="H45" s="174">
        <v>3000</v>
      </c>
      <c r="I45" s="25"/>
      <c r="J45" s="26">
        <v>3473.8199999999988</v>
      </c>
    </row>
    <row r="46" spans="1:10" ht="13.5" customHeight="1" x14ac:dyDescent="0.2">
      <c r="A46" s="19"/>
      <c r="B46" s="20"/>
      <c r="C46" s="34" t="s">
        <v>87</v>
      </c>
      <c r="D46" s="11" t="s">
        <v>19</v>
      </c>
      <c r="E46" s="12">
        <v>-35.74</v>
      </c>
      <c r="F46" s="22" t="s">
        <v>549</v>
      </c>
      <c r="G46" s="23"/>
      <c r="H46" s="24"/>
      <c r="I46" s="25"/>
      <c r="J46" s="26"/>
    </row>
    <row r="47" spans="1:10" ht="13.5" customHeight="1" x14ac:dyDescent="0.2">
      <c r="A47" s="19"/>
      <c r="B47" s="20"/>
      <c r="C47" s="34" t="s">
        <v>1624</v>
      </c>
      <c r="D47" s="11" t="s">
        <v>1626</v>
      </c>
      <c r="E47" s="12" t="s">
        <v>549</v>
      </c>
      <c r="F47" s="162">
        <v>1668.3</v>
      </c>
      <c r="G47" s="23"/>
      <c r="H47" s="24"/>
      <c r="I47" s="25"/>
      <c r="J47" s="26"/>
    </row>
    <row r="48" spans="1:10" ht="13.5" customHeight="1" x14ac:dyDescent="0.2">
      <c r="A48" s="19"/>
      <c r="B48" s="20"/>
      <c r="C48" s="34" t="s">
        <v>1624</v>
      </c>
      <c r="D48" s="11" t="s">
        <v>1627</v>
      </c>
      <c r="E48" s="12" t="s">
        <v>549</v>
      </c>
      <c r="F48" s="162">
        <v>2000</v>
      </c>
      <c r="G48" s="23">
        <v>1628.54</v>
      </c>
      <c r="H48" s="24"/>
      <c r="I48" s="25"/>
      <c r="J48" s="26"/>
    </row>
    <row r="49" spans="1:10" ht="13.5" customHeight="1" x14ac:dyDescent="0.2">
      <c r="A49" s="19">
        <v>43537</v>
      </c>
      <c r="B49" s="20"/>
      <c r="C49" s="34" t="s">
        <v>1628</v>
      </c>
      <c r="D49" s="11"/>
      <c r="E49" s="12"/>
      <c r="F49" s="22"/>
      <c r="G49" s="23"/>
      <c r="H49" s="24">
        <v>3</v>
      </c>
      <c r="I49" s="25"/>
      <c r="J49" s="26"/>
    </row>
    <row r="50" spans="1:10" ht="13.5" customHeight="1" x14ac:dyDescent="0.2">
      <c r="A50" s="19"/>
      <c r="B50" s="20"/>
      <c r="C50" s="34" t="s">
        <v>1629</v>
      </c>
      <c r="D50" s="11"/>
      <c r="E50" s="12"/>
      <c r="F50" s="22"/>
      <c r="G50" s="23"/>
      <c r="H50" s="24">
        <v>2490</v>
      </c>
      <c r="I50" s="25"/>
      <c r="J50" s="26">
        <v>980.8199999999988</v>
      </c>
    </row>
    <row r="51" spans="1:10" ht="13.5" customHeight="1" x14ac:dyDescent="0.2">
      <c r="A51" s="19"/>
      <c r="B51" s="20"/>
      <c r="C51" s="34" t="s">
        <v>1630</v>
      </c>
      <c r="D51" s="11" t="s">
        <v>19</v>
      </c>
      <c r="E51" s="12">
        <v>-89.9</v>
      </c>
      <c r="F51" s="22" t="s">
        <v>549</v>
      </c>
      <c r="G51" s="23"/>
      <c r="H51" s="24"/>
      <c r="I51" s="25"/>
      <c r="J51" s="39"/>
    </row>
    <row r="52" spans="1:10" ht="13.5" customHeight="1" x14ac:dyDescent="0.2">
      <c r="A52" s="19"/>
      <c r="B52" s="20"/>
      <c r="C52" s="34" t="s">
        <v>1631</v>
      </c>
      <c r="D52" s="11" t="s">
        <v>19</v>
      </c>
      <c r="E52" s="12">
        <v>-102.77</v>
      </c>
      <c r="F52" s="22" t="s">
        <v>549</v>
      </c>
      <c r="G52" s="23"/>
      <c r="H52" s="24"/>
      <c r="I52" s="25"/>
      <c r="J52" s="26"/>
    </row>
    <row r="53" spans="1:10" ht="13.5" customHeight="1" x14ac:dyDescent="0.2">
      <c r="A53" s="19"/>
      <c r="B53" s="20"/>
      <c r="C53" s="33" t="s">
        <v>1632</v>
      </c>
      <c r="D53" s="11" t="s">
        <v>19</v>
      </c>
      <c r="E53" s="12">
        <v>-51.29</v>
      </c>
      <c r="F53" s="22" t="s">
        <v>549</v>
      </c>
      <c r="G53" s="23">
        <v>1384.58</v>
      </c>
      <c r="H53" s="24"/>
      <c r="I53" s="25"/>
      <c r="J53" s="26"/>
    </row>
    <row r="54" spans="1:10" ht="13.5" customHeight="1" x14ac:dyDescent="0.2">
      <c r="A54" s="19">
        <v>43538</v>
      </c>
      <c r="B54" s="20"/>
      <c r="C54" s="34" t="s">
        <v>1633</v>
      </c>
      <c r="D54" s="11"/>
      <c r="E54" s="12"/>
      <c r="F54" s="22"/>
      <c r="G54" s="23"/>
      <c r="H54" s="24"/>
      <c r="I54" s="25">
        <v>185</v>
      </c>
      <c r="J54" s="26"/>
    </row>
    <row r="55" spans="1:10" ht="13.5" customHeight="1" x14ac:dyDescent="0.2">
      <c r="A55" s="19"/>
      <c r="B55" s="20"/>
      <c r="C55" s="34" t="s">
        <v>1634</v>
      </c>
      <c r="D55" s="11"/>
      <c r="E55" s="12"/>
      <c r="F55" s="22"/>
      <c r="G55" s="23"/>
      <c r="H55" s="24">
        <v>262.5</v>
      </c>
      <c r="I55" s="25"/>
      <c r="J55" s="26"/>
    </row>
    <row r="56" spans="1:10" ht="13.5" customHeight="1" x14ac:dyDescent="0.2">
      <c r="A56" s="19"/>
      <c r="B56" s="20"/>
      <c r="C56" s="34" t="s">
        <v>1635</v>
      </c>
      <c r="D56" s="11"/>
      <c r="E56" s="12"/>
      <c r="F56" s="22"/>
      <c r="G56" s="23"/>
      <c r="H56" s="24"/>
      <c r="I56" s="25">
        <v>380</v>
      </c>
      <c r="J56" s="26"/>
    </row>
    <row r="57" spans="1:10" ht="13.5" customHeight="1" x14ac:dyDescent="0.2">
      <c r="A57" s="19"/>
      <c r="B57" s="20"/>
      <c r="C57" s="34" t="s">
        <v>1636</v>
      </c>
      <c r="D57" s="11"/>
      <c r="E57" s="12"/>
      <c r="F57" s="22"/>
      <c r="G57" s="23"/>
      <c r="H57" s="174">
        <v>185</v>
      </c>
      <c r="I57" s="25"/>
      <c r="J57" s="39">
        <v>1098.3199999999988</v>
      </c>
    </row>
    <row r="58" spans="1:10" ht="13.5" customHeight="1" x14ac:dyDescent="0.2">
      <c r="A58" s="19">
        <v>43539</v>
      </c>
      <c r="B58" s="20"/>
      <c r="C58" s="34" t="s">
        <v>1637</v>
      </c>
      <c r="D58" s="11"/>
      <c r="E58" s="12"/>
      <c r="F58" s="22"/>
      <c r="G58" s="23"/>
      <c r="H58" s="24"/>
      <c r="I58" s="25">
        <v>3500</v>
      </c>
      <c r="J58" s="26"/>
    </row>
    <row r="59" spans="1:10" ht="13.5" customHeight="1" x14ac:dyDescent="0.2">
      <c r="A59" s="19"/>
      <c r="B59" s="20"/>
      <c r="C59" s="34" t="s">
        <v>318</v>
      </c>
      <c r="D59" s="11"/>
      <c r="E59" s="12"/>
      <c r="F59" s="22"/>
      <c r="G59" s="23"/>
      <c r="H59" s="24">
        <v>650</v>
      </c>
      <c r="I59" s="25"/>
      <c r="J59" s="26"/>
    </row>
    <row r="60" spans="1:10" ht="13.5" customHeight="1" x14ac:dyDescent="0.2">
      <c r="A60" s="19"/>
      <c r="B60" s="20"/>
      <c r="C60" s="34" t="s">
        <v>52</v>
      </c>
      <c r="D60" s="11"/>
      <c r="E60" s="12"/>
      <c r="F60" s="22"/>
      <c r="G60" s="23"/>
      <c r="H60" s="24">
        <v>450</v>
      </c>
      <c r="I60" s="25"/>
      <c r="J60" s="26"/>
    </row>
    <row r="61" spans="1:10" ht="13.5" customHeight="1" x14ac:dyDescent="0.2">
      <c r="A61" s="19"/>
      <c r="B61" s="20"/>
      <c r="C61" s="34" t="s">
        <v>1638</v>
      </c>
      <c r="D61" s="11"/>
      <c r="E61" s="12"/>
      <c r="F61" s="22"/>
      <c r="G61" s="23"/>
      <c r="H61" s="174">
        <v>1500</v>
      </c>
      <c r="I61" s="25"/>
      <c r="J61" s="26"/>
    </row>
    <row r="62" spans="1:10" ht="13.5" customHeight="1" x14ac:dyDescent="0.2">
      <c r="A62" s="19"/>
      <c r="B62" s="20"/>
      <c r="C62" s="34" t="s">
        <v>1639</v>
      </c>
      <c r="D62" s="11"/>
      <c r="E62" s="12"/>
      <c r="F62" s="22"/>
      <c r="G62" s="23"/>
      <c r="H62" s="24">
        <v>14.2</v>
      </c>
      <c r="I62" s="25"/>
      <c r="J62" s="26"/>
    </row>
    <row r="63" spans="1:10" ht="13.5" customHeight="1" x14ac:dyDescent="0.2">
      <c r="A63" s="19"/>
      <c r="B63" s="20"/>
      <c r="C63" s="34" t="s">
        <v>1640</v>
      </c>
      <c r="D63" s="11"/>
      <c r="E63" s="12"/>
      <c r="F63" s="22"/>
      <c r="G63" s="23"/>
      <c r="H63" s="24">
        <v>14.2</v>
      </c>
      <c r="I63" s="25"/>
      <c r="J63" s="26"/>
    </row>
    <row r="64" spans="1:10" ht="13.5" customHeight="1" x14ac:dyDescent="0.2">
      <c r="A64" s="19"/>
      <c r="B64" s="20"/>
      <c r="C64" s="21" t="s">
        <v>1641</v>
      </c>
      <c r="D64" s="11"/>
      <c r="E64" s="12"/>
      <c r="F64" s="22"/>
      <c r="G64" s="23"/>
      <c r="H64" s="24"/>
      <c r="I64" s="25">
        <v>190</v>
      </c>
      <c r="J64" s="26"/>
    </row>
    <row r="65" spans="1:10" ht="13.5" customHeight="1" x14ac:dyDescent="0.2">
      <c r="A65" s="19"/>
      <c r="B65" s="20"/>
      <c r="C65" s="34" t="s">
        <v>1642</v>
      </c>
      <c r="D65" s="11"/>
      <c r="E65" s="12"/>
      <c r="F65" s="22"/>
      <c r="G65" s="23"/>
      <c r="H65" s="24"/>
      <c r="I65" s="25">
        <v>190</v>
      </c>
      <c r="J65" s="26">
        <v>2349.9199999999987</v>
      </c>
    </row>
    <row r="66" spans="1:10" ht="13.5" customHeight="1" x14ac:dyDescent="0.2">
      <c r="A66" s="19"/>
      <c r="B66" s="20"/>
      <c r="C66" s="34" t="s">
        <v>86</v>
      </c>
      <c r="D66" s="11" t="s">
        <v>19</v>
      </c>
      <c r="E66" s="12">
        <v>-72.900000000000006</v>
      </c>
      <c r="F66" s="22" t="s">
        <v>549</v>
      </c>
      <c r="G66" s="23"/>
      <c r="H66" s="24"/>
      <c r="I66" s="25"/>
      <c r="J66" s="26"/>
    </row>
    <row r="67" spans="1:10" ht="13.5" customHeight="1" x14ac:dyDescent="0.2">
      <c r="A67" s="19"/>
      <c r="B67" s="20"/>
      <c r="C67" s="34" t="s">
        <v>1631</v>
      </c>
      <c r="D67" s="11" t="s">
        <v>1643</v>
      </c>
      <c r="E67" s="12">
        <v>-99.98</v>
      </c>
      <c r="F67" s="22" t="s">
        <v>549</v>
      </c>
      <c r="G67" s="23"/>
      <c r="H67" s="24"/>
      <c r="I67" s="25"/>
      <c r="J67" s="26"/>
    </row>
    <row r="68" spans="1:10" ht="13.5" customHeight="1" x14ac:dyDescent="0.2">
      <c r="A68" s="19"/>
      <c r="B68" s="20"/>
      <c r="C68" s="33" t="s">
        <v>1644</v>
      </c>
      <c r="D68" s="11" t="s">
        <v>650</v>
      </c>
      <c r="E68" s="12">
        <v>-49.9</v>
      </c>
      <c r="F68" s="22" t="s">
        <v>549</v>
      </c>
      <c r="G68" s="23"/>
      <c r="H68" s="24"/>
      <c r="I68" s="25"/>
      <c r="J68" s="26"/>
    </row>
    <row r="69" spans="1:10" ht="13.5" customHeight="1" x14ac:dyDescent="0.2">
      <c r="A69" s="19"/>
      <c r="B69" s="20"/>
      <c r="C69" s="21" t="s">
        <v>113</v>
      </c>
      <c r="D69" s="11" t="s">
        <v>1645</v>
      </c>
      <c r="E69" s="12">
        <v>-267</v>
      </c>
      <c r="F69" s="22" t="s">
        <v>549</v>
      </c>
      <c r="G69" s="23"/>
      <c r="H69" s="24"/>
      <c r="I69" s="25"/>
      <c r="J69" s="39"/>
    </row>
    <row r="70" spans="1:10" ht="13.5" customHeight="1" x14ac:dyDescent="0.2">
      <c r="A70" s="19"/>
      <c r="B70" s="20"/>
      <c r="C70" s="34" t="s">
        <v>1638</v>
      </c>
      <c r="D70" s="11" t="s">
        <v>1646</v>
      </c>
      <c r="E70" s="12" t="s">
        <v>549</v>
      </c>
      <c r="F70" s="162">
        <v>1500</v>
      </c>
      <c r="G70" s="23"/>
      <c r="H70" s="24"/>
      <c r="I70" s="25"/>
      <c r="J70" s="39"/>
    </row>
    <row r="71" spans="1:10" ht="13.5" customHeight="1" x14ac:dyDescent="0.2">
      <c r="A71" s="19"/>
      <c r="B71" s="20"/>
      <c r="C71" s="34" t="s">
        <v>1636</v>
      </c>
      <c r="D71" s="11" t="s">
        <v>1647</v>
      </c>
      <c r="E71" s="12" t="s">
        <v>549</v>
      </c>
      <c r="F71" s="162">
        <v>185</v>
      </c>
      <c r="G71" s="23"/>
      <c r="H71" s="24"/>
      <c r="I71" s="25"/>
      <c r="J71" s="26"/>
    </row>
    <row r="72" spans="1:10" ht="13.5" customHeight="1" x14ac:dyDescent="0.2">
      <c r="A72" s="19">
        <v>43542</v>
      </c>
      <c r="B72" s="20"/>
      <c r="C72" s="21" t="s">
        <v>1648</v>
      </c>
      <c r="D72" s="11"/>
      <c r="E72" s="12"/>
      <c r="F72" s="22"/>
      <c r="G72" s="23"/>
      <c r="H72" s="24"/>
      <c r="I72" s="25">
        <v>80</v>
      </c>
      <c r="J72" s="26"/>
    </row>
    <row r="73" spans="1:10" ht="13.5" customHeight="1" x14ac:dyDescent="0.2">
      <c r="A73" s="19"/>
      <c r="B73" s="20"/>
      <c r="C73" s="34" t="s">
        <v>1435</v>
      </c>
      <c r="D73" s="11"/>
      <c r="E73" s="12"/>
      <c r="F73" s="22"/>
      <c r="G73" s="23"/>
      <c r="H73" s="24">
        <v>15.86</v>
      </c>
      <c r="I73" s="25"/>
      <c r="J73" s="26"/>
    </row>
    <row r="74" spans="1:10" ht="13.5" customHeight="1" x14ac:dyDescent="0.2">
      <c r="A74" s="46"/>
      <c r="B74" s="46"/>
      <c r="C74" s="34" t="s">
        <v>1649</v>
      </c>
      <c r="D74" s="42"/>
      <c r="E74" s="43"/>
      <c r="F74" s="43"/>
      <c r="G74" s="23"/>
      <c r="H74" s="24"/>
      <c r="I74" s="25">
        <v>1080</v>
      </c>
      <c r="J74" s="26"/>
    </row>
    <row r="75" spans="1:10" ht="13.5" customHeight="1" x14ac:dyDescent="0.2">
      <c r="A75" s="19"/>
      <c r="B75" s="20"/>
      <c r="C75" s="34" t="s">
        <v>1650</v>
      </c>
      <c r="D75" s="11"/>
      <c r="E75" s="12"/>
      <c r="F75" s="22"/>
      <c r="G75" s="23"/>
      <c r="H75" s="24"/>
      <c r="I75" s="25">
        <v>1290</v>
      </c>
      <c r="J75" s="26">
        <v>4784.0599999999986</v>
      </c>
    </row>
    <row r="76" spans="1:10" ht="13.5" customHeight="1" x14ac:dyDescent="0.2">
      <c r="A76" s="19"/>
      <c r="B76" s="20"/>
      <c r="C76" s="34" t="s">
        <v>109</v>
      </c>
      <c r="D76" s="11" t="s">
        <v>19</v>
      </c>
      <c r="E76" s="12">
        <v>-58.76</v>
      </c>
      <c r="F76" s="22" t="s">
        <v>549</v>
      </c>
      <c r="G76" s="23"/>
      <c r="H76" s="24"/>
      <c r="I76" s="25"/>
      <c r="J76" s="26"/>
    </row>
    <row r="77" spans="1:10" ht="13.5" customHeight="1" x14ac:dyDescent="0.2">
      <c r="A77" s="19"/>
      <c r="B77" s="20"/>
      <c r="C77" s="34" t="s">
        <v>18</v>
      </c>
      <c r="D77" s="11" t="s">
        <v>329</v>
      </c>
      <c r="E77" s="12">
        <v>-358.38</v>
      </c>
      <c r="F77" s="22" t="s">
        <v>549</v>
      </c>
      <c r="G77" s="23"/>
      <c r="H77" s="24"/>
      <c r="I77" s="25"/>
      <c r="J77" s="26"/>
    </row>
    <row r="78" spans="1:10" ht="13.5" customHeight="1" x14ac:dyDescent="0.2">
      <c r="A78" s="19"/>
      <c r="B78" s="20"/>
      <c r="C78" s="34" t="s">
        <v>20</v>
      </c>
      <c r="D78" s="11" t="s">
        <v>19</v>
      </c>
      <c r="E78" s="12" t="s">
        <v>549</v>
      </c>
      <c r="F78" s="22">
        <v>0.01</v>
      </c>
      <c r="G78" s="23">
        <v>2162.67</v>
      </c>
      <c r="H78" s="24"/>
      <c r="I78" s="25"/>
      <c r="J78" s="26"/>
    </row>
    <row r="79" spans="1:10" ht="13.5" customHeight="1" x14ac:dyDescent="0.2">
      <c r="A79" s="158">
        <v>43543</v>
      </c>
      <c r="B79" s="46"/>
      <c r="C79" s="34" t="s">
        <v>1651</v>
      </c>
      <c r="D79" s="42"/>
      <c r="E79" s="12"/>
      <c r="F79" s="43"/>
      <c r="G79" s="23"/>
      <c r="H79" s="24">
        <v>14</v>
      </c>
      <c r="I79" s="25"/>
      <c r="J79" s="26"/>
    </row>
    <row r="80" spans="1:10" ht="13.5" customHeight="1" x14ac:dyDescent="0.2">
      <c r="A80" s="158"/>
      <c r="B80" s="46"/>
      <c r="C80" s="34" t="s">
        <v>1652</v>
      </c>
      <c r="D80" s="42"/>
      <c r="E80" s="12"/>
      <c r="F80" s="43"/>
      <c r="G80" s="23"/>
      <c r="H80" s="24">
        <v>55</v>
      </c>
      <c r="I80" s="25"/>
      <c r="J80" s="26"/>
    </row>
    <row r="81" spans="1:10" ht="13.5" customHeight="1" x14ac:dyDescent="0.2">
      <c r="A81" s="158"/>
      <c r="B81" s="46"/>
      <c r="C81" s="34" t="s">
        <v>1653</v>
      </c>
      <c r="D81" s="42"/>
      <c r="E81" s="12"/>
      <c r="F81" s="43"/>
      <c r="G81" s="23"/>
      <c r="H81" s="24">
        <v>22</v>
      </c>
      <c r="I81" s="25"/>
      <c r="J81" s="26">
        <v>4693.0599999999986</v>
      </c>
    </row>
    <row r="82" spans="1:10" ht="13.5" customHeight="1" x14ac:dyDescent="0.2">
      <c r="A82" s="19"/>
      <c r="B82" s="20"/>
      <c r="C82" s="237" t="s">
        <v>1590</v>
      </c>
      <c r="D82" s="11" t="s">
        <v>1654</v>
      </c>
      <c r="E82" s="12">
        <v>-301.54000000000002</v>
      </c>
      <c r="F82" s="22" t="s">
        <v>549</v>
      </c>
      <c r="G82" s="23"/>
      <c r="H82" s="24"/>
      <c r="I82" s="25"/>
      <c r="J82" s="26"/>
    </row>
    <row r="83" spans="1:10" ht="13.5" customHeight="1" x14ac:dyDescent="0.2">
      <c r="A83" s="19"/>
      <c r="B83" s="20"/>
      <c r="C83" s="34" t="s">
        <v>20</v>
      </c>
      <c r="D83" s="42" t="s">
        <v>19</v>
      </c>
      <c r="E83" s="12" t="s">
        <v>549</v>
      </c>
      <c r="F83" s="43">
        <v>0.01</v>
      </c>
      <c r="G83" s="23">
        <v>1861.14</v>
      </c>
      <c r="H83" s="24"/>
      <c r="I83" s="25"/>
      <c r="J83" s="26"/>
    </row>
    <row r="84" spans="1:10" ht="13.5" customHeight="1" x14ac:dyDescent="0.2">
      <c r="A84" s="158">
        <v>43544</v>
      </c>
      <c r="B84" s="46"/>
      <c r="C84" s="34" t="s">
        <v>1655</v>
      </c>
      <c r="D84" s="42"/>
      <c r="E84" s="12"/>
      <c r="F84" s="43"/>
      <c r="G84" s="23"/>
      <c r="H84" s="24">
        <v>120</v>
      </c>
      <c r="I84" s="25"/>
      <c r="J84" s="26"/>
    </row>
    <row r="85" spans="1:10" ht="13.5" customHeight="1" x14ac:dyDescent="0.2">
      <c r="A85" s="158"/>
      <c r="B85" s="46"/>
      <c r="C85" s="34" t="s">
        <v>1656</v>
      </c>
      <c r="D85" s="42"/>
      <c r="E85" s="12"/>
      <c r="F85" s="43"/>
      <c r="G85" s="23"/>
      <c r="H85" s="24">
        <v>260</v>
      </c>
      <c r="I85" s="25"/>
      <c r="J85" s="26">
        <v>4313.0599999999986</v>
      </c>
    </row>
    <row r="86" spans="1:10" ht="13.5" customHeight="1" x14ac:dyDescent="0.2">
      <c r="A86" s="19"/>
      <c r="B86" s="27"/>
      <c r="C86" s="34" t="s">
        <v>134</v>
      </c>
      <c r="D86" s="42" t="s">
        <v>1075</v>
      </c>
      <c r="E86" s="12">
        <v>-119.9</v>
      </c>
      <c r="F86" s="27" t="s">
        <v>549</v>
      </c>
      <c r="G86" s="23"/>
      <c r="H86" s="38"/>
      <c r="I86" s="38"/>
      <c r="J86" s="39"/>
    </row>
    <row r="87" spans="1:10" ht="13.5" customHeight="1" x14ac:dyDescent="0.2">
      <c r="A87" s="46"/>
      <c r="B87" s="46"/>
      <c r="C87" s="34" t="s">
        <v>1657</v>
      </c>
      <c r="D87" s="42" t="s">
        <v>19</v>
      </c>
      <c r="E87" s="12" t="s">
        <v>549</v>
      </c>
      <c r="F87" s="43">
        <v>3150</v>
      </c>
      <c r="G87" s="23">
        <v>4891.24</v>
      </c>
      <c r="H87" s="24"/>
      <c r="I87" s="25"/>
      <c r="J87" s="26"/>
    </row>
    <row r="88" spans="1:10" ht="13.5" customHeight="1" x14ac:dyDescent="0.2">
      <c r="A88" s="158">
        <v>43545</v>
      </c>
      <c r="B88" s="46"/>
      <c r="C88" s="34" t="s">
        <v>1658</v>
      </c>
      <c r="D88" s="42"/>
      <c r="E88" s="12"/>
      <c r="F88" s="43"/>
      <c r="G88" s="23"/>
      <c r="H88" s="24">
        <v>8.98</v>
      </c>
      <c r="I88" s="25"/>
      <c r="J88" s="26"/>
    </row>
    <row r="89" spans="1:10" ht="13.5" customHeight="1" x14ac:dyDescent="0.2">
      <c r="A89" s="158"/>
      <c r="B89" s="46"/>
      <c r="C89" s="34" t="s">
        <v>1659</v>
      </c>
      <c r="D89" s="42"/>
      <c r="E89" s="12"/>
      <c r="F89" s="43"/>
      <c r="G89" s="23"/>
      <c r="H89" s="24">
        <v>4.9000000000000004</v>
      </c>
      <c r="I89" s="25"/>
      <c r="J89" s="26"/>
    </row>
    <row r="90" spans="1:10" ht="13.5" customHeight="1" x14ac:dyDescent="0.2">
      <c r="A90" s="158"/>
      <c r="B90" s="46"/>
      <c r="C90" s="34" t="s">
        <v>1660</v>
      </c>
      <c r="D90" s="42"/>
      <c r="E90" s="12"/>
      <c r="F90" s="43"/>
      <c r="G90" s="23"/>
      <c r="H90" s="24">
        <v>23.5</v>
      </c>
      <c r="I90" s="25"/>
      <c r="J90" s="26"/>
    </row>
    <row r="91" spans="1:10" ht="13.5" customHeight="1" x14ac:dyDescent="0.2">
      <c r="A91" s="158"/>
      <c r="B91" s="46"/>
      <c r="C91" s="34" t="s">
        <v>1661</v>
      </c>
      <c r="D91" s="42"/>
      <c r="E91" s="12"/>
      <c r="F91" s="43"/>
      <c r="G91" s="23"/>
      <c r="H91" s="24">
        <v>10</v>
      </c>
      <c r="I91" s="25"/>
      <c r="J91" s="26"/>
    </row>
    <row r="92" spans="1:10" ht="13.5" customHeight="1" x14ac:dyDescent="0.2">
      <c r="A92" s="158"/>
      <c r="B92" s="46"/>
      <c r="C92" s="34" t="s">
        <v>1662</v>
      </c>
      <c r="D92" s="42"/>
      <c r="E92" s="12"/>
      <c r="F92" s="43"/>
      <c r="G92" s="23"/>
      <c r="H92" s="24">
        <v>7.5</v>
      </c>
      <c r="I92" s="25"/>
      <c r="J92" s="26"/>
    </row>
    <row r="93" spans="1:10" ht="13.5" customHeight="1" x14ac:dyDescent="0.2">
      <c r="A93" s="158"/>
      <c r="B93" s="46"/>
      <c r="C93" s="34" t="s">
        <v>1663</v>
      </c>
      <c r="D93" s="42"/>
      <c r="E93" s="12"/>
      <c r="F93" s="43"/>
      <c r="G93" s="23"/>
      <c r="H93" s="24">
        <v>16</v>
      </c>
      <c r="I93" s="25"/>
      <c r="J93" s="26"/>
    </row>
    <row r="94" spans="1:10" ht="13.5" customHeight="1" x14ac:dyDescent="0.2">
      <c r="A94" s="158"/>
      <c r="B94" s="46"/>
      <c r="C94" s="34" t="s">
        <v>1664</v>
      </c>
      <c r="D94" s="42"/>
      <c r="E94" s="12"/>
      <c r="F94" s="43"/>
      <c r="G94" s="23"/>
      <c r="H94" s="24">
        <v>5</v>
      </c>
      <c r="I94" s="25"/>
      <c r="J94" s="26"/>
    </row>
    <row r="95" spans="1:10" ht="13.5" customHeight="1" x14ac:dyDescent="0.2">
      <c r="A95" s="158"/>
      <c r="B95" s="46"/>
      <c r="C95" s="34" t="s">
        <v>1665</v>
      </c>
      <c r="D95" s="42"/>
      <c r="E95" s="12"/>
      <c r="F95" s="43"/>
      <c r="G95" s="23"/>
      <c r="H95" s="24">
        <v>13.5</v>
      </c>
      <c r="I95" s="25"/>
      <c r="J95" s="26"/>
    </row>
    <row r="96" spans="1:10" ht="13.5" customHeight="1" x14ac:dyDescent="0.2">
      <c r="A96" s="158"/>
      <c r="B96" s="46"/>
      <c r="C96" s="34" t="s">
        <v>1666</v>
      </c>
      <c r="D96" s="42"/>
      <c r="E96" s="12"/>
      <c r="F96" s="43"/>
      <c r="G96" s="23"/>
      <c r="H96" s="24">
        <v>55.9</v>
      </c>
      <c r="I96" s="25"/>
      <c r="J96" s="26"/>
    </row>
    <row r="97" spans="1:10" ht="13.5" customHeight="1" x14ac:dyDescent="0.2">
      <c r="A97" s="158"/>
      <c r="B97" s="46"/>
      <c r="C97" s="34" t="s">
        <v>1667</v>
      </c>
      <c r="D97" s="42"/>
      <c r="E97" s="12"/>
      <c r="F97" s="43"/>
      <c r="G97" s="23"/>
      <c r="H97" s="24">
        <v>28.4</v>
      </c>
      <c r="I97" s="25"/>
      <c r="J97" s="26">
        <v>4139.38</v>
      </c>
    </row>
    <row r="98" spans="1:10" ht="13.5" customHeight="1" x14ac:dyDescent="0.2">
      <c r="A98" s="158">
        <v>43546</v>
      </c>
      <c r="B98" s="46"/>
      <c r="C98" s="34" t="s">
        <v>1668</v>
      </c>
      <c r="D98" s="42"/>
      <c r="E98" s="12"/>
      <c r="F98" s="43"/>
      <c r="G98" s="23"/>
      <c r="H98" s="24">
        <v>3</v>
      </c>
      <c r="I98" s="25"/>
      <c r="J98" s="26"/>
    </row>
    <row r="99" spans="1:10" ht="13.5" customHeight="1" x14ac:dyDescent="0.2">
      <c r="A99" s="158"/>
      <c r="B99" s="46"/>
      <c r="C99" s="34" t="s">
        <v>318</v>
      </c>
      <c r="D99" s="42"/>
      <c r="E99" s="12"/>
      <c r="F99" s="43"/>
      <c r="G99" s="23"/>
      <c r="H99" s="24">
        <v>325</v>
      </c>
      <c r="I99" s="25"/>
      <c r="J99" s="26"/>
    </row>
    <row r="100" spans="1:10" ht="13.5" customHeight="1" x14ac:dyDescent="0.2">
      <c r="A100" s="158"/>
      <c r="B100" s="46"/>
      <c r="C100" s="34" t="s">
        <v>52</v>
      </c>
      <c r="D100" s="42"/>
      <c r="E100" s="12"/>
      <c r="F100" s="43"/>
      <c r="G100" s="23"/>
      <c r="H100" s="24">
        <v>360</v>
      </c>
      <c r="I100" s="25"/>
      <c r="J100" s="26"/>
    </row>
    <row r="101" spans="1:10" ht="13.5" customHeight="1" x14ac:dyDescent="0.2">
      <c r="A101" s="158"/>
      <c r="B101" s="46"/>
      <c r="C101" s="34" t="s">
        <v>1669</v>
      </c>
      <c r="D101" s="42"/>
      <c r="E101" s="12"/>
      <c r="F101" s="43"/>
      <c r="G101" s="23"/>
      <c r="H101" s="24">
        <v>300</v>
      </c>
      <c r="I101" s="25"/>
      <c r="J101" s="26"/>
    </row>
    <row r="102" spans="1:10" ht="13.5" customHeight="1" x14ac:dyDescent="0.2">
      <c r="A102" s="158"/>
      <c r="B102" s="46"/>
      <c r="C102" s="34" t="s">
        <v>1670</v>
      </c>
      <c r="D102" s="42"/>
      <c r="E102" s="12"/>
      <c r="F102" s="43"/>
      <c r="G102" s="23"/>
      <c r="H102" s="24">
        <v>15</v>
      </c>
      <c r="I102" s="25"/>
      <c r="J102" s="26"/>
    </row>
    <row r="103" spans="1:10" ht="13.5" customHeight="1" x14ac:dyDescent="0.2">
      <c r="A103" s="158"/>
      <c r="B103" s="46"/>
      <c r="C103" s="34" t="s">
        <v>1671</v>
      </c>
      <c r="D103" s="42"/>
      <c r="E103" s="12"/>
      <c r="F103" s="43"/>
      <c r="G103" s="23"/>
      <c r="H103" s="44">
        <v>450</v>
      </c>
      <c r="I103" s="25"/>
      <c r="J103" s="26">
        <v>2686.38</v>
      </c>
    </row>
    <row r="104" spans="1:10" ht="13.5" customHeight="1" x14ac:dyDescent="0.2">
      <c r="A104" s="46"/>
      <c r="B104" s="46"/>
      <c r="C104" s="36" t="s">
        <v>127</v>
      </c>
      <c r="D104" s="42" t="s">
        <v>19</v>
      </c>
      <c r="E104" s="12">
        <v>-30.59</v>
      </c>
      <c r="F104" s="43" t="s">
        <v>549</v>
      </c>
      <c r="G104" s="23"/>
      <c r="H104" s="24"/>
      <c r="I104" s="25"/>
      <c r="J104" s="26"/>
    </row>
    <row r="105" spans="1:10" ht="13.5" customHeight="1" x14ac:dyDescent="0.2">
      <c r="A105" s="46"/>
      <c r="B105" s="46"/>
      <c r="C105" s="33" t="s">
        <v>736</v>
      </c>
      <c r="D105" s="42" t="s">
        <v>19</v>
      </c>
      <c r="E105" s="12">
        <v>-41.36</v>
      </c>
      <c r="F105" s="43" t="s">
        <v>549</v>
      </c>
      <c r="G105" s="23"/>
      <c r="H105" s="24"/>
      <c r="I105" s="25"/>
      <c r="J105" s="26"/>
    </row>
    <row r="106" spans="1:10" ht="13.5" customHeight="1" x14ac:dyDescent="0.2">
      <c r="A106" s="46"/>
      <c r="B106" s="46"/>
      <c r="C106" s="36" t="s">
        <v>129</v>
      </c>
      <c r="D106" s="42" t="s">
        <v>19</v>
      </c>
      <c r="E106" s="12">
        <v>-44.51</v>
      </c>
      <c r="F106" s="43" t="s">
        <v>549</v>
      </c>
      <c r="G106" s="23"/>
      <c r="H106" s="24"/>
      <c r="I106" s="25"/>
      <c r="J106" s="26"/>
    </row>
    <row r="107" spans="1:10" ht="13.5" customHeight="1" x14ac:dyDescent="0.2">
      <c r="A107" s="46"/>
      <c r="B107" s="46"/>
      <c r="C107" s="33" t="s">
        <v>737</v>
      </c>
      <c r="D107" s="42" t="s">
        <v>19</v>
      </c>
      <c r="E107" s="12">
        <v>-122.64</v>
      </c>
      <c r="F107" s="43" t="s">
        <v>549</v>
      </c>
      <c r="G107" s="23"/>
      <c r="H107" s="24"/>
      <c r="I107" s="25"/>
      <c r="J107" s="26"/>
    </row>
    <row r="108" spans="1:10" ht="13.5" customHeight="1" x14ac:dyDescent="0.2">
      <c r="A108" s="46"/>
      <c r="B108" s="46"/>
      <c r="C108" s="36" t="s">
        <v>130</v>
      </c>
      <c r="D108" s="42" t="s">
        <v>19</v>
      </c>
      <c r="E108" s="12">
        <v>-219.24</v>
      </c>
      <c r="F108" s="43" t="s">
        <v>549</v>
      </c>
      <c r="G108" s="23"/>
      <c r="H108" s="24"/>
      <c r="I108" s="25"/>
      <c r="J108" s="26"/>
    </row>
    <row r="109" spans="1:10" ht="13.5" customHeight="1" x14ac:dyDescent="0.2">
      <c r="A109" s="46"/>
      <c r="B109" s="46"/>
      <c r="C109" s="34" t="s">
        <v>1672</v>
      </c>
      <c r="D109" s="42" t="s">
        <v>1673</v>
      </c>
      <c r="E109" s="12">
        <v>-600</v>
      </c>
      <c r="F109" s="43" t="s">
        <v>549</v>
      </c>
      <c r="G109" s="23"/>
      <c r="H109" s="24"/>
      <c r="I109" s="25"/>
      <c r="J109" s="26"/>
    </row>
    <row r="110" spans="1:10" ht="13.5" customHeight="1" x14ac:dyDescent="0.2">
      <c r="A110" s="46"/>
      <c r="B110" s="46"/>
      <c r="C110" s="34" t="s">
        <v>20</v>
      </c>
      <c r="D110" s="42" t="s">
        <v>19</v>
      </c>
      <c r="E110" s="12" t="s">
        <v>549</v>
      </c>
      <c r="F110" s="43">
        <v>0.04</v>
      </c>
      <c r="G110" s="23">
        <v>3832.94</v>
      </c>
      <c r="H110" s="24"/>
      <c r="I110" s="25"/>
      <c r="J110" s="26"/>
    </row>
    <row r="111" spans="1:10" ht="13.5" customHeight="1" x14ac:dyDescent="0.2">
      <c r="A111" s="158">
        <v>43549</v>
      </c>
      <c r="B111" s="46"/>
      <c r="C111" s="34" t="s">
        <v>1674</v>
      </c>
      <c r="D111" s="42"/>
      <c r="E111" s="12"/>
      <c r="F111" s="43"/>
      <c r="G111" s="23"/>
      <c r="H111" s="24">
        <v>9.0399999999999991</v>
      </c>
      <c r="I111" s="25"/>
      <c r="J111" s="26"/>
    </row>
    <row r="112" spans="1:10" ht="13.5" customHeight="1" x14ac:dyDescent="0.2">
      <c r="A112" s="158"/>
      <c r="B112" s="46"/>
      <c r="C112" s="34" t="s">
        <v>1675</v>
      </c>
      <c r="D112" s="42"/>
      <c r="E112" s="12"/>
      <c r="F112" s="43"/>
      <c r="G112" s="23"/>
      <c r="H112" s="24">
        <v>8.1</v>
      </c>
      <c r="I112" s="25"/>
      <c r="J112" s="26"/>
    </row>
    <row r="113" spans="1:10" ht="13.5" customHeight="1" x14ac:dyDescent="0.2">
      <c r="A113" s="158"/>
      <c r="B113" s="46"/>
      <c r="C113" s="34" t="s">
        <v>1676</v>
      </c>
      <c r="D113" s="42"/>
      <c r="E113" s="12"/>
      <c r="F113" s="43"/>
      <c r="G113" s="23"/>
      <c r="H113" s="24">
        <v>8</v>
      </c>
      <c r="I113" s="25"/>
      <c r="J113" s="26"/>
    </row>
    <row r="114" spans="1:10" ht="13.5" customHeight="1" x14ac:dyDescent="0.2">
      <c r="A114" s="158"/>
      <c r="B114" s="46"/>
      <c r="C114" s="34" t="s">
        <v>1677</v>
      </c>
      <c r="D114" s="42"/>
      <c r="E114" s="12"/>
      <c r="F114" s="43"/>
      <c r="G114" s="23"/>
      <c r="H114" s="24">
        <v>26.8</v>
      </c>
      <c r="I114" s="25"/>
      <c r="J114" s="26"/>
    </row>
    <row r="115" spans="1:10" ht="13.5" customHeight="1" x14ac:dyDescent="0.2">
      <c r="A115" s="158"/>
      <c r="B115" s="46"/>
      <c r="C115" s="34" t="s">
        <v>1678</v>
      </c>
      <c r="D115" s="42"/>
      <c r="E115" s="12"/>
      <c r="F115" s="43"/>
      <c r="G115" s="23"/>
      <c r="H115" s="24">
        <v>148</v>
      </c>
      <c r="I115" s="25"/>
      <c r="J115" s="26"/>
    </row>
    <row r="116" spans="1:10" ht="13.5" customHeight="1" x14ac:dyDescent="0.2">
      <c r="A116" s="158"/>
      <c r="B116" s="46"/>
      <c r="C116" s="34" t="s">
        <v>1679</v>
      </c>
      <c r="D116" s="42"/>
      <c r="E116" s="12"/>
      <c r="F116" s="43"/>
      <c r="G116" s="23"/>
      <c r="H116" s="24">
        <v>27.2</v>
      </c>
      <c r="I116" s="25"/>
      <c r="J116" s="26"/>
    </row>
    <row r="117" spans="1:10" ht="13.5" customHeight="1" x14ac:dyDescent="0.2">
      <c r="A117" s="158"/>
      <c r="B117" s="46"/>
      <c r="C117" s="34" t="s">
        <v>1680</v>
      </c>
      <c r="D117" s="42"/>
      <c r="E117" s="12"/>
      <c r="F117" s="43"/>
      <c r="G117" s="23"/>
      <c r="H117" s="24">
        <v>5.3</v>
      </c>
      <c r="I117" s="25"/>
      <c r="J117" s="26"/>
    </row>
    <row r="118" spans="1:10" ht="13.5" customHeight="1" x14ac:dyDescent="0.2">
      <c r="A118" s="158"/>
      <c r="B118" s="46"/>
      <c r="C118" s="34" t="s">
        <v>1681</v>
      </c>
      <c r="D118" s="42"/>
      <c r="E118" s="12"/>
      <c r="F118" s="43"/>
      <c r="G118" s="23"/>
      <c r="H118" s="24">
        <v>15</v>
      </c>
      <c r="I118" s="25"/>
      <c r="J118" s="26"/>
    </row>
    <row r="119" spans="1:10" ht="13.5" customHeight="1" x14ac:dyDescent="0.2">
      <c r="A119" s="158"/>
      <c r="B119" s="46"/>
      <c r="C119" s="34" t="s">
        <v>1682</v>
      </c>
      <c r="D119" s="42"/>
      <c r="E119" s="12"/>
      <c r="F119" s="43"/>
      <c r="G119" s="23"/>
      <c r="H119" s="24"/>
      <c r="I119" s="25">
        <v>185</v>
      </c>
      <c r="J119" s="26"/>
    </row>
    <row r="120" spans="1:10" ht="13.5" customHeight="1" x14ac:dyDescent="0.2">
      <c r="A120" s="158"/>
      <c r="B120" s="46"/>
      <c r="C120" s="34" t="s">
        <v>1683</v>
      </c>
      <c r="D120" s="42"/>
      <c r="E120" s="12"/>
      <c r="F120" s="43"/>
      <c r="G120" s="23"/>
      <c r="H120" s="24"/>
      <c r="I120" s="25">
        <v>185</v>
      </c>
      <c r="J120" s="26"/>
    </row>
    <row r="121" spans="1:10" ht="13.5" customHeight="1" x14ac:dyDescent="0.2">
      <c r="A121" s="158"/>
      <c r="B121" s="46"/>
      <c r="C121" s="34" t="s">
        <v>1684</v>
      </c>
      <c r="D121" s="42"/>
      <c r="E121" s="12"/>
      <c r="F121" s="43"/>
      <c r="G121" s="23"/>
      <c r="H121" s="24"/>
      <c r="I121" s="25">
        <v>185</v>
      </c>
      <c r="J121" s="26"/>
    </row>
    <row r="122" spans="1:10" ht="13.5" customHeight="1" x14ac:dyDescent="0.2">
      <c r="A122" s="158"/>
      <c r="B122" s="46"/>
      <c r="C122" s="34" t="s">
        <v>1685</v>
      </c>
      <c r="D122" s="42"/>
      <c r="E122" s="12"/>
      <c r="F122" s="43"/>
      <c r="G122" s="23"/>
      <c r="H122" s="24"/>
      <c r="I122" s="25">
        <v>185</v>
      </c>
      <c r="J122" s="26"/>
    </row>
    <row r="123" spans="1:10" ht="13.5" customHeight="1" x14ac:dyDescent="0.2">
      <c r="A123" s="158"/>
      <c r="B123" s="46"/>
      <c r="C123" s="34" t="s">
        <v>1686</v>
      </c>
      <c r="D123" s="42"/>
      <c r="E123" s="12"/>
      <c r="F123" s="43"/>
      <c r="G123" s="23"/>
      <c r="H123" s="24">
        <v>72.97</v>
      </c>
      <c r="I123" s="25"/>
      <c r="J123" s="26"/>
    </row>
    <row r="124" spans="1:10" ht="13.5" customHeight="1" x14ac:dyDescent="0.2">
      <c r="A124" s="158"/>
      <c r="B124" s="46"/>
      <c r="C124" s="34" t="s">
        <v>1687</v>
      </c>
      <c r="D124" s="42"/>
      <c r="E124" s="12"/>
      <c r="F124" s="43"/>
      <c r="G124" s="23"/>
      <c r="H124" s="24">
        <v>50</v>
      </c>
      <c r="I124" s="25"/>
      <c r="J124" s="26">
        <v>3055.9700000000003</v>
      </c>
    </row>
    <row r="125" spans="1:10" ht="13.5" customHeight="1" x14ac:dyDescent="0.2">
      <c r="A125" s="46"/>
      <c r="B125" s="46"/>
      <c r="C125" s="34" t="s">
        <v>136</v>
      </c>
      <c r="D125" s="42" t="s">
        <v>19</v>
      </c>
      <c r="E125" s="12">
        <v>-37.9</v>
      </c>
      <c r="F125" s="43" t="s">
        <v>549</v>
      </c>
      <c r="G125" s="23">
        <v>3795.04</v>
      </c>
      <c r="H125" s="24"/>
      <c r="I125" s="25"/>
      <c r="J125" s="26"/>
    </row>
    <row r="126" spans="1:10" ht="13.5" customHeight="1" x14ac:dyDescent="0.2">
      <c r="A126" s="46" t="s">
        <v>1688</v>
      </c>
      <c r="B126" s="46"/>
      <c r="C126" s="34" t="s">
        <v>1689</v>
      </c>
      <c r="D126" s="42" t="s">
        <v>1690</v>
      </c>
      <c r="E126" s="12">
        <v>-450</v>
      </c>
      <c r="F126" s="43" t="s">
        <v>549</v>
      </c>
      <c r="G126" s="23"/>
      <c r="H126" s="24"/>
      <c r="I126" s="25"/>
      <c r="J126" s="26"/>
    </row>
    <row r="127" spans="1:10" ht="13.5" customHeight="1" x14ac:dyDescent="0.2">
      <c r="A127" s="46"/>
      <c r="B127" s="46"/>
      <c r="C127" s="34" t="s">
        <v>20</v>
      </c>
      <c r="D127" s="42" t="s">
        <v>19</v>
      </c>
      <c r="E127" s="12" t="s">
        <v>549</v>
      </c>
      <c r="F127" s="43">
        <v>0.02</v>
      </c>
      <c r="G127" s="23">
        <v>3345.06</v>
      </c>
      <c r="H127" s="24"/>
      <c r="I127" s="25"/>
      <c r="J127" s="26"/>
    </row>
    <row r="128" spans="1:10" ht="13.5" customHeight="1" x14ac:dyDescent="0.2">
      <c r="A128" s="158">
        <v>43552</v>
      </c>
      <c r="B128" s="46"/>
      <c r="C128" s="34" t="s">
        <v>1691</v>
      </c>
      <c r="D128" s="42"/>
      <c r="E128" s="12"/>
      <c r="F128" s="43"/>
      <c r="G128" s="23"/>
      <c r="H128" s="24">
        <v>375</v>
      </c>
      <c r="I128" s="25"/>
      <c r="J128" s="26"/>
    </row>
    <row r="129" spans="1:10" ht="13.5" customHeight="1" x14ac:dyDescent="0.2">
      <c r="A129" s="158"/>
      <c r="B129" s="46"/>
      <c r="C129" s="34" t="s">
        <v>1692</v>
      </c>
      <c r="D129" s="42"/>
      <c r="E129" s="12"/>
      <c r="F129" s="43"/>
      <c r="G129" s="23"/>
      <c r="H129" s="24"/>
      <c r="I129" s="25">
        <v>900</v>
      </c>
      <c r="J129" s="26"/>
    </row>
    <row r="130" spans="1:10" ht="13.5" customHeight="1" x14ac:dyDescent="0.2">
      <c r="A130" s="158"/>
      <c r="B130" s="46"/>
      <c r="C130" s="34" t="s">
        <v>1693</v>
      </c>
      <c r="D130" s="42"/>
      <c r="E130" s="12"/>
      <c r="F130" s="43"/>
      <c r="G130" s="23"/>
      <c r="H130" s="24"/>
      <c r="I130" s="25">
        <v>1360</v>
      </c>
      <c r="J130" s="26">
        <v>4940.97</v>
      </c>
    </row>
    <row r="131" spans="1:10" ht="13.5" customHeight="1" x14ac:dyDescent="0.2">
      <c r="A131" s="46"/>
      <c r="B131" s="46"/>
      <c r="C131" s="34" t="s">
        <v>1694</v>
      </c>
      <c r="D131" s="42" t="s">
        <v>19</v>
      </c>
      <c r="E131" s="12">
        <v>-1000</v>
      </c>
      <c r="F131" s="43" t="s">
        <v>549</v>
      </c>
      <c r="G131" s="23"/>
      <c r="H131" s="24"/>
      <c r="I131" s="25"/>
      <c r="J131" s="26"/>
    </row>
    <row r="132" spans="1:10" ht="13.5" customHeight="1" x14ac:dyDescent="0.2">
      <c r="A132" s="46"/>
      <c r="B132" s="46"/>
      <c r="C132" s="34" t="s">
        <v>20</v>
      </c>
      <c r="D132" s="42" t="s">
        <v>19</v>
      </c>
      <c r="E132" s="12" t="s">
        <v>549</v>
      </c>
      <c r="F132" s="43">
        <v>0.03</v>
      </c>
      <c r="G132" s="23">
        <v>2345.09</v>
      </c>
      <c r="H132" s="24"/>
      <c r="I132" s="25"/>
      <c r="J132" s="26"/>
    </row>
    <row r="133" spans="1:10" ht="13.5" customHeight="1" x14ac:dyDescent="0.2">
      <c r="A133" s="46" t="s">
        <v>1695</v>
      </c>
      <c r="B133" s="46"/>
      <c r="C133" s="34" t="s">
        <v>1696</v>
      </c>
      <c r="D133" s="42" t="s">
        <v>19</v>
      </c>
      <c r="E133" s="12">
        <v>-84.58</v>
      </c>
      <c r="F133" s="43" t="s">
        <v>549</v>
      </c>
      <c r="G133" s="23"/>
      <c r="H133" s="24"/>
      <c r="I133" s="25"/>
      <c r="J133" s="26"/>
    </row>
    <row r="134" spans="1:10" ht="13.5" customHeight="1" x14ac:dyDescent="0.2">
      <c r="A134" s="46"/>
      <c r="B134" s="46"/>
      <c r="C134" s="34" t="s">
        <v>1697</v>
      </c>
      <c r="D134" s="42" t="s">
        <v>19</v>
      </c>
      <c r="E134" s="12">
        <v>-84.58</v>
      </c>
      <c r="F134" s="43" t="s">
        <v>549</v>
      </c>
      <c r="G134" s="23"/>
      <c r="H134" s="24"/>
      <c r="I134" s="25"/>
      <c r="J134" s="26"/>
    </row>
    <row r="135" spans="1:10" ht="13.5" customHeight="1" x14ac:dyDescent="0.2">
      <c r="A135" s="46"/>
      <c r="B135" s="46"/>
      <c r="C135" s="34" t="s">
        <v>1698</v>
      </c>
      <c r="D135" s="42" t="s">
        <v>19</v>
      </c>
      <c r="E135" s="12">
        <v>-16.77</v>
      </c>
      <c r="F135" s="43" t="s">
        <v>549</v>
      </c>
      <c r="G135" s="23"/>
      <c r="H135" s="24"/>
      <c r="I135" s="25"/>
      <c r="J135" s="26"/>
    </row>
    <row r="136" spans="1:10" ht="13.5" customHeight="1" x14ac:dyDescent="0.2">
      <c r="A136" s="46"/>
      <c r="B136" s="46"/>
      <c r="C136" s="34" t="s">
        <v>1699</v>
      </c>
      <c r="D136" s="42" t="s">
        <v>19</v>
      </c>
      <c r="E136" s="12">
        <v>-102.41</v>
      </c>
      <c r="F136" s="43" t="s">
        <v>549</v>
      </c>
      <c r="G136" s="23"/>
      <c r="H136" s="24"/>
      <c r="I136" s="25"/>
      <c r="J136" s="26"/>
    </row>
    <row r="137" spans="1:10" ht="13.5" customHeight="1" x14ac:dyDescent="0.2">
      <c r="A137" s="46"/>
      <c r="B137" s="46"/>
      <c r="C137" s="34" t="s">
        <v>1700</v>
      </c>
      <c r="D137" s="42" t="s">
        <v>19</v>
      </c>
      <c r="E137" s="12">
        <v>-102.41</v>
      </c>
      <c r="F137" s="43" t="s">
        <v>549</v>
      </c>
      <c r="G137" s="23"/>
      <c r="H137" s="24"/>
      <c r="I137" s="25"/>
      <c r="J137" s="26"/>
    </row>
    <row r="138" spans="1:10" ht="13.5" customHeight="1" x14ac:dyDescent="0.2">
      <c r="A138" s="46"/>
      <c r="B138" s="46"/>
      <c r="C138" s="34" t="s">
        <v>1701</v>
      </c>
      <c r="D138" s="42" t="s">
        <v>19</v>
      </c>
      <c r="E138" s="12">
        <v>-102.41</v>
      </c>
      <c r="F138" s="43" t="s">
        <v>549</v>
      </c>
      <c r="G138" s="23"/>
      <c r="H138" s="24"/>
      <c r="I138" s="25"/>
      <c r="J138" s="26"/>
    </row>
    <row r="139" spans="1:10" ht="13.5" customHeight="1" x14ac:dyDescent="0.2">
      <c r="A139" s="46"/>
      <c r="B139" s="46"/>
      <c r="C139" s="34" t="s">
        <v>20</v>
      </c>
      <c r="D139" s="42" t="s">
        <v>19</v>
      </c>
      <c r="E139" s="12" t="s">
        <v>549</v>
      </c>
      <c r="F139" s="43">
        <v>0.01</v>
      </c>
      <c r="G139" s="275">
        <v>1851.94</v>
      </c>
      <c r="H139" s="24"/>
      <c r="I139" s="25"/>
      <c r="J139" s="26"/>
    </row>
    <row r="140" spans="1:10" ht="13.5" customHeight="1" x14ac:dyDescent="0.2">
      <c r="A140" s="46"/>
      <c r="B140" s="46"/>
      <c r="C140" s="34" t="s">
        <v>318</v>
      </c>
      <c r="D140" s="42"/>
      <c r="E140" s="12"/>
      <c r="F140" s="43"/>
      <c r="G140" s="23"/>
      <c r="H140" s="24">
        <v>600</v>
      </c>
      <c r="I140" s="25"/>
      <c r="J140" s="26">
        <v>4340.97</v>
      </c>
    </row>
    <row r="141" spans="1:10" ht="13.5" customHeight="1" x14ac:dyDescent="0.2">
      <c r="A141" s="46"/>
      <c r="B141" s="46"/>
      <c r="C141" s="34" t="s">
        <v>1303</v>
      </c>
      <c r="D141" s="42"/>
      <c r="E141" s="12"/>
      <c r="F141" s="43"/>
      <c r="G141" s="23"/>
      <c r="H141" s="24">
        <v>300</v>
      </c>
      <c r="I141" s="25"/>
      <c r="J141" s="26">
        <v>4040.9700000000003</v>
      </c>
    </row>
    <row r="142" spans="1:10" ht="13.5" customHeight="1" x14ac:dyDescent="0.2">
      <c r="A142" s="46"/>
      <c r="B142" s="46"/>
      <c r="C142" s="34" t="s">
        <v>52</v>
      </c>
      <c r="D142" s="42"/>
      <c r="E142" s="647">
        <f>SUM(E12:E141)</f>
        <v>-6874.6900000000005</v>
      </c>
      <c r="F142" s="647">
        <f>SUM(F10:F46,F78:F141)</f>
        <v>3150.1300000000006</v>
      </c>
      <c r="G142" s="23"/>
      <c r="H142" s="24">
        <v>450</v>
      </c>
      <c r="I142" s="25"/>
      <c r="J142" s="276">
        <v>3590.9700000000003</v>
      </c>
    </row>
    <row r="143" spans="1:10" ht="13.5" customHeight="1" thickBot="1" x14ac:dyDescent="0.25">
      <c r="A143" s="47"/>
      <c r="B143" s="48"/>
      <c r="C143" s="49"/>
      <c r="D143" s="50"/>
      <c r="E143" s="51"/>
      <c r="F143" s="52"/>
      <c r="G143" s="53"/>
      <c r="H143" s="648">
        <f>-SUM(H4:H43,H49:H55,H59:H60,H62:H63,H73:H102,H111:H142)</f>
        <v>-11686.919999999996</v>
      </c>
      <c r="I143" s="649">
        <f>SUM(I8:I142)</f>
        <v>21634.3</v>
      </c>
      <c r="J143" s="52"/>
    </row>
    <row r="144" spans="1:10" ht="13.5" customHeight="1" thickBot="1" x14ac:dyDescent="0.25">
      <c r="A144" s="2" t="s">
        <v>2</v>
      </c>
      <c r="B144" s="3"/>
      <c r="C144" s="3" t="s">
        <v>481</v>
      </c>
      <c r="D144" s="3" t="s">
        <v>4</v>
      </c>
      <c r="E144" s="3" t="s">
        <v>5</v>
      </c>
      <c r="F144" s="3" t="s">
        <v>6</v>
      </c>
      <c r="G144" s="5" t="s">
        <v>7</v>
      </c>
      <c r="H144" s="1415" t="s">
        <v>482</v>
      </c>
      <c r="I144" s="1416"/>
      <c r="J144" s="1417"/>
    </row>
    <row r="145" spans="1:10" ht="13.5" customHeight="1" x14ac:dyDescent="0.2">
      <c r="A145" s="8">
        <v>43525</v>
      </c>
      <c r="B145" s="56"/>
      <c r="C145" s="10" t="s">
        <v>8</v>
      </c>
      <c r="D145" s="11">
        <v>0</v>
      </c>
      <c r="E145" s="51"/>
      <c r="F145" s="12"/>
      <c r="G145" s="178">
        <v>0</v>
      </c>
      <c r="H145" s="179"/>
      <c r="I145" s="57"/>
      <c r="J145" s="58">
        <v>1711.9299999999985</v>
      </c>
    </row>
    <row r="146" spans="1:10" ht="13.5" customHeight="1" x14ac:dyDescent="0.2">
      <c r="A146" s="180"/>
      <c r="B146" s="56" t="s">
        <v>483</v>
      </c>
      <c r="C146" s="32" t="s">
        <v>1597</v>
      </c>
      <c r="D146" s="11" t="s">
        <v>488</v>
      </c>
      <c r="E146" s="181">
        <v>-0.36</v>
      </c>
      <c r="F146" s="12"/>
      <c r="G146" s="182" t="s">
        <v>483</v>
      </c>
      <c r="H146" s="59"/>
      <c r="I146" s="60"/>
      <c r="J146" s="61">
        <v>1711.9299999999985</v>
      </c>
    </row>
    <row r="147" spans="1:10" ht="13.5" customHeight="1" x14ac:dyDescent="0.2">
      <c r="A147" s="180"/>
      <c r="B147" s="56" t="s">
        <v>483</v>
      </c>
      <c r="C147" s="36" t="s">
        <v>1598</v>
      </c>
      <c r="D147" s="11" t="s">
        <v>488</v>
      </c>
      <c r="E147" s="181">
        <v>-2.23</v>
      </c>
      <c r="F147" s="12"/>
      <c r="G147" s="182" t="s">
        <v>483</v>
      </c>
      <c r="H147" s="59"/>
      <c r="I147" s="60"/>
      <c r="J147" s="61">
        <v>1711.9299999999985</v>
      </c>
    </row>
    <row r="148" spans="1:10" ht="13.5" customHeight="1" x14ac:dyDescent="0.2">
      <c r="A148" s="180"/>
      <c r="B148" s="56" t="s">
        <v>483</v>
      </c>
      <c r="C148" s="36" t="s">
        <v>174</v>
      </c>
      <c r="D148" s="11" t="s">
        <v>488</v>
      </c>
      <c r="E148" s="30"/>
      <c r="F148" s="183">
        <v>2.59</v>
      </c>
      <c r="G148" s="182">
        <v>0</v>
      </c>
      <c r="H148" s="59">
        <v>2.59</v>
      </c>
      <c r="I148" s="60"/>
      <c r="J148" s="61">
        <v>1709.3399999999986</v>
      </c>
    </row>
    <row r="149" spans="1:10" ht="13.5" customHeight="1" x14ac:dyDescent="0.2">
      <c r="A149" s="180" t="s">
        <v>1702</v>
      </c>
      <c r="B149" s="56" t="s">
        <v>483</v>
      </c>
      <c r="C149" s="36" t="s">
        <v>180</v>
      </c>
      <c r="D149" s="11" t="s">
        <v>488</v>
      </c>
      <c r="E149" s="181">
        <v>-334.78</v>
      </c>
      <c r="F149" s="12"/>
      <c r="G149" s="182" t="s">
        <v>483</v>
      </c>
      <c r="H149" s="59"/>
      <c r="I149" s="60"/>
      <c r="J149" s="61">
        <v>1709.3399999999986</v>
      </c>
    </row>
    <row r="150" spans="1:10" ht="13.5" customHeight="1" x14ac:dyDescent="0.2">
      <c r="A150" s="180"/>
      <c r="B150" s="56" t="s">
        <v>483</v>
      </c>
      <c r="C150" s="36" t="s">
        <v>1703</v>
      </c>
      <c r="D150" s="11" t="s">
        <v>976</v>
      </c>
      <c r="E150" s="181">
        <v>-359.83</v>
      </c>
      <c r="F150" s="12"/>
      <c r="G150" s="182" t="s">
        <v>483</v>
      </c>
      <c r="H150" s="59"/>
      <c r="I150" s="60"/>
      <c r="J150" s="61">
        <v>1709.3399999999986</v>
      </c>
    </row>
    <row r="151" spans="1:10" ht="13.5" customHeight="1" x14ac:dyDescent="0.2">
      <c r="A151" s="180"/>
      <c r="B151" s="56" t="s">
        <v>483</v>
      </c>
      <c r="C151" s="36" t="s">
        <v>1704</v>
      </c>
      <c r="D151" s="11" t="s">
        <v>1705</v>
      </c>
      <c r="E151" s="181">
        <v>-90</v>
      </c>
      <c r="F151" s="12"/>
      <c r="G151" s="182" t="s">
        <v>483</v>
      </c>
      <c r="H151" s="59"/>
      <c r="I151" s="60"/>
      <c r="J151" s="61">
        <v>1709.3399999999986</v>
      </c>
    </row>
    <row r="152" spans="1:10" ht="13.5" customHeight="1" x14ac:dyDescent="0.2">
      <c r="A152" s="180"/>
      <c r="B152" s="56" t="s">
        <v>483</v>
      </c>
      <c r="C152" s="36" t="s">
        <v>174</v>
      </c>
      <c r="D152" s="11" t="s">
        <v>488</v>
      </c>
      <c r="E152" s="30"/>
      <c r="F152" s="181">
        <v>784.61</v>
      </c>
      <c r="G152" s="182">
        <v>0</v>
      </c>
      <c r="H152" s="59">
        <v>784.61</v>
      </c>
      <c r="I152" s="60"/>
      <c r="J152" s="61">
        <v>924.72999999999854</v>
      </c>
    </row>
    <row r="153" spans="1:10" ht="13.5" customHeight="1" x14ac:dyDescent="0.2">
      <c r="A153" s="180" t="s">
        <v>1706</v>
      </c>
      <c r="B153" s="56" t="s">
        <v>483</v>
      </c>
      <c r="C153" s="36" t="s">
        <v>382</v>
      </c>
      <c r="D153" s="11" t="s">
        <v>1353</v>
      </c>
      <c r="E153" s="181">
        <v>-243.07</v>
      </c>
      <c r="F153" s="30"/>
      <c r="G153" s="182" t="s">
        <v>483</v>
      </c>
      <c r="H153" s="59"/>
      <c r="I153" s="60"/>
      <c r="J153" s="61">
        <v>924.72999999999854</v>
      </c>
    </row>
    <row r="154" spans="1:10" ht="13.5" customHeight="1" x14ac:dyDescent="0.2">
      <c r="A154" s="180"/>
      <c r="B154" s="56" t="s">
        <v>483</v>
      </c>
      <c r="C154" s="36" t="s">
        <v>1707</v>
      </c>
      <c r="D154" s="11" t="s">
        <v>488</v>
      </c>
      <c r="E154" s="181">
        <v>-130</v>
      </c>
      <c r="F154" s="30"/>
      <c r="G154" s="182" t="s">
        <v>483</v>
      </c>
      <c r="H154" s="59"/>
      <c r="I154" s="60"/>
      <c r="J154" s="61">
        <v>924.72999999999854</v>
      </c>
    </row>
    <row r="155" spans="1:10" ht="13.5" customHeight="1" x14ac:dyDescent="0.2">
      <c r="A155" s="180"/>
      <c r="B155" s="56" t="s">
        <v>483</v>
      </c>
      <c r="C155" s="36" t="s">
        <v>172</v>
      </c>
      <c r="D155" s="11" t="s">
        <v>1708</v>
      </c>
      <c r="E155" s="181">
        <v>-608.67999999999995</v>
      </c>
      <c r="F155" s="30"/>
      <c r="G155" s="182" t="s">
        <v>483</v>
      </c>
      <c r="H155" s="59"/>
      <c r="I155" s="60"/>
      <c r="J155" s="61">
        <v>924.72999999999854</v>
      </c>
    </row>
    <row r="156" spans="1:10" ht="13.5" customHeight="1" x14ac:dyDescent="0.2">
      <c r="A156" s="180"/>
      <c r="B156" s="56" t="s">
        <v>483</v>
      </c>
      <c r="C156" s="36" t="s">
        <v>173</v>
      </c>
      <c r="D156" s="11" t="s">
        <v>1709</v>
      </c>
      <c r="E156" s="181">
        <v>-1007.27</v>
      </c>
      <c r="F156" s="30"/>
      <c r="G156" s="182" t="s">
        <v>483</v>
      </c>
      <c r="H156" s="59"/>
      <c r="I156" s="60"/>
      <c r="J156" s="61">
        <v>924.72999999999854</v>
      </c>
    </row>
    <row r="157" spans="1:10" ht="13.5" customHeight="1" x14ac:dyDescent="0.2">
      <c r="A157" s="180"/>
      <c r="B157" s="56" t="s">
        <v>483</v>
      </c>
      <c r="C157" s="36" t="s">
        <v>174</v>
      </c>
      <c r="D157" s="11" t="s">
        <v>488</v>
      </c>
      <c r="E157" s="30"/>
      <c r="F157" s="181">
        <v>924.97</v>
      </c>
      <c r="G157" s="182">
        <v>-1064.05</v>
      </c>
      <c r="H157" s="59">
        <v>924.97</v>
      </c>
      <c r="I157" s="60"/>
      <c r="J157" s="61">
        <v>-0.24000000000148702</v>
      </c>
    </row>
    <row r="158" spans="1:10" ht="13.5" customHeight="1" x14ac:dyDescent="0.2">
      <c r="A158" s="180" t="s">
        <v>1710</v>
      </c>
      <c r="B158" s="56" t="s">
        <v>483</v>
      </c>
      <c r="C158" s="36" t="s">
        <v>86</v>
      </c>
      <c r="D158" s="11" t="s">
        <v>488</v>
      </c>
      <c r="E158" s="181">
        <v>-10.1</v>
      </c>
      <c r="F158" s="30"/>
      <c r="G158" s="182" t="s">
        <v>483</v>
      </c>
      <c r="H158" s="59"/>
      <c r="I158" s="60"/>
      <c r="J158" s="61">
        <v>-0.24000000000148702</v>
      </c>
    </row>
    <row r="159" spans="1:10" ht="13.5" customHeight="1" x14ac:dyDescent="0.2">
      <c r="A159" s="180"/>
      <c r="B159" s="56" t="s">
        <v>483</v>
      </c>
      <c r="C159" s="36" t="s">
        <v>1711</v>
      </c>
      <c r="D159" s="11" t="s">
        <v>1712</v>
      </c>
      <c r="E159" s="181">
        <v>-150.65</v>
      </c>
      <c r="F159" s="30"/>
      <c r="G159" s="182">
        <v>-1224.8</v>
      </c>
      <c r="H159" s="59"/>
      <c r="I159" s="60"/>
      <c r="J159" s="61">
        <v>-0.24000000000148702</v>
      </c>
    </row>
    <row r="160" spans="1:10" ht="13.5" customHeight="1" x14ac:dyDescent="0.2">
      <c r="A160" s="180" t="s">
        <v>1713</v>
      </c>
      <c r="B160" s="56" t="s">
        <v>483</v>
      </c>
      <c r="C160" s="36" t="s">
        <v>1714</v>
      </c>
      <c r="D160" s="11" t="s">
        <v>1715</v>
      </c>
      <c r="E160" s="181">
        <v>-1386.81</v>
      </c>
      <c r="F160" s="30"/>
      <c r="G160" s="182">
        <v>-2611.61</v>
      </c>
      <c r="H160" s="59"/>
      <c r="I160" s="60"/>
      <c r="J160" s="61">
        <v>-0.24000000000148702</v>
      </c>
    </row>
    <row r="161" spans="1:10" ht="13.5" customHeight="1" x14ac:dyDescent="0.2">
      <c r="A161" s="180" t="s">
        <v>1716</v>
      </c>
      <c r="B161" s="56" t="s">
        <v>483</v>
      </c>
      <c r="C161" s="36" t="s">
        <v>1625</v>
      </c>
      <c r="D161" s="11" t="s">
        <v>1717</v>
      </c>
      <c r="E161" s="30"/>
      <c r="F161" s="165">
        <v>3000</v>
      </c>
      <c r="G161" s="411" t="s">
        <v>483</v>
      </c>
      <c r="H161" s="59"/>
      <c r="I161" s="60"/>
      <c r="J161" s="61">
        <v>-0.24000000000148702</v>
      </c>
    </row>
    <row r="162" spans="1:10" ht="13.5" customHeight="1" x14ac:dyDescent="0.2">
      <c r="A162" s="180"/>
      <c r="B162" s="56" t="s">
        <v>483</v>
      </c>
      <c r="C162" s="36" t="s">
        <v>1718</v>
      </c>
      <c r="D162" s="11" t="s">
        <v>1719</v>
      </c>
      <c r="E162" s="181">
        <v>-159</v>
      </c>
      <c r="F162" s="30"/>
      <c r="G162" s="182" t="s">
        <v>483</v>
      </c>
      <c r="H162" s="59"/>
      <c r="I162" s="60"/>
      <c r="J162" s="61">
        <v>-0.24000000000148702</v>
      </c>
    </row>
    <row r="163" spans="1:10" ht="13.5" customHeight="1" x14ac:dyDescent="0.2">
      <c r="A163" s="180"/>
      <c r="B163" s="56" t="s">
        <v>483</v>
      </c>
      <c r="C163" s="36" t="s">
        <v>189</v>
      </c>
      <c r="D163" s="11" t="s">
        <v>488</v>
      </c>
      <c r="E163" s="181">
        <v>-229.39</v>
      </c>
      <c r="F163" s="30"/>
      <c r="G163" s="182">
        <v>0</v>
      </c>
      <c r="H163" s="59"/>
      <c r="I163" s="60">
        <v>229.39</v>
      </c>
      <c r="J163" s="61">
        <v>229.1499999999985</v>
      </c>
    </row>
    <row r="164" spans="1:10" ht="13.5" customHeight="1" x14ac:dyDescent="0.2">
      <c r="A164" s="180" t="s">
        <v>1720</v>
      </c>
      <c r="B164" s="56" t="s">
        <v>483</v>
      </c>
      <c r="C164" s="36" t="s">
        <v>1721</v>
      </c>
      <c r="D164" s="11" t="s">
        <v>488</v>
      </c>
      <c r="E164" s="181">
        <v>-277.2</v>
      </c>
      <c r="F164" s="30"/>
      <c r="G164" s="182" t="s">
        <v>483</v>
      </c>
      <c r="H164" s="59"/>
      <c r="I164" s="60"/>
      <c r="J164" s="61">
        <v>229.1499999999985</v>
      </c>
    </row>
    <row r="165" spans="1:10" ht="13.5" customHeight="1" x14ac:dyDescent="0.2">
      <c r="A165" s="180"/>
      <c r="B165" s="56" t="s">
        <v>483</v>
      </c>
      <c r="C165" s="36" t="s">
        <v>174</v>
      </c>
      <c r="D165" s="11" t="s">
        <v>488</v>
      </c>
      <c r="E165" s="30"/>
      <c r="F165" s="181">
        <v>229.39</v>
      </c>
      <c r="G165" s="182">
        <v>-47.81</v>
      </c>
      <c r="H165" s="59">
        <v>229.39</v>
      </c>
      <c r="I165" s="60"/>
      <c r="J165" s="61">
        <v>-0.24000000000148702</v>
      </c>
    </row>
    <row r="166" spans="1:10" ht="13.5" customHeight="1" x14ac:dyDescent="0.2">
      <c r="A166" s="180" t="s">
        <v>1722</v>
      </c>
      <c r="B166" s="56" t="s">
        <v>483</v>
      </c>
      <c r="C166" s="36" t="s">
        <v>1723</v>
      </c>
      <c r="D166" s="11" t="s">
        <v>1724</v>
      </c>
      <c r="E166" s="181">
        <v>-754</v>
      </c>
      <c r="F166" s="30"/>
      <c r="G166" s="182">
        <v>-801.81</v>
      </c>
      <c r="H166" s="59"/>
      <c r="I166" s="60"/>
      <c r="J166" s="61">
        <v>-0.24000000000148702</v>
      </c>
    </row>
    <row r="167" spans="1:10" ht="13.5" customHeight="1" x14ac:dyDescent="0.2">
      <c r="A167" s="180"/>
      <c r="B167" s="56" t="s">
        <v>483</v>
      </c>
      <c r="C167" s="36" t="s">
        <v>1725</v>
      </c>
      <c r="D167" s="11" t="s">
        <v>488</v>
      </c>
      <c r="E167" s="30"/>
      <c r="F167" s="181">
        <v>4731.47</v>
      </c>
      <c r="G167" s="182" t="s">
        <v>483</v>
      </c>
      <c r="H167" s="59"/>
      <c r="I167" s="60"/>
      <c r="J167" s="61">
        <v>-0.24000000000148702</v>
      </c>
    </row>
    <row r="168" spans="1:10" ht="13.5" customHeight="1" x14ac:dyDescent="0.2">
      <c r="A168" s="180"/>
      <c r="B168" s="56" t="s">
        <v>483</v>
      </c>
      <c r="C168" s="36" t="s">
        <v>1726</v>
      </c>
      <c r="D168" s="11" t="s">
        <v>1727</v>
      </c>
      <c r="E168" s="181">
        <v>-86.04</v>
      </c>
      <c r="F168" s="12"/>
      <c r="G168" s="182" t="s">
        <v>483</v>
      </c>
      <c r="H168" s="59"/>
      <c r="I168" s="60"/>
      <c r="J168" s="61">
        <v>-0.24000000000148702</v>
      </c>
    </row>
    <row r="169" spans="1:10" ht="13.5" customHeight="1" x14ac:dyDescent="0.2">
      <c r="A169" s="180"/>
      <c r="B169" s="56" t="s">
        <v>483</v>
      </c>
      <c r="C169" s="36" t="s">
        <v>189</v>
      </c>
      <c r="D169" s="11" t="s">
        <v>488</v>
      </c>
      <c r="E169" s="181">
        <v>-3843.62</v>
      </c>
      <c r="F169" s="12"/>
      <c r="G169" s="182">
        <v>0</v>
      </c>
      <c r="H169" s="59"/>
      <c r="I169" s="60">
        <v>3843.62</v>
      </c>
      <c r="J169" s="61">
        <v>3843.3799999999983</v>
      </c>
    </row>
    <row r="170" spans="1:10" ht="13.5" customHeight="1" x14ac:dyDescent="0.2">
      <c r="A170" s="180" t="s">
        <v>1728</v>
      </c>
      <c r="B170" s="56" t="s">
        <v>591</v>
      </c>
      <c r="C170" s="36" t="s">
        <v>1729</v>
      </c>
      <c r="D170" s="11" t="s">
        <v>1730</v>
      </c>
      <c r="E170" s="30"/>
      <c r="F170" s="183">
        <v>8275</v>
      </c>
      <c r="G170" s="182" t="s">
        <v>483</v>
      </c>
      <c r="H170" s="59"/>
      <c r="I170" s="60"/>
      <c r="J170" s="61">
        <v>3843.3799999999983</v>
      </c>
    </row>
    <row r="171" spans="1:10" ht="13.5" customHeight="1" x14ac:dyDescent="0.2">
      <c r="A171" s="180"/>
      <c r="B171" s="56" t="s">
        <v>483</v>
      </c>
      <c r="C171" s="36" t="s">
        <v>1731</v>
      </c>
      <c r="D171" s="11" t="s">
        <v>1732</v>
      </c>
      <c r="E171" s="181">
        <v>-793.85</v>
      </c>
      <c r="F171" s="12"/>
      <c r="G171" s="182" t="s">
        <v>483</v>
      </c>
      <c r="H171" s="59"/>
      <c r="I171" s="60"/>
      <c r="J171" s="61">
        <v>3843.3799999999983</v>
      </c>
    </row>
    <row r="172" spans="1:10" ht="13.5" customHeight="1" x14ac:dyDescent="0.2">
      <c r="A172" s="180"/>
      <c r="B172" s="56" t="s">
        <v>483</v>
      </c>
      <c r="C172" s="36" t="s">
        <v>1733</v>
      </c>
      <c r="D172" s="11" t="s">
        <v>1734</v>
      </c>
      <c r="E172" s="181">
        <v>-421.52</v>
      </c>
      <c r="F172" s="12"/>
      <c r="G172" s="182" t="s">
        <v>483</v>
      </c>
      <c r="H172" s="59"/>
      <c r="I172" s="60"/>
      <c r="J172" s="61">
        <v>3843.3799999999983</v>
      </c>
    </row>
    <row r="173" spans="1:10" ht="13.5" customHeight="1" x14ac:dyDescent="0.2">
      <c r="A173" s="180"/>
      <c r="B173" s="56" t="s">
        <v>483</v>
      </c>
      <c r="C173" s="36" t="s">
        <v>174</v>
      </c>
      <c r="D173" s="11" t="s">
        <v>488</v>
      </c>
      <c r="E173" s="30"/>
      <c r="F173" s="183">
        <v>1215.3699999999999</v>
      </c>
      <c r="G173" s="182">
        <v>8275</v>
      </c>
      <c r="H173" s="59">
        <v>1215.3699999999999</v>
      </c>
      <c r="I173" s="60"/>
      <c r="J173" s="61">
        <v>2628.0099999999984</v>
      </c>
    </row>
    <row r="174" spans="1:10" s="64" customFormat="1" ht="13.5" customHeight="1" x14ac:dyDescent="0.2">
      <c r="A174" s="184" t="s">
        <v>1735</v>
      </c>
      <c r="B174" s="63" t="s">
        <v>483</v>
      </c>
      <c r="C174" s="36" t="s">
        <v>198</v>
      </c>
      <c r="D174" s="11" t="s">
        <v>1736</v>
      </c>
      <c r="E174" s="181">
        <v>-1320.97</v>
      </c>
      <c r="F174" s="13"/>
      <c r="G174" s="53">
        <v>6954.03</v>
      </c>
      <c r="H174" s="179"/>
      <c r="I174" s="57"/>
      <c r="J174" s="61">
        <v>2628.0099999999984</v>
      </c>
    </row>
    <row r="175" spans="1:10" s="64" customFormat="1" ht="13.5" customHeight="1" x14ac:dyDescent="0.2">
      <c r="A175" s="184"/>
      <c r="B175" s="63" t="s">
        <v>483</v>
      </c>
      <c r="C175" s="36" t="s">
        <v>194</v>
      </c>
      <c r="D175" s="11" t="s">
        <v>488</v>
      </c>
      <c r="E175" s="181">
        <v>-82.75</v>
      </c>
      <c r="F175" s="13"/>
      <c r="G175" s="53" t="s">
        <v>483</v>
      </c>
      <c r="H175" s="179"/>
      <c r="I175" s="57"/>
      <c r="J175" s="61">
        <v>2628.0099999999984</v>
      </c>
    </row>
    <row r="176" spans="1:10" s="64" customFormat="1" ht="13.5" customHeight="1" x14ac:dyDescent="0.2">
      <c r="A176" s="184"/>
      <c r="B176" s="63" t="s">
        <v>483</v>
      </c>
      <c r="C176" s="36" t="s">
        <v>195</v>
      </c>
      <c r="D176" s="11" t="s">
        <v>488</v>
      </c>
      <c r="E176" s="181">
        <v>-381.94</v>
      </c>
      <c r="F176" s="13"/>
      <c r="G176" s="53" t="s">
        <v>483</v>
      </c>
      <c r="H176" s="179"/>
      <c r="I176" s="57"/>
      <c r="J176" s="61">
        <v>2628.0099999999984</v>
      </c>
    </row>
    <row r="177" spans="1:10" s="64" customFormat="1" ht="13.5" customHeight="1" x14ac:dyDescent="0.2">
      <c r="A177" s="184"/>
      <c r="B177" s="63" t="s">
        <v>483</v>
      </c>
      <c r="C177" s="36" t="s">
        <v>1737</v>
      </c>
      <c r="D177" s="11" t="s">
        <v>1738</v>
      </c>
      <c r="E177" s="165">
        <v>-8000</v>
      </c>
      <c r="F177" s="183"/>
      <c r="G177" s="53" t="s">
        <v>483</v>
      </c>
      <c r="H177" s="179"/>
      <c r="I177" s="57"/>
      <c r="J177" s="61">
        <v>2628.0099999999984</v>
      </c>
    </row>
    <row r="178" spans="1:10" s="64" customFormat="1" ht="13.5" customHeight="1" x14ac:dyDescent="0.2">
      <c r="A178" s="184"/>
      <c r="B178" s="63" t="s">
        <v>483</v>
      </c>
      <c r="C178" s="36" t="s">
        <v>174</v>
      </c>
      <c r="D178" s="11" t="s">
        <v>488</v>
      </c>
      <c r="E178" s="30"/>
      <c r="F178" s="183">
        <v>1510.66</v>
      </c>
      <c r="G178" s="53">
        <v>0</v>
      </c>
      <c r="H178" s="179">
        <v>1510.66</v>
      </c>
      <c r="I178" s="57"/>
      <c r="J178" s="61">
        <v>1117.3499999999983</v>
      </c>
    </row>
    <row r="179" spans="1:10" s="64" customFormat="1" ht="13.5" customHeight="1" x14ac:dyDescent="0.2">
      <c r="A179" s="184" t="s">
        <v>1739</v>
      </c>
      <c r="B179" s="63" t="s">
        <v>483</v>
      </c>
      <c r="C179" s="36" t="s">
        <v>86</v>
      </c>
      <c r="D179" s="11" t="s">
        <v>488</v>
      </c>
      <c r="E179" s="181">
        <v>-85</v>
      </c>
      <c r="F179" s="13"/>
      <c r="G179" s="53" t="s">
        <v>483</v>
      </c>
      <c r="H179" s="179"/>
      <c r="I179" s="57"/>
      <c r="J179" s="61">
        <v>1117.3499999999983</v>
      </c>
    </row>
    <row r="180" spans="1:10" s="64" customFormat="1" ht="13.5" customHeight="1" x14ac:dyDescent="0.2">
      <c r="A180" s="184"/>
      <c r="B180" s="63" t="s">
        <v>483</v>
      </c>
      <c r="C180" s="36" t="s">
        <v>174</v>
      </c>
      <c r="D180" s="11" t="s">
        <v>488</v>
      </c>
      <c r="E180" s="30"/>
      <c r="F180" s="183">
        <v>85</v>
      </c>
      <c r="G180" s="53">
        <v>0</v>
      </c>
      <c r="H180" s="179">
        <v>85</v>
      </c>
      <c r="I180" s="57"/>
      <c r="J180" s="61">
        <v>1032.3499999999983</v>
      </c>
    </row>
    <row r="181" spans="1:10" s="64" customFormat="1" ht="13.5" customHeight="1" x14ac:dyDescent="0.2">
      <c r="A181" s="184" t="s">
        <v>1740</v>
      </c>
      <c r="B181" s="63" t="s">
        <v>483</v>
      </c>
      <c r="C181" s="36" t="s">
        <v>199</v>
      </c>
      <c r="D181" s="11" t="s">
        <v>488</v>
      </c>
      <c r="E181" s="181">
        <v>-223.45</v>
      </c>
      <c r="F181" s="13"/>
      <c r="G181" s="53" t="s">
        <v>483</v>
      </c>
      <c r="H181" s="179"/>
      <c r="I181" s="57"/>
      <c r="J181" s="61">
        <v>1032.3499999999983</v>
      </c>
    </row>
    <row r="182" spans="1:10" s="64" customFormat="1" ht="13.5" customHeight="1" x14ac:dyDescent="0.2">
      <c r="A182" s="184"/>
      <c r="B182" s="63" t="s">
        <v>483</v>
      </c>
      <c r="C182" s="36" t="s">
        <v>1741</v>
      </c>
      <c r="D182" s="11" t="s">
        <v>1742</v>
      </c>
      <c r="E182" s="181">
        <v>-745</v>
      </c>
      <c r="F182" s="13"/>
      <c r="G182" s="53" t="s">
        <v>483</v>
      </c>
      <c r="H182" s="179"/>
      <c r="I182" s="57"/>
      <c r="J182" s="61">
        <v>1032.3499999999983</v>
      </c>
    </row>
    <row r="183" spans="1:10" s="64" customFormat="1" ht="13.5" customHeight="1" x14ac:dyDescent="0.2">
      <c r="A183" s="184"/>
      <c r="B183" s="63" t="s">
        <v>591</v>
      </c>
      <c r="C183" s="36" t="s">
        <v>1737</v>
      </c>
      <c r="D183" s="11" t="s">
        <v>1743</v>
      </c>
      <c r="E183" s="30"/>
      <c r="F183" s="168">
        <v>8000</v>
      </c>
      <c r="G183" s="411" t="s">
        <v>483</v>
      </c>
      <c r="H183" s="179"/>
      <c r="I183" s="57"/>
      <c r="J183" s="61">
        <v>1032.3499999999983</v>
      </c>
    </row>
    <row r="184" spans="1:10" s="64" customFormat="1" ht="13.5" customHeight="1" x14ac:dyDescent="0.2">
      <c r="A184" s="184"/>
      <c r="B184" s="63" t="s">
        <v>483</v>
      </c>
      <c r="C184" s="36" t="s">
        <v>174</v>
      </c>
      <c r="D184" s="11" t="s">
        <v>488</v>
      </c>
      <c r="E184" s="30"/>
      <c r="F184" s="183">
        <v>968.45</v>
      </c>
      <c r="G184" s="53">
        <v>8000</v>
      </c>
      <c r="H184" s="179">
        <v>968.45</v>
      </c>
      <c r="I184" s="57"/>
      <c r="J184" s="61">
        <v>63.899999999998272</v>
      </c>
    </row>
    <row r="185" spans="1:10" s="64" customFormat="1" ht="13.5" customHeight="1" x14ac:dyDescent="0.2">
      <c r="A185" s="184" t="s">
        <v>1744</v>
      </c>
      <c r="B185" s="63" t="s">
        <v>483</v>
      </c>
      <c r="C185" s="36" t="s">
        <v>189</v>
      </c>
      <c r="D185" s="11" t="s">
        <v>488</v>
      </c>
      <c r="E185" s="181">
        <v>-8000</v>
      </c>
      <c r="F185" s="13"/>
      <c r="G185" s="53">
        <v>0</v>
      </c>
      <c r="H185" s="179"/>
      <c r="I185" s="57">
        <v>8000</v>
      </c>
      <c r="J185" s="61">
        <v>8063.8999999999978</v>
      </c>
    </row>
    <row r="186" spans="1:10" s="64" customFormat="1" ht="13.5" customHeight="1" x14ac:dyDescent="0.2">
      <c r="A186" s="184" t="s">
        <v>1745</v>
      </c>
      <c r="B186" s="63" t="s">
        <v>483</v>
      </c>
      <c r="C186" s="36" t="s">
        <v>86</v>
      </c>
      <c r="D186" s="11" t="s">
        <v>488</v>
      </c>
      <c r="E186" s="181">
        <v>-12.5</v>
      </c>
      <c r="F186" s="13"/>
      <c r="G186" s="53" t="s">
        <v>483</v>
      </c>
      <c r="H186" s="179"/>
      <c r="I186" s="57"/>
      <c r="J186" s="61">
        <v>8063.8999999999978</v>
      </c>
    </row>
    <row r="187" spans="1:10" s="64" customFormat="1" ht="13.5" customHeight="1" x14ac:dyDescent="0.2">
      <c r="A187" s="184"/>
      <c r="B187" s="63" t="s">
        <v>483</v>
      </c>
      <c r="C187" s="36" t="s">
        <v>174</v>
      </c>
      <c r="D187" s="11" t="s">
        <v>488</v>
      </c>
      <c r="E187" s="30"/>
      <c r="F187" s="183">
        <v>12.5</v>
      </c>
      <c r="G187" s="53">
        <v>0</v>
      </c>
      <c r="H187" s="179">
        <v>12.5</v>
      </c>
      <c r="I187" s="57"/>
      <c r="J187" s="61">
        <v>8051.3999999999978</v>
      </c>
    </row>
    <row r="188" spans="1:10" s="64" customFormat="1" ht="13.5" customHeight="1" x14ac:dyDescent="0.2">
      <c r="A188" s="184" t="s">
        <v>1746</v>
      </c>
      <c r="B188" s="63" t="s">
        <v>483</v>
      </c>
      <c r="C188" s="36" t="s">
        <v>1747</v>
      </c>
      <c r="D188" s="11" t="s">
        <v>1748</v>
      </c>
      <c r="E188" s="181">
        <v>-97.68</v>
      </c>
      <c r="F188" s="13"/>
      <c r="G188" s="53" t="s">
        <v>483</v>
      </c>
      <c r="H188" s="179"/>
      <c r="I188" s="57"/>
      <c r="J188" s="61">
        <v>8051.3999999999978</v>
      </c>
    </row>
    <row r="189" spans="1:10" s="64" customFormat="1" ht="13.5" customHeight="1" x14ac:dyDescent="0.2">
      <c r="A189" s="184"/>
      <c r="B189" s="63" t="s">
        <v>483</v>
      </c>
      <c r="C189" s="36" t="s">
        <v>1749</v>
      </c>
      <c r="D189" s="11" t="s">
        <v>1750</v>
      </c>
      <c r="E189" s="181">
        <v>-585.78</v>
      </c>
      <c r="F189" s="13"/>
      <c r="G189" s="53"/>
      <c r="H189" s="179"/>
      <c r="I189" s="57"/>
      <c r="J189" s="61">
        <v>8051.3999999999978</v>
      </c>
    </row>
    <row r="190" spans="1:10" ht="13.5" customHeight="1" x14ac:dyDescent="0.2">
      <c r="A190" s="180"/>
      <c r="B190" s="56" t="s">
        <v>483</v>
      </c>
      <c r="C190" s="36" t="s">
        <v>174</v>
      </c>
      <c r="D190" s="11" t="s">
        <v>488</v>
      </c>
      <c r="E190" s="30"/>
      <c r="F190" s="183">
        <v>683.46</v>
      </c>
      <c r="G190" s="182">
        <v>0</v>
      </c>
      <c r="H190" s="59">
        <v>683.46</v>
      </c>
      <c r="I190" s="60"/>
      <c r="J190" s="61">
        <v>7367.9399999999978</v>
      </c>
    </row>
    <row r="191" spans="1:10" ht="13.5" customHeight="1" x14ac:dyDescent="0.2">
      <c r="A191" s="180" t="s">
        <v>1751</v>
      </c>
      <c r="B191" s="56" t="s">
        <v>483</v>
      </c>
      <c r="C191" s="36" t="s">
        <v>813</v>
      </c>
      <c r="D191" s="11" t="s">
        <v>495</v>
      </c>
      <c r="E191" s="181">
        <v>-75</v>
      </c>
      <c r="F191" s="12"/>
      <c r="G191" s="182" t="s">
        <v>483</v>
      </c>
      <c r="H191" s="59"/>
      <c r="I191" s="60"/>
      <c r="J191" s="61">
        <v>7367.9399999999978</v>
      </c>
    </row>
    <row r="192" spans="1:10" ht="13.5" customHeight="1" x14ac:dyDescent="0.2">
      <c r="A192" s="180"/>
      <c r="B192" s="56" t="s">
        <v>483</v>
      </c>
      <c r="C192" s="36" t="s">
        <v>174</v>
      </c>
      <c r="D192" s="11" t="s">
        <v>488</v>
      </c>
      <c r="E192" s="30"/>
      <c r="F192" s="183">
        <v>75</v>
      </c>
      <c r="G192" s="205">
        <v>0</v>
      </c>
      <c r="H192" s="59">
        <v>75</v>
      </c>
      <c r="I192" s="60"/>
      <c r="J192" s="61">
        <v>7292.9399999999978</v>
      </c>
    </row>
    <row r="193" spans="1:10" s="64" customFormat="1" ht="13.5" customHeight="1" x14ac:dyDescent="0.2">
      <c r="A193" s="184"/>
      <c r="B193" s="63"/>
      <c r="C193" s="36" t="s">
        <v>20</v>
      </c>
      <c r="D193" s="11"/>
      <c r="E193" s="30"/>
      <c r="F193" s="13"/>
      <c r="G193" s="53"/>
      <c r="H193" s="179"/>
      <c r="I193" s="57">
        <v>0.32000000000243745</v>
      </c>
      <c r="J193" s="58">
        <v>7293.26</v>
      </c>
    </row>
    <row r="194" spans="1:10" s="64" customFormat="1" ht="13.5" customHeight="1" thickBot="1" x14ac:dyDescent="0.25">
      <c r="A194" s="184"/>
      <c r="B194" s="63"/>
      <c r="C194" s="63"/>
      <c r="D194" s="50"/>
      <c r="E194" s="650">
        <f>SUM(E146:E176,E179:E193)</f>
        <v>-22498.47</v>
      </c>
      <c r="F194" s="651">
        <f>SUM(F148:F160,F165:F182,F184:F193)</f>
        <v>19498.47</v>
      </c>
      <c r="G194" s="53"/>
      <c r="H194" s="179"/>
      <c r="I194" s="57"/>
      <c r="J194" s="67"/>
    </row>
    <row r="195" spans="1:10" ht="13.5" customHeight="1" thickBot="1" x14ac:dyDescent="0.25">
      <c r="A195" s="2" t="s">
        <v>2</v>
      </c>
      <c r="B195" s="3"/>
      <c r="C195" s="3" t="s">
        <v>525</v>
      </c>
      <c r="D195" s="3" t="s">
        <v>4</v>
      </c>
      <c r="E195" s="3" t="s">
        <v>5</v>
      </c>
      <c r="F195" s="3" t="s">
        <v>6</v>
      </c>
      <c r="G195" s="5" t="s">
        <v>7</v>
      </c>
      <c r="H195" s="187"/>
      <c r="I195" s="188"/>
      <c r="J195" s="189"/>
    </row>
    <row r="196" spans="1:10" ht="13.5" customHeight="1" x14ac:dyDescent="0.2">
      <c r="A196" s="8">
        <v>43525</v>
      </c>
      <c r="B196" s="56"/>
      <c r="C196" s="10" t="s">
        <v>8</v>
      </c>
      <c r="D196" s="11"/>
      <c r="E196" s="51"/>
      <c r="F196" s="12"/>
      <c r="G196" s="178">
        <v>509.95000000000005</v>
      </c>
      <c r="H196" s="179"/>
      <c r="I196" s="57"/>
      <c r="J196" s="67"/>
    </row>
    <row r="197" spans="1:10" ht="13.5" customHeight="1" x14ac:dyDescent="0.2">
      <c r="A197" s="180">
        <v>43531</v>
      </c>
      <c r="B197" s="56"/>
      <c r="C197" s="32" t="s">
        <v>611</v>
      </c>
      <c r="D197" s="11"/>
      <c r="E197" s="51"/>
      <c r="F197" s="183">
        <v>3000</v>
      </c>
      <c r="G197" s="190">
        <v>3509.95</v>
      </c>
      <c r="H197" s="179"/>
      <c r="I197" s="57"/>
      <c r="J197" s="67"/>
    </row>
    <row r="198" spans="1:10" customFormat="1" ht="13.5" customHeight="1" x14ac:dyDescent="0.2">
      <c r="A198" s="180"/>
      <c r="B198" s="36"/>
      <c r="C198" s="36" t="s">
        <v>1752</v>
      </c>
      <c r="D198" s="42"/>
      <c r="E198" s="343">
        <v>629.82000000000005</v>
      </c>
      <c r="F198" s="43"/>
      <c r="G198" s="190">
        <v>2880.1299999999997</v>
      </c>
      <c r="H198" s="197"/>
      <c r="I198" s="57"/>
      <c r="J198" s="198"/>
    </row>
    <row r="199" spans="1:10" ht="13.5" customHeight="1" x14ac:dyDescent="0.2">
      <c r="A199" s="180">
        <v>43532</v>
      </c>
      <c r="B199" s="56"/>
      <c r="C199" s="36" t="s">
        <v>530</v>
      </c>
      <c r="D199" s="11"/>
      <c r="E199" s="181">
        <v>888.22</v>
      </c>
      <c r="F199" s="12"/>
      <c r="G199" s="190">
        <v>1991.9099999999996</v>
      </c>
      <c r="H199" s="59"/>
      <c r="I199" s="60"/>
      <c r="J199" s="61"/>
    </row>
    <row r="200" spans="1:10" ht="13.5" customHeight="1" x14ac:dyDescent="0.2">
      <c r="A200" s="180"/>
      <c r="B200" s="56"/>
      <c r="C200" s="32" t="s">
        <v>1753</v>
      </c>
      <c r="D200" s="11"/>
      <c r="E200" s="181">
        <v>1098.75</v>
      </c>
      <c r="F200" s="12"/>
      <c r="G200" s="190">
        <v>893.15999999999963</v>
      </c>
      <c r="H200" s="59"/>
      <c r="I200" s="60"/>
      <c r="J200" s="61"/>
    </row>
    <row r="201" spans="1:10" ht="13.5" customHeight="1" x14ac:dyDescent="0.2">
      <c r="A201" s="180"/>
      <c r="B201" s="56"/>
      <c r="C201" s="36" t="s">
        <v>1754</v>
      </c>
      <c r="D201" s="11"/>
      <c r="E201" s="181">
        <v>294.27</v>
      </c>
      <c r="F201" s="12"/>
      <c r="G201" s="190">
        <v>598.88999999999965</v>
      </c>
      <c r="H201" s="59"/>
      <c r="I201" s="60"/>
      <c r="J201" s="61"/>
    </row>
    <row r="202" spans="1:10" ht="13.5" customHeight="1" x14ac:dyDescent="0.2">
      <c r="A202" s="180">
        <v>43549</v>
      </c>
      <c r="B202" s="56"/>
      <c r="C202" s="36" t="s">
        <v>613</v>
      </c>
      <c r="D202" s="11"/>
      <c r="E202" s="181">
        <v>28</v>
      </c>
      <c r="F202" s="12"/>
      <c r="G202" s="190">
        <v>570.88999999999965</v>
      </c>
      <c r="H202" s="59"/>
      <c r="I202" s="60"/>
      <c r="J202" s="61"/>
    </row>
    <row r="203" spans="1:10" ht="13.5" customHeight="1" x14ac:dyDescent="0.2">
      <c r="A203" s="180">
        <v>43550</v>
      </c>
      <c r="B203" s="56"/>
      <c r="C203" s="36" t="s">
        <v>1755</v>
      </c>
      <c r="D203" s="11"/>
      <c r="E203" s="181">
        <v>145</v>
      </c>
      <c r="F203" s="12"/>
      <c r="G203" s="178">
        <v>425.88999999999965</v>
      </c>
      <c r="H203" s="59"/>
      <c r="I203" s="60"/>
      <c r="J203" s="61"/>
    </row>
    <row r="204" spans="1:10" ht="13.5" customHeight="1" thickBot="1" x14ac:dyDescent="0.25">
      <c r="A204" s="180"/>
      <c r="B204" s="56"/>
      <c r="C204" s="36"/>
      <c r="D204" s="11"/>
      <c r="E204" s="30"/>
      <c r="F204" s="12"/>
      <c r="G204" s="205"/>
      <c r="H204" s="59"/>
      <c r="I204" s="60"/>
      <c r="J204" s="61"/>
    </row>
    <row r="205" spans="1:10" ht="13.5" customHeight="1" thickBot="1" x14ac:dyDescent="0.25">
      <c r="A205" s="2" t="s">
        <v>2</v>
      </c>
      <c r="B205" s="3"/>
      <c r="C205" s="3" t="s">
        <v>534</v>
      </c>
      <c r="D205" s="191" t="s">
        <v>4</v>
      </c>
      <c r="E205" s="3" t="s">
        <v>5</v>
      </c>
      <c r="F205" s="3" t="s">
        <v>6</v>
      </c>
      <c r="G205" s="5" t="s">
        <v>7</v>
      </c>
      <c r="H205" s="192"/>
      <c r="I205" s="193"/>
      <c r="J205" s="194"/>
    </row>
    <row r="206" spans="1:10" ht="13.5" customHeight="1" x14ac:dyDescent="0.2">
      <c r="A206" s="8">
        <v>42370</v>
      </c>
      <c r="B206" s="36"/>
      <c r="C206" s="10" t="s">
        <v>8</v>
      </c>
      <c r="D206" s="195"/>
      <c r="E206" s="196"/>
      <c r="F206" s="43"/>
      <c r="G206" s="178">
        <v>0</v>
      </c>
      <c r="H206" s="197"/>
      <c r="I206" s="57"/>
      <c r="J206" s="198"/>
    </row>
    <row r="207" spans="1:10" ht="13.5" customHeight="1" x14ac:dyDescent="0.2">
      <c r="A207" s="180">
        <v>43284</v>
      </c>
      <c r="B207" s="32"/>
      <c r="C207" s="32" t="s">
        <v>535</v>
      </c>
      <c r="D207" s="195"/>
      <c r="E207" s="196"/>
      <c r="F207" s="199">
        <v>500</v>
      </c>
      <c r="G207" s="190">
        <v>500</v>
      </c>
      <c r="H207" s="197"/>
      <c r="I207" s="57"/>
      <c r="J207" s="198"/>
    </row>
    <row r="208" spans="1:10" ht="13.5" customHeight="1" x14ac:dyDescent="0.2">
      <c r="A208" s="180">
        <v>43346</v>
      </c>
      <c r="B208" s="36"/>
      <c r="C208" s="32" t="s">
        <v>535</v>
      </c>
      <c r="D208" s="195"/>
      <c r="E208" s="200"/>
      <c r="F208" s="199">
        <v>3000</v>
      </c>
      <c r="G208" s="190">
        <v>3500</v>
      </c>
      <c r="H208" s="68"/>
      <c r="I208" s="60"/>
      <c r="J208" s="69"/>
    </row>
    <row r="209" spans="1:10" ht="13.5" customHeight="1" x14ac:dyDescent="0.2">
      <c r="A209" s="180">
        <v>43374</v>
      </c>
      <c r="B209" s="36"/>
      <c r="C209" s="32" t="s">
        <v>535</v>
      </c>
      <c r="D209" s="195"/>
      <c r="E209" s="200"/>
      <c r="F209" s="199">
        <v>2000</v>
      </c>
      <c r="G209" s="190">
        <v>5500</v>
      </c>
      <c r="H209" s="68"/>
      <c r="I209" s="60"/>
      <c r="J209" s="69"/>
    </row>
    <row r="210" spans="1:10" ht="13.5" customHeight="1" x14ac:dyDescent="0.2">
      <c r="A210" s="180">
        <v>43409</v>
      </c>
      <c r="B210" s="36"/>
      <c r="C210" s="32" t="s">
        <v>535</v>
      </c>
      <c r="D210" s="195"/>
      <c r="E210" s="200"/>
      <c r="F210" s="199">
        <v>1000</v>
      </c>
      <c r="G210" s="190">
        <v>6500</v>
      </c>
      <c r="H210" s="68"/>
      <c r="I210" s="60"/>
      <c r="J210" s="69"/>
    </row>
    <row r="211" spans="1:10" ht="13.5" customHeight="1" x14ac:dyDescent="0.2">
      <c r="A211" s="180">
        <v>43439</v>
      </c>
      <c r="B211" s="36"/>
      <c r="C211" s="32" t="s">
        <v>535</v>
      </c>
      <c r="D211" s="195"/>
      <c r="E211" s="200"/>
      <c r="F211" s="199">
        <v>500</v>
      </c>
      <c r="G211" s="190">
        <v>7000</v>
      </c>
      <c r="H211" s="68"/>
      <c r="I211" s="60"/>
      <c r="J211" s="69"/>
    </row>
    <row r="212" spans="1:10" ht="13.5" customHeight="1" x14ac:dyDescent="0.2">
      <c r="A212" s="180">
        <v>43469</v>
      </c>
      <c r="B212" s="36"/>
      <c r="C212" s="32" t="s">
        <v>1390</v>
      </c>
      <c r="D212" s="195"/>
      <c r="E212" s="200"/>
      <c r="F212" s="199">
        <v>1500</v>
      </c>
      <c r="G212" s="190">
        <v>8500</v>
      </c>
      <c r="H212" s="68"/>
      <c r="I212" s="60"/>
      <c r="J212" s="69"/>
    </row>
    <row r="213" spans="1:10" ht="13.5" customHeight="1" x14ac:dyDescent="0.2">
      <c r="A213" s="184">
        <v>43475</v>
      </c>
      <c r="B213" s="63"/>
      <c r="C213" s="32" t="s">
        <v>1391</v>
      </c>
      <c r="D213" s="50"/>
      <c r="E213" s="51"/>
      <c r="F213" s="183">
        <v>5000</v>
      </c>
      <c r="G213" s="190">
        <v>13500</v>
      </c>
      <c r="H213" s="179"/>
      <c r="I213" s="57"/>
      <c r="J213" s="67"/>
    </row>
    <row r="214" spans="1:10" ht="13.5" customHeight="1" x14ac:dyDescent="0.2">
      <c r="A214" s="184">
        <v>43482</v>
      </c>
      <c r="B214" s="63"/>
      <c r="C214" s="32" t="s">
        <v>1391</v>
      </c>
      <c r="D214" s="50"/>
      <c r="E214" s="51"/>
      <c r="F214" s="183">
        <v>5000</v>
      </c>
      <c r="G214" s="190">
        <v>18500</v>
      </c>
      <c r="H214" s="179"/>
      <c r="I214" s="57"/>
      <c r="J214" s="67"/>
    </row>
    <row r="215" spans="1:10" ht="13.5" customHeight="1" x14ac:dyDescent="0.2">
      <c r="A215" s="184">
        <v>43500</v>
      </c>
      <c r="B215" s="63"/>
      <c r="C215" s="32" t="s">
        <v>1391</v>
      </c>
      <c r="D215" s="50"/>
      <c r="E215" s="51"/>
      <c r="F215" s="183">
        <v>3000</v>
      </c>
      <c r="G215" s="190">
        <v>21500</v>
      </c>
      <c r="H215" s="179"/>
      <c r="I215" s="57"/>
      <c r="J215" s="67"/>
    </row>
    <row r="216" spans="1:10" ht="13.5" customHeight="1" x14ac:dyDescent="0.2">
      <c r="A216" s="184">
        <v>43501</v>
      </c>
      <c r="B216" s="63"/>
      <c r="C216" s="32" t="s">
        <v>1391</v>
      </c>
      <c r="D216" s="50"/>
      <c r="E216" s="51"/>
      <c r="F216" s="183">
        <v>4000</v>
      </c>
      <c r="G216" s="190">
        <v>25500</v>
      </c>
      <c r="H216" s="179"/>
      <c r="I216" s="57"/>
      <c r="J216" s="67"/>
    </row>
    <row r="217" spans="1:10" s="64" customFormat="1" ht="13.5" customHeight="1" x14ac:dyDescent="0.2">
      <c r="A217" s="184">
        <v>43503</v>
      </c>
      <c r="B217" s="63"/>
      <c r="C217" s="32" t="s">
        <v>1391</v>
      </c>
      <c r="D217" s="50"/>
      <c r="E217" s="51"/>
      <c r="F217" s="183">
        <v>2000</v>
      </c>
      <c r="G217" s="190">
        <v>27500</v>
      </c>
      <c r="H217" s="179"/>
      <c r="I217" s="57"/>
      <c r="J217" s="67"/>
    </row>
    <row r="218" spans="1:10" s="64" customFormat="1" ht="13.5" customHeight="1" x14ac:dyDescent="0.2">
      <c r="A218" s="184">
        <v>43504</v>
      </c>
      <c r="B218" s="63"/>
      <c r="C218" s="32" t="s">
        <v>1390</v>
      </c>
      <c r="D218" s="50"/>
      <c r="E218" s="51"/>
      <c r="F218" s="183">
        <v>1500</v>
      </c>
      <c r="G218" s="190">
        <v>29000</v>
      </c>
      <c r="H218" s="179"/>
      <c r="I218" s="57"/>
      <c r="J218" s="67"/>
    </row>
    <row r="219" spans="1:10" s="64" customFormat="1" ht="13.5" customHeight="1" x14ac:dyDescent="0.2">
      <c r="A219" s="184">
        <v>43522</v>
      </c>
      <c r="B219" s="63"/>
      <c r="C219" s="32" t="s">
        <v>1544</v>
      </c>
      <c r="D219" s="50"/>
      <c r="E219" s="181">
        <v>5000</v>
      </c>
      <c r="F219" s="12"/>
      <c r="G219" s="190">
        <v>24000</v>
      </c>
      <c r="H219" s="179"/>
      <c r="I219" s="57"/>
      <c r="J219" s="67"/>
    </row>
    <row r="220" spans="1:10" s="64" customFormat="1" ht="13.5" customHeight="1" x14ac:dyDescent="0.2">
      <c r="A220" s="180">
        <v>43531</v>
      </c>
      <c r="B220" s="63"/>
      <c r="C220" s="32" t="s">
        <v>1390</v>
      </c>
      <c r="D220" s="50"/>
      <c r="E220" s="51"/>
      <c r="F220" s="183">
        <v>3000</v>
      </c>
      <c r="G220" s="190">
        <v>27000</v>
      </c>
      <c r="H220" s="179"/>
      <c r="I220" s="57"/>
      <c r="J220" s="67"/>
    </row>
    <row r="221" spans="1:10" ht="13.5" customHeight="1" x14ac:dyDescent="0.2">
      <c r="A221" s="180">
        <v>43536</v>
      </c>
      <c r="B221" s="56"/>
      <c r="C221" s="32" t="s">
        <v>1391</v>
      </c>
      <c r="D221" s="11"/>
      <c r="E221" s="30"/>
      <c r="F221" s="183">
        <v>3000</v>
      </c>
      <c r="G221" s="178">
        <v>30000</v>
      </c>
      <c r="H221" s="59"/>
      <c r="I221" s="60"/>
      <c r="J221" s="61"/>
    </row>
    <row r="222" spans="1:10" ht="13.5" customHeight="1" thickBot="1" x14ac:dyDescent="0.25">
      <c r="A222" s="180"/>
      <c r="B222" s="56"/>
      <c r="C222" s="56"/>
      <c r="D222" s="11"/>
      <c r="E222" s="30"/>
      <c r="F222" s="12"/>
      <c r="G222" s="182"/>
      <c r="H222" s="59"/>
      <c r="I222" s="60"/>
      <c r="J222" s="61"/>
    </row>
    <row r="223" spans="1:10" ht="13.5" customHeight="1" thickBot="1" x14ac:dyDescent="0.25">
      <c r="A223" s="2" t="s">
        <v>2</v>
      </c>
      <c r="B223" s="3"/>
      <c r="C223" s="3" t="s">
        <v>536</v>
      </c>
      <c r="D223" s="3"/>
      <c r="E223" s="3"/>
      <c r="F223" s="3"/>
      <c r="G223" s="5" t="s">
        <v>7</v>
      </c>
      <c r="H223" s="6" t="s">
        <v>5</v>
      </c>
      <c r="I223" s="4" t="s">
        <v>6</v>
      </c>
      <c r="J223" s="7" t="s">
        <v>7</v>
      </c>
    </row>
    <row r="224" spans="1:10" ht="13.5" customHeight="1" x14ac:dyDescent="0.2">
      <c r="A224" s="8">
        <v>43525</v>
      </c>
      <c r="B224" s="70"/>
      <c r="C224" s="10" t="s">
        <v>537</v>
      </c>
      <c r="D224" s="125"/>
      <c r="E224" s="67"/>
      <c r="F224" s="67"/>
      <c r="G224" s="178"/>
      <c r="H224" s="179"/>
      <c r="I224" s="57"/>
      <c r="J224" s="58">
        <v>736.22999999999979</v>
      </c>
    </row>
    <row r="225" spans="1:10" ht="13.5" customHeight="1" x14ac:dyDescent="0.2">
      <c r="A225" s="171"/>
      <c r="B225" s="46"/>
      <c r="C225" s="34" t="s">
        <v>211</v>
      </c>
      <c r="D225" s="229"/>
      <c r="E225" s="69"/>
      <c r="F225" s="69"/>
      <c r="G225" s="203"/>
      <c r="H225" s="68">
        <v>0</v>
      </c>
      <c r="I225" s="71"/>
      <c r="J225" s="69">
        <v>736.22999999999979</v>
      </c>
    </row>
    <row r="226" spans="1:10" ht="13.5" customHeight="1" x14ac:dyDescent="0.2">
      <c r="A226" s="171"/>
      <c r="B226" s="46"/>
      <c r="C226" s="34" t="s">
        <v>1756</v>
      </c>
      <c r="D226" s="229"/>
      <c r="E226" s="69"/>
      <c r="F226" s="69"/>
      <c r="G226" s="203"/>
      <c r="H226" s="68">
        <v>30.01</v>
      </c>
      <c r="I226" s="68"/>
      <c r="J226" s="69">
        <v>706.2199999999998</v>
      </c>
    </row>
    <row r="227" spans="1:10" ht="13.5" customHeight="1" x14ac:dyDescent="0.2">
      <c r="A227" s="171"/>
      <c r="B227" s="46"/>
      <c r="C227" s="237" t="s">
        <v>1590</v>
      </c>
      <c r="D227" s="229"/>
      <c r="E227" s="69"/>
      <c r="F227" s="69"/>
      <c r="G227" s="203"/>
      <c r="H227" s="68">
        <v>100</v>
      </c>
      <c r="I227" s="68"/>
      <c r="J227" s="69">
        <v>606.2199999999998</v>
      </c>
    </row>
    <row r="228" spans="1:10" ht="13.5" customHeight="1" x14ac:dyDescent="0.2">
      <c r="A228" s="180">
        <v>43530</v>
      </c>
      <c r="B228" s="46"/>
      <c r="C228" s="237" t="s">
        <v>1590</v>
      </c>
      <c r="D228" s="229"/>
      <c r="E228" s="69"/>
      <c r="F228" s="69"/>
      <c r="G228" s="203"/>
      <c r="H228" s="68">
        <v>280.5</v>
      </c>
      <c r="I228" s="71"/>
      <c r="J228" s="69">
        <v>325.7199999999998</v>
      </c>
    </row>
    <row r="229" spans="1:10" ht="13.5" customHeight="1" x14ac:dyDescent="0.2">
      <c r="A229" s="180">
        <v>43531</v>
      </c>
      <c r="B229" s="46"/>
      <c r="C229" s="34" t="s">
        <v>1757</v>
      </c>
      <c r="D229" s="230"/>
      <c r="E229" s="61"/>
      <c r="F229" s="61"/>
      <c r="G229" s="205"/>
      <c r="H229" s="59">
        <v>25</v>
      </c>
      <c r="I229" s="71"/>
      <c r="J229" s="69">
        <v>300.7199999999998</v>
      </c>
    </row>
    <row r="230" spans="1:10" ht="13.5" customHeight="1" x14ac:dyDescent="0.2">
      <c r="A230" s="180"/>
      <c r="B230" s="46"/>
      <c r="C230" s="34" t="s">
        <v>1758</v>
      </c>
      <c r="D230" s="229"/>
      <c r="E230" s="69"/>
      <c r="F230" s="69"/>
      <c r="G230" s="203"/>
      <c r="H230" s="68">
        <v>36</v>
      </c>
      <c r="I230" s="71"/>
      <c r="J230" s="69">
        <v>264.7199999999998</v>
      </c>
    </row>
    <row r="231" spans="1:10" ht="13.5" customHeight="1" x14ac:dyDescent="0.2">
      <c r="A231" s="180"/>
      <c r="B231" s="9"/>
      <c r="C231" s="34" t="s">
        <v>1759</v>
      </c>
      <c r="D231" s="230"/>
      <c r="E231" s="61"/>
      <c r="F231" s="61"/>
      <c r="G231" s="205"/>
      <c r="H231" s="59">
        <v>15</v>
      </c>
      <c r="I231" s="71"/>
      <c r="J231" s="69">
        <v>249.7199999999998</v>
      </c>
    </row>
    <row r="232" spans="1:10" ht="13.5" customHeight="1" x14ac:dyDescent="0.2">
      <c r="A232" s="180"/>
      <c r="B232" s="9"/>
      <c r="C232" s="34" t="s">
        <v>1760</v>
      </c>
      <c r="D232" s="230"/>
      <c r="E232" s="61"/>
      <c r="F232" s="61"/>
      <c r="G232" s="205"/>
      <c r="H232" s="59">
        <v>630</v>
      </c>
      <c r="I232" s="71"/>
      <c r="J232" s="69">
        <v>-380.2800000000002</v>
      </c>
    </row>
    <row r="233" spans="1:10" ht="13.5" customHeight="1" x14ac:dyDescent="0.2">
      <c r="A233" s="180">
        <v>43533</v>
      </c>
      <c r="B233" s="9"/>
      <c r="C233" s="34" t="s">
        <v>1761</v>
      </c>
      <c r="D233" s="230"/>
      <c r="E233" s="61"/>
      <c r="F233" s="61"/>
      <c r="G233" s="205"/>
      <c r="H233" s="59">
        <v>12</v>
      </c>
      <c r="I233" s="71"/>
      <c r="J233" s="69">
        <v>-392.2800000000002</v>
      </c>
    </row>
    <row r="234" spans="1:10" ht="13.5" customHeight="1" x14ac:dyDescent="0.2">
      <c r="A234" s="180"/>
      <c r="B234" s="9"/>
      <c r="C234" s="34" t="s">
        <v>1762</v>
      </c>
      <c r="D234" s="230"/>
      <c r="E234" s="61"/>
      <c r="F234" s="61"/>
      <c r="G234" s="205"/>
      <c r="H234" s="59">
        <v>32.6</v>
      </c>
      <c r="I234" s="71"/>
      <c r="J234" s="69">
        <v>-424.88000000000022</v>
      </c>
    </row>
    <row r="235" spans="1:10" ht="13.5" customHeight="1" x14ac:dyDescent="0.2">
      <c r="A235" s="180">
        <v>43535</v>
      </c>
      <c r="B235" s="9"/>
      <c r="C235" s="34" t="s">
        <v>1756</v>
      </c>
      <c r="D235" s="230"/>
      <c r="E235" s="61"/>
      <c r="F235" s="61"/>
      <c r="G235" s="205"/>
      <c r="H235" s="59">
        <v>15.9</v>
      </c>
      <c r="I235" s="71"/>
      <c r="J235" s="69">
        <v>-440.7800000000002</v>
      </c>
    </row>
    <row r="236" spans="1:10" ht="13.5" customHeight="1" x14ac:dyDescent="0.2">
      <c r="A236" s="180"/>
      <c r="B236" s="9"/>
      <c r="C236" s="237" t="s">
        <v>1590</v>
      </c>
      <c r="D236" s="230"/>
      <c r="E236" s="61"/>
      <c r="F236" s="61"/>
      <c r="G236" s="205"/>
      <c r="H236" s="59">
        <v>87.92</v>
      </c>
      <c r="I236" s="71"/>
      <c r="J236" s="69">
        <v>-528.70000000000016</v>
      </c>
    </row>
    <row r="237" spans="1:10" ht="13.5" customHeight="1" x14ac:dyDescent="0.2">
      <c r="A237" s="180">
        <v>43538</v>
      </c>
      <c r="B237" s="46"/>
      <c r="C237" s="34" t="s">
        <v>1763</v>
      </c>
      <c r="D237" s="229"/>
      <c r="E237" s="69"/>
      <c r="F237" s="69"/>
      <c r="G237" s="203"/>
      <c r="H237" s="68">
        <v>7</v>
      </c>
      <c r="I237" s="71"/>
      <c r="J237" s="69">
        <v>-535.70000000000016</v>
      </c>
    </row>
    <row r="238" spans="1:10" ht="13.5" customHeight="1" x14ac:dyDescent="0.2">
      <c r="A238" s="180"/>
      <c r="B238" s="46"/>
      <c r="C238" s="34" t="s">
        <v>1764</v>
      </c>
      <c r="D238" s="229"/>
      <c r="E238" s="69"/>
      <c r="F238" s="69"/>
      <c r="G238" s="203"/>
      <c r="H238" s="68">
        <v>23.74</v>
      </c>
      <c r="I238" s="71"/>
      <c r="J238" s="69">
        <v>-559.44000000000017</v>
      </c>
    </row>
    <row r="239" spans="1:10" ht="13.5" customHeight="1" x14ac:dyDescent="0.2">
      <c r="A239" s="180">
        <v>43539</v>
      </c>
      <c r="B239" s="46"/>
      <c r="C239" s="34" t="s">
        <v>1765</v>
      </c>
      <c r="D239" s="229"/>
      <c r="E239" s="69"/>
      <c r="F239" s="69"/>
      <c r="G239" s="203"/>
      <c r="H239" s="68">
        <v>35.799999999999997</v>
      </c>
      <c r="I239" s="71"/>
      <c r="J239" s="69">
        <v>-595.24000000000012</v>
      </c>
    </row>
    <row r="240" spans="1:10" ht="13.5" customHeight="1" x14ac:dyDescent="0.2">
      <c r="A240" s="180"/>
      <c r="B240" s="46"/>
      <c r="C240" s="34" t="s">
        <v>1766</v>
      </c>
      <c r="D240" s="229"/>
      <c r="E240" s="69"/>
      <c r="F240" s="69"/>
      <c r="G240" s="203"/>
      <c r="H240" s="68"/>
      <c r="I240" s="71">
        <v>3000</v>
      </c>
      <c r="J240" s="69">
        <v>2404.7599999999998</v>
      </c>
    </row>
    <row r="241" spans="1:13" ht="13.5" customHeight="1" x14ac:dyDescent="0.2">
      <c r="A241" s="180"/>
      <c r="B241" s="46"/>
      <c r="C241" s="34" t="s">
        <v>1553</v>
      </c>
      <c r="D241" s="229"/>
      <c r="E241" s="69"/>
      <c r="F241" s="69"/>
      <c r="G241" s="203"/>
      <c r="H241" s="68">
        <v>3000</v>
      </c>
      <c r="I241" s="71"/>
      <c r="J241" s="69">
        <v>-595.24000000000024</v>
      </c>
    </row>
    <row r="242" spans="1:13" ht="13.5" customHeight="1" x14ac:dyDescent="0.2">
      <c r="A242" s="180"/>
      <c r="B242" s="46"/>
      <c r="C242" s="34" t="s">
        <v>1767</v>
      </c>
      <c r="D242" s="229"/>
      <c r="E242" s="69"/>
      <c r="F242" s="69"/>
      <c r="G242" s="203"/>
      <c r="H242" s="68"/>
      <c r="I242" s="71">
        <v>190</v>
      </c>
      <c r="J242" s="69">
        <v>-405.24000000000024</v>
      </c>
    </row>
    <row r="243" spans="1:13" ht="13.5" customHeight="1" x14ac:dyDescent="0.2">
      <c r="A243" s="171">
        <v>43542</v>
      </c>
      <c r="B243" s="46"/>
      <c r="C243" s="34" t="s">
        <v>1768</v>
      </c>
      <c r="D243" s="229"/>
      <c r="E243" s="69"/>
      <c r="F243" s="69"/>
      <c r="G243" s="203"/>
      <c r="H243" s="68">
        <v>18</v>
      </c>
      <c r="I243" s="68"/>
      <c r="J243" s="69">
        <v>-423.24000000000024</v>
      </c>
    </row>
    <row r="244" spans="1:13" ht="13.5" customHeight="1" x14ac:dyDescent="0.2">
      <c r="A244" s="171">
        <v>43546</v>
      </c>
      <c r="B244" s="46"/>
      <c r="C244" s="34" t="s">
        <v>1671</v>
      </c>
      <c r="D244" s="229"/>
      <c r="E244" s="69"/>
      <c r="F244" s="69"/>
      <c r="G244" s="203"/>
      <c r="H244" s="68"/>
      <c r="I244" s="412">
        <v>450</v>
      </c>
      <c r="J244" s="69">
        <v>26.759999999999764</v>
      </c>
    </row>
    <row r="245" spans="1:13" ht="13.5" customHeight="1" x14ac:dyDescent="0.2">
      <c r="A245" s="171">
        <v>43549</v>
      </c>
      <c r="B245" s="46"/>
      <c r="C245" s="34" t="s">
        <v>1769</v>
      </c>
      <c r="D245" s="229"/>
      <c r="E245" s="69"/>
      <c r="F245" s="69"/>
      <c r="G245" s="203"/>
      <c r="H245" s="68">
        <v>5</v>
      </c>
      <c r="I245" s="68"/>
      <c r="J245" s="69">
        <v>21.759999999999764</v>
      </c>
    </row>
    <row r="246" spans="1:13" ht="13.5" customHeight="1" x14ac:dyDescent="0.2">
      <c r="A246" s="171">
        <v>43550</v>
      </c>
      <c r="B246" s="46"/>
      <c r="C246" s="34" t="s">
        <v>1770</v>
      </c>
      <c r="D246" s="229"/>
      <c r="E246" s="69"/>
      <c r="F246" s="69"/>
      <c r="G246" s="203"/>
      <c r="H246" s="68">
        <v>6.5</v>
      </c>
      <c r="I246" s="68"/>
      <c r="J246" s="69">
        <v>15.259999999999764</v>
      </c>
    </row>
    <row r="247" spans="1:13" ht="13.5" customHeight="1" x14ac:dyDescent="0.2">
      <c r="A247" s="171"/>
      <c r="B247" s="46"/>
      <c r="C247" s="34" t="s">
        <v>1771</v>
      </c>
      <c r="D247" s="229"/>
      <c r="E247" s="69"/>
      <c r="F247" s="69"/>
      <c r="G247" s="203"/>
      <c r="H247" s="68">
        <v>11</v>
      </c>
      <c r="I247" s="68"/>
      <c r="J247" s="69">
        <v>4.2599999999997635</v>
      </c>
    </row>
    <row r="248" spans="1:13" ht="13.5" customHeight="1" x14ac:dyDescent="0.2">
      <c r="A248" s="171">
        <v>43552</v>
      </c>
      <c r="B248" s="46"/>
      <c r="C248" s="34" t="s">
        <v>1772</v>
      </c>
      <c r="D248" s="229"/>
      <c r="E248" s="69"/>
      <c r="F248" s="69"/>
      <c r="G248" s="203"/>
      <c r="H248" s="68"/>
      <c r="I248" s="68">
        <v>3000</v>
      </c>
      <c r="J248" s="69">
        <v>3004.2599999999998</v>
      </c>
    </row>
    <row r="249" spans="1:13" ht="13.5" customHeight="1" x14ac:dyDescent="0.2">
      <c r="A249" s="171"/>
      <c r="B249" s="46"/>
      <c r="C249" s="34" t="s">
        <v>1553</v>
      </c>
      <c r="D249" s="229"/>
      <c r="E249" s="69"/>
      <c r="F249" s="69"/>
      <c r="G249" s="203"/>
      <c r="H249" s="68">
        <v>2000</v>
      </c>
      <c r="I249" s="68"/>
      <c r="J249" s="69">
        <v>1004.2599999999998</v>
      </c>
    </row>
    <row r="250" spans="1:13" ht="13.5" customHeight="1" x14ac:dyDescent="0.2">
      <c r="A250" s="171"/>
      <c r="B250" s="46"/>
      <c r="C250" s="34" t="s">
        <v>1773</v>
      </c>
      <c r="D250" s="229"/>
      <c r="E250" s="69"/>
      <c r="F250" s="69"/>
      <c r="G250" s="203"/>
      <c r="H250" s="68">
        <v>100</v>
      </c>
      <c r="I250" s="68"/>
      <c r="J250" s="186">
        <v>904.25999999999976</v>
      </c>
    </row>
    <row r="251" spans="1:13" ht="13.5" customHeight="1" thickBot="1" x14ac:dyDescent="0.25">
      <c r="A251" s="207"/>
      <c r="B251" s="207"/>
      <c r="C251" s="208"/>
      <c r="D251" s="208"/>
      <c r="E251" s="208"/>
      <c r="F251" s="208"/>
      <c r="G251" s="210"/>
      <c r="H251" s="652">
        <f>-SUM(H225:H250)</f>
        <v>-6471.97</v>
      </c>
      <c r="I251" s="652">
        <f>SUM(I240:I243,I248)</f>
        <v>6190</v>
      </c>
      <c r="J251" s="212"/>
      <c r="L251" s="697">
        <f>SUM(J224,G145,G3,J3)</f>
        <v>3406.3199999999993</v>
      </c>
      <c r="M251" t="s">
        <v>8082</v>
      </c>
    </row>
    <row r="252" spans="1:13" ht="13.5" customHeight="1" thickBot="1" x14ac:dyDescent="0.25">
      <c r="A252" s="213"/>
      <c r="B252" s="214"/>
      <c r="C252" s="215" t="s">
        <v>539</v>
      </c>
      <c r="D252" s="216"/>
      <c r="E252" s="187"/>
      <c r="F252" s="187"/>
      <c r="G252" s="217" t="s">
        <v>7</v>
      </c>
      <c r="H252" s="187"/>
      <c r="I252" s="187"/>
      <c r="J252" s="189"/>
      <c r="L252" s="1159"/>
    </row>
    <row r="253" spans="1:13" ht="13.5" customHeight="1" x14ac:dyDescent="0.2">
      <c r="A253" s="74" t="s">
        <v>540</v>
      </c>
      <c r="B253" s="74"/>
      <c r="C253" s="218" t="s">
        <v>541</v>
      </c>
      <c r="D253" s="219"/>
      <c r="E253" s="220"/>
      <c r="F253" s="220"/>
      <c r="G253" s="75">
        <v>0</v>
      </c>
      <c r="H253" s="220"/>
      <c r="I253" s="220"/>
      <c r="J253" s="220"/>
      <c r="L253" s="697">
        <f>SUM(J250,G192,G139,J142)</f>
        <v>6347.17</v>
      </c>
      <c r="M253" t="s">
        <v>8083</v>
      </c>
    </row>
    <row r="254" spans="1:13" ht="13.5" customHeight="1" x14ac:dyDescent="0.2">
      <c r="A254" s="221" t="s">
        <v>540</v>
      </c>
      <c r="B254" s="70"/>
      <c r="C254" s="63" t="s">
        <v>542</v>
      </c>
      <c r="D254" s="50"/>
      <c r="E254" s="13"/>
      <c r="F254" s="13"/>
      <c r="G254" s="69">
        <v>7293.26</v>
      </c>
      <c r="H254" s="13"/>
      <c r="I254" s="13"/>
      <c r="J254" s="13"/>
      <c r="L254" s="1159"/>
    </row>
    <row r="255" spans="1:13" ht="13.5" customHeight="1" x14ac:dyDescent="0.2">
      <c r="A255" s="70"/>
      <c r="B255" s="70"/>
      <c r="C255" s="222" t="s">
        <v>543</v>
      </c>
      <c r="D255" s="50"/>
      <c r="E255" s="13"/>
      <c r="F255" s="13"/>
      <c r="G255" s="14">
        <v>7293.26</v>
      </c>
      <c r="H255" s="13"/>
      <c r="I255" s="13"/>
      <c r="J255" s="13"/>
      <c r="L255" s="697">
        <f>SUM(I251,H251,F194,E194,I143,H143,F142,E142,)</f>
        <v>2940.8500000000022</v>
      </c>
      <c r="M255" t="s">
        <v>1800</v>
      </c>
    </row>
    <row r="256" spans="1:13" ht="13.5" customHeight="1" x14ac:dyDescent="0.2">
      <c r="A256" s="70"/>
      <c r="B256" s="70"/>
      <c r="C256" s="63"/>
      <c r="D256" s="50"/>
      <c r="E256" s="13"/>
      <c r="F256" s="13"/>
      <c r="G256" s="14"/>
      <c r="H256" s="13"/>
      <c r="I256" s="13"/>
      <c r="J256" s="13"/>
      <c r="L256" s="1159"/>
    </row>
    <row r="257" spans="1:13" ht="13.5" customHeight="1" x14ac:dyDescent="0.2">
      <c r="A257" s="70"/>
      <c r="B257" s="70"/>
      <c r="C257" s="222" t="s">
        <v>544</v>
      </c>
      <c r="D257" s="50"/>
      <c r="E257" s="13"/>
      <c r="F257" s="13"/>
      <c r="G257" s="14">
        <v>6347.17</v>
      </c>
      <c r="H257" s="13"/>
      <c r="I257" s="13"/>
      <c r="J257" s="13"/>
      <c r="L257" s="1159"/>
    </row>
    <row r="258" spans="1:13" ht="13.5" customHeight="1" x14ac:dyDescent="0.2">
      <c r="A258" s="70"/>
      <c r="B258" s="70"/>
      <c r="C258" s="63"/>
      <c r="D258" s="50"/>
      <c r="E258" s="13"/>
      <c r="F258" s="13"/>
      <c r="G258" s="75"/>
      <c r="H258" s="13"/>
      <c r="I258" s="13"/>
      <c r="J258" s="13"/>
      <c r="L258" s="1159"/>
    </row>
    <row r="259" spans="1:13" ht="13.5" customHeight="1" x14ac:dyDescent="0.2">
      <c r="A259" s="76"/>
      <c r="B259" s="76"/>
      <c r="C259" s="222" t="s">
        <v>545</v>
      </c>
      <c r="D259" s="78"/>
      <c r="E259" s="78"/>
      <c r="F259" s="78"/>
      <c r="G259" s="14">
        <v>7251.43</v>
      </c>
      <c r="H259" s="77"/>
      <c r="I259" s="77"/>
      <c r="J259" s="13"/>
      <c r="L259" s="615">
        <f>L251+L255-L253</f>
        <v>0</v>
      </c>
      <c r="M259" t="s">
        <v>8084</v>
      </c>
    </row>
    <row r="260" spans="1:13" ht="13.5" customHeight="1" x14ac:dyDescent="0.2">
      <c r="A260" s="76"/>
      <c r="B260" s="76"/>
      <c r="C260" s="78"/>
      <c r="D260" s="78"/>
      <c r="E260" s="78"/>
      <c r="F260" s="78"/>
      <c r="G260" s="75"/>
      <c r="H260" s="77"/>
      <c r="I260" s="77"/>
      <c r="J260" s="13"/>
    </row>
    <row r="261" spans="1:13" ht="13.5" customHeight="1" x14ac:dyDescent="0.2">
      <c r="A261" s="70"/>
      <c r="B261" s="70"/>
      <c r="C261" s="63"/>
      <c r="D261" s="50"/>
      <c r="E261" s="13"/>
      <c r="F261" s="13"/>
      <c r="G261" s="75"/>
      <c r="H261" s="13"/>
      <c r="I261" s="13"/>
      <c r="J261" s="13"/>
    </row>
    <row r="262" spans="1:13" ht="13.5" customHeight="1" x14ac:dyDescent="0.2">
      <c r="A262" s="79"/>
      <c r="B262" s="70"/>
      <c r="C262" s="63"/>
      <c r="D262" s="50"/>
      <c r="E262" s="13"/>
      <c r="F262" s="13"/>
      <c r="G262" s="75"/>
      <c r="H262" s="13"/>
      <c r="I262" s="13"/>
      <c r="J262" s="13"/>
    </row>
    <row r="263" spans="1:13" ht="13.5" customHeight="1" x14ac:dyDescent="0.2">
      <c r="A263" s="79"/>
      <c r="B263" s="79"/>
      <c r="C263" s="63"/>
      <c r="D263" s="78"/>
      <c r="E263" s="13"/>
      <c r="F263" s="13"/>
      <c r="G263" s="75"/>
      <c r="H263" s="77"/>
      <c r="I263" s="77"/>
      <c r="J263" s="13"/>
    </row>
    <row r="264" spans="1:13" ht="13.5" customHeight="1" x14ac:dyDescent="0.2">
      <c r="A264" s="79"/>
      <c r="B264" s="79"/>
      <c r="C264" s="78"/>
      <c r="D264" s="78"/>
      <c r="E264" s="78"/>
      <c r="F264" s="78"/>
      <c r="G264" s="75"/>
      <c r="H264" s="77"/>
      <c r="I264" s="77"/>
      <c r="J264" s="13"/>
    </row>
    <row r="265" spans="1:13" ht="13.5" customHeight="1" x14ac:dyDescent="0.2">
      <c r="A265" s="79"/>
      <c r="B265" s="79"/>
      <c r="C265" s="78"/>
      <c r="D265" s="78"/>
      <c r="E265" s="78"/>
      <c r="F265" s="78"/>
      <c r="G265" s="75"/>
      <c r="H265" s="77"/>
      <c r="I265" s="77"/>
      <c r="J265" s="13"/>
    </row>
    <row r="266" spans="1:13" ht="13.5" customHeight="1" x14ac:dyDescent="0.2">
      <c r="A266" s="79"/>
      <c r="B266" s="79"/>
      <c r="C266" s="78"/>
      <c r="D266" s="78"/>
      <c r="E266" s="13"/>
      <c r="F266" s="13"/>
      <c r="G266" s="75"/>
      <c r="H266" s="77"/>
      <c r="I266" s="77"/>
      <c r="J266" s="13"/>
    </row>
    <row r="267" spans="1:13" ht="13.5" customHeight="1" x14ac:dyDescent="0.2">
      <c r="A267" s="74"/>
      <c r="B267" s="80"/>
      <c r="C267" s="81"/>
      <c r="D267" s="50"/>
      <c r="E267" s="13"/>
      <c r="F267" s="13"/>
      <c r="G267" s="75"/>
      <c r="H267" s="13"/>
      <c r="I267" s="13"/>
      <c r="J267" s="13"/>
    </row>
    <row r="268" spans="1:13" ht="13.5" customHeight="1" x14ac:dyDescent="0.2">
      <c r="A268" s="79"/>
      <c r="B268" s="79"/>
      <c r="C268" s="78"/>
      <c r="D268" s="78"/>
      <c r="E268" s="13"/>
      <c r="F268" s="13"/>
      <c r="G268" s="75"/>
      <c r="H268" s="77"/>
      <c r="I268" s="77"/>
      <c r="J268" s="13"/>
    </row>
    <row r="269" spans="1:13" ht="13.5" customHeight="1" x14ac:dyDescent="0.2">
      <c r="A269" s="79"/>
      <c r="B269" s="79"/>
      <c r="C269" s="78"/>
      <c r="D269" s="78"/>
      <c r="E269" s="13"/>
      <c r="F269" s="13"/>
      <c r="G269" s="75"/>
      <c r="H269" s="77"/>
      <c r="I269" s="77"/>
      <c r="J269" s="13"/>
    </row>
    <row r="270" spans="1:13" ht="13.5" customHeight="1" x14ac:dyDescent="0.2">
      <c r="A270" s="79"/>
      <c r="B270" s="79"/>
      <c r="C270" s="78"/>
      <c r="D270" s="78"/>
      <c r="E270" s="78"/>
      <c r="F270" s="78"/>
      <c r="G270" s="75"/>
      <c r="H270" s="77"/>
      <c r="I270" s="77"/>
      <c r="J270" s="13"/>
    </row>
    <row r="271" spans="1:13" ht="13.5" customHeight="1" x14ac:dyDescent="0.2">
      <c r="A271" s="79"/>
      <c r="B271" s="79"/>
      <c r="C271" s="78"/>
      <c r="D271" s="78"/>
      <c r="E271" s="78"/>
      <c r="F271" s="78"/>
      <c r="G271" s="75"/>
      <c r="H271" s="77"/>
      <c r="I271" s="77"/>
      <c r="J271" s="13"/>
    </row>
    <row r="272" spans="1:13" ht="13.5" customHeight="1" x14ac:dyDescent="0.2">
      <c r="A272" s="79"/>
      <c r="B272" s="79"/>
      <c r="C272" s="78"/>
      <c r="D272" s="78"/>
      <c r="E272" s="78"/>
      <c r="F272" s="78"/>
      <c r="G272" s="75"/>
      <c r="H272" s="77"/>
      <c r="I272" s="77"/>
      <c r="J272" s="13"/>
    </row>
    <row r="273" spans="1:10" ht="13.5" customHeight="1" x14ac:dyDescent="0.2">
      <c r="A273" s="79"/>
      <c r="B273" s="79"/>
      <c r="C273" s="78"/>
      <c r="D273" s="78"/>
      <c r="E273" s="78"/>
      <c r="F273" s="78"/>
      <c r="G273" s="75"/>
      <c r="H273" s="77"/>
      <c r="I273" s="77"/>
      <c r="J273" s="13"/>
    </row>
    <row r="274" spans="1:10" ht="13.5" customHeight="1" x14ac:dyDescent="0.2">
      <c r="A274" s="79"/>
      <c r="B274" s="79"/>
      <c r="C274" s="78"/>
      <c r="D274" s="78"/>
      <c r="E274" s="78"/>
      <c r="F274" s="78"/>
      <c r="G274" s="75"/>
      <c r="H274" s="77"/>
      <c r="I274" s="77"/>
      <c r="J274" s="13"/>
    </row>
    <row r="275" spans="1:10" ht="13.5" customHeight="1" x14ac:dyDescent="0.2">
      <c r="A275" s="79"/>
      <c r="B275" s="79"/>
      <c r="C275" s="78"/>
      <c r="D275" s="78"/>
      <c r="E275" s="78"/>
      <c r="F275" s="78"/>
      <c r="G275" s="14"/>
      <c r="H275" s="77"/>
      <c r="I275" s="77"/>
      <c r="J275" s="130"/>
    </row>
    <row r="276" spans="1:10" ht="13.5" customHeight="1" x14ac:dyDescent="0.2">
      <c r="A276" s="70"/>
      <c r="B276" s="70"/>
      <c r="C276" s="63"/>
      <c r="D276" s="50"/>
      <c r="E276" s="13"/>
      <c r="F276" s="13"/>
      <c r="G276" s="75"/>
      <c r="H276" s="82"/>
      <c r="I276" s="13"/>
      <c r="J276" s="13"/>
    </row>
    <row r="277" spans="1:10" ht="13.5" customHeight="1" x14ac:dyDescent="0.2">
      <c r="A277" s="70"/>
      <c r="B277" s="70"/>
      <c r="C277" s="63"/>
      <c r="D277" s="50"/>
      <c r="E277" s="13"/>
      <c r="F277" s="13"/>
      <c r="G277" s="75"/>
      <c r="H277" s="82"/>
      <c r="I277" s="13"/>
      <c r="J277" s="13"/>
    </row>
    <row r="278" spans="1:10" ht="13.5" customHeight="1" x14ac:dyDescent="0.2">
      <c r="A278" s="70"/>
      <c r="B278" s="70"/>
      <c r="C278" s="63"/>
      <c r="D278" s="50"/>
      <c r="E278" s="13"/>
      <c r="F278" s="13"/>
      <c r="G278" s="75"/>
      <c r="H278" s="82"/>
      <c r="I278" s="13"/>
      <c r="J278" s="13"/>
    </row>
    <row r="279" spans="1:10" ht="13.5" customHeight="1" x14ac:dyDescent="0.2">
      <c r="A279" s="70"/>
      <c r="B279" s="70"/>
      <c r="C279" s="63"/>
      <c r="D279" s="50"/>
      <c r="E279" s="13"/>
      <c r="F279" s="13"/>
      <c r="G279" s="75"/>
      <c r="H279" s="82"/>
      <c r="I279" s="13"/>
      <c r="J279" s="13"/>
    </row>
    <row r="280" spans="1:10" ht="13.5" customHeight="1" x14ac:dyDescent="0.2">
      <c r="A280" s="70"/>
      <c r="B280" s="70"/>
      <c r="C280" s="63"/>
      <c r="D280" s="50"/>
      <c r="E280" s="13"/>
      <c r="F280" s="13"/>
      <c r="G280" s="75"/>
      <c r="H280" s="82"/>
      <c r="I280" s="13"/>
      <c r="J280" s="13"/>
    </row>
    <row r="281" spans="1:10" ht="13.5" customHeight="1" x14ac:dyDescent="0.2">
      <c r="A281" s="70"/>
      <c r="B281" s="70"/>
      <c r="C281" s="63"/>
      <c r="D281" s="50"/>
      <c r="E281" s="13"/>
      <c r="F281" s="13"/>
      <c r="G281" s="75"/>
      <c r="H281" s="82"/>
      <c r="I281" s="13"/>
      <c r="J281" s="13"/>
    </row>
    <row r="282" spans="1:10" ht="13.5" customHeight="1" x14ac:dyDescent="0.2">
      <c r="A282" s="70"/>
      <c r="B282" s="70"/>
      <c r="C282" s="63"/>
      <c r="D282" s="50"/>
      <c r="E282" s="13"/>
      <c r="F282" s="13"/>
      <c r="G282" s="75"/>
      <c r="H282" s="82"/>
      <c r="I282" s="13"/>
      <c r="J282" s="13"/>
    </row>
    <row r="283" spans="1:10" ht="13.5" customHeight="1" x14ac:dyDescent="0.2">
      <c r="A283" s="70"/>
      <c r="B283" s="70"/>
      <c r="C283" s="63"/>
      <c r="D283" s="50"/>
      <c r="E283" s="13"/>
      <c r="F283" s="13"/>
      <c r="G283" s="75"/>
      <c r="H283" s="82"/>
      <c r="I283" s="13"/>
      <c r="J283" s="13"/>
    </row>
    <row r="284" spans="1:10" ht="13.5" customHeight="1" x14ac:dyDescent="0.2">
      <c r="A284" s="70"/>
      <c r="B284" s="70"/>
      <c r="C284" s="63"/>
      <c r="D284" s="50"/>
      <c r="E284" s="13"/>
      <c r="F284" s="13"/>
      <c r="G284" s="75"/>
      <c r="H284" s="82"/>
      <c r="I284" s="13"/>
      <c r="J284" s="13"/>
    </row>
    <row r="285" spans="1:10" ht="13.5" customHeight="1" x14ac:dyDescent="0.2">
      <c r="A285" s="70"/>
      <c r="B285" s="70"/>
      <c r="C285" s="63"/>
      <c r="D285" s="50"/>
      <c r="E285" s="13"/>
      <c r="F285" s="13"/>
      <c r="G285" s="75"/>
      <c r="H285" s="82"/>
      <c r="I285" s="13"/>
      <c r="J285" s="13"/>
    </row>
    <row r="286" spans="1:10" ht="13.5" customHeight="1" x14ac:dyDescent="0.2">
      <c r="A286" s="70"/>
      <c r="B286" s="70"/>
      <c r="C286" s="63"/>
      <c r="D286" s="50"/>
      <c r="E286" s="13"/>
      <c r="F286" s="13"/>
      <c r="G286" s="75"/>
      <c r="H286" s="82"/>
      <c r="I286" s="13"/>
      <c r="J286" s="13"/>
    </row>
    <row r="287" spans="1:10" ht="13.5" customHeight="1" x14ac:dyDescent="0.2">
      <c r="A287" s="70"/>
      <c r="B287" s="70"/>
      <c r="C287" s="63"/>
      <c r="D287" s="50"/>
      <c r="E287" s="13"/>
      <c r="F287" s="13"/>
      <c r="G287" s="75"/>
      <c r="H287" s="82"/>
      <c r="I287" s="13"/>
      <c r="J287" s="13"/>
    </row>
    <row r="288" spans="1:10" ht="13.5" customHeight="1" x14ac:dyDescent="0.2">
      <c r="A288" s="70"/>
      <c r="B288" s="70"/>
      <c r="C288" s="63"/>
      <c r="D288" s="50"/>
      <c r="E288" s="13"/>
      <c r="F288" s="13"/>
      <c r="G288" s="75"/>
      <c r="H288" s="82"/>
      <c r="I288" s="13"/>
      <c r="J288" s="13"/>
    </row>
    <row r="289" spans="1:10" ht="13.5" customHeight="1" x14ac:dyDescent="0.2">
      <c r="A289" s="70"/>
      <c r="B289" s="70"/>
      <c r="C289" s="63"/>
      <c r="D289" s="50"/>
      <c r="E289" s="13"/>
      <c r="F289" s="13"/>
      <c r="G289" s="75"/>
      <c r="H289" s="82"/>
      <c r="I289" s="13"/>
      <c r="J289" s="13"/>
    </row>
    <row r="290" spans="1:10" ht="13.5" customHeight="1" x14ac:dyDescent="0.2">
      <c r="A290" s="70"/>
      <c r="B290" s="70"/>
      <c r="C290" s="63"/>
      <c r="D290" s="50"/>
      <c r="E290" s="13"/>
      <c r="F290" s="13"/>
      <c r="G290" s="75"/>
      <c r="H290" s="82"/>
      <c r="I290" s="13"/>
      <c r="J290" s="13"/>
    </row>
    <row r="291" spans="1:10" ht="13.5" customHeight="1" x14ac:dyDescent="0.2">
      <c r="A291" s="70"/>
      <c r="B291" s="70"/>
      <c r="C291" s="63"/>
      <c r="D291" s="50"/>
      <c r="E291" s="13"/>
      <c r="F291" s="13"/>
      <c r="G291" s="75"/>
      <c r="H291" s="82"/>
      <c r="I291" s="13"/>
      <c r="J291" s="13"/>
    </row>
    <row r="292" spans="1:10" ht="13.5" customHeight="1" x14ac:dyDescent="0.2">
      <c r="A292" s="70"/>
      <c r="B292" s="70"/>
      <c r="C292" s="63"/>
      <c r="D292" s="50"/>
      <c r="E292" s="13"/>
      <c r="F292" s="13"/>
      <c r="G292" s="75"/>
      <c r="H292" s="82"/>
      <c r="I292" s="13"/>
      <c r="J292" s="13"/>
    </row>
    <row r="293" spans="1:10" ht="13.5" customHeight="1" x14ac:dyDescent="0.2">
      <c r="A293" s="70"/>
      <c r="B293" s="70"/>
      <c r="C293" s="63"/>
      <c r="D293" s="50"/>
      <c r="E293" s="13"/>
      <c r="F293" s="13"/>
      <c r="G293" s="75"/>
      <c r="H293" s="82"/>
      <c r="I293" s="13"/>
      <c r="J293" s="13"/>
    </row>
    <row r="294" spans="1:10" ht="13.5" customHeight="1" x14ac:dyDescent="0.2">
      <c r="A294" s="70"/>
      <c r="B294" s="70"/>
      <c r="C294" s="63"/>
      <c r="D294" s="50"/>
      <c r="E294" s="13"/>
      <c r="F294" s="13"/>
      <c r="G294" s="75"/>
      <c r="H294" s="82"/>
      <c r="I294" s="13"/>
      <c r="J294" s="13"/>
    </row>
    <row r="295" spans="1:10" ht="13.5" customHeight="1" x14ac:dyDescent="0.2">
      <c r="A295" s="70"/>
      <c r="B295" s="70"/>
      <c r="C295" s="63"/>
      <c r="D295" s="50"/>
      <c r="E295" s="13"/>
      <c r="F295" s="13"/>
      <c r="G295" s="75"/>
      <c r="H295" s="82"/>
      <c r="I295" s="13"/>
      <c r="J295" s="13"/>
    </row>
    <row r="296" spans="1:10" ht="13.5" customHeight="1" x14ac:dyDescent="0.2">
      <c r="A296" s="70"/>
      <c r="B296" s="70"/>
      <c r="C296" s="63"/>
      <c r="D296" s="50"/>
      <c r="E296" s="13"/>
      <c r="F296" s="13"/>
      <c r="G296" s="75"/>
      <c r="H296" s="82"/>
      <c r="I296" s="13"/>
      <c r="J296" s="13"/>
    </row>
    <row r="297" spans="1:10" ht="13.5" customHeight="1" x14ac:dyDescent="0.2">
      <c r="A297" s="70"/>
      <c r="B297" s="70"/>
      <c r="C297" s="63"/>
      <c r="D297" s="50"/>
      <c r="E297" s="13"/>
      <c r="F297" s="13"/>
      <c r="G297" s="75"/>
      <c r="H297" s="82"/>
      <c r="I297" s="13"/>
      <c r="J297" s="13"/>
    </row>
    <row r="298" spans="1:10" ht="13.5" customHeight="1" x14ac:dyDescent="0.2">
      <c r="A298" s="70"/>
      <c r="B298" s="70"/>
      <c r="C298" s="63"/>
      <c r="D298" s="50"/>
      <c r="E298" s="13"/>
      <c r="F298" s="13"/>
      <c r="G298" s="75"/>
      <c r="H298" s="82"/>
      <c r="I298" s="13"/>
      <c r="J298" s="13"/>
    </row>
    <row r="299" spans="1:10" ht="13.5" customHeight="1" x14ac:dyDescent="0.2">
      <c r="A299" s="70"/>
      <c r="B299" s="70"/>
      <c r="C299" s="63"/>
      <c r="D299" s="50"/>
      <c r="E299" s="13"/>
      <c r="F299" s="13"/>
      <c r="G299" s="75"/>
      <c r="H299" s="82"/>
      <c r="I299" s="13"/>
      <c r="J299" s="13"/>
    </row>
    <row r="300" spans="1:10" ht="13.5" customHeight="1" x14ac:dyDescent="0.2">
      <c r="A300" s="70"/>
      <c r="B300" s="70"/>
      <c r="C300" s="63"/>
      <c r="D300" s="50"/>
      <c r="E300" s="13"/>
      <c r="F300" s="13"/>
      <c r="G300" s="75"/>
      <c r="H300" s="82"/>
      <c r="I300" s="13"/>
      <c r="J300" s="13"/>
    </row>
    <row r="301" spans="1:10" ht="13.5" customHeight="1" x14ac:dyDescent="0.2">
      <c r="A301" s="70"/>
      <c r="B301" s="70"/>
      <c r="C301" s="63"/>
      <c r="D301" s="50"/>
      <c r="E301" s="13"/>
      <c r="F301" s="13"/>
      <c r="G301" s="75"/>
      <c r="H301" s="82"/>
      <c r="I301" s="13"/>
      <c r="J301" s="13"/>
    </row>
    <row r="302" spans="1:10" ht="13.5" customHeight="1" x14ac:dyDescent="0.2">
      <c r="A302" s="70"/>
      <c r="B302" s="70"/>
      <c r="C302" s="63"/>
      <c r="D302" s="50"/>
      <c r="E302" s="13"/>
      <c r="F302" s="13"/>
      <c r="G302" s="75"/>
      <c r="H302" s="82"/>
      <c r="I302" s="13"/>
      <c r="J302" s="13"/>
    </row>
    <row r="303" spans="1:10" ht="13.5" customHeight="1" x14ac:dyDescent="0.2">
      <c r="A303" s="70"/>
      <c r="B303" s="70"/>
      <c r="C303" s="63"/>
      <c r="D303" s="50"/>
      <c r="E303" s="13"/>
      <c r="F303" s="13"/>
      <c r="G303" s="75"/>
      <c r="H303" s="82"/>
      <c r="I303" s="13"/>
      <c r="J303" s="13"/>
    </row>
    <row r="304" spans="1:10" ht="13.5" customHeight="1" x14ac:dyDescent="0.2">
      <c r="A304" s="70"/>
      <c r="B304" s="70"/>
      <c r="C304" s="63"/>
      <c r="D304" s="50"/>
      <c r="E304" s="13"/>
      <c r="F304" s="13"/>
      <c r="G304" s="75"/>
      <c r="H304" s="82"/>
      <c r="I304" s="13"/>
      <c r="J304" s="13"/>
    </row>
    <row r="305" spans="1:10" ht="13.5" customHeight="1" x14ac:dyDescent="0.2">
      <c r="A305" s="70"/>
      <c r="B305" s="70"/>
      <c r="C305" s="63"/>
      <c r="D305" s="50"/>
      <c r="E305" s="13"/>
      <c r="F305" s="13"/>
      <c r="G305" s="75"/>
      <c r="H305" s="82"/>
      <c r="I305" s="13"/>
      <c r="J305" s="13"/>
    </row>
    <row r="306" spans="1:10" ht="13.5" customHeight="1" x14ac:dyDescent="0.2">
      <c r="A306" s="70"/>
      <c r="B306" s="70"/>
      <c r="C306" s="63"/>
      <c r="D306" s="50"/>
      <c r="E306" s="13"/>
      <c r="F306" s="13"/>
      <c r="G306" s="75"/>
      <c r="H306" s="82"/>
      <c r="I306" s="13"/>
      <c r="J306" s="13"/>
    </row>
    <row r="307" spans="1:10" ht="13.5" customHeight="1" x14ac:dyDescent="0.2">
      <c r="A307" s="70"/>
      <c r="B307" s="70"/>
      <c r="C307" s="63"/>
      <c r="D307" s="50"/>
      <c r="E307" s="13"/>
      <c r="F307" s="13"/>
      <c r="G307" s="75"/>
      <c r="H307" s="82"/>
      <c r="I307" s="13"/>
      <c r="J307" s="13"/>
    </row>
    <row r="308" spans="1:10" ht="13.5" customHeight="1" x14ac:dyDescent="0.2">
      <c r="A308" s="70"/>
      <c r="B308" s="70"/>
      <c r="C308" s="63"/>
      <c r="D308" s="50"/>
      <c r="E308" s="13"/>
      <c r="F308" s="13"/>
      <c r="G308" s="75"/>
      <c r="H308" s="82"/>
      <c r="I308" s="13"/>
      <c r="J308" s="13"/>
    </row>
    <row r="309" spans="1:10" ht="13.5" customHeight="1" x14ac:dyDescent="0.2">
      <c r="A309" s="70"/>
      <c r="B309" s="70"/>
      <c r="C309" s="63"/>
      <c r="D309" s="50"/>
      <c r="E309" s="13"/>
      <c r="F309" s="13"/>
      <c r="G309" s="75"/>
      <c r="H309" s="82"/>
      <c r="I309" s="13"/>
      <c r="J309" s="13"/>
    </row>
    <row r="310" spans="1:10" ht="13.5" customHeight="1" x14ac:dyDescent="0.2">
      <c r="A310" s="70"/>
      <c r="B310" s="70"/>
      <c r="C310" s="63"/>
      <c r="D310" s="50"/>
      <c r="E310" s="13"/>
      <c r="F310" s="13"/>
      <c r="G310" s="75"/>
      <c r="H310" s="82"/>
      <c r="I310" s="13"/>
      <c r="J310" s="13"/>
    </row>
    <row r="311" spans="1:10" ht="13.5" customHeight="1" x14ac:dyDescent="0.2">
      <c r="A311" s="70"/>
      <c r="B311" s="70"/>
      <c r="C311" s="63"/>
      <c r="D311" s="50"/>
      <c r="E311" s="13"/>
      <c r="F311" s="13"/>
      <c r="G311" s="75"/>
      <c r="H311" s="82"/>
      <c r="I311" s="13"/>
      <c r="J311" s="13"/>
    </row>
    <row r="312" spans="1:10" ht="13.5" customHeight="1" x14ac:dyDescent="0.2">
      <c r="A312" s="70"/>
      <c r="B312" s="70"/>
      <c r="C312" s="63"/>
      <c r="D312" s="50"/>
      <c r="E312" s="13"/>
      <c r="F312" s="13"/>
      <c r="G312" s="75"/>
      <c r="H312" s="82"/>
      <c r="I312" s="13"/>
      <c r="J312" s="13"/>
    </row>
    <row r="313" spans="1:10" ht="13.5" customHeight="1" x14ac:dyDescent="0.2">
      <c r="A313" s="70"/>
      <c r="B313" s="70"/>
      <c r="C313" s="63"/>
      <c r="D313" s="50"/>
      <c r="E313" s="13"/>
      <c r="F313" s="13"/>
      <c r="G313" s="75"/>
      <c r="H313" s="82"/>
      <c r="I313" s="13"/>
      <c r="J313" s="13"/>
    </row>
    <row r="314" spans="1:10" ht="13.5" customHeight="1" x14ac:dyDescent="0.2">
      <c r="A314" s="70"/>
      <c r="B314" s="70"/>
      <c r="C314" s="63"/>
      <c r="D314" s="50"/>
      <c r="E314" s="13"/>
      <c r="F314" s="13"/>
      <c r="G314" s="75"/>
      <c r="H314" s="82"/>
      <c r="I314" s="13"/>
      <c r="J314" s="13"/>
    </row>
    <row r="315" spans="1:10" ht="13.5" customHeight="1" x14ac:dyDescent="0.2">
      <c r="A315" s="70"/>
      <c r="B315" s="70"/>
      <c r="C315" s="63"/>
      <c r="D315" s="50"/>
      <c r="E315" s="13"/>
      <c r="F315" s="13"/>
      <c r="G315" s="75"/>
      <c r="H315" s="82"/>
      <c r="I315" s="13"/>
      <c r="J315" s="13"/>
    </row>
    <row r="316" spans="1:10" ht="13.5" customHeight="1" x14ac:dyDescent="0.2">
      <c r="A316" s="70"/>
      <c r="B316" s="70"/>
      <c r="C316" s="63"/>
      <c r="D316" s="50"/>
      <c r="E316" s="13"/>
      <c r="F316" s="13"/>
      <c r="G316" s="75"/>
      <c r="H316" s="83"/>
      <c r="I316" s="13"/>
      <c r="J316" s="13"/>
    </row>
    <row r="317" spans="1:10" ht="13.5" customHeight="1" x14ac:dyDescent="0.2">
      <c r="A317" s="70"/>
      <c r="B317" s="70"/>
      <c r="C317" s="63"/>
      <c r="D317" s="50"/>
      <c r="E317" s="13"/>
      <c r="F317" s="13"/>
      <c r="G317" s="75"/>
      <c r="H317" s="83"/>
      <c r="I317" s="13"/>
      <c r="J317" s="13"/>
    </row>
    <row r="318" spans="1:10" ht="13.5" customHeight="1" x14ac:dyDescent="0.2">
      <c r="A318" s="131"/>
      <c r="B318" s="70"/>
      <c r="C318" s="64"/>
      <c r="D318" s="50"/>
      <c r="E318" s="13"/>
      <c r="F318" s="13"/>
      <c r="G318" s="75"/>
      <c r="H318" s="84"/>
      <c r="I318" s="13"/>
      <c r="J318" s="13"/>
    </row>
    <row r="319" spans="1:10" ht="13.5" customHeight="1" x14ac:dyDescent="0.2">
      <c r="A319" s="70"/>
      <c r="B319" s="70"/>
      <c r="C319" s="63"/>
      <c r="D319" s="50"/>
      <c r="E319" s="13"/>
      <c r="F319" s="13"/>
      <c r="G319" s="75"/>
      <c r="H319" s="83"/>
      <c r="I319" s="13"/>
      <c r="J319" s="13"/>
    </row>
    <row r="320" spans="1:10" ht="13.5" customHeight="1" x14ac:dyDescent="0.2">
      <c r="A320" s="70"/>
      <c r="B320" s="70"/>
      <c r="C320" s="63"/>
      <c r="D320" s="50"/>
      <c r="E320" s="13"/>
      <c r="F320" s="13"/>
      <c r="G320" s="75"/>
      <c r="H320" s="83"/>
      <c r="I320" s="13"/>
      <c r="J320" s="13"/>
    </row>
    <row r="321" spans="1:10" ht="13.5" customHeight="1" x14ac:dyDescent="0.2">
      <c r="A321" s="131"/>
      <c r="B321" s="70"/>
      <c r="C321" s="85"/>
      <c r="D321" s="50"/>
      <c r="E321" s="13"/>
      <c r="F321" s="13"/>
      <c r="G321" s="75"/>
      <c r="H321" s="83"/>
      <c r="I321" s="13"/>
      <c r="J321" s="13"/>
    </row>
    <row r="322" spans="1:10" ht="13.5" customHeight="1" x14ac:dyDescent="0.2">
      <c r="A322" s="131"/>
      <c r="B322" s="70"/>
      <c r="C322" s="63"/>
      <c r="D322" s="50"/>
      <c r="E322" s="13"/>
      <c r="F322" s="13"/>
      <c r="G322" s="75"/>
      <c r="H322" s="83"/>
      <c r="I322" s="13"/>
      <c r="J322" s="13"/>
    </row>
    <row r="323" spans="1:10" ht="13.5" customHeight="1" x14ac:dyDescent="0.2">
      <c r="A323" s="131"/>
      <c r="B323" s="70"/>
      <c r="C323" s="63"/>
      <c r="D323" s="50"/>
      <c r="E323" s="13"/>
      <c r="F323" s="13"/>
      <c r="G323" s="75"/>
      <c r="H323" s="84"/>
      <c r="I323" s="13"/>
      <c r="J323" s="13"/>
    </row>
    <row r="324" spans="1:10" ht="13.5" customHeight="1" x14ac:dyDescent="0.2">
      <c r="A324" s="131"/>
      <c r="B324" s="70"/>
      <c r="C324" s="64"/>
      <c r="D324" s="50"/>
      <c r="E324" s="13"/>
      <c r="F324" s="13"/>
      <c r="G324" s="75"/>
      <c r="H324" s="83"/>
      <c r="I324" s="13"/>
      <c r="J324" s="13"/>
    </row>
    <row r="325" spans="1:10" ht="13.5" customHeight="1" x14ac:dyDescent="0.2">
      <c r="A325" s="70"/>
      <c r="B325" s="70"/>
      <c r="C325" s="63"/>
      <c r="D325" s="50"/>
      <c r="E325" s="13"/>
      <c r="F325" s="13"/>
      <c r="G325" s="75"/>
      <c r="H325" s="83"/>
      <c r="I325" s="13"/>
      <c r="J325" s="13"/>
    </row>
    <row r="326" spans="1:10" ht="13.5" customHeight="1" x14ac:dyDescent="0.2">
      <c r="A326" s="131"/>
      <c r="B326" s="70"/>
      <c r="C326" s="63"/>
      <c r="D326" s="50"/>
      <c r="E326" s="13"/>
      <c r="F326" s="13"/>
      <c r="G326" s="75"/>
      <c r="H326" s="84"/>
      <c r="I326" s="13"/>
      <c r="J326" s="13"/>
    </row>
    <row r="327" spans="1:10" ht="13.5" customHeight="1" x14ac:dyDescent="0.2">
      <c r="A327" s="131"/>
      <c r="B327" s="70"/>
      <c r="C327" s="64"/>
      <c r="D327" s="50"/>
      <c r="E327" s="13"/>
      <c r="F327" s="13"/>
      <c r="G327" s="75"/>
      <c r="H327" s="84"/>
      <c r="I327" s="13"/>
      <c r="J327" s="13"/>
    </row>
    <row r="328" spans="1:10" ht="13.5" customHeight="1" x14ac:dyDescent="0.2">
      <c r="A328" s="70"/>
      <c r="B328" s="70"/>
      <c r="C328" s="63"/>
      <c r="D328" s="50"/>
      <c r="E328" s="13"/>
      <c r="F328" s="13"/>
      <c r="G328" s="75"/>
      <c r="H328" s="83"/>
      <c r="I328" s="13"/>
      <c r="J328" s="13"/>
    </row>
    <row r="329" spans="1:10" ht="13.5" customHeight="1" x14ac:dyDescent="0.2">
      <c r="A329" s="131"/>
      <c r="B329" s="70"/>
      <c r="C329" s="63"/>
      <c r="D329" s="50"/>
      <c r="E329" s="13"/>
      <c r="F329" s="13"/>
      <c r="G329" s="75"/>
      <c r="H329" s="84"/>
      <c r="I329" s="13"/>
      <c r="J329" s="13"/>
    </row>
    <row r="330" spans="1:10" ht="13.5" customHeight="1" x14ac:dyDescent="0.2">
      <c r="A330" s="131"/>
      <c r="B330" s="70"/>
      <c r="C330" s="64"/>
      <c r="D330" s="50"/>
      <c r="E330" s="13"/>
      <c r="F330" s="13"/>
      <c r="G330" s="75"/>
      <c r="H330" s="84"/>
      <c r="I330" s="13"/>
      <c r="J330" s="13"/>
    </row>
    <row r="331" spans="1:10" ht="13.5" customHeight="1" x14ac:dyDescent="0.2">
      <c r="A331" s="70"/>
      <c r="B331" s="70"/>
      <c r="C331" s="63"/>
      <c r="D331" s="50"/>
      <c r="E331" s="13"/>
      <c r="F331" s="13"/>
      <c r="G331" s="75"/>
      <c r="H331" s="83"/>
      <c r="I331" s="13"/>
      <c r="J331" s="13"/>
    </row>
    <row r="332" spans="1:10" ht="13.5" customHeight="1" x14ac:dyDescent="0.2">
      <c r="A332" s="70"/>
      <c r="B332" s="70"/>
      <c r="C332" s="63"/>
      <c r="D332" s="50"/>
      <c r="E332" s="13"/>
      <c r="F332" s="13"/>
      <c r="G332" s="75"/>
      <c r="H332" s="83"/>
      <c r="I332" s="13"/>
      <c r="J332" s="13"/>
    </row>
    <row r="333" spans="1:10" ht="13.5" customHeight="1" x14ac:dyDescent="0.2">
      <c r="A333" s="70"/>
      <c r="B333" s="70"/>
      <c r="C333" s="63"/>
      <c r="D333" s="50"/>
      <c r="E333" s="13"/>
      <c r="F333" s="13"/>
      <c r="G333" s="75"/>
      <c r="H333" s="82"/>
      <c r="I333" s="13"/>
      <c r="J333" s="13"/>
    </row>
    <row r="334" spans="1:10" ht="13.5" customHeight="1" x14ac:dyDescent="0.2">
      <c r="A334" s="131"/>
      <c r="B334" s="70"/>
      <c r="C334" s="86"/>
      <c r="D334" s="50"/>
      <c r="E334" s="13"/>
      <c r="F334" s="13"/>
      <c r="G334" s="75"/>
      <c r="H334" s="82"/>
      <c r="I334" s="13"/>
      <c r="J334" s="13"/>
    </row>
    <row r="335" spans="1:10" ht="13.5" customHeight="1" x14ac:dyDescent="0.2">
      <c r="A335" s="131"/>
      <c r="B335" s="70"/>
      <c r="C335" s="85"/>
      <c r="D335" s="50"/>
      <c r="E335" s="13"/>
      <c r="F335" s="13"/>
      <c r="G335" s="75"/>
      <c r="H335" s="82"/>
      <c r="I335" s="13"/>
      <c r="J335" s="13"/>
    </row>
    <row r="336" spans="1:10" ht="13.5" customHeight="1" x14ac:dyDescent="0.2">
      <c r="A336" s="131"/>
      <c r="B336" s="70"/>
      <c r="C336" s="87"/>
      <c r="D336" s="50"/>
      <c r="E336" s="13"/>
      <c r="F336" s="13"/>
      <c r="G336" s="75"/>
      <c r="H336" s="82"/>
      <c r="I336" s="13"/>
      <c r="J336" s="13"/>
    </row>
    <row r="337" spans="1:10" ht="13.5" customHeight="1" x14ac:dyDescent="0.2">
      <c r="A337" s="131"/>
      <c r="B337" s="70"/>
      <c r="C337" s="88"/>
      <c r="D337" s="50"/>
      <c r="E337" s="13"/>
      <c r="F337" s="13"/>
      <c r="G337" s="75"/>
      <c r="H337" s="82"/>
      <c r="I337" s="13"/>
      <c r="J337" s="13"/>
    </row>
    <row r="338" spans="1:10" ht="13.5" customHeight="1" x14ac:dyDescent="0.2">
      <c r="A338" s="91"/>
      <c r="B338" s="9"/>
      <c r="C338" s="56"/>
      <c r="D338" s="11"/>
      <c r="E338" s="12"/>
      <c r="F338" s="12"/>
      <c r="G338" s="23"/>
      <c r="H338" s="89"/>
      <c r="I338" s="12"/>
      <c r="J338" s="13"/>
    </row>
    <row r="339" spans="1:10" ht="13.5" customHeight="1" x14ac:dyDescent="0.2">
      <c r="A339" s="9"/>
      <c r="B339" s="9"/>
      <c r="C339" s="56"/>
      <c r="D339" s="11"/>
      <c r="E339" s="12"/>
      <c r="F339" s="12"/>
      <c r="G339" s="23"/>
      <c r="H339" s="90"/>
      <c r="I339" s="12"/>
      <c r="J339" s="13"/>
    </row>
    <row r="340" spans="1:10" ht="13.5" customHeight="1" x14ac:dyDescent="0.2">
      <c r="A340" s="9"/>
      <c r="B340" s="9"/>
      <c r="C340" s="56"/>
      <c r="D340" s="11"/>
      <c r="E340" s="12"/>
      <c r="F340" s="12"/>
      <c r="G340" s="23"/>
      <c r="H340" s="89"/>
      <c r="I340" s="12"/>
      <c r="J340" s="13"/>
    </row>
    <row r="341" spans="1:10" ht="13.5" customHeight="1" x14ac:dyDescent="0.2">
      <c r="A341" s="91"/>
      <c r="B341" s="9"/>
      <c r="D341" s="11"/>
      <c r="E341" s="12"/>
      <c r="F341" s="12"/>
      <c r="G341" s="23"/>
      <c r="H341" s="89"/>
      <c r="I341" s="12"/>
      <c r="J341" s="13"/>
    </row>
    <row r="342" spans="1:10" ht="13.5" customHeight="1" x14ac:dyDescent="0.2">
      <c r="A342" s="9"/>
      <c r="B342" s="9"/>
      <c r="C342" s="56"/>
      <c r="D342" s="11"/>
      <c r="E342" s="12"/>
      <c r="F342" s="12"/>
      <c r="G342" s="23"/>
      <c r="H342" s="90"/>
      <c r="I342" s="12"/>
      <c r="J342" s="13"/>
    </row>
    <row r="343" spans="1:10" ht="13.5" customHeight="1" x14ac:dyDescent="0.2">
      <c r="A343" s="9"/>
      <c r="B343" s="9"/>
      <c r="C343" s="56"/>
      <c r="D343" s="11"/>
      <c r="E343" s="12"/>
      <c r="F343" s="12"/>
      <c r="G343" s="23"/>
      <c r="H343" s="90"/>
      <c r="I343" s="12"/>
      <c r="J343" s="13"/>
    </row>
    <row r="344" spans="1:10" ht="13.5" customHeight="1" x14ac:dyDescent="0.2">
      <c r="A344" s="9"/>
      <c r="B344" s="9"/>
      <c r="C344" s="56"/>
      <c r="D344" s="11"/>
      <c r="E344" s="12"/>
      <c r="F344" s="12"/>
      <c r="G344" s="23"/>
      <c r="H344" s="90"/>
      <c r="I344" s="12"/>
      <c r="J344" s="13"/>
    </row>
    <row r="345" spans="1:10" ht="13.5" customHeight="1" x14ac:dyDescent="0.2">
      <c r="A345" s="91"/>
      <c r="B345" s="9"/>
      <c r="C345" s="27"/>
      <c r="D345" s="11"/>
      <c r="E345" s="12"/>
      <c r="F345" s="12"/>
      <c r="G345" s="23"/>
      <c r="H345" s="92"/>
      <c r="I345" s="12"/>
      <c r="J345" s="13"/>
    </row>
    <row r="346" spans="1:10" ht="13.5" customHeight="1" x14ac:dyDescent="0.2">
      <c r="A346" s="91"/>
      <c r="B346" s="9"/>
      <c r="C346" s="27"/>
      <c r="D346" s="11"/>
      <c r="E346" s="12"/>
      <c r="F346" s="12"/>
      <c r="G346" s="23"/>
      <c r="H346" s="90"/>
      <c r="I346" s="12"/>
      <c r="J346" s="13"/>
    </row>
    <row r="347" spans="1:10" ht="13.5" customHeight="1" x14ac:dyDescent="0.2">
      <c r="A347" s="91"/>
      <c r="B347" s="9"/>
      <c r="D347" s="11"/>
      <c r="E347" s="12"/>
      <c r="F347" s="12"/>
      <c r="G347" s="23"/>
      <c r="H347" s="92"/>
      <c r="I347" s="12"/>
      <c r="J347" s="13"/>
    </row>
    <row r="348" spans="1:10" ht="13.5" customHeight="1" x14ac:dyDescent="0.2">
      <c r="A348" s="9"/>
      <c r="B348" s="9"/>
      <c r="C348" s="56"/>
      <c r="D348" s="11"/>
      <c r="E348" s="12"/>
      <c r="F348" s="12"/>
      <c r="G348" s="23"/>
      <c r="H348" s="89"/>
      <c r="I348" s="12"/>
      <c r="J348" s="13"/>
    </row>
    <row r="349" spans="1:10" ht="13.5" customHeight="1" x14ac:dyDescent="0.2">
      <c r="A349" s="9"/>
      <c r="B349" s="9"/>
      <c r="C349" s="56"/>
      <c r="D349" s="11"/>
      <c r="E349" s="12"/>
      <c r="F349" s="12"/>
      <c r="G349" s="23"/>
      <c r="H349" s="89"/>
      <c r="I349" s="12"/>
      <c r="J349" s="13"/>
    </row>
    <row r="350" spans="1:10" ht="13.5" customHeight="1" x14ac:dyDescent="0.2">
      <c r="A350" s="9"/>
      <c r="B350" s="9"/>
      <c r="C350" s="56"/>
      <c r="D350" s="11"/>
      <c r="E350" s="12"/>
      <c r="F350" s="12"/>
      <c r="G350" s="23"/>
      <c r="H350" s="89"/>
      <c r="I350" s="12"/>
      <c r="J350" s="13"/>
    </row>
    <row r="351" spans="1:10" ht="13.5" customHeight="1" x14ac:dyDescent="0.2">
      <c r="A351" s="9"/>
      <c r="B351" s="9"/>
      <c r="C351" s="56"/>
      <c r="D351" s="11"/>
      <c r="E351" s="12"/>
      <c r="F351" s="12"/>
      <c r="G351" s="23"/>
      <c r="H351" s="89"/>
      <c r="I351" s="12"/>
      <c r="J351" s="13"/>
    </row>
    <row r="352" spans="1:10" x14ac:dyDescent="0.2">
      <c r="A352" s="132"/>
      <c r="B352" s="93"/>
      <c r="C352" s="94"/>
      <c r="D352" s="27"/>
      <c r="E352" s="27"/>
      <c r="F352" s="27"/>
      <c r="G352" s="27"/>
      <c r="H352" s="95"/>
      <c r="I352" s="30"/>
      <c r="J352" s="51"/>
    </row>
  </sheetData>
  <mergeCells count="4">
    <mergeCell ref="A1:C1"/>
    <mergeCell ref="D1:G1"/>
    <mergeCell ref="H1:J1"/>
    <mergeCell ref="H144:J144"/>
  </mergeCells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J345"/>
  <sheetViews>
    <sheetView topLeftCell="A218" zoomScale="90" zoomScaleNormal="90" workbookViewId="0">
      <selection activeCell="F236" sqref="F236"/>
    </sheetView>
  </sheetViews>
  <sheetFormatPr defaultColWidth="9" defaultRowHeight="12.75" x14ac:dyDescent="0.2"/>
  <cols>
    <col min="1" max="1" width="14.125" style="1" customWidth="1"/>
    <col min="2" max="2" width="99.875" style="1" customWidth="1"/>
    <col min="3" max="3" width="10.75" style="18" customWidth="1"/>
    <col min="4" max="4" width="11.375" style="18" customWidth="1"/>
    <col min="5" max="5" width="9" style="1"/>
    <col min="6" max="6" width="11.125" style="1" customWidth="1"/>
    <col min="7" max="7" width="9" style="1"/>
    <col min="8" max="8" width="10.25" style="1" customWidth="1"/>
    <col min="9" max="9" width="9" style="1"/>
    <col min="10" max="10" width="12.125" style="1" customWidth="1"/>
    <col min="11" max="16384" width="9" style="1"/>
  </cols>
  <sheetData>
    <row r="1" spans="1:10" x14ac:dyDescent="0.2">
      <c r="F1" s="97" t="s">
        <v>218</v>
      </c>
      <c r="G1" s="97" t="s">
        <v>219</v>
      </c>
      <c r="H1" s="97" t="s">
        <v>220</v>
      </c>
      <c r="I1" s="97" t="s">
        <v>221</v>
      </c>
      <c r="J1" s="97" t="s">
        <v>222</v>
      </c>
    </row>
    <row r="2" spans="1:10" ht="13.5" customHeight="1" x14ac:dyDescent="0.2">
      <c r="A2" s="126" t="s">
        <v>240</v>
      </c>
      <c r="B2" s="34" t="s">
        <v>1649</v>
      </c>
      <c r="C2" s="24"/>
      <c r="D2" s="25">
        <v>990</v>
      </c>
      <c r="F2" s="25">
        <v>1080</v>
      </c>
      <c r="G2" s="25">
        <v>90</v>
      </c>
      <c r="H2" s="402"/>
      <c r="I2" s="402"/>
      <c r="J2" s="104">
        <f>F2-G2-H2-I2</f>
        <v>990</v>
      </c>
    </row>
    <row r="3" spans="1:10" ht="13.5" customHeight="1" x14ac:dyDescent="0.2">
      <c r="A3" s="126" t="s">
        <v>240</v>
      </c>
      <c r="B3" s="34" t="s">
        <v>1650</v>
      </c>
      <c r="C3" s="24"/>
      <c r="D3" s="25">
        <v>1200</v>
      </c>
      <c r="F3" s="25">
        <v>1290</v>
      </c>
      <c r="G3" s="25">
        <v>90</v>
      </c>
      <c r="H3" s="402"/>
      <c r="I3" s="402"/>
      <c r="J3" s="104">
        <f t="shared" ref="J3:J13" si="0">F3-G3-H3-I3</f>
        <v>1200</v>
      </c>
    </row>
    <row r="4" spans="1:10" ht="13.5" customHeight="1" x14ac:dyDescent="0.2">
      <c r="A4" s="126" t="s">
        <v>240</v>
      </c>
      <c r="B4" s="34" t="s">
        <v>1595</v>
      </c>
      <c r="C4" s="24"/>
      <c r="D4" s="25">
        <v>933.3</v>
      </c>
      <c r="F4" s="25">
        <v>993.3</v>
      </c>
      <c r="G4" s="25">
        <v>60</v>
      </c>
      <c r="H4" s="402"/>
      <c r="I4" s="402"/>
      <c r="J4" s="104">
        <f t="shared" si="0"/>
        <v>933.3</v>
      </c>
    </row>
    <row r="5" spans="1:10" ht="13.5" customHeight="1" x14ac:dyDescent="0.2">
      <c r="A5" s="126" t="s">
        <v>240</v>
      </c>
      <c r="B5" s="21" t="s">
        <v>9</v>
      </c>
      <c r="C5" s="24"/>
      <c r="D5" s="25">
        <v>900</v>
      </c>
      <c r="E5" s="64"/>
      <c r="F5" s="25">
        <v>0</v>
      </c>
      <c r="G5" s="25"/>
      <c r="H5" s="402"/>
      <c r="I5" s="402"/>
      <c r="J5" s="104">
        <f t="shared" si="0"/>
        <v>0</v>
      </c>
    </row>
    <row r="6" spans="1:10" ht="13.5" customHeight="1" x14ac:dyDescent="0.2">
      <c r="A6" s="126" t="s">
        <v>240</v>
      </c>
      <c r="B6" s="21" t="s">
        <v>10</v>
      </c>
      <c r="C6" s="24"/>
      <c r="D6" s="25">
        <v>240</v>
      </c>
      <c r="E6" s="64"/>
      <c r="F6" s="25">
        <v>0</v>
      </c>
      <c r="G6" s="25"/>
      <c r="H6" s="402"/>
      <c r="I6" s="402"/>
      <c r="J6" s="104">
        <f t="shared" si="0"/>
        <v>0</v>
      </c>
    </row>
    <row r="7" spans="1:10" ht="13.5" customHeight="1" x14ac:dyDescent="0.2">
      <c r="A7" s="126" t="s">
        <v>240</v>
      </c>
      <c r="B7" s="34" t="s">
        <v>1614</v>
      </c>
      <c r="C7" s="24"/>
      <c r="D7" s="25">
        <v>1500</v>
      </c>
      <c r="F7" s="25">
        <v>1500</v>
      </c>
      <c r="G7" s="25"/>
      <c r="H7" s="402"/>
      <c r="I7" s="402"/>
      <c r="J7" s="104">
        <f t="shared" si="0"/>
        <v>1500</v>
      </c>
    </row>
    <row r="8" spans="1:10" ht="13.5" customHeight="1" x14ac:dyDescent="0.2">
      <c r="A8" s="126" t="s">
        <v>240</v>
      </c>
      <c r="B8" s="34" t="s">
        <v>1615</v>
      </c>
      <c r="C8" s="24"/>
      <c r="D8" s="25">
        <v>1976</v>
      </c>
      <c r="F8" s="25">
        <v>1976</v>
      </c>
      <c r="G8" s="25"/>
      <c r="H8" s="403"/>
      <c r="I8" s="403"/>
      <c r="J8" s="104">
        <f t="shared" si="0"/>
        <v>1976</v>
      </c>
    </row>
    <row r="9" spans="1:10" ht="13.5" customHeight="1" x14ac:dyDescent="0.2">
      <c r="A9" s="126" t="s">
        <v>240</v>
      </c>
      <c r="B9" s="34" t="s">
        <v>1637</v>
      </c>
      <c r="C9" s="24"/>
      <c r="D9" s="25">
        <v>3500</v>
      </c>
      <c r="F9" s="25">
        <v>3500</v>
      </c>
      <c r="G9" s="25"/>
      <c r="H9" s="403"/>
      <c r="I9" s="403"/>
      <c r="J9" s="104">
        <f t="shared" si="0"/>
        <v>3500</v>
      </c>
    </row>
    <row r="10" spans="1:10" ht="13.5" customHeight="1" x14ac:dyDescent="0.2">
      <c r="A10" s="126" t="s">
        <v>240</v>
      </c>
      <c r="B10" s="36" t="s">
        <v>1623</v>
      </c>
      <c r="C10" s="24"/>
      <c r="D10" s="25">
        <v>2050</v>
      </c>
      <c r="F10" s="25">
        <v>2050</v>
      </c>
      <c r="G10" s="25"/>
      <c r="H10" s="403"/>
      <c r="I10" s="403"/>
      <c r="J10" s="104">
        <f t="shared" si="0"/>
        <v>2050</v>
      </c>
    </row>
    <row r="11" spans="1:10" ht="13.5" customHeight="1" x14ac:dyDescent="0.2">
      <c r="A11" s="126" t="s">
        <v>240</v>
      </c>
      <c r="B11" s="36" t="s">
        <v>1621</v>
      </c>
      <c r="C11" s="24"/>
      <c r="D11" s="25">
        <v>5000</v>
      </c>
      <c r="F11" s="25">
        <v>5000</v>
      </c>
      <c r="G11" s="25"/>
      <c r="H11" s="403"/>
      <c r="I11" s="403"/>
      <c r="J11" s="104">
        <f t="shared" si="0"/>
        <v>5000</v>
      </c>
    </row>
    <row r="12" spans="1:10" ht="13.5" customHeight="1" x14ac:dyDescent="0.2">
      <c r="A12" s="126" t="s">
        <v>240</v>
      </c>
      <c r="B12" s="34" t="s">
        <v>1693</v>
      </c>
      <c r="C12" s="24"/>
      <c r="D12" s="25">
        <v>1360</v>
      </c>
      <c r="F12" s="25">
        <v>1360</v>
      </c>
      <c r="G12" s="25"/>
      <c r="H12" s="403"/>
      <c r="I12" s="403"/>
      <c r="J12" s="104">
        <f t="shared" si="0"/>
        <v>1360</v>
      </c>
    </row>
    <row r="13" spans="1:10" ht="13.5" customHeight="1" x14ac:dyDescent="0.2">
      <c r="A13" s="126" t="s">
        <v>240</v>
      </c>
      <c r="B13" s="34" t="s">
        <v>1772</v>
      </c>
      <c r="C13" s="24"/>
      <c r="D13" s="25">
        <v>3000</v>
      </c>
      <c r="F13" s="25">
        <v>3000</v>
      </c>
      <c r="G13" s="25"/>
      <c r="H13" s="404"/>
      <c r="I13" s="404"/>
      <c r="J13" s="104">
        <f t="shared" si="0"/>
        <v>3000</v>
      </c>
    </row>
    <row r="14" spans="1:10" ht="13.5" customHeight="1" x14ac:dyDescent="0.2">
      <c r="A14" s="126" t="s">
        <v>240</v>
      </c>
      <c r="B14" s="34" t="s">
        <v>1633</v>
      </c>
      <c r="C14" s="24"/>
      <c r="D14" s="429">
        <v>185</v>
      </c>
      <c r="F14" s="399"/>
      <c r="G14" s="107">
        <f>SUM(G2:G13)</f>
        <v>240</v>
      </c>
      <c r="H14" s="107">
        <f>SUM(H2:H13)</f>
        <v>0</v>
      </c>
      <c r="I14" s="107">
        <f>SUM(I2:I13)</f>
        <v>0</v>
      </c>
    </row>
    <row r="15" spans="1:10" ht="13.5" customHeight="1" x14ac:dyDescent="0.2">
      <c r="A15" s="126" t="s">
        <v>240</v>
      </c>
      <c r="B15" s="34" t="s">
        <v>1635</v>
      </c>
      <c r="C15" s="24"/>
      <c r="D15" s="429">
        <v>380</v>
      </c>
    </row>
    <row r="16" spans="1:10" ht="13.5" customHeight="1" x14ac:dyDescent="0.2">
      <c r="A16" s="126" t="s">
        <v>240</v>
      </c>
      <c r="B16" s="34" t="s">
        <v>1683</v>
      </c>
      <c r="C16" s="24"/>
      <c r="D16" s="429">
        <v>185</v>
      </c>
    </row>
    <row r="17" spans="1:10" ht="13.5" customHeight="1" x14ac:dyDescent="0.2">
      <c r="A17" s="126" t="s">
        <v>240</v>
      </c>
      <c r="B17" s="34" t="s">
        <v>1685</v>
      </c>
      <c r="C17" s="24"/>
      <c r="D17" s="429">
        <v>185</v>
      </c>
    </row>
    <row r="18" spans="1:10" ht="13.5" customHeight="1" x14ac:dyDescent="0.2">
      <c r="A18" s="126" t="s">
        <v>240</v>
      </c>
      <c r="B18" s="34" t="s">
        <v>1684</v>
      </c>
      <c r="C18" s="24"/>
      <c r="D18" s="429">
        <v>185</v>
      </c>
    </row>
    <row r="19" spans="1:10" ht="13.5" customHeight="1" x14ac:dyDescent="0.2">
      <c r="A19" s="126" t="s">
        <v>240</v>
      </c>
      <c r="B19" s="34" t="s">
        <v>1682</v>
      </c>
      <c r="C19" s="24"/>
      <c r="D19" s="429">
        <v>185</v>
      </c>
    </row>
    <row r="20" spans="1:10" ht="13.5" customHeight="1" x14ac:dyDescent="0.2">
      <c r="A20" s="126" t="s">
        <v>240</v>
      </c>
      <c r="B20" s="21" t="s">
        <v>1641</v>
      </c>
      <c r="C20" s="24"/>
      <c r="D20" s="429">
        <v>190</v>
      </c>
    </row>
    <row r="21" spans="1:10" ht="13.5" customHeight="1" x14ac:dyDescent="0.2">
      <c r="A21" s="126" t="s">
        <v>240</v>
      </c>
      <c r="B21" s="34" t="s">
        <v>1642</v>
      </c>
      <c r="C21" s="24"/>
      <c r="D21" s="429">
        <v>190</v>
      </c>
    </row>
    <row r="22" spans="1:10" ht="13.5" customHeight="1" x14ac:dyDescent="0.2">
      <c r="A22" s="126" t="s">
        <v>240</v>
      </c>
      <c r="B22" s="34" t="s">
        <v>1767</v>
      </c>
      <c r="C22" s="24"/>
      <c r="D22" s="429">
        <v>190</v>
      </c>
      <c r="F22" s="64"/>
    </row>
    <row r="23" spans="1:10" ht="13.5" customHeight="1" x14ac:dyDescent="0.2">
      <c r="A23" s="126" t="s">
        <v>240</v>
      </c>
      <c r="B23" s="34" t="s">
        <v>1601</v>
      </c>
      <c r="C23" s="24"/>
      <c r="D23" s="429">
        <v>220</v>
      </c>
    </row>
    <row r="24" spans="1:10" ht="13.5" customHeight="1" x14ac:dyDescent="0.2">
      <c r="A24" s="126" t="s">
        <v>240</v>
      </c>
      <c r="B24" s="21" t="s">
        <v>1648</v>
      </c>
      <c r="C24" s="24"/>
      <c r="D24" s="429">
        <v>80</v>
      </c>
      <c r="E24" s="431">
        <f>SUM(D14:D24)</f>
        <v>2175</v>
      </c>
    </row>
    <row r="25" spans="1:10" ht="13.5" customHeight="1" x14ac:dyDescent="0.2">
      <c r="A25" s="126"/>
      <c r="B25" s="34"/>
      <c r="C25" s="24"/>
      <c r="D25" s="437">
        <f>SUM(D2:D24)</f>
        <v>24824.3</v>
      </c>
    </row>
    <row r="26" spans="1:10" ht="13.5" customHeight="1" x14ac:dyDescent="0.2">
      <c r="A26" s="126"/>
      <c r="B26" s="34"/>
      <c r="C26" s="24"/>
      <c r="D26" s="25"/>
      <c r="F26" s="64"/>
    </row>
    <row r="27" spans="1:10" ht="13.5" customHeight="1" x14ac:dyDescent="0.2">
      <c r="A27" s="126" t="s">
        <v>240</v>
      </c>
      <c r="B27" s="34" t="s">
        <v>1692</v>
      </c>
      <c r="C27" s="24"/>
      <c r="D27" s="25">
        <v>900</v>
      </c>
      <c r="F27" s="25">
        <v>900</v>
      </c>
      <c r="G27" s="109"/>
      <c r="H27" s="109"/>
      <c r="I27" s="109"/>
      <c r="J27" s="25">
        <v>900</v>
      </c>
    </row>
    <row r="28" spans="1:10" ht="13.5" customHeight="1" x14ac:dyDescent="0.2">
      <c r="A28" s="126" t="s">
        <v>240</v>
      </c>
      <c r="B28" s="34" t="s">
        <v>1729</v>
      </c>
      <c r="C28" s="24"/>
      <c r="D28" s="25">
        <v>8275</v>
      </c>
      <c r="E28" s="64"/>
      <c r="F28" s="25">
        <v>8275</v>
      </c>
      <c r="G28" s="109"/>
      <c r="H28" s="109"/>
      <c r="I28" s="109"/>
      <c r="J28" s="25">
        <v>8275</v>
      </c>
    </row>
    <row r="29" spans="1:10" ht="13.5" customHeight="1" x14ac:dyDescent="0.2">
      <c r="A29" s="126" t="s">
        <v>240</v>
      </c>
      <c r="B29" s="34" t="s">
        <v>1725</v>
      </c>
      <c r="C29" s="24"/>
      <c r="D29" s="25">
        <v>4731.47</v>
      </c>
      <c r="F29" s="25">
        <v>4731.47</v>
      </c>
      <c r="G29" s="642"/>
      <c r="H29" s="642"/>
      <c r="I29" s="642"/>
      <c r="J29" s="25">
        <v>4731.47</v>
      </c>
    </row>
    <row r="30" spans="1:10" ht="13.5" customHeight="1" x14ac:dyDescent="0.2">
      <c r="A30" s="126"/>
      <c r="B30" s="34"/>
      <c r="C30" s="24"/>
      <c r="D30" s="437">
        <f>SUM(D27:D29)</f>
        <v>13906.470000000001</v>
      </c>
      <c r="G30" s="107">
        <f>SUM(G27:G29)</f>
        <v>0</v>
      </c>
      <c r="H30" s="107">
        <f>SUM(H27:H29)</f>
        <v>0</v>
      </c>
      <c r="I30" s="107">
        <f>SUM(I27:I29)</f>
        <v>0</v>
      </c>
    </row>
    <row r="31" spans="1:10" ht="13.5" customHeight="1" x14ac:dyDescent="0.2">
      <c r="A31" s="126"/>
      <c r="B31" s="34"/>
      <c r="C31" s="24"/>
      <c r="D31" s="25"/>
    </row>
    <row r="32" spans="1:10" ht="13.5" customHeight="1" x14ac:dyDescent="0.2">
      <c r="A32" s="126" t="s">
        <v>241</v>
      </c>
      <c r="B32" s="34" t="s">
        <v>189</v>
      </c>
      <c r="C32" s="111">
        <v>8000</v>
      </c>
      <c r="D32" s="16"/>
    </row>
    <row r="33" spans="1:6" ht="13.5" customHeight="1" x14ac:dyDescent="0.2">
      <c r="A33" s="126" t="s">
        <v>241</v>
      </c>
      <c r="B33" s="34" t="s">
        <v>189</v>
      </c>
      <c r="C33" s="111">
        <v>3843.62</v>
      </c>
      <c r="D33" s="25"/>
    </row>
    <row r="34" spans="1:6" ht="13.5" customHeight="1" x14ac:dyDescent="0.2">
      <c r="A34" s="126" t="s">
        <v>241</v>
      </c>
      <c r="B34" s="34" t="s">
        <v>189</v>
      </c>
      <c r="C34" s="111">
        <v>229.39</v>
      </c>
      <c r="D34" s="25"/>
      <c r="F34" s="64"/>
    </row>
    <row r="35" spans="1:6" ht="13.5" customHeight="1" x14ac:dyDescent="0.2">
      <c r="A35" s="126" t="s">
        <v>241</v>
      </c>
      <c r="B35" s="34" t="s">
        <v>174</v>
      </c>
      <c r="C35" s="24">
        <v>-2.59</v>
      </c>
      <c r="D35" s="25"/>
      <c r="E35" s="64"/>
      <c r="F35" s="64"/>
    </row>
    <row r="36" spans="1:6" ht="13.5" customHeight="1" x14ac:dyDescent="0.2">
      <c r="A36" s="126" t="s">
        <v>241</v>
      </c>
      <c r="B36" s="34" t="s">
        <v>174</v>
      </c>
      <c r="C36" s="24">
        <v>-12.5</v>
      </c>
      <c r="D36" s="16"/>
      <c r="E36" s="64"/>
      <c r="F36" s="64"/>
    </row>
    <row r="37" spans="1:6" ht="13.5" customHeight="1" x14ac:dyDescent="0.2">
      <c r="A37" s="126" t="s">
        <v>241</v>
      </c>
      <c r="B37" s="34" t="s">
        <v>174</v>
      </c>
      <c r="C37" s="24">
        <v>-75</v>
      </c>
      <c r="D37" s="25"/>
      <c r="E37" s="64"/>
      <c r="F37" s="64"/>
    </row>
    <row r="38" spans="1:6" ht="13.5" customHeight="1" x14ac:dyDescent="0.2">
      <c r="A38" s="126" t="s">
        <v>241</v>
      </c>
      <c r="B38" s="34" t="s">
        <v>174</v>
      </c>
      <c r="C38" s="24">
        <v>-85</v>
      </c>
      <c r="D38" s="16"/>
      <c r="E38" s="64"/>
      <c r="F38" s="64"/>
    </row>
    <row r="39" spans="1:6" ht="13.5" customHeight="1" x14ac:dyDescent="0.2">
      <c r="A39" s="126" t="s">
        <v>241</v>
      </c>
      <c r="B39" s="34" t="s">
        <v>174</v>
      </c>
      <c r="C39" s="24">
        <v>-229.39</v>
      </c>
      <c r="D39" s="25"/>
      <c r="E39" s="64"/>
      <c r="F39" s="64"/>
    </row>
    <row r="40" spans="1:6" ht="13.5" customHeight="1" x14ac:dyDescent="0.2">
      <c r="A40" s="126" t="s">
        <v>241</v>
      </c>
      <c r="B40" s="34" t="s">
        <v>174</v>
      </c>
      <c r="C40" s="24">
        <v>-683.46</v>
      </c>
      <c r="D40" s="25"/>
      <c r="E40" s="64"/>
      <c r="F40" s="64"/>
    </row>
    <row r="41" spans="1:6" ht="13.5" customHeight="1" x14ac:dyDescent="0.2">
      <c r="A41" s="126" t="s">
        <v>241</v>
      </c>
      <c r="B41" s="34" t="s">
        <v>174</v>
      </c>
      <c r="C41" s="24">
        <v>-784.61</v>
      </c>
      <c r="D41" s="25"/>
      <c r="E41" s="64"/>
      <c r="F41" s="64"/>
    </row>
    <row r="42" spans="1:6" ht="13.5" customHeight="1" x14ac:dyDescent="0.2">
      <c r="A42" s="126" t="s">
        <v>241</v>
      </c>
      <c r="B42" s="34" t="s">
        <v>174</v>
      </c>
      <c r="C42" s="24">
        <v>-924.97</v>
      </c>
      <c r="D42" s="25"/>
      <c r="E42" s="64"/>
      <c r="F42" s="64"/>
    </row>
    <row r="43" spans="1:6" ht="13.5" customHeight="1" x14ac:dyDescent="0.2">
      <c r="A43" s="126" t="s">
        <v>241</v>
      </c>
      <c r="B43" s="34" t="s">
        <v>174</v>
      </c>
      <c r="C43" s="24">
        <v>-968.45</v>
      </c>
      <c r="D43" s="16"/>
      <c r="E43" s="64"/>
    </row>
    <row r="44" spans="1:6" ht="13.5" customHeight="1" x14ac:dyDescent="0.2">
      <c r="A44" s="126" t="s">
        <v>241</v>
      </c>
      <c r="B44" s="34" t="s">
        <v>174</v>
      </c>
      <c r="C44" s="24">
        <v>-1215.3699999999999</v>
      </c>
      <c r="D44" s="25"/>
    </row>
    <row r="45" spans="1:6" ht="13.5" customHeight="1" x14ac:dyDescent="0.2">
      <c r="A45" s="126" t="s">
        <v>241</v>
      </c>
      <c r="B45" s="34" t="s">
        <v>174</v>
      </c>
      <c r="C45" s="25">
        <v>-1510.66</v>
      </c>
      <c r="D45" s="16"/>
    </row>
    <row r="46" spans="1:6" ht="13.5" customHeight="1" x14ac:dyDescent="0.2">
      <c r="A46" s="126"/>
      <c r="B46" s="34"/>
      <c r="C46" s="437">
        <f>SUM(C32:C45)</f>
        <v>5581.0099999999993</v>
      </c>
      <c r="D46" s="16"/>
    </row>
    <row r="47" spans="1:6" ht="13.5" customHeight="1" x14ac:dyDescent="0.2">
      <c r="A47" s="126"/>
      <c r="B47" s="34"/>
      <c r="C47" s="24"/>
      <c r="D47" s="16"/>
    </row>
    <row r="48" spans="1:6" ht="13.5" customHeight="1" x14ac:dyDescent="0.2">
      <c r="A48" s="126" t="s">
        <v>224</v>
      </c>
      <c r="B48" s="34" t="s">
        <v>62</v>
      </c>
      <c r="C48" s="111">
        <v>443.3</v>
      </c>
      <c r="D48" s="25"/>
    </row>
    <row r="49" spans="1:4" ht="13.5" customHeight="1" x14ac:dyDescent="0.2">
      <c r="A49" s="126" t="s">
        <v>224</v>
      </c>
      <c r="B49" s="34" t="s">
        <v>68</v>
      </c>
      <c r="C49" s="111">
        <v>129.9</v>
      </c>
      <c r="D49" s="25"/>
    </row>
    <row r="50" spans="1:4" ht="13.5" customHeight="1" x14ac:dyDescent="0.2">
      <c r="A50" s="126" t="s">
        <v>224</v>
      </c>
      <c r="B50" s="34" t="s">
        <v>1774</v>
      </c>
      <c r="C50" s="111">
        <v>425</v>
      </c>
      <c r="D50" s="25"/>
    </row>
    <row r="51" spans="1:4" ht="13.5" customHeight="1" x14ac:dyDescent="0.2">
      <c r="A51" s="126"/>
      <c r="B51" s="34"/>
      <c r="C51" s="438">
        <f>SUM(C48:C50)</f>
        <v>998.2</v>
      </c>
      <c r="D51" s="25"/>
    </row>
    <row r="52" spans="1:4" ht="13.5" customHeight="1" x14ac:dyDescent="0.2">
      <c r="A52" s="126"/>
      <c r="B52" s="34"/>
      <c r="C52" s="111"/>
      <c r="D52" s="25"/>
    </row>
    <row r="53" spans="1:4" ht="13.5" customHeight="1" x14ac:dyDescent="0.2">
      <c r="A53" s="126" t="s">
        <v>224</v>
      </c>
      <c r="B53" s="34" t="s">
        <v>1691</v>
      </c>
      <c r="C53" s="24">
        <v>375</v>
      </c>
      <c r="D53" s="417">
        <f>SUM(C53:C54)-D54</f>
        <v>425</v>
      </c>
    </row>
    <row r="54" spans="1:4" ht="13.5" customHeight="1" x14ac:dyDescent="0.2">
      <c r="A54" s="126" t="s">
        <v>224</v>
      </c>
      <c r="B54" s="34" t="s">
        <v>1634</v>
      </c>
      <c r="C54" s="24">
        <v>262.5</v>
      </c>
      <c r="D54" s="417">
        <f t="array" ref="D54">SUM(C53:C54/3)</f>
        <v>212.5</v>
      </c>
    </row>
    <row r="55" spans="1:4" ht="13.5" customHeight="1" x14ac:dyDescent="0.2">
      <c r="A55" s="64"/>
      <c r="B55" s="34"/>
      <c r="C55" s="27">
        <f>SUM(C53:C54)</f>
        <v>637.5</v>
      </c>
      <c r="D55" s="25"/>
    </row>
    <row r="56" spans="1:4" ht="13.5" customHeight="1" x14ac:dyDescent="0.2">
      <c r="A56" s="64"/>
      <c r="B56" s="34"/>
      <c r="C56" s="111"/>
      <c r="D56" s="25"/>
    </row>
    <row r="57" spans="1:4" ht="13.5" customHeight="1" x14ac:dyDescent="0.2">
      <c r="A57" s="64" t="s">
        <v>225</v>
      </c>
      <c r="B57" s="34" t="s">
        <v>1723</v>
      </c>
      <c r="C57" s="438">
        <v>754</v>
      </c>
      <c r="D57" s="25"/>
    </row>
    <row r="58" spans="1:4" ht="13.5" customHeight="1" x14ac:dyDescent="0.2">
      <c r="A58" s="64"/>
      <c r="B58" s="34"/>
      <c r="C58" s="111"/>
      <c r="D58" s="25"/>
    </row>
    <row r="59" spans="1:4" ht="13.5" customHeight="1" x14ac:dyDescent="0.2">
      <c r="A59" s="64"/>
      <c r="B59" s="34"/>
      <c r="C59" s="111"/>
      <c r="D59" s="25"/>
    </row>
    <row r="60" spans="1:4" ht="13.5" customHeight="1" x14ac:dyDescent="0.2">
      <c r="A60" s="126" t="s">
        <v>242</v>
      </c>
      <c r="B60" s="34" t="s">
        <v>1657</v>
      </c>
      <c r="C60" s="24">
        <v>-3150</v>
      </c>
      <c r="D60" s="25"/>
    </row>
    <row r="61" spans="1:4" ht="13.5" customHeight="1" x14ac:dyDescent="0.2">
      <c r="A61" s="126" t="s">
        <v>242</v>
      </c>
      <c r="B61" s="34" t="s">
        <v>127</v>
      </c>
      <c r="C61" s="111">
        <v>30.59</v>
      </c>
      <c r="D61" s="25"/>
    </row>
    <row r="62" spans="1:4" ht="13.5" customHeight="1" x14ac:dyDescent="0.2">
      <c r="A62" s="126" t="s">
        <v>242</v>
      </c>
      <c r="B62" s="237" t="s">
        <v>736</v>
      </c>
      <c r="C62" s="111">
        <v>41.36</v>
      </c>
      <c r="D62" s="25"/>
    </row>
    <row r="63" spans="1:4" ht="13.5" customHeight="1" x14ac:dyDescent="0.2">
      <c r="A63" s="126" t="s">
        <v>242</v>
      </c>
      <c r="B63" s="34" t="s">
        <v>109</v>
      </c>
      <c r="C63" s="111">
        <v>58.76</v>
      </c>
      <c r="D63" s="25"/>
    </row>
    <row r="64" spans="1:4" ht="13.5" customHeight="1" x14ac:dyDescent="0.2">
      <c r="A64" s="126" t="s">
        <v>242</v>
      </c>
      <c r="B64" s="34" t="s">
        <v>129</v>
      </c>
      <c r="C64" s="111">
        <v>44.51</v>
      </c>
      <c r="D64" s="25"/>
    </row>
    <row r="65" spans="1:8" ht="13.5" customHeight="1" x14ac:dyDescent="0.2">
      <c r="A65" s="126" t="s">
        <v>242</v>
      </c>
      <c r="B65" s="237" t="s">
        <v>737</v>
      </c>
      <c r="C65" s="111">
        <v>122.64</v>
      </c>
      <c r="D65" s="25"/>
    </row>
    <row r="66" spans="1:8" ht="13.5" customHeight="1" x14ac:dyDescent="0.2">
      <c r="A66" s="126" t="s">
        <v>242</v>
      </c>
      <c r="B66" s="36" t="s">
        <v>87</v>
      </c>
      <c r="C66" s="111">
        <v>35.74</v>
      </c>
      <c r="D66" s="25"/>
    </row>
    <row r="67" spans="1:8" ht="13.5" customHeight="1" x14ac:dyDescent="0.2">
      <c r="A67" s="126" t="s">
        <v>242</v>
      </c>
      <c r="B67" s="34" t="s">
        <v>1670</v>
      </c>
      <c r="C67" s="24">
        <v>15</v>
      </c>
      <c r="D67" s="25"/>
    </row>
    <row r="68" spans="1:8" ht="13.5" customHeight="1" x14ac:dyDescent="0.2">
      <c r="A68" s="126" t="s">
        <v>242</v>
      </c>
      <c r="B68" s="34" t="s">
        <v>1761</v>
      </c>
      <c r="C68" s="110">
        <v>12</v>
      </c>
      <c r="D68" s="25"/>
    </row>
    <row r="69" spans="1:8" ht="13.5" customHeight="1" x14ac:dyDescent="0.2">
      <c r="A69" s="126" t="s">
        <v>242</v>
      </c>
      <c r="B69" s="138" t="s">
        <v>1597</v>
      </c>
      <c r="C69" s="111">
        <v>0.4</v>
      </c>
      <c r="D69" s="25"/>
    </row>
    <row r="70" spans="1:8" ht="13.5" customHeight="1" x14ac:dyDescent="0.2">
      <c r="A70" s="126" t="s">
        <v>242</v>
      </c>
      <c r="B70" s="138" t="s">
        <v>1597</v>
      </c>
      <c r="C70" s="111">
        <v>0.36</v>
      </c>
      <c r="D70" s="25"/>
      <c r="F70" s="126" t="s">
        <v>242</v>
      </c>
      <c r="G70" s="34" t="s">
        <v>1756</v>
      </c>
      <c r="H70" s="110">
        <v>15.9</v>
      </c>
    </row>
    <row r="71" spans="1:8" ht="13.5" customHeight="1" x14ac:dyDescent="0.2">
      <c r="A71" s="126" t="s">
        <v>242</v>
      </c>
      <c r="B71" s="34" t="s">
        <v>1598</v>
      </c>
      <c r="C71" s="111">
        <v>15.16</v>
      </c>
      <c r="D71" s="25"/>
      <c r="F71" s="126" t="s">
        <v>242</v>
      </c>
      <c r="G71" s="34" t="s">
        <v>1756</v>
      </c>
      <c r="H71" s="113">
        <v>30.01</v>
      </c>
    </row>
    <row r="72" spans="1:8" ht="13.5" customHeight="1" x14ac:dyDescent="0.2">
      <c r="A72" s="126" t="s">
        <v>242</v>
      </c>
      <c r="B72" s="34" t="s">
        <v>1598</v>
      </c>
      <c r="C72" s="111">
        <v>2.23</v>
      </c>
      <c r="D72" s="25"/>
      <c r="F72" s="126" t="s">
        <v>242</v>
      </c>
      <c r="G72" s="34" t="s">
        <v>813</v>
      </c>
      <c r="H72" s="111">
        <v>75</v>
      </c>
    </row>
    <row r="73" spans="1:8" ht="13.5" customHeight="1" x14ac:dyDescent="0.2">
      <c r="A73" s="126" t="s">
        <v>242</v>
      </c>
      <c r="B73" s="36" t="s">
        <v>1667</v>
      </c>
      <c r="C73" s="24">
        <v>28.4</v>
      </c>
      <c r="D73" s="25"/>
      <c r="F73" s="126" t="s">
        <v>242</v>
      </c>
      <c r="G73" s="34" t="s">
        <v>1770</v>
      </c>
      <c r="H73" s="113">
        <v>6.5</v>
      </c>
    </row>
    <row r="74" spans="1:8" ht="13.5" customHeight="1" x14ac:dyDescent="0.2">
      <c r="A74" s="126" t="s">
        <v>242</v>
      </c>
      <c r="B74" s="34" t="s">
        <v>1639</v>
      </c>
      <c r="C74" s="24">
        <v>14.2</v>
      </c>
      <c r="D74" s="25"/>
      <c r="F74" s="126" t="s">
        <v>242</v>
      </c>
      <c r="G74" s="34" t="s">
        <v>1757</v>
      </c>
      <c r="H74" s="110">
        <v>25</v>
      </c>
    </row>
    <row r="75" spans="1:8" ht="13.5" customHeight="1" x14ac:dyDescent="0.2">
      <c r="A75" s="126" t="s">
        <v>242</v>
      </c>
      <c r="B75" s="34" t="s">
        <v>1640</v>
      </c>
      <c r="C75" s="24">
        <v>14.2</v>
      </c>
      <c r="D75" s="25"/>
    </row>
    <row r="76" spans="1:8" ht="13.5" customHeight="1" x14ac:dyDescent="0.2">
      <c r="A76" s="126" t="s">
        <v>242</v>
      </c>
      <c r="B76" s="34" t="s">
        <v>1777</v>
      </c>
      <c r="C76" s="432">
        <f t="array" ref="C76">SUM(H70:H74/2)</f>
        <v>76.204999999999998</v>
      </c>
      <c r="D76" s="25"/>
    </row>
    <row r="77" spans="1:8" ht="13.5" customHeight="1" x14ac:dyDescent="0.2">
      <c r="A77" s="126"/>
      <c r="B77" s="34"/>
      <c r="C77" s="439">
        <f>SUM(C60:C76)</f>
        <v>-2638.2449999999999</v>
      </c>
      <c r="D77" s="25"/>
    </row>
    <row r="78" spans="1:8" ht="13.5" customHeight="1" x14ac:dyDescent="0.2">
      <c r="A78" s="126"/>
      <c r="B78" s="34"/>
      <c r="C78" s="24"/>
      <c r="D78" s="25"/>
    </row>
    <row r="79" spans="1:8" ht="13.5" customHeight="1" x14ac:dyDescent="0.2">
      <c r="A79" s="126" t="s">
        <v>242</v>
      </c>
      <c r="B79" s="34" t="s">
        <v>1674</v>
      </c>
      <c r="C79" s="24">
        <v>9.0399999999999991</v>
      </c>
      <c r="D79" s="25"/>
    </row>
    <row r="80" spans="1:8" ht="13.5" customHeight="1" x14ac:dyDescent="0.2">
      <c r="A80" s="126" t="s">
        <v>242</v>
      </c>
      <c r="B80" s="34" t="s">
        <v>1763</v>
      </c>
      <c r="C80" s="113">
        <v>7</v>
      </c>
      <c r="D80" s="25"/>
    </row>
    <row r="81" spans="1:4" ht="13.5" customHeight="1" x14ac:dyDescent="0.2">
      <c r="A81" s="126" t="s">
        <v>242</v>
      </c>
      <c r="B81" s="34" t="s">
        <v>199</v>
      </c>
      <c r="C81" s="111">
        <v>223.45</v>
      </c>
      <c r="D81" s="16"/>
    </row>
    <row r="82" spans="1:4" ht="13.5" customHeight="1" x14ac:dyDescent="0.2">
      <c r="A82" s="126" t="s">
        <v>242</v>
      </c>
      <c r="B82" s="34" t="s">
        <v>180</v>
      </c>
      <c r="C82" s="111">
        <v>334.78</v>
      </c>
      <c r="D82" s="25"/>
    </row>
    <row r="83" spans="1:4" ht="13.5" customHeight="1" x14ac:dyDescent="0.2">
      <c r="A83" s="126" t="s">
        <v>242</v>
      </c>
      <c r="B83" s="34" t="s">
        <v>1778</v>
      </c>
      <c r="C83" s="433">
        <f>C76</f>
        <v>76.204999999999998</v>
      </c>
      <c r="D83" s="25"/>
    </row>
    <row r="84" spans="1:4" ht="13.5" customHeight="1" x14ac:dyDescent="0.2">
      <c r="A84" s="126"/>
      <c r="B84" s="34"/>
      <c r="C84" s="438">
        <f>SUM(C79:C83)</f>
        <v>650.47500000000002</v>
      </c>
      <c r="D84" s="25"/>
    </row>
    <row r="85" spans="1:4" ht="13.5" customHeight="1" x14ac:dyDescent="0.2">
      <c r="A85" s="126"/>
      <c r="B85" s="34"/>
      <c r="C85" s="113"/>
      <c r="D85" s="25"/>
    </row>
    <row r="86" spans="1:4" ht="13.5" customHeight="1" x14ac:dyDescent="0.2">
      <c r="A86" s="126" t="s">
        <v>243</v>
      </c>
      <c r="B86" s="34" t="s">
        <v>1619</v>
      </c>
      <c r="C86" s="24">
        <v>3.9</v>
      </c>
      <c r="D86" s="25"/>
    </row>
    <row r="87" spans="1:4" ht="13.5" customHeight="1" x14ac:dyDescent="0.2">
      <c r="A87" s="126" t="s">
        <v>243</v>
      </c>
      <c r="B87" s="34" t="s">
        <v>134</v>
      </c>
      <c r="C87" s="111">
        <v>119.9</v>
      </c>
      <c r="D87" s="116"/>
    </row>
    <row r="88" spans="1:4" ht="13.5" customHeight="1" x14ac:dyDescent="0.2">
      <c r="A88" s="126" t="s">
        <v>243</v>
      </c>
      <c r="B88" s="34" t="s">
        <v>1620</v>
      </c>
      <c r="C88" s="24">
        <v>1487</v>
      </c>
      <c r="D88" s="25"/>
    </row>
    <row r="89" spans="1:4" ht="13.5" customHeight="1" x14ac:dyDescent="0.2">
      <c r="A89" s="126" t="s">
        <v>243</v>
      </c>
      <c r="B89" s="237" t="s">
        <v>1632</v>
      </c>
      <c r="C89" s="111">
        <v>51.29</v>
      </c>
      <c r="D89" s="25"/>
    </row>
    <row r="90" spans="1:4" ht="13.5" customHeight="1" x14ac:dyDescent="0.2">
      <c r="A90" s="126" t="s">
        <v>243</v>
      </c>
      <c r="B90" s="237" t="s">
        <v>1644</v>
      </c>
      <c r="C90" s="67">
        <v>49.9</v>
      </c>
      <c r="D90" s="60"/>
    </row>
    <row r="91" spans="1:4" ht="13.5" customHeight="1" x14ac:dyDescent="0.2">
      <c r="A91" s="126" t="s">
        <v>243</v>
      </c>
      <c r="B91" s="34" t="s">
        <v>1631</v>
      </c>
      <c r="C91" s="111">
        <v>102.77</v>
      </c>
      <c r="D91" s="25"/>
    </row>
    <row r="92" spans="1:4" ht="13.5" customHeight="1" x14ac:dyDescent="0.2">
      <c r="A92" s="126" t="s">
        <v>243</v>
      </c>
      <c r="B92" s="34" t="s">
        <v>1631</v>
      </c>
      <c r="C92" s="111">
        <v>99.98</v>
      </c>
      <c r="D92" s="25"/>
    </row>
    <row r="93" spans="1:4" ht="13.5" customHeight="1" x14ac:dyDescent="0.2">
      <c r="A93" s="126" t="s">
        <v>243</v>
      </c>
      <c r="B93" s="21" t="s">
        <v>113</v>
      </c>
      <c r="C93" s="111">
        <v>267</v>
      </c>
      <c r="D93" s="25"/>
    </row>
    <row r="94" spans="1:4" ht="13.5" customHeight="1" x14ac:dyDescent="0.2">
      <c r="A94" s="126" t="s">
        <v>243</v>
      </c>
      <c r="B94" s="34" t="s">
        <v>1604</v>
      </c>
      <c r="C94" s="24">
        <v>30.7</v>
      </c>
      <c r="D94" s="25"/>
    </row>
    <row r="95" spans="1:4" ht="13.5" customHeight="1" x14ac:dyDescent="0.2">
      <c r="A95" s="126" t="s">
        <v>243</v>
      </c>
      <c r="B95" s="34" t="s">
        <v>1629</v>
      </c>
      <c r="C95" s="24">
        <v>2490</v>
      </c>
      <c r="D95" s="25"/>
    </row>
    <row r="96" spans="1:4" ht="13.5" customHeight="1" x14ac:dyDescent="0.2">
      <c r="A96" s="126" t="s">
        <v>243</v>
      </c>
      <c r="B96" s="34" t="s">
        <v>1741</v>
      </c>
      <c r="C96" s="111">
        <v>745</v>
      </c>
      <c r="D96" s="16"/>
    </row>
    <row r="97" spans="1:6" ht="13.5" customHeight="1" x14ac:dyDescent="0.2">
      <c r="A97" s="126" t="s">
        <v>243</v>
      </c>
      <c r="B97" s="34" t="s">
        <v>1666</v>
      </c>
      <c r="C97" s="24">
        <v>55.9</v>
      </c>
      <c r="D97" s="25"/>
    </row>
    <row r="98" spans="1:6" ht="13.5" customHeight="1" x14ac:dyDescent="0.2">
      <c r="A98" s="126" t="s">
        <v>243</v>
      </c>
      <c r="B98" s="34" t="s">
        <v>1658</v>
      </c>
      <c r="C98" s="24">
        <v>8.98</v>
      </c>
      <c r="D98" s="25"/>
    </row>
    <row r="99" spans="1:6" ht="13.5" customHeight="1" x14ac:dyDescent="0.2">
      <c r="A99" s="126" t="s">
        <v>243</v>
      </c>
      <c r="B99" s="34" t="s">
        <v>1775</v>
      </c>
      <c r="C99" s="267">
        <v>212.5</v>
      </c>
      <c r="D99" s="25"/>
      <c r="F99" s="64"/>
    </row>
    <row r="100" spans="1:6" ht="13.5" customHeight="1" x14ac:dyDescent="0.2">
      <c r="A100" s="244" t="s">
        <v>243</v>
      </c>
      <c r="B100" s="34" t="s">
        <v>1776</v>
      </c>
      <c r="C100" s="24">
        <v>900</v>
      </c>
      <c r="D100" s="25"/>
      <c r="E100" s="64"/>
    </row>
    <row r="101" spans="1:6" ht="13.5" customHeight="1" x14ac:dyDescent="0.2">
      <c r="A101" s="244"/>
      <c r="B101" s="34"/>
      <c r="C101" s="439">
        <f>SUM(C86:C100)</f>
        <v>6624.8199999999988</v>
      </c>
      <c r="D101" s="25">
        <f>C101/2</f>
        <v>3312.4099999999994</v>
      </c>
      <c r="E101" s="64"/>
    </row>
    <row r="102" spans="1:6" ht="13.5" customHeight="1" x14ac:dyDescent="0.2">
      <c r="A102" s="244"/>
      <c r="B102" s="34"/>
      <c r="C102" s="24"/>
      <c r="D102" s="25"/>
    </row>
    <row r="103" spans="1:6" ht="13.5" customHeight="1" x14ac:dyDescent="0.2">
      <c r="A103" s="126" t="s">
        <v>230</v>
      </c>
      <c r="B103" s="34" t="s">
        <v>382</v>
      </c>
      <c r="C103" s="438">
        <v>243.07</v>
      </c>
      <c r="D103" s="25">
        <f>C103*D115</f>
        <v>48.714209027324287</v>
      </c>
      <c r="E103" s="1" t="s">
        <v>1785</v>
      </c>
    </row>
    <row r="104" spans="1:6" ht="13.5" customHeight="1" x14ac:dyDescent="0.2">
      <c r="A104" s="126"/>
      <c r="B104" s="34"/>
      <c r="C104" s="111"/>
      <c r="D104" s="25">
        <f>C103-D103</f>
        <v>194.35579097267572</v>
      </c>
      <c r="E104" s="1" t="s">
        <v>540</v>
      </c>
    </row>
    <row r="105" spans="1:6" ht="13.5" customHeight="1" x14ac:dyDescent="0.2">
      <c r="A105" s="126"/>
      <c r="B105" s="34"/>
      <c r="C105" s="111"/>
      <c r="D105" s="25"/>
    </row>
    <row r="106" spans="1:6" ht="13.5" customHeight="1" x14ac:dyDescent="0.2">
      <c r="A106" s="64" t="s">
        <v>231</v>
      </c>
      <c r="B106" s="34" t="s">
        <v>198</v>
      </c>
      <c r="C106" s="438">
        <v>1320.97</v>
      </c>
      <c r="D106" s="16">
        <f>C106*D115</f>
        <v>264.73858846762073</v>
      </c>
      <c r="E106" s="1" t="s">
        <v>1785</v>
      </c>
    </row>
    <row r="107" spans="1:6" ht="13.5" customHeight="1" x14ac:dyDescent="0.2">
      <c r="A107" s="64"/>
      <c r="B107" s="34"/>
      <c r="C107" s="111"/>
      <c r="D107" s="16">
        <f>C106-D106</f>
        <v>1056.2314115323793</v>
      </c>
      <c r="E107" s="1" t="s">
        <v>540</v>
      </c>
    </row>
    <row r="108" spans="1:6" ht="13.5" customHeight="1" x14ac:dyDescent="0.2">
      <c r="A108" s="64"/>
      <c r="B108" s="34"/>
      <c r="C108" s="111"/>
      <c r="D108" s="16"/>
    </row>
    <row r="109" spans="1:6" ht="13.5" customHeight="1" x14ac:dyDescent="0.2">
      <c r="A109" s="126" t="s">
        <v>417</v>
      </c>
      <c r="B109" s="34" t="s">
        <v>1594</v>
      </c>
      <c r="C109" s="24">
        <v>300</v>
      </c>
      <c r="D109" s="25"/>
    </row>
    <row r="110" spans="1:6" ht="13.5" customHeight="1" x14ac:dyDescent="0.2">
      <c r="A110" s="126" t="s">
        <v>417</v>
      </c>
      <c r="B110" s="34" t="s">
        <v>1592</v>
      </c>
      <c r="C110" s="24">
        <v>650</v>
      </c>
      <c r="D110" s="25"/>
    </row>
    <row r="111" spans="1:6" ht="13.5" customHeight="1" x14ac:dyDescent="0.2">
      <c r="A111" s="126" t="s">
        <v>417</v>
      </c>
      <c r="B111" s="34" t="s">
        <v>1593</v>
      </c>
      <c r="C111" s="24">
        <v>140</v>
      </c>
      <c r="D111" s="25"/>
    </row>
    <row r="112" spans="1:6" ht="13.5" customHeight="1" x14ac:dyDescent="0.2">
      <c r="A112" s="126" t="s">
        <v>417</v>
      </c>
      <c r="B112" s="34" t="s">
        <v>1779</v>
      </c>
      <c r="C112" s="432">
        <f t="array" ref="C112">SUM(I116:I118/2)</f>
        <v>820.47499999999991</v>
      </c>
      <c r="D112" s="25"/>
    </row>
    <row r="113" spans="1:9" ht="13.5" customHeight="1" x14ac:dyDescent="0.2">
      <c r="A113" s="126"/>
      <c r="B113" s="34"/>
      <c r="C113" s="439">
        <f>SUM(C109:C112)</f>
        <v>1910.4749999999999</v>
      </c>
      <c r="D113" s="25"/>
    </row>
    <row r="114" spans="1:9" ht="13.5" customHeight="1" x14ac:dyDescent="0.2">
      <c r="A114" s="126"/>
      <c r="B114" s="34"/>
      <c r="C114" s="24"/>
      <c r="D114" s="25"/>
    </row>
    <row r="115" spans="1:9" ht="13.5" customHeight="1" x14ac:dyDescent="0.2">
      <c r="A115" s="126" t="s">
        <v>417</v>
      </c>
      <c r="B115" s="36" t="s">
        <v>1731</v>
      </c>
      <c r="C115" s="111">
        <v>793.85</v>
      </c>
      <c r="D115" s="441">
        <f>C113/(C136+C113)</f>
        <v>0.2004122640692981</v>
      </c>
    </row>
    <row r="116" spans="1:9" ht="13.5" customHeight="1" x14ac:dyDescent="0.2">
      <c r="A116" s="126" t="s">
        <v>417</v>
      </c>
      <c r="B116" s="36" t="s">
        <v>1733</v>
      </c>
      <c r="C116" s="111">
        <v>421.52</v>
      </c>
      <c r="D116" s="25"/>
      <c r="G116" s="126" t="s">
        <v>417</v>
      </c>
      <c r="H116" s="34" t="s">
        <v>1617</v>
      </c>
      <c r="I116" s="24">
        <v>25</v>
      </c>
    </row>
    <row r="117" spans="1:9" ht="13.5" customHeight="1" x14ac:dyDescent="0.2">
      <c r="A117" s="126" t="s">
        <v>417</v>
      </c>
      <c r="B117" s="36" t="s">
        <v>1687</v>
      </c>
      <c r="C117" s="24">
        <v>50</v>
      </c>
      <c r="D117" s="25"/>
      <c r="G117" s="126" t="s">
        <v>417</v>
      </c>
      <c r="H117" s="34" t="s">
        <v>173</v>
      </c>
      <c r="I117" s="111">
        <v>1007.27</v>
      </c>
    </row>
    <row r="118" spans="1:9" ht="13.5" customHeight="1" x14ac:dyDescent="0.2">
      <c r="A118" s="126" t="s">
        <v>417</v>
      </c>
      <c r="B118" s="36" t="s">
        <v>1679</v>
      </c>
      <c r="C118" s="24">
        <v>27.2</v>
      </c>
      <c r="D118" s="25"/>
      <c r="G118" s="126" t="s">
        <v>417</v>
      </c>
      <c r="H118" s="34" t="s">
        <v>172</v>
      </c>
      <c r="I118" s="111">
        <v>608.67999999999995</v>
      </c>
    </row>
    <row r="119" spans="1:9" ht="13.5" customHeight="1" x14ac:dyDescent="0.2">
      <c r="A119" s="126" t="s">
        <v>417</v>
      </c>
      <c r="B119" s="36" t="s">
        <v>1603</v>
      </c>
      <c r="C119" s="24">
        <v>14.4</v>
      </c>
      <c r="D119" s="25"/>
    </row>
    <row r="120" spans="1:9" ht="13.5" customHeight="1" x14ac:dyDescent="0.2">
      <c r="A120" s="126" t="s">
        <v>417</v>
      </c>
      <c r="B120" s="34" t="s">
        <v>1603</v>
      </c>
      <c r="C120" s="24">
        <v>34.799999999999997</v>
      </c>
      <c r="D120" s="25"/>
    </row>
    <row r="121" spans="1:9" ht="13.5" customHeight="1" x14ac:dyDescent="0.2">
      <c r="A121" s="126" t="s">
        <v>417</v>
      </c>
      <c r="B121" s="34" t="s">
        <v>1672</v>
      </c>
      <c r="C121" s="111">
        <v>600</v>
      </c>
      <c r="D121" s="25"/>
    </row>
    <row r="122" spans="1:9" ht="13.5" customHeight="1" x14ac:dyDescent="0.2">
      <c r="A122" s="126" t="s">
        <v>417</v>
      </c>
      <c r="B122" s="34" t="s">
        <v>318</v>
      </c>
      <c r="C122" s="24">
        <v>325</v>
      </c>
      <c r="D122" s="25"/>
    </row>
    <row r="123" spans="1:9" ht="13.5" customHeight="1" x14ac:dyDescent="0.2">
      <c r="A123" s="126" t="s">
        <v>417</v>
      </c>
      <c r="B123" s="34" t="s">
        <v>318</v>
      </c>
      <c r="C123" s="24">
        <v>325</v>
      </c>
      <c r="D123" s="25"/>
    </row>
    <row r="124" spans="1:9" ht="13.5" customHeight="1" x14ac:dyDescent="0.2">
      <c r="A124" s="126" t="s">
        <v>417</v>
      </c>
      <c r="B124" s="34" t="s">
        <v>318</v>
      </c>
      <c r="C124" s="24">
        <v>600</v>
      </c>
      <c r="D124" s="25"/>
    </row>
    <row r="125" spans="1:9" ht="13.5" customHeight="1" x14ac:dyDescent="0.2">
      <c r="A125" s="126" t="s">
        <v>417</v>
      </c>
      <c r="B125" s="34" t="s">
        <v>318</v>
      </c>
      <c r="C125" s="24">
        <v>650</v>
      </c>
      <c r="D125" s="25"/>
    </row>
    <row r="126" spans="1:9" ht="13.5" customHeight="1" x14ac:dyDescent="0.2">
      <c r="A126" s="126" t="s">
        <v>417</v>
      </c>
      <c r="B126" s="34" t="s">
        <v>1669</v>
      </c>
      <c r="C126" s="24">
        <v>300</v>
      </c>
      <c r="D126" s="25"/>
    </row>
    <row r="127" spans="1:9" ht="13.5" customHeight="1" x14ac:dyDescent="0.2">
      <c r="A127" s="126" t="s">
        <v>417</v>
      </c>
      <c r="B127" s="34" t="s">
        <v>52</v>
      </c>
      <c r="C127" s="24">
        <v>270</v>
      </c>
      <c r="D127" s="25"/>
    </row>
    <row r="128" spans="1:9" ht="13.5" customHeight="1" x14ac:dyDescent="0.2">
      <c r="A128" s="126" t="s">
        <v>417</v>
      </c>
      <c r="B128" s="34" t="s">
        <v>52</v>
      </c>
      <c r="C128" s="24">
        <v>360</v>
      </c>
      <c r="D128" s="25"/>
    </row>
    <row r="129" spans="1:4" ht="13.5" customHeight="1" x14ac:dyDescent="0.2">
      <c r="A129" s="126" t="s">
        <v>417</v>
      </c>
      <c r="B129" s="34" t="s">
        <v>52</v>
      </c>
      <c r="C129" s="24">
        <v>450</v>
      </c>
      <c r="D129" s="25"/>
    </row>
    <row r="130" spans="1:4" ht="13.5" customHeight="1" x14ac:dyDescent="0.2">
      <c r="A130" s="126" t="s">
        <v>417</v>
      </c>
      <c r="B130" s="34" t="s">
        <v>52</v>
      </c>
      <c r="C130" s="24">
        <v>450</v>
      </c>
      <c r="D130" s="25"/>
    </row>
    <row r="131" spans="1:4" ht="13.5" customHeight="1" x14ac:dyDescent="0.2">
      <c r="A131" s="126" t="s">
        <v>417</v>
      </c>
      <c r="B131" s="34" t="s">
        <v>52</v>
      </c>
      <c r="C131" s="24">
        <v>450</v>
      </c>
      <c r="D131" s="25"/>
    </row>
    <row r="132" spans="1:4" ht="13.5" customHeight="1" x14ac:dyDescent="0.2">
      <c r="A132" s="126" t="s">
        <v>417</v>
      </c>
      <c r="B132" s="34" t="s">
        <v>1303</v>
      </c>
      <c r="C132" s="24">
        <v>300</v>
      </c>
      <c r="D132" s="25"/>
    </row>
    <row r="133" spans="1:4" ht="13.5" customHeight="1" x14ac:dyDescent="0.2">
      <c r="A133" s="126" t="s">
        <v>417</v>
      </c>
      <c r="B133" s="34" t="s">
        <v>1656</v>
      </c>
      <c r="C133" s="24">
        <v>260</v>
      </c>
      <c r="D133" s="25"/>
    </row>
    <row r="134" spans="1:4" ht="13.5" customHeight="1" x14ac:dyDescent="0.2">
      <c r="A134" s="126" t="s">
        <v>417</v>
      </c>
      <c r="B134" s="34" t="s">
        <v>1655</v>
      </c>
      <c r="C134" s="24">
        <v>120</v>
      </c>
      <c r="D134" s="25"/>
    </row>
    <row r="135" spans="1:4" ht="13.5" customHeight="1" x14ac:dyDescent="0.2">
      <c r="A135" s="126" t="s">
        <v>417</v>
      </c>
      <c r="B135" s="34" t="s">
        <v>1780</v>
      </c>
      <c r="C135" s="432">
        <v>820.48</v>
      </c>
      <c r="D135" s="25"/>
    </row>
    <row r="136" spans="1:4" ht="13.5" customHeight="1" x14ac:dyDescent="0.2">
      <c r="A136" s="244"/>
      <c r="B136" s="34"/>
      <c r="C136" s="439">
        <f>SUM(C115:C135)</f>
        <v>7622.25</v>
      </c>
      <c r="D136" s="25"/>
    </row>
    <row r="137" spans="1:4" ht="13.5" customHeight="1" x14ac:dyDescent="0.2">
      <c r="A137" s="244"/>
      <c r="B137" s="34"/>
      <c r="C137" s="24"/>
      <c r="D137" s="25"/>
    </row>
    <row r="138" spans="1:4" ht="13.5" customHeight="1" x14ac:dyDescent="0.2">
      <c r="A138" s="126" t="s">
        <v>245</v>
      </c>
      <c r="B138" s="34" t="s">
        <v>1630</v>
      </c>
      <c r="C138" s="111">
        <v>89.9</v>
      </c>
      <c r="D138" s="25"/>
    </row>
    <row r="139" spans="1:4" ht="13.5" customHeight="1" x14ac:dyDescent="0.2">
      <c r="A139" s="126" t="s">
        <v>245</v>
      </c>
      <c r="B139" s="34" t="s">
        <v>1661</v>
      </c>
      <c r="C139" s="24">
        <v>10</v>
      </c>
      <c r="D139" s="25"/>
    </row>
    <row r="140" spans="1:4" ht="13.5" customHeight="1" x14ac:dyDescent="0.2">
      <c r="A140" s="126" t="s">
        <v>245</v>
      </c>
      <c r="B140" s="34" t="s">
        <v>1608</v>
      </c>
      <c r="C140" s="24">
        <v>7</v>
      </c>
      <c r="D140" s="25"/>
    </row>
    <row r="141" spans="1:4" ht="13.5" customHeight="1" x14ac:dyDescent="0.2">
      <c r="A141" s="126" t="s">
        <v>245</v>
      </c>
      <c r="B141" s="34" t="s">
        <v>1681</v>
      </c>
      <c r="C141" s="24">
        <v>15</v>
      </c>
      <c r="D141" s="25"/>
    </row>
    <row r="142" spans="1:4" ht="13.5" customHeight="1" x14ac:dyDescent="0.2">
      <c r="A142" s="126" t="s">
        <v>245</v>
      </c>
      <c r="B142" s="34" t="s">
        <v>1653</v>
      </c>
      <c r="C142" s="24">
        <v>22</v>
      </c>
      <c r="D142" s="25"/>
    </row>
    <row r="143" spans="1:4" ht="13.5" customHeight="1" x14ac:dyDescent="0.2">
      <c r="A143" s="126" t="s">
        <v>245</v>
      </c>
      <c r="B143" s="34" t="s">
        <v>1663</v>
      </c>
      <c r="C143" s="24">
        <v>16</v>
      </c>
      <c r="D143" s="25"/>
    </row>
    <row r="144" spans="1:4" ht="13.5" customHeight="1" x14ac:dyDescent="0.2">
      <c r="A144" s="126" t="s">
        <v>245</v>
      </c>
      <c r="B144" s="34" t="s">
        <v>1686</v>
      </c>
      <c r="C144" s="24">
        <v>72.97</v>
      </c>
      <c r="D144" s="25"/>
    </row>
    <row r="145" spans="1:9" ht="13.5" customHeight="1" x14ac:dyDescent="0.2">
      <c r="A145" s="126" t="s">
        <v>245</v>
      </c>
      <c r="B145" s="34" t="s">
        <v>1609</v>
      </c>
      <c r="C145" s="24">
        <v>18.899999999999999</v>
      </c>
      <c r="D145" s="25"/>
    </row>
    <row r="146" spans="1:9" ht="13.5" customHeight="1" x14ac:dyDescent="0.2">
      <c r="A146" s="126" t="s">
        <v>245</v>
      </c>
      <c r="B146" s="34" t="s">
        <v>1602</v>
      </c>
      <c r="C146" s="24">
        <v>4.5</v>
      </c>
      <c r="D146" s="25"/>
    </row>
    <row r="147" spans="1:9" ht="13.5" customHeight="1" x14ac:dyDescent="0.2">
      <c r="A147" s="126" t="s">
        <v>245</v>
      </c>
      <c r="B147" s="34" t="s">
        <v>1607</v>
      </c>
      <c r="C147" s="24">
        <v>40.950000000000003</v>
      </c>
      <c r="D147" s="25"/>
    </row>
    <row r="148" spans="1:9" ht="13.5" customHeight="1" x14ac:dyDescent="0.2">
      <c r="A148" s="126" t="s">
        <v>245</v>
      </c>
      <c r="B148" s="34" t="s">
        <v>1611</v>
      </c>
      <c r="C148" s="24">
        <v>27.5</v>
      </c>
      <c r="D148" s="25"/>
    </row>
    <row r="149" spans="1:9" ht="13.5" customHeight="1" x14ac:dyDescent="0.2">
      <c r="A149" s="126" t="s">
        <v>245</v>
      </c>
      <c r="B149" s="34" t="s">
        <v>1675</v>
      </c>
      <c r="C149" s="24">
        <v>8.1</v>
      </c>
      <c r="D149" s="25"/>
    </row>
    <row r="150" spans="1:9" ht="13.5" customHeight="1" x14ac:dyDescent="0.2">
      <c r="A150" s="126" t="s">
        <v>245</v>
      </c>
      <c r="B150" s="34" t="s">
        <v>1676</v>
      </c>
      <c r="C150" s="24">
        <v>8</v>
      </c>
      <c r="D150" s="25"/>
    </row>
    <row r="151" spans="1:9" ht="13.5" customHeight="1" x14ac:dyDescent="0.2">
      <c r="A151" s="126" t="s">
        <v>245</v>
      </c>
      <c r="B151" s="34" t="s">
        <v>1605</v>
      </c>
      <c r="C151" s="24">
        <v>8</v>
      </c>
      <c r="D151" s="25"/>
    </row>
    <row r="152" spans="1:9" ht="13.5" customHeight="1" x14ac:dyDescent="0.2">
      <c r="A152" s="126" t="s">
        <v>245</v>
      </c>
      <c r="B152" s="34" t="s">
        <v>1610</v>
      </c>
      <c r="C152" s="24">
        <v>10</v>
      </c>
      <c r="D152" s="25"/>
    </row>
    <row r="153" spans="1:9" ht="13.5" customHeight="1" x14ac:dyDescent="0.2">
      <c r="A153" s="126" t="s">
        <v>245</v>
      </c>
      <c r="B153" s="34" t="s">
        <v>1651</v>
      </c>
      <c r="C153" s="24">
        <v>14</v>
      </c>
      <c r="D153" s="25"/>
    </row>
    <row r="154" spans="1:9" ht="13.5" customHeight="1" x14ac:dyDescent="0.2">
      <c r="A154" s="126" t="s">
        <v>245</v>
      </c>
      <c r="B154" s="34" t="s">
        <v>1694</v>
      </c>
      <c r="C154" s="111">
        <v>1000</v>
      </c>
      <c r="D154" s="25"/>
      <c r="G154" s="126" t="s">
        <v>245</v>
      </c>
      <c r="H154" s="36" t="s">
        <v>1758</v>
      </c>
      <c r="I154" s="68">
        <v>36</v>
      </c>
    </row>
    <row r="155" spans="1:9" ht="13.5" customHeight="1" x14ac:dyDescent="0.2">
      <c r="A155" s="126" t="s">
        <v>245</v>
      </c>
      <c r="B155" s="34" t="s">
        <v>1747</v>
      </c>
      <c r="C155" s="111">
        <v>97.68</v>
      </c>
      <c r="D155" s="16"/>
      <c r="G155" s="126" t="s">
        <v>245</v>
      </c>
      <c r="H155" s="36" t="s">
        <v>1771</v>
      </c>
      <c r="I155" s="68">
        <v>11</v>
      </c>
    </row>
    <row r="156" spans="1:9" ht="13.5" customHeight="1" x14ac:dyDescent="0.2">
      <c r="A156" s="126" t="s">
        <v>245</v>
      </c>
      <c r="B156" s="34" t="s">
        <v>1721</v>
      </c>
      <c r="C156" s="111">
        <v>277.2</v>
      </c>
      <c r="D156" s="25"/>
      <c r="G156" s="126" t="s">
        <v>245</v>
      </c>
      <c r="H156" s="36" t="s">
        <v>1618</v>
      </c>
      <c r="I156" s="119">
        <v>16.2</v>
      </c>
    </row>
    <row r="157" spans="1:9" ht="13.5" customHeight="1" x14ac:dyDescent="0.2">
      <c r="A157" s="126" t="s">
        <v>245</v>
      </c>
      <c r="B157" s="34" t="s">
        <v>1726</v>
      </c>
      <c r="C157" s="54">
        <v>86.04</v>
      </c>
      <c r="D157" s="235"/>
      <c r="G157" s="126" t="s">
        <v>245</v>
      </c>
      <c r="H157" s="36" t="s">
        <v>1711</v>
      </c>
      <c r="I157" s="179">
        <v>150.65</v>
      </c>
    </row>
    <row r="158" spans="1:9" ht="13.5" customHeight="1" x14ac:dyDescent="0.2">
      <c r="A158" s="126" t="s">
        <v>245</v>
      </c>
      <c r="B158" s="36" t="s">
        <v>1718</v>
      </c>
      <c r="C158" s="179">
        <v>159</v>
      </c>
      <c r="D158" s="60"/>
      <c r="G158" s="126" t="s">
        <v>245</v>
      </c>
      <c r="H158" s="36" t="s">
        <v>1749</v>
      </c>
      <c r="I158" s="179">
        <v>585.78</v>
      </c>
    </row>
    <row r="159" spans="1:9" ht="13.5" customHeight="1" x14ac:dyDescent="0.2">
      <c r="A159" s="126" t="s">
        <v>245</v>
      </c>
      <c r="B159" s="36" t="s">
        <v>1768</v>
      </c>
      <c r="C159" s="68">
        <v>18</v>
      </c>
      <c r="D159" s="69"/>
      <c r="G159" s="126" t="s">
        <v>245</v>
      </c>
      <c r="H159" s="36" t="s">
        <v>1703</v>
      </c>
      <c r="I159" s="179">
        <v>359.83</v>
      </c>
    </row>
    <row r="160" spans="1:9" ht="13.5" customHeight="1" x14ac:dyDescent="0.2">
      <c r="A160" s="126" t="s">
        <v>245</v>
      </c>
      <c r="B160" s="36" t="s">
        <v>1781</v>
      </c>
      <c r="C160" s="435">
        <f t="array" ref="C160">SUM(I154:I160/2)</f>
        <v>582.23</v>
      </c>
      <c r="D160" s="69"/>
      <c r="G160" s="126" t="s">
        <v>245</v>
      </c>
      <c r="H160" s="36" t="s">
        <v>1769</v>
      </c>
      <c r="I160" s="68">
        <v>5</v>
      </c>
    </row>
    <row r="161" spans="1:9" ht="13.5" customHeight="1" x14ac:dyDescent="0.2">
      <c r="A161" s="126"/>
      <c r="B161" s="36"/>
      <c r="C161" s="440">
        <f>SUM(C138:C160)</f>
        <v>2592.9700000000003</v>
      </c>
      <c r="D161" s="69"/>
      <c r="G161" s="126"/>
      <c r="H161" s="395"/>
      <c r="I161" s="434"/>
    </row>
    <row r="162" spans="1:9" ht="13.5" customHeight="1" x14ac:dyDescent="0.2">
      <c r="A162" s="126"/>
      <c r="B162" s="36"/>
      <c r="C162" s="68"/>
      <c r="D162" s="69"/>
      <c r="G162" s="126"/>
      <c r="H162" s="395"/>
      <c r="I162" s="434"/>
    </row>
    <row r="163" spans="1:9" ht="13.5" customHeight="1" x14ac:dyDescent="0.2">
      <c r="A163" s="126" t="s">
        <v>245</v>
      </c>
      <c r="B163" s="36" t="s">
        <v>1662</v>
      </c>
      <c r="C163" s="119">
        <v>7.5</v>
      </c>
      <c r="D163" s="60"/>
      <c r="G163" s="126"/>
      <c r="H163" s="395"/>
      <c r="I163" s="434"/>
    </row>
    <row r="164" spans="1:9" ht="13.5" customHeight="1" x14ac:dyDescent="0.2">
      <c r="A164" s="126" t="s">
        <v>245</v>
      </c>
      <c r="B164" s="36" t="s">
        <v>1435</v>
      </c>
      <c r="C164" s="119">
        <v>15.86</v>
      </c>
      <c r="D164" s="60"/>
    </row>
    <row r="165" spans="1:9" ht="13.5" customHeight="1" x14ac:dyDescent="0.2">
      <c r="A165" s="126" t="s">
        <v>245</v>
      </c>
      <c r="B165" s="36" t="s">
        <v>1613</v>
      </c>
      <c r="C165" s="119">
        <v>29</v>
      </c>
      <c r="D165" s="60"/>
    </row>
    <row r="166" spans="1:9" ht="13.5" customHeight="1" x14ac:dyDescent="0.2">
      <c r="A166" s="126" t="s">
        <v>245</v>
      </c>
      <c r="B166" s="36" t="s">
        <v>1612</v>
      </c>
      <c r="C166" s="119">
        <v>12.5</v>
      </c>
      <c r="D166" s="60"/>
    </row>
    <row r="167" spans="1:9" ht="13.5" customHeight="1" x14ac:dyDescent="0.2">
      <c r="A167" s="126" t="s">
        <v>245</v>
      </c>
      <c r="B167" s="36" t="s">
        <v>1652</v>
      </c>
      <c r="C167" s="119">
        <v>55</v>
      </c>
      <c r="D167" s="60"/>
    </row>
    <row r="168" spans="1:9" ht="13.5" customHeight="1" x14ac:dyDescent="0.2">
      <c r="A168" s="126" t="s">
        <v>245</v>
      </c>
      <c r="B168" s="36" t="s">
        <v>1665</v>
      </c>
      <c r="C168" s="119">
        <v>13.5</v>
      </c>
      <c r="D168" s="60"/>
    </row>
    <row r="169" spans="1:9" ht="13.5" customHeight="1" x14ac:dyDescent="0.2">
      <c r="A169" s="126" t="s">
        <v>245</v>
      </c>
      <c r="B169" s="36" t="s">
        <v>1606</v>
      </c>
      <c r="C169" s="119">
        <v>18.72</v>
      </c>
      <c r="D169" s="60"/>
    </row>
    <row r="170" spans="1:9" ht="13.5" customHeight="1" x14ac:dyDescent="0.2">
      <c r="A170" s="126" t="s">
        <v>245</v>
      </c>
      <c r="B170" s="36" t="s">
        <v>1678</v>
      </c>
      <c r="C170" s="119">
        <v>148</v>
      </c>
      <c r="D170" s="60"/>
    </row>
    <row r="171" spans="1:9" ht="13.5" customHeight="1" x14ac:dyDescent="0.2">
      <c r="A171" s="126" t="s">
        <v>245</v>
      </c>
      <c r="B171" s="36" t="s">
        <v>1664</v>
      </c>
      <c r="C171" s="119">
        <v>5</v>
      </c>
      <c r="D171" s="60"/>
    </row>
    <row r="172" spans="1:9" ht="13.5" customHeight="1" x14ac:dyDescent="0.2">
      <c r="A172" s="126" t="s">
        <v>245</v>
      </c>
      <c r="B172" s="36" t="s">
        <v>1680</v>
      </c>
      <c r="C172" s="119">
        <v>5.3</v>
      </c>
      <c r="D172" s="60"/>
    </row>
    <row r="173" spans="1:9" ht="13.5" customHeight="1" x14ac:dyDescent="0.2">
      <c r="A173" s="126" t="s">
        <v>245</v>
      </c>
      <c r="B173" s="36" t="s">
        <v>1668</v>
      </c>
      <c r="C173" s="119">
        <v>3</v>
      </c>
      <c r="D173" s="60"/>
    </row>
    <row r="174" spans="1:9" ht="13.5" customHeight="1" x14ac:dyDescent="0.2">
      <c r="A174" s="126" t="s">
        <v>245</v>
      </c>
      <c r="B174" s="36" t="s">
        <v>1677</v>
      </c>
      <c r="C174" s="119">
        <v>26.8</v>
      </c>
      <c r="D174" s="60"/>
    </row>
    <row r="175" spans="1:9" ht="13.5" customHeight="1" x14ac:dyDescent="0.2">
      <c r="A175" s="126" t="s">
        <v>245</v>
      </c>
      <c r="B175" s="36" t="s">
        <v>1659</v>
      </c>
      <c r="C175" s="119">
        <v>4.9000000000000004</v>
      </c>
      <c r="D175" s="60"/>
    </row>
    <row r="176" spans="1:9" ht="13.5" customHeight="1" x14ac:dyDescent="0.2">
      <c r="A176" s="126" t="s">
        <v>245</v>
      </c>
      <c r="B176" s="36" t="s">
        <v>1660</v>
      </c>
      <c r="C176" s="119">
        <v>23.5</v>
      </c>
      <c r="D176" s="60"/>
    </row>
    <row r="177" spans="1:4" ht="13.5" customHeight="1" x14ac:dyDescent="0.2">
      <c r="A177" s="126" t="s">
        <v>245</v>
      </c>
      <c r="B177" s="36" t="s">
        <v>1628</v>
      </c>
      <c r="C177" s="119">
        <v>3</v>
      </c>
      <c r="D177" s="60"/>
    </row>
    <row r="178" spans="1:4" ht="13.5" customHeight="1" x14ac:dyDescent="0.2">
      <c r="A178" s="126" t="s">
        <v>245</v>
      </c>
      <c r="B178" s="36" t="s">
        <v>1765</v>
      </c>
      <c r="C178" s="68">
        <v>35.799999999999997</v>
      </c>
      <c r="D178" s="60"/>
    </row>
    <row r="179" spans="1:4" ht="13.5" customHeight="1" x14ac:dyDescent="0.2">
      <c r="A179" s="126" t="s">
        <v>245</v>
      </c>
      <c r="B179" s="36" t="s">
        <v>1707</v>
      </c>
      <c r="C179" s="179">
        <v>130</v>
      </c>
      <c r="D179" s="60"/>
    </row>
    <row r="180" spans="1:4" ht="13.5" customHeight="1" x14ac:dyDescent="0.2">
      <c r="A180" s="126" t="s">
        <v>245</v>
      </c>
      <c r="B180" s="36" t="s">
        <v>1764</v>
      </c>
      <c r="C180" s="68">
        <v>23.74</v>
      </c>
      <c r="D180" s="60"/>
    </row>
    <row r="181" spans="1:4" ht="13.5" customHeight="1" x14ac:dyDescent="0.2">
      <c r="A181" s="126" t="s">
        <v>245</v>
      </c>
      <c r="B181" s="36" t="s">
        <v>1773</v>
      </c>
      <c r="C181" s="68">
        <v>100</v>
      </c>
      <c r="D181" s="69"/>
    </row>
    <row r="182" spans="1:4" ht="13.5" customHeight="1" x14ac:dyDescent="0.2">
      <c r="A182" s="126" t="s">
        <v>245</v>
      </c>
      <c r="B182" s="36" t="s">
        <v>1759</v>
      </c>
      <c r="C182" s="59">
        <v>15</v>
      </c>
      <c r="D182" s="60"/>
    </row>
    <row r="183" spans="1:4" ht="13.5" customHeight="1" x14ac:dyDescent="0.2">
      <c r="A183" s="126" t="s">
        <v>245</v>
      </c>
      <c r="B183" s="36" t="s">
        <v>1616</v>
      </c>
      <c r="C183" s="179">
        <v>294.27</v>
      </c>
      <c r="D183" s="60"/>
    </row>
    <row r="184" spans="1:4" ht="13.5" customHeight="1" x14ac:dyDescent="0.2">
      <c r="A184" s="126" t="s">
        <v>245</v>
      </c>
      <c r="B184" s="36" t="s">
        <v>1760</v>
      </c>
      <c r="C184" s="59">
        <v>630</v>
      </c>
      <c r="D184" s="60"/>
    </row>
    <row r="185" spans="1:4" ht="13.5" customHeight="1" x14ac:dyDescent="0.2">
      <c r="A185" s="126" t="s">
        <v>245</v>
      </c>
      <c r="B185" s="36" t="s">
        <v>1782</v>
      </c>
      <c r="C185" s="436">
        <v>582.23</v>
      </c>
      <c r="D185" s="60"/>
    </row>
    <row r="186" spans="1:4" ht="13.5" customHeight="1" x14ac:dyDescent="0.2">
      <c r="A186" s="244"/>
      <c r="B186" s="36"/>
      <c r="C186" s="440">
        <f>SUM(C163:C185)</f>
        <v>2182.62</v>
      </c>
      <c r="D186" s="60"/>
    </row>
    <row r="187" spans="1:4" ht="13.5" customHeight="1" x14ac:dyDescent="0.2">
      <c r="A187" s="244"/>
      <c r="B187" s="36"/>
      <c r="C187" s="59"/>
      <c r="D187" s="60"/>
    </row>
    <row r="188" spans="1:4" ht="13.5" customHeight="1" x14ac:dyDescent="0.2">
      <c r="A188" s="126" t="s">
        <v>246</v>
      </c>
      <c r="B188" s="36" t="s">
        <v>195</v>
      </c>
      <c r="C188" s="179">
        <v>381.94</v>
      </c>
      <c r="D188" s="57"/>
    </row>
    <row r="189" spans="1:4" ht="13.5" customHeight="1" x14ac:dyDescent="0.2">
      <c r="A189" s="126" t="s">
        <v>246</v>
      </c>
      <c r="B189" s="36" t="s">
        <v>194</v>
      </c>
      <c r="C189" s="179">
        <v>82.75</v>
      </c>
      <c r="D189" s="57"/>
    </row>
    <row r="190" spans="1:4" ht="13.5" customHeight="1" x14ac:dyDescent="0.2">
      <c r="A190" s="244"/>
      <c r="B190" s="36"/>
      <c r="C190" s="440">
        <f>SUM(C188:C189)</f>
        <v>464.69</v>
      </c>
      <c r="D190" s="57"/>
    </row>
    <row r="191" spans="1:4" ht="13.5" customHeight="1" x14ac:dyDescent="0.2">
      <c r="A191" s="244"/>
      <c r="B191" s="36"/>
      <c r="C191" s="179"/>
      <c r="D191" s="57"/>
    </row>
    <row r="192" spans="1:4" ht="13.5" customHeight="1" x14ac:dyDescent="0.2">
      <c r="A192" s="126" t="s">
        <v>248</v>
      </c>
      <c r="B192" s="36" t="s">
        <v>1766</v>
      </c>
      <c r="C192" s="119">
        <v>-3000</v>
      </c>
      <c r="D192" s="60"/>
    </row>
    <row r="193" spans="1:10" ht="13.5" customHeight="1" x14ac:dyDescent="0.2">
      <c r="A193" s="126" t="s">
        <v>248</v>
      </c>
      <c r="B193" s="36" t="s">
        <v>130</v>
      </c>
      <c r="C193" s="179">
        <v>219.24</v>
      </c>
      <c r="D193" s="60"/>
    </row>
    <row r="194" spans="1:10" ht="13.5" customHeight="1" x14ac:dyDescent="0.2">
      <c r="A194" s="126" t="s">
        <v>248</v>
      </c>
      <c r="B194" s="36" t="s">
        <v>53</v>
      </c>
      <c r="C194" s="179">
        <v>532.21</v>
      </c>
      <c r="D194" s="60"/>
    </row>
    <row r="195" spans="1:10" ht="13.5" customHeight="1" x14ac:dyDescent="0.2">
      <c r="A195" s="126" t="s">
        <v>248</v>
      </c>
      <c r="B195" s="36" t="s">
        <v>211</v>
      </c>
      <c r="C195" s="68">
        <v>0</v>
      </c>
      <c r="D195" s="60"/>
    </row>
    <row r="196" spans="1:10" ht="13.5" customHeight="1" x14ac:dyDescent="0.2">
      <c r="A196" s="126" t="s">
        <v>248</v>
      </c>
      <c r="B196" s="36" t="s">
        <v>1697</v>
      </c>
      <c r="C196" s="179">
        <v>84.58</v>
      </c>
      <c r="D196" s="60"/>
      <c r="G196" s="64"/>
      <c r="H196" s="64"/>
      <c r="I196" s="64"/>
      <c r="J196" s="64"/>
    </row>
    <row r="197" spans="1:10" s="64" customFormat="1" ht="13.5" customHeight="1" x14ac:dyDescent="0.2">
      <c r="A197" s="126" t="s">
        <v>248</v>
      </c>
      <c r="B197" s="36" t="s">
        <v>1696</v>
      </c>
      <c r="C197" s="179">
        <v>84.58</v>
      </c>
      <c r="D197" s="60"/>
      <c r="E197" s="1"/>
      <c r="F197" s="1"/>
    </row>
    <row r="198" spans="1:10" s="64" customFormat="1" ht="13.5" customHeight="1" x14ac:dyDescent="0.2">
      <c r="A198" s="126" t="s">
        <v>248</v>
      </c>
      <c r="B198" s="36" t="s">
        <v>1698</v>
      </c>
      <c r="C198" s="179">
        <v>16.77</v>
      </c>
      <c r="D198" s="60"/>
      <c r="E198" s="1"/>
      <c r="F198" s="1"/>
    </row>
    <row r="199" spans="1:10" s="64" customFormat="1" ht="13.5" customHeight="1" x14ac:dyDescent="0.2">
      <c r="A199" s="126" t="s">
        <v>248</v>
      </c>
      <c r="B199" s="36" t="s">
        <v>1700</v>
      </c>
      <c r="C199" s="179">
        <v>102.41</v>
      </c>
      <c r="D199" s="60"/>
      <c r="E199" s="1"/>
      <c r="F199" s="1"/>
    </row>
    <row r="200" spans="1:10" s="64" customFormat="1" ht="13.5" customHeight="1" x14ac:dyDescent="0.2">
      <c r="A200" s="126" t="s">
        <v>248</v>
      </c>
      <c r="B200" s="36" t="s">
        <v>1699</v>
      </c>
      <c r="C200" s="179">
        <v>102.41</v>
      </c>
      <c r="D200" s="60"/>
      <c r="E200" s="1"/>
      <c r="F200" s="1"/>
    </row>
    <row r="201" spans="1:10" s="64" customFormat="1" ht="13.5" customHeight="1" x14ac:dyDescent="0.2">
      <c r="A201" s="126" t="s">
        <v>248</v>
      </c>
      <c r="B201" s="36" t="s">
        <v>1701</v>
      </c>
      <c r="C201" s="179">
        <v>102.41</v>
      </c>
      <c r="D201" s="60"/>
      <c r="E201" s="1"/>
      <c r="F201" s="1"/>
    </row>
    <row r="202" spans="1:10" s="64" customFormat="1" ht="13.5" customHeight="1" x14ac:dyDescent="0.2">
      <c r="A202" s="126" t="s">
        <v>248</v>
      </c>
      <c r="B202" s="36" t="s">
        <v>136</v>
      </c>
      <c r="C202" s="179">
        <v>37.9</v>
      </c>
      <c r="D202" s="60"/>
      <c r="E202" s="1"/>
      <c r="F202" s="1"/>
    </row>
    <row r="203" spans="1:10" s="64" customFormat="1" ht="13.5" customHeight="1" x14ac:dyDescent="0.2">
      <c r="A203" s="126" t="s">
        <v>248</v>
      </c>
      <c r="B203" s="36" t="s">
        <v>1689</v>
      </c>
      <c r="C203" s="179">
        <v>450</v>
      </c>
      <c r="D203" s="60"/>
      <c r="E203" s="1"/>
      <c r="F203" s="1"/>
    </row>
    <row r="204" spans="1:10" s="64" customFormat="1" ht="13.5" customHeight="1" x14ac:dyDescent="0.2">
      <c r="A204" s="126" t="s">
        <v>248</v>
      </c>
      <c r="B204" s="36" t="s">
        <v>82</v>
      </c>
      <c r="C204" s="179">
        <v>811.99</v>
      </c>
      <c r="D204" s="60"/>
      <c r="E204" s="1"/>
      <c r="F204" s="1"/>
    </row>
    <row r="205" spans="1:10" s="64" customFormat="1" ht="13.5" customHeight="1" x14ac:dyDescent="0.2">
      <c r="A205" s="126" t="s">
        <v>248</v>
      </c>
      <c r="B205" s="34" t="s">
        <v>18</v>
      </c>
      <c r="C205" s="179">
        <v>358.38</v>
      </c>
      <c r="D205" s="71"/>
      <c r="E205" s="1"/>
      <c r="F205" s="1"/>
    </row>
    <row r="206" spans="1:10" s="64" customFormat="1" ht="13.5" customHeight="1" x14ac:dyDescent="0.2">
      <c r="A206" s="126"/>
      <c r="B206" s="34"/>
      <c r="C206" s="440">
        <f>SUM(C192:C205)</f>
        <v>-97.12</v>
      </c>
      <c r="D206" s="71"/>
      <c r="E206" s="1"/>
      <c r="F206" s="1"/>
    </row>
    <row r="207" spans="1:10" s="64" customFormat="1" ht="13.5" customHeight="1" x14ac:dyDescent="0.2">
      <c r="A207" s="126"/>
      <c r="B207" s="34"/>
      <c r="C207" s="179"/>
      <c r="D207" s="71"/>
      <c r="E207" s="1"/>
      <c r="F207" s="1"/>
    </row>
    <row r="208" spans="1:10" s="64" customFormat="1" ht="13.5" customHeight="1" x14ac:dyDescent="0.2">
      <c r="A208" s="126" t="s">
        <v>248</v>
      </c>
      <c r="B208" s="34" t="s">
        <v>1553</v>
      </c>
      <c r="C208" s="68">
        <v>2000</v>
      </c>
      <c r="D208" s="68"/>
      <c r="E208" s="1"/>
      <c r="F208" s="1"/>
    </row>
    <row r="209" spans="1:10" s="64" customFormat="1" ht="13.5" customHeight="1" x14ac:dyDescent="0.2">
      <c r="A209" s="126" t="s">
        <v>248</v>
      </c>
      <c r="B209" s="34" t="s">
        <v>1553</v>
      </c>
      <c r="C209" s="68">
        <v>3000</v>
      </c>
      <c r="D209" s="71"/>
      <c r="E209" s="1"/>
      <c r="F209" s="1"/>
    </row>
    <row r="210" spans="1:10" s="64" customFormat="1" ht="13.5" customHeight="1" x14ac:dyDescent="0.2">
      <c r="A210" s="126"/>
      <c r="B210" s="34"/>
      <c r="C210" s="440">
        <f>SUM(C208:C209)</f>
        <v>5000</v>
      </c>
      <c r="D210" s="71"/>
      <c r="E210" s="1"/>
      <c r="F210" s="1"/>
    </row>
    <row r="211" spans="1:10" s="64" customFormat="1" ht="13.5" customHeight="1" x14ac:dyDescent="0.2">
      <c r="A211" s="126"/>
      <c r="B211" s="34"/>
      <c r="C211" s="68"/>
      <c r="D211" s="71"/>
      <c r="E211" s="1"/>
      <c r="F211" s="1"/>
    </row>
    <row r="212" spans="1:10" s="64" customFormat="1" ht="13.5" customHeight="1" x14ac:dyDescent="0.2">
      <c r="A212" s="126" t="s">
        <v>250</v>
      </c>
      <c r="B212" s="34" t="s">
        <v>20</v>
      </c>
      <c r="C212" s="119">
        <v>-0.01</v>
      </c>
      <c r="D212" s="71"/>
      <c r="E212" s="1"/>
      <c r="F212" s="1"/>
    </row>
    <row r="213" spans="1:10" s="64" customFormat="1" ht="13.5" customHeight="1" x14ac:dyDescent="0.2">
      <c r="A213" s="126" t="s">
        <v>250</v>
      </c>
      <c r="B213" s="34" t="s">
        <v>20</v>
      </c>
      <c r="C213" s="119">
        <v>-0.01</v>
      </c>
      <c r="D213" s="71"/>
      <c r="E213" s="1"/>
      <c r="F213" s="1"/>
    </row>
    <row r="214" spans="1:10" s="64" customFormat="1" ht="13.5" customHeight="1" x14ac:dyDescent="0.2">
      <c r="A214" s="126" t="s">
        <v>250</v>
      </c>
      <c r="B214" s="34" t="s">
        <v>20</v>
      </c>
      <c r="C214" s="119">
        <v>-0.01</v>
      </c>
      <c r="D214" s="71"/>
      <c r="E214" s="1"/>
      <c r="F214" s="1"/>
      <c r="G214" s="1"/>
      <c r="H214" s="1"/>
      <c r="I214" s="1"/>
      <c r="J214" s="1"/>
    </row>
    <row r="215" spans="1:10" ht="13.5" customHeight="1" x14ac:dyDescent="0.2">
      <c r="A215" s="126" t="s">
        <v>250</v>
      </c>
      <c r="B215" s="34" t="s">
        <v>20</v>
      </c>
      <c r="C215" s="119">
        <v>-0.01</v>
      </c>
      <c r="D215" s="71"/>
    </row>
    <row r="216" spans="1:10" ht="13.5" customHeight="1" x14ac:dyDescent="0.2">
      <c r="A216" s="126" t="s">
        <v>250</v>
      </c>
      <c r="B216" s="34" t="s">
        <v>20</v>
      </c>
      <c r="C216" s="119">
        <v>-0.02</v>
      </c>
      <c r="D216" s="71"/>
    </row>
    <row r="217" spans="1:10" ht="13.5" customHeight="1" x14ac:dyDescent="0.2">
      <c r="A217" s="126" t="s">
        <v>250</v>
      </c>
      <c r="B217" s="34" t="s">
        <v>20</v>
      </c>
      <c r="C217" s="119">
        <v>-0.03</v>
      </c>
      <c r="D217" s="71"/>
      <c r="G217" s="64"/>
      <c r="H217" s="64"/>
      <c r="I217" s="64"/>
      <c r="J217" s="64"/>
    </row>
    <row r="218" spans="1:10" s="64" customFormat="1" ht="13.5" customHeight="1" x14ac:dyDescent="0.2">
      <c r="A218" s="126" t="s">
        <v>250</v>
      </c>
      <c r="B218" s="34" t="s">
        <v>20</v>
      </c>
      <c r="C218" s="119">
        <v>-0.04</v>
      </c>
      <c r="D218" s="71"/>
      <c r="E218" s="1"/>
      <c r="F218" s="1"/>
    </row>
    <row r="219" spans="1:10" ht="13.5" customHeight="1" x14ac:dyDescent="0.2">
      <c r="A219" s="126" t="s">
        <v>250</v>
      </c>
      <c r="B219" s="34" t="s">
        <v>86</v>
      </c>
      <c r="C219" s="179">
        <v>85</v>
      </c>
      <c r="D219" s="122"/>
    </row>
    <row r="220" spans="1:10" ht="13.5" customHeight="1" x14ac:dyDescent="0.2">
      <c r="A220" s="126" t="s">
        <v>250</v>
      </c>
      <c r="B220" s="34" t="s">
        <v>86</v>
      </c>
      <c r="C220" s="179">
        <v>72.900000000000006</v>
      </c>
      <c r="D220" s="71"/>
    </row>
    <row r="221" spans="1:10" ht="13.5" customHeight="1" x14ac:dyDescent="0.2">
      <c r="A221" s="126" t="s">
        <v>250</v>
      </c>
      <c r="B221" s="34" t="s">
        <v>86</v>
      </c>
      <c r="C221" s="179">
        <v>12.5</v>
      </c>
      <c r="D221" s="122"/>
      <c r="F221" s="64"/>
    </row>
    <row r="222" spans="1:10" ht="13.5" customHeight="1" x14ac:dyDescent="0.2">
      <c r="A222" s="126" t="s">
        <v>250</v>
      </c>
      <c r="B222" s="34" t="s">
        <v>86</v>
      </c>
      <c r="C222" s="179">
        <v>10.1</v>
      </c>
      <c r="D222" s="71"/>
      <c r="E222" s="64"/>
      <c r="F222" s="64"/>
    </row>
    <row r="223" spans="1:10" ht="13.5" customHeight="1" x14ac:dyDescent="0.2">
      <c r="A223" s="126"/>
      <c r="B223" s="34"/>
      <c r="C223" s="440">
        <f>SUM(C212:C222)</f>
        <v>180.37</v>
      </c>
      <c r="D223" s="71">
        <f>SUM(C223/2)</f>
        <v>90.185000000000002</v>
      </c>
      <c r="E223" s="64"/>
      <c r="F223" s="64"/>
    </row>
    <row r="224" spans="1:10" ht="13.5" customHeight="1" x14ac:dyDescent="0.2">
      <c r="A224" s="126"/>
      <c r="B224" s="34"/>
      <c r="C224" s="179"/>
      <c r="D224" s="71"/>
      <c r="E224" s="64"/>
      <c r="F224" s="64"/>
    </row>
    <row r="225" spans="1:8" ht="13.5" customHeight="1" x14ac:dyDescent="0.2">
      <c r="A225" s="126"/>
      <c r="B225" s="34"/>
      <c r="C225" s="179"/>
      <c r="D225" s="71"/>
      <c r="E225" s="64"/>
      <c r="F225" s="64"/>
    </row>
    <row r="226" spans="1:8" ht="13.5" customHeight="1" x14ac:dyDescent="0.2">
      <c r="A226" s="126" t="s">
        <v>251</v>
      </c>
      <c r="B226" s="237" t="s">
        <v>1590</v>
      </c>
      <c r="C226" s="179">
        <v>301.54000000000002</v>
      </c>
      <c r="D226" s="71"/>
      <c r="E226" s="64"/>
      <c r="F226" s="64"/>
    </row>
    <row r="227" spans="1:8" ht="13.5" customHeight="1" x14ac:dyDescent="0.2">
      <c r="A227" s="126" t="s">
        <v>251</v>
      </c>
      <c r="B227" s="237" t="s">
        <v>1590</v>
      </c>
      <c r="C227" s="59">
        <v>87.92</v>
      </c>
      <c r="D227" s="71"/>
      <c r="E227" s="64"/>
      <c r="F227" s="64"/>
    </row>
    <row r="228" spans="1:8" ht="13.5" customHeight="1" x14ac:dyDescent="0.2">
      <c r="A228" s="126" t="s">
        <v>251</v>
      </c>
      <c r="B228" s="237" t="s">
        <v>1590</v>
      </c>
      <c r="C228" s="68">
        <v>100</v>
      </c>
      <c r="D228" s="68"/>
      <c r="E228" s="64"/>
    </row>
    <row r="229" spans="1:8" ht="13.5" customHeight="1" x14ac:dyDescent="0.2">
      <c r="A229" s="126" t="s">
        <v>251</v>
      </c>
      <c r="B229" s="237" t="s">
        <v>1590</v>
      </c>
      <c r="C229" s="68">
        <v>280.5</v>
      </c>
      <c r="D229" s="71"/>
    </row>
    <row r="230" spans="1:8" ht="13.5" customHeight="1" x14ac:dyDescent="0.2">
      <c r="A230" s="126" t="s">
        <v>251</v>
      </c>
      <c r="B230" s="34" t="s">
        <v>1762</v>
      </c>
      <c r="C230" s="59">
        <v>32.6</v>
      </c>
      <c r="D230" s="71"/>
    </row>
    <row r="231" spans="1:8" ht="13.5" customHeight="1" x14ac:dyDescent="0.2">
      <c r="A231" s="126"/>
      <c r="B231" s="34"/>
      <c r="C231" s="440">
        <f>SUM(C226:C230)</f>
        <v>802.56000000000006</v>
      </c>
      <c r="D231" s="71">
        <f>SUM(C231/2)</f>
        <v>401.28000000000003</v>
      </c>
    </row>
    <row r="232" spans="1:8" ht="13.5" customHeight="1" x14ac:dyDescent="0.2">
      <c r="A232" s="126"/>
      <c r="B232" s="34"/>
      <c r="C232" s="59"/>
      <c r="D232" s="71"/>
    </row>
    <row r="233" spans="1:8" ht="13.5" customHeight="1" x14ac:dyDescent="0.2">
      <c r="A233" s="126" t="s">
        <v>421</v>
      </c>
      <c r="B233" s="34" t="s">
        <v>1596</v>
      </c>
      <c r="C233" s="119">
        <v>120</v>
      </c>
      <c r="D233" s="71"/>
    </row>
    <row r="234" spans="1:8" ht="13.5" customHeight="1" x14ac:dyDescent="0.2">
      <c r="A234" s="126" t="s">
        <v>421</v>
      </c>
      <c r="B234" s="34" t="s">
        <v>1714</v>
      </c>
      <c r="C234" s="179">
        <v>1386.81</v>
      </c>
      <c r="D234" s="71"/>
    </row>
    <row r="235" spans="1:8" ht="13.5" customHeight="1" x14ac:dyDescent="0.2">
      <c r="A235" s="126" t="s">
        <v>421</v>
      </c>
      <c r="B235" s="34" t="s">
        <v>1704</v>
      </c>
      <c r="C235" s="179">
        <v>90</v>
      </c>
      <c r="D235" s="71"/>
      <c r="H235" s="18"/>
    </row>
    <row r="236" spans="1:8" ht="13.5" customHeight="1" x14ac:dyDescent="0.2">
      <c r="B236" s="49"/>
      <c r="C236" s="440">
        <f>SUM(C233:C235)</f>
        <v>1596.81</v>
      </c>
      <c r="D236" s="122"/>
      <c r="F236" s="18">
        <f>SUM(C236,C231,C223,C210,C206,C190,C186,C161,C136,C113,C106,C103,C101,C84,C77,C57,C51,C46)-SUM(D30,D25)</f>
        <v>-2940.8450000000012</v>
      </c>
    </row>
    <row r="237" spans="1:8" ht="13.5" customHeight="1" x14ac:dyDescent="0.2">
      <c r="B237" s="357"/>
      <c r="C237" s="179"/>
      <c r="D237" s="122"/>
    </row>
    <row r="238" spans="1:8" ht="13.5" customHeight="1" x14ac:dyDescent="0.2">
      <c r="B238" s="208"/>
      <c r="C238" s="211"/>
      <c r="D238" s="211"/>
    </row>
    <row r="239" spans="1:8" ht="13.5" customHeight="1" x14ac:dyDescent="0.2">
      <c r="B239" s="78"/>
      <c r="C239" s="77"/>
      <c r="D239" s="77"/>
    </row>
    <row r="240" spans="1:8" ht="13.5" customHeight="1" x14ac:dyDescent="0.2">
      <c r="B240" s="63"/>
      <c r="C240" s="13"/>
      <c r="D240" s="13"/>
    </row>
    <row r="241" spans="2:4" ht="13.5" customHeight="1" x14ac:dyDescent="0.2">
      <c r="B241" s="63"/>
      <c r="C241" s="13"/>
      <c r="D241" s="13"/>
    </row>
    <row r="242" spans="2:4" ht="13.5" customHeight="1" x14ac:dyDescent="0.2">
      <c r="B242" s="63"/>
      <c r="C242" s="77"/>
      <c r="D242" s="77"/>
    </row>
    <row r="243" spans="2:4" ht="13.5" customHeight="1" x14ac:dyDescent="0.2">
      <c r="B243" s="78"/>
      <c r="C243" s="77"/>
      <c r="D243" s="77"/>
    </row>
    <row r="244" spans="2:4" ht="13.5" customHeight="1" x14ac:dyDescent="0.2">
      <c r="B244" s="78"/>
      <c r="C244" s="77"/>
      <c r="D244" s="77"/>
    </row>
    <row r="245" spans="2:4" ht="13.5" customHeight="1" x14ac:dyDescent="0.2">
      <c r="B245" s="78"/>
      <c r="C245" s="77"/>
      <c r="D245" s="77"/>
    </row>
    <row r="246" spans="2:4" ht="13.5" customHeight="1" x14ac:dyDescent="0.2">
      <c r="B246" s="81"/>
      <c r="C246" s="13"/>
      <c r="D246" s="13"/>
    </row>
    <row r="247" spans="2:4" ht="13.5" customHeight="1" x14ac:dyDescent="0.2">
      <c r="B247" s="78"/>
      <c r="C247" s="77"/>
      <c r="D247" s="77"/>
    </row>
    <row r="248" spans="2:4" ht="13.5" customHeight="1" x14ac:dyDescent="0.2">
      <c r="B248" s="78"/>
      <c r="C248" s="77"/>
      <c r="D248" s="77"/>
    </row>
    <row r="249" spans="2:4" ht="13.5" customHeight="1" x14ac:dyDescent="0.2">
      <c r="B249" s="78"/>
      <c r="C249" s="77"/>
      <c r="D249" s="77"/>
    </row>
    <row r="250" spans="2:4" ht="13.5" customHeight="1" x14ac:dyDescent="0.2">
      <c r="B250" s="78"/>
      <c r="C250" s="77"/>
      <c r="D250" s="77"/>
    </row>
    <row r="251" spans="2:4" ht="13.5" customHeight="1" x14ac:dyDescent="0.2">
      <c r="B251" s="78"/>
      <c r="C251" s="77"/>
      <c r="D251" s="77"/>
    </row>
    <row r="252" spans="2:4" ht="13.5" customHeight="1" x14ac:dyDescent="0.2">
      <c r="B252" s="78"/>
      <c r="C252" s="77"/>
      <c r="D252" s="77"/>
    </row>
    <row r="253" spans="2:4" ht="13.5" customHeight="1" x14ac:dyDescent="0.2">
      <c r="B253" s="78"/>
      <c r="C253" s="77"/>
      <c r="D253" s="77"/>
    </row>
    <row r="254" spans="2:4" ht="13.5" customHeight="1" x14ac:dyDescent="0.2">
      <c r="B254" s="78"/>
      <c r="C254" s="77"/>
      <c r="D254" s="77"/>
    </row>
    <row r="255" spans="2:4" ht="13.5" customHeight="1" x14ac:dyDescent="0.2">
      <c r="B255" s="63"/>
      <c r="C255" s="82"/>
      <c r="D255" s="13"/>
    </row>
    <row r="256" spans="2:4" ht="13.5" customHeight="1" x14ac:dyDescent="0.2">
      <c r="B256" s="63"/>
      <c r="C256" s="82"/>
      <c r="D256" s="13"/>
    </row>
    <row r="257" spans="2:4" ht="13.5" customHeight="1" x14ac:dyDescent="0.2">
      <c r="B257" s="63"/>
      <c r="C257" s="82"/>
      <c r="D257" s="13"/>
    </row>
    <row r="258" spans="2:4" ht="13.5" customHeight="1" x14ac:dyDescent="0.2">
      <c r="B258" s="63"/>
      <c r="C258" s="82"/>
      <c r="D258" s="13"/>
    </row>
    <row r="259" spans="2:4" ht="13.5" customHeight="1" x14ac:dyDescent="0.2">
      <c r="B259" s="63"/>
      <c r="C259" s="82"/>
      <c r="D259" s="13"/>
    </row>
    <row r="260" spans="2:4" ht="13.5" customHeight="1" x14ac:dyDescent="0.2">
      <c r="B260" s="63"/>
      <c r="C260" s="82"/>
      <c r="D260" s="13"/>
    </row>
    <row r="261" spans="2:4" ht="13.5" customHeight="1" x14ac:dyDescent="0.2">
      <c r="B261" s="63"/>
      <c r="C261" s="82"/>
      <c r="D261" s="13"/>
    </row>
    <row r="262" spans="2:4" ht="13.5" customHeight="1" x14ac:dyDescent="0.2">
      <c r="B262" s="63"/>
      <c r="C262" s="82"/>
      <c r="D262" s="13"/>
    </row>
    <row r="263" spans="2:4" ht="13.5" customHeight="1" x14ac:dyDescent="0.2">
      <c r="B263" s="63"/>
      <c r="C263" s="82"/>
      <c r="D263" s="13"/>
    </row>
    <row r="264" spans="2:4" ht="13.5" customHeight="1" x14ac:dyDescent="0.2">
      <c r="B264" s="63"/>
      <c r="C264" s="82"/>
      <c r="D264" s="13"/>
    </row>
    <row r="265" spans="2:4" ht="13.5" customHeight="1" x14ac:dyDescent="0.2">
      <c r="B265" s="63"/>
      <c r="C265" s="82"/>
      <c r="D265" s="13"/>
    </row>
    <row r="266" spans="2:4" ht="13.5" customHeight="1" x14ac:dyDescent="0.2">
      <c r="B266" s="63"/>
      <c r="C266" s="82"/>
      <c r="D266" s="13"/>
    </row>
    <row r="267" spans="2:4" ht="13.5" customHeight="1" x14ac:dyDescent="0.2">
      <c r="B267" s="63"/>
      <c r="C267" s="82"/>
      <c r="D267" s="13"/>
    </row>
    <row r="268" spans="2:4" ht="13.5" customHeight="1" x14ac:dyDescent="0.2">
      <c r="B268" s="63"/>
      <c r="C268" s="82"/>
      <c r="D268" s="13"/>
    </row>
    <row r="269" spans="2:4" ht="13.5" customHeight="1" x14ac:dyDescent="0.2">
      <c r="B269" s="63"/>
      <c r="C269" s="82"/>
      <c r="D269" s="13"/>
    </row>
    <row r="270" spans="2:4" ht="13.5" customHeight="1" x14ac:dyDescent="0.2">
      <c r="B270" s="63"/>
      <c r="C270" s="82"/>
      <c r="D270" s="13"/>
    </row>
    <row r="271" spans="2:4" ht="13.5" customHeight="1" x14ac:dyDescent="0.2">
      <c r="B271" s="63"/>
      <c r="C271" s="82"/>
      <c r="D271" s="13"/>
    </row>
    <row r="272" spans="2:4" ht="13.5" customHeight="1" x14ac:dyDescent="0.2">
      <c r="B272" s="63"/>
      <c r="C272" s="82"/>
      <c r="D272" s="13"/>
    </row>
    <row r="273" spans="2:4" ht="13.5" customHeight="1" x14ac:dyDescent="0.2">
      <c r="B273" s="63"/>
      <c r="C273" s="82"/>
      <c r="D273" s="13"/>
    </row>
    <row r="274" spans="2:4" ht="13.5" customHeight="1" x14ac:dyDescent="0.2">
      <c r="B274" s="63"/>
      <c r="C274" s="82"/>
      <c r="D274" s="13"/>
    </row>
    <row r="275" spans="2:4" ht="13.5" customHeight="1" x14ac:dyDescent="0.2">
      <c r="B275" s="63"/>
      <c r="C275" s="82"/>
      <c r="D275" s="13"/>
    </row>
    <row r="276" spans="2:4" ht="13.5" customHeight="1" x14ac:dyDescent="0.2">
      <c r="B276" s="63"/>
      <c r="C276" s="82"/>
      <c r="D276" s="13"/>
    </row>
    <row r="277" spans="2:4" ht="13.5" customHeight="1" x14ac:dyDescent="0.2">
      <c r="B277" s="63"/>
      <c r="C277" s="82"/>
      <c r="D277" s="13"/>
    </row>
    <row r="278" spans="2:4" ht="13.5" customHeight="1" x14ac:dyDescent="0.2">
      <c r="B278" s="63"/>
      <c r="C278" s="82"/>
      <c r="D278" s="13"/>
    </row>
    <row r="279" spans="2:4" ht="13.5" customHeight="1" x14ac:dyDescent="0.2">
      <c r="B279" s="63"/>
      <c r="C279" s="82"/>
      <c r="D279" s="13"/>
    </row>
    <row r="280" spans="2:4" ht="13.5" customHeight="1" x14ac:dyDescent="0.2">
      <c r="B280" s="63"/>
      <c r="C280" s="82"/>
      <c r="D280" s="13"/>
    </row>
    <row r="281" spans="2:4" ht="13.5" customHeight="1" x14ac:dyDescent="0.2">
      <c r="B281" s="63"/>
      <c r="C281" s="82"/>
      <c r="D281" s="13"/>
    </row>
    <row r="282" spans="2:4" ht="13.5" customHeight="1" x14ac:dyDescent="0.2">
      <c r="B282" s="63"/>
      <c r="C282" s="82"/>
      <c r="D282" s="13"/>
    </row>
    <row r="283" spans="2:4" ht="13.5" customHeight="1" x14ac:dyDescent="0.2">
      <c r="B283" s="63"/>
      <c r="C283" s="82"/>
      <c r="D283" s="13"/>
    </row>
    <row r="284" spans="2:4" ht="13.5" customHeight="1" x14ac:dyDescent="0.2">
      <c r="B284" s="63"/>
      <c r="C284" s="82"/>
      <c r="D284" s="13"/>
    </row>
    <row r="285" spans="2:4" ht="13.5" customHeight="1" x14ac:dyDescent="0.2">
      <c r="B285" s="63"/>
      <c r="C285" s="82"/>
      <c r="D285" s="13"/>
    </row>
    <row r="286" spans="2:4" ht="13.5" customHeight="1" x14ac:dyDescent="0.2">
      <c r="B286" s="63"/>
      <c r="C286" s="82"/>
      <c r="D286" s="13"/>
    </row>
    <row r="287" spans="2:4" ht="13.5" customHeight="1" x14ac:dyDescent="0.2">
      <c r="B287" s="63"/>
      <c r="C287" s="82"/>
      <c r="D287" s="13"/>
    </row>
    <row r="288" spans="2:4" ht="13.5" customHeight="1" x14ac:dyDescent="0.2">
      <c r="B288" s="63"/>
      <c r="C288" s="82"/>
      <c r="D288" s="13"/>
    </row>
    <row r="289" spans="2:4" ht="13.5" customHeight="1" x14ac:dyDescent="0.2">
      <c r="B289" s="63"/>
      <c r="C289" s="82"/>
      <c r="D289" s="13"/>
    </row>
    <row r="290" spans="2:4" ht="13.5" customHeight="1" x14ac:dyDescent="0.2">
      <c r="B290" s="63"/>
      <c r="C290" s="82"/>
      <c r="D290" s="13"/>
    </row>
    <row r="291" spans="2:4" ht="13.5" customHeight="1" x14ac:dyDescent="0.2">
      <c r="B291" s="63"/>
      <c r="C291" s="82"/>
      <c r="D291" s="13"/>
    </row>
    <row r="292" spans="2:4" ht="13.5" customHeight="1" x14ac:dyDescent="0.2">
      <c r="B292" s="63"/>
      <c r="C292" s="82"/>
      <c r="D292" s="13"/>
    </row>
    <row r="293" spans="2:4" ht="13.5" customHeight="1" x14ac:dyDescent="0.2">
      <c r="B293" s="63"/>
      <c r="C293" s="82"/>
      <c r="D293" s="13"/>
    </row>
    <row r="294" spans="2:4" ht="13.5" customHeight="1" x14ac:dyDescent="0.2">
      <c r="B294" s="63"/>
      <c r="C294" s="82"/>
      <c r="D294" s="13"/>
    </row>
    <row r="295" spans="2:4" ht="13.5" customHeight="1" x14ac:dyDescent="0.2">
      <c r="B295" s="63"/>
      <c r="C295" s="83"/>
      <c r="D295" s="13"/>
    </row>
    <row r="296" spans="2:4" ht="13.5" customHeight="1" x14ac:dyDescent="0.2">
      <c r="B296" s="63"/>
      <c r="C296" s="83"/>
      <c r="D296" s="13"/>
    </row>
    <row r="297" spans="2:4" ht="13.5" customHeight="1" x14ac:dyDescent="0.2">
      <c r="B297" s="64"/>
      <c r="C297" s="84"/>
      <c r="D297" s="13"/>
    </row>
    <row r="298" spans="2:4" ht="13.5" customHeight="1" x14ac:dyDescent="0.2">
      <c r="B298" s="63"/>
      <c r="C298" s="83"/>
      <c r="D298" s="13"/>
    </row>
    <row r="299" spans="2:4" ht="13.5" customHeight="1" x14ac:dyDescent="0.2">
      <c r="B299" s="63"/>
      <c r="C299" s="83"/>
      <c r="D299" s="13"/>
    </row>
    <row r="300" spans="2:4" ht="13.5" customHeight="1" x14ac:dyDescent="0.2">
      <c r="B300" s="85"/>
      <c r="C300" s="83"/>
      <c r="D300" s="13"/>
    </row>
    <row r="301" spans="2:4" ht="13.5" customHeight="1" x14ac:dyDescent="0.2">
      <c r="B301" s="63"/>
      <c r="C301" s="83"/>
      <c r="D301" s="13"/>
    </row>
    <row r="302" spans="2:4" ht="13.5" customHeight="1" x14ac:dyDescent="0.2">
      <c r="B302" s="63"/>
      <c r="C302" s="84"/>
      <c r="D302" s="13"/>
    </row>
    <row r="303" spans="2:4" ht="13.5" customHeight="1" x14ac:dyDescent="0.2">
      <c r="B303" s="64"/>
      <c r="C303" s="83"/>
      <c r="D303" s="13"/>
    </row>
    <row r="304" spans="2:4" ht="13.5" customHeight="1" x14ac:dyDescent="0.2">
      <c r="B304" s="63"/>
      <c r="C304" s="83"/>
      <c r="D304" s="13"/>
    </row>
    <row r="305" spans="2:4" ht="13.5" customHeight="1" x14ac:dyDescent="0.2">
      <c r="B305" s="63"/>
      <c r="C305" s="84"/>
      <c r="D305" s="13"/>
    </row>
    <row r="306" spans="2:4" ht="13.5" customHeight="1" x14ac:dyDescent="0.2">
      <c r="B306" s="64"/>
      <c r="C306" s="84"/>
      <c r="D306" s="13"/>
    </row>
    <row r="307" spans="2:4" ht="13.5" customHeight="1" x14ac:dyDescent="0.2">
      <c r="B307" s="63"/>
      <c r="C307" s="83"/>
      <c r="D307" s="13"/>
    </row>
    <row r="308" spans="2:4" ht="13.5" customHeight="1" x14ac:dyDescent="0.2">
      <c r="B308" s="63"/>
      <c r="C308" s="84"/>
      <c r="D308" s="13"/>
    </row>
    <row r="309" spans="2:4" ht="13.5" customHeight="1" x14ac:dyDescent="0.2">
      <c r="B309" s="64"/>
      <c r="C309" s="84"/>
      <c r="D309" s="13"/>
    </row>
    <row r="310" spans="2:4" ht="13.5" customHeight="1" x14ac:dyDescent="0.2">
      <c r="B310" s="63"/>
      <c r="C310" s="83"/>
      <c r="D310" s="13"/>
    </row>
    <row r="311" spans="2:4" ht="13.5" customHeight="1" x14ac:dyDescent="0.2">
      <c r="B311" s="63"/>
      <c r="C311" s="83"/>
      <c r="D311" s="13"/>
    </row>
    <row r="312" spans="2:4" ht="13.5" customHeight="1" x14ac:dyDescent="0.2">
      <c r="B312" s="63"/>
      <c r="C312" s="82"/>
      <c r="D312" s="13"/>
    </row>
    <row r="313" spans="2:4" ht="13.5" customHeight="1" x14ac:dyDescent="0.2">
      <c r="B313" s="86"/>
      <c r="C313" s="82"/>
      <c r="D313" s="13"/>
    </row>
    <row r="314" spans="2:4" ht="13.5" customHeight="1" x14ac:dyDescent="0.2">
      <c r="B314" s="85"/>
      <c r="C314" s="82"/>
      <c r="D314" s="13"/>
    </row>
    <row r="315" spans="2:4" ht="13.5" customHeight="1" x14ac:dyDescent="0.2">
      <c r="B315" s="87"/>
      <c r="C315" s="82"/>
      <c r="D315" s="13"/>
    </row>
    <row r="316" spans="2:4" ht="13.5" customHeight="1" x14ac:dyDescent="0.2">
      <c r="B316" s="88"/>
      <c r="C316" s="82"/>
      <c r="D316" s="13"/>
    </row>
    <row r="317" spans="2:4" ht="13.5" customHeight="1" x14ac:dyDescent="0.2">
      <c r="B317" s="56"/>
      <c r="C317" s="89"/>
      <c r="D317" s="12"/>
    </row>
    <row r="318" spans="2:4" ht="13.5" customHeight="1" x14ac:dyDescent="0.2">
      <c r="B318" s="56"/>
      <c r="C318" s="90"/>
      <c r="D318" s="12"/>
    </row>
    <row r="319" spans="2:4" ht="13.5" customHeight="1" x14ac:dyDescent="0.2">
      <c r="B319" s="56"/>
      <c r="C319" s="89"/>
      <c r="D319" s="12"/>
    </row>
    <row r="320" spans="2:4" ht="13.5" customHeight="1" x14ac:dyDescent="0.2">
      <c r="C320" s="89"/>
      <c r="D320" s="12"/>
    </row>
    <row r="321" spans="2:4" ht="13.5" customHeight="1" x14ac:dyDescent="0.2">
      <c r="B321" s="56"/>
      <c r="C321" s="90"/>
      <c r="D321" s="12"/>
    </row>
    <row r="322" spans="2:4" ht="13.5" customHeight="1" x14ac:dyDescent="0.2">
      <c r="B322" s="56"/>
      <c r="C322" s="90"/>
      <c r="D322" s="12"/>
    </row>
    <row r="323" spans="2:4" ht="13.5" customHeight="1" x14ac:dyDescent="0.2">
      <c r="B323" s="56"/>
      <c r="C323" s="90"/>
      <c r="D323" s="12"/>
    </row>
    <row r="324" spans="2:4" ht="13.5" customHeight="1" x14ac:dyDescent="0.2">
      <c r="B324" s="27"/>
      <c r="C324" s="92"/>
      <c r="D324" s="12"/>
    </row>
    <row r="325" spans="2:4" ht="13.5" customHeight="1" x14ac:dyDescent="0.2">
      <c r="B325" s="27"/>
      <c r="C325" s="90"/>
      <c r="D325" s="12"/>
    </row>
    <row r="326" spans="2:4" ht="13.5" customHeight="1" x14ac:dyDescent="0.2">
      <c r="C326" s="92"/>
      <c r="D326" s="12"/>
    </row>
    <row r="327" spans="2:4" ht="13.5" customHeight="1" x14ac:dyDescent="0.2">
      <c r="B327" s="56"/>
      <c r="C327" s="89"/>
      <c r="D327" s="12"/>
    </row>
    <row r="328" spans="2:4" ht="13.5" customHeight="1" x14ac:dyDescent="0.2">
      <c r="B328" s="56"/>
      <c r="C328" s="89"/>
      <c r="D328" s="12"/>
    </row>
    <row r="329" spans="2:4" ht="13.5" customHeight="1" x14ac:dyDescent="0.2">
      <c r="B329" s="56"/>
      <c r="C329" s="89"/>
      <c r="D329" s="12"/>
    </row>
    <row r="330" spans="2:4" ht="13.5" customHeight="1" x14ac:dyDescent="0.2">
      <c r="B330" s="56"/>
      <c r="C330" s="89"/>
      <c r="D330" s="12"/>
    </row>
    <row r="331" spans="2:4" ht="13.5" customHeight="1" x14ac:dyDescent="0.2">
      <c r="B331" s="94"/>
      <c r="C331" s="95"/>
      <c r="D331" s="30"/>
    </row>
    <row r="332" spans="2:4" ht="13.5" customHeight="1" x14ac:dyDescent="0.2"/>
    <row r="333" spans="2:4" ht="13.5" customHeight="1" x14ac:dyDescent="0.2"/>
    <row r="334" spans="2:4" ht="13.5" customHeight="1" x14ac:dyDescent="0.2"/>
    <row r="335" spans="2:4" ht="13.5" customHeight="1" x14ac:dyDescent="0.2"/>
    <row r="336" spans="2:4" ht="13.5" customHeight="1" x14ac:dyDescent="0.2"/>
    <row r="337" ht="13.5" customHeight="1" x14ac:dyDescent="0.2"/>
    <row r="338" ht="13.5" customHeight="1" x14ac:dyDescent="0.2"/>
    <row r="339" ht="13.5" customHeight="1" x14ac:dyDescent="0.2"/>
    <row r="340" ht="13.5" customHeight="1" x14ac:dyDescent="0.2"/>
    <row r="341" ht="13.5" customHeight="1" x14ac:dyDescent="0.2"/>
    <row r="342" ht="13.5" customHeight="1" x14ac:dyDescent="0.2"/>
    <row r="343" ht="13.5" customHeight="1" x14ac:dyDescent="0.2"/>
    <row r="344" ht="13.5" customHeight="1" x14ac:dyDescent="0.2"/>
    <row r="345" ht="13.5" customHeight="1" x14ac:dyDescent="0.2"/>
  </sheetData>
  <sortState xmlns:xlrd2="http://schemas.microsoft.com/office/spreadsheetml/2017/richdata2" ref="A60:J88">
    <sortCondition ref="A60:A88"/>
    <sortCondition ref="B60:B88"/>
  </sortState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N344"/>
  <sheetViews>
    <sheetView topLeftCell="D224" zoomScale="80" zoomScaleNormal="80" workbookViewId="0">
      <selection activeCell="L234" sqref="L234:O244"/>
    </sheetView>
  </sheetViews>
  <sheetFormatPr defaultColWidth="9" defaultRowHeight="12.75" x14ac:dyDescent="0.2"/>
  <cols>
    <col min="1" max="1" width="14" style="1" customWidth="1"/>
    <col min="2" max="2" width="1.875" style="1" customWidth="1"/>
    <col min="3" max="3" width="107" style="1" bestFit="1" customWidth="1"/>
    <col min="4" max="4" width="12" style="1" customWidth="1"/>
    <col min="5" max="5" width="12.375" style="1" customWidth="1"/>
    <col min="6" max="6" width="10.75" style="1" customWidth="1"/>
    <col min="7" max="7" width="11.875" style="1" customWidth="1"/>
    <col min="8" max="9" width="10.75" style="18" customWidth="1"/>
    <col min="10" max="10" width="10.875" style="66" customWidth="1"/>
    <col min="11" max="11" width="10.875" style="40" bestFit="1" customWidth="1"/>
    <col min="12" max="16384" width="9" style="1"/>
  </cols>
  <sheetData>
    <row r="1" spans="1:10" ht="13.5" customHeight="1" thickBot="1" x14ac:dyDescent="0.25">
      <c r="A1" s="1407" t="s">
        <v>1804</v>
      </c>
      <c r="B1" s="1407"/>
      <c r="C1" s="1408"/>
      <c r="D1" s="1409" t="s">
        <v>0</v>
      </c>
      <c r="E1" s="1410"/>
      <c r="F1" s="1410"/>
      <c r="G1" s="1411"/>
      <c r="H1" s="1412" t="s">
        <v>1</v>
      </c>
      <c r="I1" s="1413"/>
      <c r="J1" s="1414"/>
    </row>
    <row r="2" spans="1:10" ht="13.5" customHeight="1" thickBot="1" x14ac:dyDescent="0.25">
      <c r="A2" s="2" t="s">
        <v>2</v>
      </c>
      <c r="B2" s="3"/>
      <c r="C2" s="3" t="s">
        <v>3</v>
      </c>
      <c r="D2" s="3" t="s">
        <v>4</v>
      </c>
      <c r="E2" s="3" t="s">
        <v>5</v>
      </c>
      <c r="F2" s="3" t="s">
        <v>6</v>
      </c>
      <c r="G2" s="5" t="s">
        <v>7</v>
      </c>
      <c r="H2" s="6" t="s">
        <v>5</v>
      </c>
      <c r="I2" s="4" t="s">
        <v>6</v>
      </c>
      <c r="J2" s="7" t="s">
        <v>7</v>
      </c>
    </row>
    <row r="3" spans="1:10" ht="13.5" customHeight="1" x14ac:dyDescent="0.2">
      <c r="A3" s="8">
        <v>43556</v>
      </c>
      <c r="B3" s="9"/>
      <c r="C3" s="10" t="s">
        <v>8</v>
      </c>
      <c r="D3" s="11"/>
      <c r="E3" s="12"/>
      <c r="F3" s="13"/>
      <c r="G3" s="14">
        <v>1851.94</v>
      </c>
      <c r="H3" s="15"/>
      <c r="I3" s="16"/>
      <c r="J3" s="17">
        <v>3590.9700000000003</v>
      </c>
    </row>
    <row r="4" spans="1:10" ht="13.5" customHeight="1" x14ac:dyDescent="0.2">
      <c r="A4" s="19"/>
      <c r="B4" s="20"/>
      <c r="C4" s="21" t="s">
        <v>9</v>
      </c>
      <c r="D4" s="11"/>
      <c r="E4" s="12"/>
      <c r="F4" s="22">
        <v>0</v>
      </c>
      <c r="G4" s="23"/>
      <c r="H4" s="24"/>
      <c r="I4" s="25"/>
      <c r="J4" s="26"/>
    </row>
    <row r="5" spans="1:10" ht="13.5" customHeight="1" x14ac:dyDescent="0.2">
      <c r="A5" s="19"/>
      <c r="B5" s="20"/>
      <c r="C5" s="21" t="s">
        <v>10</v>
      </c>
      <c r="D5" s="11"/>
      <c r="E5" s="12"/>
      <c r="F5" s="22">
        <v>0</v>
      </c>
      <c r="G5" s="23"/>
      <c r="H5" s="24"/>
      <c r="I5" s="25"/>
      <c r="J5" s="26"/>
    </row>
    <row r="6" spans="1:10" ht="13.5" customHeight="1" x14ac:dyDescent="0.2">
      <c r="A6" s="171"/>
      <c r="B6" s="172"/>
      <c r="C6" s="34" t="s">
        <v>1805</v>
      </c>
      <c r="D6" s="42"/>
      <c r="E6" s="43"/>
      <c r="F6" s="173"/>
      <c r="G6" s="23"/>
      <c r="H6" s="24"/>
      <c r="I6" s="25">
        <v>220</v>
      </c>
      <c r="J6" s="26"/>
    </row>
    <row r="7" spans="1:10" ht="13.5" customHeight="1" x14ac:dyDescent="0.2">
      <c r="A7" s="171"/>
      <c r="B7" s="172"/>
      <c r="C7" s="34" t="s">
        <v>1806</v>
      </c>
      <c r="D7" s="42"/>
      <c r="E7" s="43"/>
      <c r="F7" s="173"/>
      <c r="G7" s="23"/>
      <c r="H7" s="24"/>
      <c r="I7" s="25">
        <v>1080</v>
      </c>
      <c r="J7" s="26">
        <v>4890.97</v>
      </c>
    </row>
    <row r="8" spans="1:10" ht="13.5" customHeight="1" x14ac:dyDescent="0.2">
      <c r="A8" s="19"/>
      <c r="B8" s="20"/>
      <c r="C8" s="32" t="s">
        <v>1597</v>
      </c>
      <c r="D8" s="11" t="s">
        <v>19</v>
      </c>
      <c r="E8" s="12">
        <v>-0.37</v>
      </c>
      <c r="F8" s="22" t="s">
        <v>549</v>
      </c>
      <c r="G8" s="23">
        <v>1851.57</v>
      </c>
      <c r="H8" s="24"/>
      <c r="I8" s="25"/>
      <c r="J8" s="26"/>
    </row>
    <row r="9" spans="1:10" ht="13.5" customHeight="1" x14ac:dyDescent="0.2">
      <c r="A9" s="19"/>
      <c r="B9" s="20"/>
      <c r="C9" s="36" t="s">
        <v>1598</v>
      </c>
      <c r="D9" s="11" t="s">
        <v>19</v>
      </c>
      <c r="E9" s="12">
        <v>-7.6</v>
      </c>
      <c r="F9" s="22" t="s">
        <v>549</v>
      </c>
      <c r="G9" s="23">
        <v>1843.97</v>
      </c>
      <c r="H9" s="24"/>
      <c r="I9" s="25"/>
      <c r="J9" s="39"/>
    </row>
    <row r="10" spans="1:10" ht="13.5" customHeight="1" x14ac:dyDescent="0.2">
      <c r="A10" s="171">
        <v>43557</v>
      </c>
      <c r="B10" s="172"/>
      <c r="C10" s="34" t="s">
        <v>1807</v>
      </c>
      <c r="D10" s="42"/>
      <c r="E10" s="43"/>
      <c r="F10" s="173"/>
      <c r="G10" s="23"/>
      <c r="H10" s="24">
        <v>30.26</v>
      </c>
      <c r="I10" s="25"/>
      <c r="J10" s="26">
        <v>4860.71</v>
      </c>
    </row>
    <row r="11" spans="1:10" ht="13.5" customHeight="1" x14ac:dyDescent="0.2">
      <c r="A11" s="19"/>
      <c r="B11" s="20"/>
      <c r="C11" s="34" t="s">
        <v>1808</v>
      </c>
      <c r="D11" s="11" t="s">
        <v>1809</v>
      </c>
      <c r="E11" s="12">
        <v>-200</v>
      </c>
      <c r="F11" s="22" t="s">
        <v>549</v>
      </c>
      <c r="G11" s="23">
        <v>1643.97</v>
      </c>
      <c r="H11" s="24"/>
      <c r="I11" s="25"/>
      <c r="J11" s="26"/>
    </row>
    <row r="12" spans="1:10" ht="13.5" customHeight="1" x14ac:dyDescent="0.2">
      <c r="A12" s="19"/>
      <c r="B12" s="20"/>
      <c r="C12" s="34" t="s">
        <v>20</v>
      </c>
      <c r="D12" s="11" t="s">
        <v>19</v>
      </c>
      <c r="E12" s="12" t="s">
        <v>549</v>
      </c>
      <c r="F12" s="22">
        <v>0.01</v>
      </c>
      <c r="G12" s="23">
        <v>1643.98</v>
      </c>
      <c r="H12" s="24"/>
      <c r="I12" s="25"/>
      <c r="J12" s="26"/>
    </row>
    <row r="13" spans="1:10" ht="13.5" customHeight="1" x14ac:dyDescent="0.2">
      <c r="A13" s="19" t="s">
        <v>1810</v>
      </c>
      <c r="B13" s="20"/>
      <c r="C13" s="34" t="s">
        <v>1811</v>
      </c>
      <c r="D13" s="11" t="s">
        <v>1812</v>
      </c>
      <c r="E13" s="12">
        <v>-388.15</v>
      </c>
      <c r="F13" s="22" t="s">
        <v>549</v>
      </c>
      <c r="G13" s="23">
        <v>1255.83</v>
      </c>
      <c r="H13" s="24"/>
      <c r="I13" s="25"/>
      <c r="J13" s="26"/>
    </row>
    <row r="14" spans="1:10" ht="13.5" customHeight="1" x14ac:dyDescent="0.2">
      <c r="A14" s="19"/>
      <c r="B14" s="20"/>
      <c r="C14" s="237" t="s">
        <v>1590</v>
      </c>
      <c r="D14" s="11" t="s">
        <v>1813</v>
      </c>
      <c r="E14" s="12">
        <v>-263.43</v>
      </c>
      <c r="F14" s="22" t="s">
        <v>549</v>
      </c>
      <c r="G14" s="23">
        <v>992.4</v>
      </c>
      <c r="H14" s="24"/>
      <c r="I14" s="25"/>
      <c r="J14" s="26"/>
    </row>
    <row r="15" spans="1:10" ht="13.5" customHeight="1" x14ac:dyDescent="0.2">
      <c r="A15" s="19"/>
      <c r="B15" s="20"/>
      <c r="C15" s="34" t="s">
        <v>20</v>
      </c>
      <c r="D15" s="11" t="s">
        <v>19</v>
      </c>
      <c r="E15" s="12" t="s">
        <v>549</v>
      </c>
      <c r="F15" s="22">
        <v>0.03</v>
      </c>
      <c r="G15" s="23">
        <v>992.43</v>
      </c>
      <c r="H15" s="24"/>
      <c r="I15" s="25"/>
      <c r="J15" s="26"/>
    </row>
    <row r="16" spans="1:10" ht="13.5" customHeight="1" x14ac:dyDescent="0.2">
      <c r="A16" s="171">
        <v>43559</v>
      </c>
      <c r="B16" s="172"/>
      <c r="C16" s="34" t="s">
        <v>1814</v>
      </c>
      <c r="D16" s="42"/>
      <c r="E16" s="43"/>
      <c r="F16" s="173"/>
      <c r="G16" s="23"/>
      <c r="H16" s="24"/>
      <c r="I16" s="25">
        <v>1490</v>
      </c>
      <c r="J16" s="26"/>
    </row>
    <row r="17" spans="1:10" ht="13.5" customHeight="1" x14ac:dyDescent="0.2">
      <c r="A17" s="171"/>
      <c r="B17" s="172"/>
      <c r="C17" s="34" t="s">
        <v>1815</v>
      </c>
      <c r="D17" s="42"/>
      <c r="E17" s="43"/>
      <c r="F17" s="173"/>
      <c r="G17" s="23"/>
      <c r="H17" s="24">
        <v>28</v>
      </c>
      <c r="I17" s="25"/>
      <c r="J17" s="26"/>
    </row>
    <row r="18" spans="1:10" ht="13.5" customHeight="1" x14ac:dyDescent="0.2">
      <c r="A18" s="171"/>
      <c r="B18" s="172"/>
      <c r="C18" s="34" t="s">
        <v>1816</v>
      </c>
      <c r="D18" s="42"/>
      <c r="E18" s="43"/>
      <c r="F18" s="173"/>
      <c r="G18" s="23"/>
      <c r="H18" s="24">
        <v>31.91</v>
      </c>
      <c r="I18" s="25"/>
      <c r="J18" s="26"/>
    </row>
    <row r="19" spans="1:10" ht="13.5" customHeight="1" x14ac:dyDescent="0.2">
      <c r="A19" s="171"/>
      <c r="B19" s="172"/>
      <c r="C19" s="34" t="s">
        <v>1817</v>
      </c>
      <c r="D19" s="42"/>
      <c r="E19" s="43"/>
      <c r="F19" s="173"/>
      <c r="G19" s="23"/>
      <c r="H19" s="24">
        <v>2.9</v>
      </c>
      <c r="I19" s="25"/>
      <c r="J19" s="26"/>
    </row>
    <row r="20" spans="1:10" ht="13.5" customHeight="1" x14ac:dyDescent="0.2">
      <c r="A20" s="171"/>
      <c r="B20" s="172"/>
      <c r="C20" s="34" t="s">
        <v>1818</v>
      </c>
      <c r="D20" s="42"/>
      <c r="E20" s="43"/>
      <c r="F20" s="173"/>
      <c r="G20" s="23"/>
      <c r="H20" s="24">
        <v>20.84</v>
      </c>
      <c r="I20" s="25"/>
      <c r="J20" s="26"/>
    </row>
    <row r="21" spans="1:10" ht="13.5" customHeight="1" x14ac:dyDescent="0.2">
      <c r="A21" s="171"/>
      <c r="B21" s="172"/>
      <c r="C21" s="34" t="s">
        <v>1819</v>
      </c>
      <c r="D21" s="42"/>
      <c r="E21" s="43"/>
      <c r="F21" s="173"/>
      <c r="G21" s="23"/>
      <c r="H21" s="24">
        <v>10</v>
      </c>
      <c r="I21" s="25"/>
      <c r="J21" s="26"/>
    </row>
    <row r="22" spans="1:10" ht="13.5" customHeight="1" x14ac:dyDescent="0.2">
      <c r="A22" s="171"/>
      <c r="B22" s="172"/>
      <c r="C22" s="34" t="s">
        <v>1820</v>
      </c>
      <c r="D22" s="42"/>
      <c r="E22" s="43"/>
      <c r="F22" s="173"/>
      <c r="G22" s="23"/>
      <c r="H22" s="24">
        <v>3</v>
      </c>
      <c r="I22" s="25"/>
      <c r="J22" s="26"/>
    </row>
    <row r="23" spans="1:10" ht="13.5" customHeight="1" x14ac:dyDescent="0.2">
      <c r="A23" s="171"/>
      <c r="B23" s="172"/>
      <c r="C23" s="34" t="s">
        <v>1821</v>
      </c>
      <c r="D23" s="42"/>
      <c r="E23" s="43"/>
      <c r="F23" s="173"/>
      <c r="G23" s="23"/>
      <c r="H23" s="24">
        <v>1.25</v>
      </c>
      <c r="I23" s="25"/>
      <c r="J23" s="26"/>
    </row>
    <row r="24" spans="1:10" ht="13.5" customHeight="1" x14ac:dyDescent="0.2">
      <c r="A24" s="171"/>
      <c r="B24" s="172"/>
      <c r="C24" s="34" t="s">
        <v>1822</v>
      </c>
      <c r="D24" s="42"/>
      <c r="E24" s="43"/>
      <c r="F24" s="173"/>
      <c r="G24" s="23"/>
      <c r="H24" s="24">
        <v>5.2</v>
      </c>
      <c r="I24" s="25"/>
      <c r="J24" s="26"/>
    </row>
    <row r="25" spans="1:10" ht="13.5" customHeight="1" x14ac:dyDescent="0.2">
      <c r="A25" s="171"/>
      <c r="B25" s="172"/>
      <c r="C25" s="34" t="s">
        <v>1823</v>
      </c>
      <c r="D25" s="42"/>
      <c r="E25" s="43"/>
      <c r="F25" s="173"/>
      <c r="G25" s="23"/>
      <c r="H25" s="24">
        <v>15</v>
      </c>
      <c r="I25" s="25"/>
      <c r="J25" s="26"/>
    </row>
    <row r="26" spans="1:10" ht="13.5" customHeight="1" x14ac:dyDescent="0.2">
      <c r="A26" s="171"/>
      <c r="B26" s="172"/>
      <c r="C26" s="34" t="s">
        <v>1824</v>
      </c>
      <c r="D26" s="42"/>
      <c r="E26" s="43"/>
      <c r="F26" s="173"/>
      <c r="G26" s="23"/>
      <c r="H26" s="24">
        <v>10.9</v>
      </c>
      <c r="I26" s="25"/>
      <c r="J26" s="26"/>
    </row>
    <row r="27" spans="1:10" ht="13.5" customHeight="1" x14ac:dyDescent="0.2">
      <c r="A27" s="171"/>
      <c r="B27" s="172"/>
      <c r="C27" s="34" t="s">
        <v>1825</v>
      </c>
      <c r="D27" s="42"/>
      <c r="E27" s="43"/>
      <c r="F27" s="173"/>
      <c r="G27" s="23"/>
      <c r="H27" s="24">
        <v>81</v>
      </c>
      <c r="I27" s="25"/>
      <c r="J27" s="26"/>
    </row>
    <row r="28" spans="1:10" ht="13.5" customHeight="1" x14ac:dyDescent="0.2">
      <c r="A28" s="171"/>
      <c r="B28" s="172"/>
      <c r="C28" s="34" t="s">
        <v>1826</v>
      </c>
      <c r="D28" s="42"/>
      <c r="E28" s="43"/>
      <c r="F28" s="173"/>
      <c r="G28" s="23"/>
      <c r="H28" s="24">
        <v>40</v>
      </c>
      <c r="I28" s="25"/>
      <c r="J28" s="26"/>
    </row>
    <row r="29" spans="1:10" ht="13.5" customHeight="1" x14ac:dyDescent="0.2">
      <c r="A29" s="171"/>
      <c r="B29" s="172"/>
      <c r="C29" s="34" t="s">
        <v>1827</v>
      </c>
      <c r="D29" s="42"/>
      <c r="E29" s="43"/>
      <c r="F29" s="173"/>
      <c r="G29" s="23"/>
      <c r="H29" s="24">
        <v>5</v>
      </c>
      <c r="I29" s="25"/>
      <c r="J29" s="26"/>
    </row>
    <row r="30" spans="1:10" ht="13.5" customHeight="1" x14ac:dyDescent="0.2">
      <c r="A30" s="171"/>
      <c r="B30" s="172"/>
      <c r="C30" s="34" t="s">
        <v>1828</v>
      </c>
      <c r="D30" s="42"/>
      <c r="E30" s="43"/>
      <c r="F30" s="173"/>
      <c r="G30" s="23"/>
      <c r="H30" s="24">
        <v>12.3</v>
      </c>
      <c r="I30" s="25"/>
      <c r="J30" s="26"/>
    </row>
    <row r="31" spans="1:10" ht="13.5" customHeight="1" x14ac:dyDescent="0.2">
      <c r="A31" s="171"/>
      <c r="B31" s="172"/>
      <c r="C31" s="34" t="s">
        <v>1829</v>
      </c>
      <c r="D31" s="42"/>
      <c r="E31" s="43"/>
      <c r="F31" s="173"/>
      <c r="G31" s="23"/>
      <c r="H31" s="24">
        <v>0.8</v>
      </c>
      <c r="I31" s="25"/>
      <c r="J31" s="26"/>
    </row>
    <row r="32" spans="1:10" ht="13.5" customHeight="1" x14ac:dyDescent="0.2">
      <c r="A32" s="171"/>
      <c r="B32" s="172"/>
      <c r="C32" s="34" t="s">
        <v>1830</v>
      </c>
      <c r="D32" s="42"/>
      <c r="E32" s="43"/>
      <c r="F32" s="173"/>
      <c r="G32" s="23"/>
      <c r="H32" s="24">
        <v>15.37</v>
      </c>
      <c r="I32" s="25"/>
      <c r="J32" s="26"/>
    </row>
    <row r="33" spans="1:10" ht="13.5" customHeight="1" x14ac:dyDescent="0.2">
      <c r="A33" s="171"/>
      <c r="B33" s="172"/>
      <c r="C33" s="34" t="s">
        <v>1831</v>
      </c>
      <c r="D33" s="42"/>
      <c r="E33" s="43"/>
      <c r="F33" s="173"/>
      <c r="G33" s="23"/>
      <c r="H33" s="24">
        <v>48.9</v>
      </c>
      <c r="I33" s="25"/>
      <c r="J33" s="26"/>
    </row>
    <row r="34" spans="1:10" ht="13.5" customHeight="1" x14ac:dyDescent="0.2">
      <c r="A34" s="171"/>
      <c r="B34" s="172"/>
      <c r="C34" s="34" t="s">
        <v>1832</v>
      </c>
      <c r="D34" s="42"/>
      <c r="E34" s="43"/>
      <c r="F34" s="173"/>
      <c r="G34" s="23"/>
      <c r="H34" s="24">
        <v>12.99</v>
      </c>
      <c r="I34" s="25"/>
      <c r="J34" s="26"/>
    </row>
    <row r="35" spans="1:10" ht="13.5" customHeight="1" x14ac:dyDescent="0.2">
      <c r="A35" s="171"/>
      <c r="B35" s="172"/>
      <c r="C35" s="34" t="s">
        <v>1833</v>
      </c>
      <c r="D35" s="42"/>
      <c r="E35" s="43"/>
      <c r="F35" s="173"/>
      <c r="G35" s="23"/>
      <c r="H35" s="24">
        <v>35</v>
      </c>
      <c r="I35" s="25"/>
      <c r="J35" s="26"/>
    </row>
    <row r="36" spans="1:10" ht="13.5" customHeight="1" x14ac:dyDescent="0.2">
      <c r="A36" s="171"/>
      <c r="B36" s="172"/>
      <c r="C36" s="34" t="s">
        <v>1834</v>
      </c>
      <c r="D36" s="42"/>
      <c r="E36" s="43"/>
      <c r="F36" s="173"/>
      <c r="G36" s="23"/>
      <c r="H36" s="24">
        <v>27.6</v>
      </c>
      <c r="I36" s="25"/>
      <c r="J36" s="26"/>
    </row>
    <row r="37" spans="1:10" ht="13.5" customHeight="1" x14ac:dyDescent="0.2">
      <c r="A37" s="171"/>
      <c r="B37" s="172"/>
      <c r="C37" s="34" t="s">
        <v>1835</v>
      </c>
      <c r="D37" s="42"/>
      <c r="E37" s="43"/>
      <c r="F37" s="173"/>
      <c r="G37" s="23"/>
      <c r="H37" s="24">
        <v>19.600000000000001</v>
      </c>
      <c r="I37" s="25"/>
      <c r="J37" s="26"/>
    </row>
    <row r="38" spans="1:10" ht="13.5" customHeight="1" x14ac:dyDescent="0.2">
      <c r="A38" s="171"/>
      <c r="B38" s="172"/>
      <c r="C38" s="34" t="s">
        <v>1836</v>
      </c>
      <c r="D38" s="42"/>
      <c r="E38" s="43"/>
      <c r="F38" s="173"/>
      <c r="G38" s="23"/>
      <c r="H38" s="24">
        <v>62</v>
      </c>
      <c r="I38" s="25"/>
      <c r="J38" s="26"/>
    </row>
    <row r="39" spans="1:10" ht="13.5" customHeight="1" x14ac:dyDescent="0.2">
      <c r="A39" s="171"/>
      <c r="B39" s="172"/>
      <c r="C39" s="34" t="s">
        <v>1837</v>
      </c>
      <c r="D39" s="42"/>
      <c r="E39" s="43"/>
      <c r="F39" s="173"/>
      <c r="G39" s="23"/>
      <c r="H39" s="24">
        <v>13.9</v>
      </c>
      <c r="I39" s="25"/>
      <c r="J39" s="26"/>
    </row>
    <row r="40" spans="1:10" ht="13.5" customHeight="1" x14ac:dyDescent="0.2">
      <c r="A40" s="171"/>
      <c r="B40" s="172"/>
      <c r="C40" s="34" t="s">
        <v>1838</v>
      </c>
      <c r="D40" s="42"/>
      <c r="E40" s="43"/>
      <c r="F40" s="173"/>
      <c r="G40" s="23"/>
      <c r="H40" s="24">
        <v>24</v>
      </c>
      <c r="I40" s="25"/>
      <c r="J40" s="26"/>
    </row>
    <row r="41" spans="1:10" ht="13.5" customHeight="1" x14ac:dyDescent="0.2">
      <c r="A41" s="171"/>
      <c r="B41" s="172"/>
      <c r="C41" s="34" t="s">
        <v>1450</v>
      </c>
      <c r="D41" s="42"/>
      <c r="E41" s="43"/>
      <c r="F41" s="173"/>
      <c r="G41" s="23"/>
      <c r="H41" s="24">
        <v>6.22</v>
      </c>
      <c r="I41" s="25"/>
      <c r="J41" s="26"/>
    </row>
    <row r="42" spans="1:10" ht="13.5" customHeight="1" x14ac:dyDescent="0.2">
      <c r="A42" s="171"/>
      <c r="B42" s="172"/>
      <c r="C42" s="34" t="s">
        <v>1839</v>
      </c>
      <c r="D42" s="42"/>
      <c r="E42" s="43"/>
      <c r="F42" s="173"/>
      <c r="G42" s="23"/>
      <c r="H42" s="24">
        <v>7</v>
      </c>
      <c r="I42" s="25"/>
      <c r="J42" s="26"/>
    </row>
    <row r="43" spans="1:10" ht="13.5" customHeight="1" x14ac:dyDescent="0.2">
      <c r="A43" s="171"/>
      <c r="B43" s="172"/>
      <c r="C43" s="34" t="s">
        <v>1840</v>
      </c>
      <c r="D43" s="42"/>
      <c r="E43" s="43"/>
      <c r="F43" s="173"/>
      <c r="G43" s="23"/>
      <c r="H43" s="24"/>
      <c r="I43" s="25">
        <v>1500</v>
      </c>
      <c r="J43" s="26"/>
    </row>
    <row r="44" spans="1:10" ht="13.5" customHeight="1" x14ac:dyDescent="0.2">
      <c r="A44" s="171">
        <v>43560</v>
      </c>
      <c r="B44" s="172"/>
      <c r="C44" s="34" t="s">
        <v>318</v>
      </c>
      <c r="D44" s="42"/>
      <c r="E44" s="43"/>
      <c r="F44" s="173"/>
      <c r="G44" s="23"/>
      <c r="H44" s="24">
        <v>520</v>
      </c>
      <c r="I44" s="25"/>
      <c r="J44" s="26"/>
    </row>
    <row r="45" spans="1:10" ht="13.5" customHeight="1" x14ac:dyDescent="0.2">
      <c r="A45" s="171"/>
      <c r="B45" s="172"/>
      <c r="C45" s="34" t="s">
        <v>52</v>
      </c>
      <c r="D45" s="42"/>
      <c r="E45" s="43"/>
      <c r="F45" s="173"/>
      <c r="G45" s="23"/>
      <c r="H45" s="24">
        <v>360</v>
      </c>
      <c r="I45" s="25"/>
      <c r="J45" s="26"/>
    </row>
    <row r="46" spans="1:10" ht="13.5" customHeight="1" x14ac:dyDescent="0.2">
      <c r="A46" s="171"/>
      <c r="B46" s="172"/>
      <c r="C46" s="34" t="s">
        <v>1841</v>
      </c>
      <c r="D46" s="42"/>
      <c r="E46" s="43"/>
      <c r="F46" s="173"/>
      <c r="G46" s="23"/>
      <c r="H46" s="24">
        <v>500</v>
      </c>
      <c r="I46" s="25"/>
      <c r="J46" s="26"/>
    </row>
    <row r="47" spans="1:10" ht="13.5" customHeight="1" x14ac:dyDescent="0.2">
      <c r="A47" s="171"/>
      <c r="B47" s="172"/>
      <c r="C47" s="34" t="s">
        <v>1842</v>
      </c>
      <c r="D47" s="42"/>
      <c r="E47" s="43"/>
      <c r="F47" s="173"/>
      <c r="G47" s="23"/>
      <c r="H47" s="24">
        <v>1270</v>
      </c>
      <c r="I47" s="25"/>
      <c r="J47" s="26">
        <v>4660.0300000000007</v>
      </c>
    </row>
    <row r="48" spans="1:10" ht="13.5" customHeight="1" x14ac:dyDescent="0.2">
      <c r="A48" s="19"/>
      <c r="B48" s="20"/>
      <c r="C48" s="34" t="s">
        <v>53</v>
      </c>
      <c r="D48" s="11" t="s">
        <v>1843</v>
      </c>
      <c r="E48" s="12">
        <v>-532.21</v>
      </c>
      <c r="F48" s="22" t="s">
        <v>549</v>
      </c>
      <c r="G48" s="23"/>
      <c r="H48" s="24"/>
      <c r="I48" s="25"/>
      <c r="J48" s="26"/>
    </row>
    <row r="49" spans="1:10" ht="13.5" customHeight="1" x14ac:dyDescent="0.2">
      <c r="A49" s="19"/>
      <c r="B49" s="20"/>
      <c r="C49" s="34" t="s">
        <v>55</v>
      </c>
      <c r="D49" s="11" t="s">
        <v>19</v>
      </c>
      <c r="E49" s="12">
        <v>-400</v>
      </c>
      <c r="F49" s="22" t="s">
        <v>549</v>
      </c>
      <c r="G49" s="23"/>
      <c r="H49" s="24"/>
      <c r="I49" s="25"/>
      <c r="J49" s="26"/>
    </row>
    <row r="50" spans="1:10" ht="13.5" customHeight="1" x14ac:dyDescent="0.2">
      <c r="A50" s="19"/>
      <c r="B50" s="20"/>
      <c r="C50" s="34" t="s">
        <v>20</v>
      </c>
      <c r="D50" s="11" t="s">
        <v>19</v>
      </c>
      <c r="E50" s="12" t="s">
        <v>549</v>
      </c>
      <c r="F50" s="22">
        <v>7.0000000000000007E-2</v>
      </c>
      <c r="G50" s="23">
        <v>60.29</v>
      </c>
      <c r="H50" s="24"/>
      <c r="I50" s="25"/>
      <c r="J50" s="26"/>
    </row>
    <row r="51" spans="1:10" ht="13.5" customHeight="1" x14ac:dyDescent="0.2">
      <c r="A51" s="171">
        <v>43563</v>
      </c>
      <c r="B51" s="172"/>
      <c r="C51" s="36" t="s">
        <v>1844</v>
      </c>
      <c r="D51" s="42"/>
      <c r="E51" s="43"/>
      <c r="F51" s="173"/>
      <c r="G51" s="23"/>
      <c r="H51" s="24">
        <v>793.85</v>
      </c>
      <c r="I51" s="25"/>
      <c r="J51" s="26"/>
    </row>
    <row r="52" spans="1:10" ht="13.5" customHeight="1" x14ac:dyDescent="0.2">
      <c r="A52" s="171"/>
      <c r="B52" s="172"/>
      <c r="C52" s="34" t="s">
        <v>1845</v>
      </c>
      <c r="D52" s="42"/>
      <c r="E52" s="43"/>
      <c r="F52" s="173"/>
      <c r="G52" s="23"/>
      <c r="H52" s="24"/>
      <c r="I52" s="25">
        <v>1975.42</v>
      </c>
      <c r="J52" s="26"/>
    </row>
    <row r="53" spans="1:10" ht="13.5" customHeight="1" x14ac:dyDescent="0.2">
      <c r="A53" s="171"/>
      <c r="B53" s="172"/>
      <c r="C53" s="34" t="s">
        <v>1846</v>
      </c>
      <c r="D53" s="42"/>
      <c r="E53" s="43"/>
      <c r="F53" s="173"/>
      <c r="G53" s="23"/>
      <c r="H53" s="174">
        <v>1865</v>
      </c>
      <c r="I53" s="25"/>
      <c r="J53" s="26">
        <v>3976.6000000000004</v>
      </c>
    </row>
    <row r="54" spans="1:10" ht="13.5" customHeight="1" x14ac:dyDescent="0.2">
      <c r="A54" s="19"/>
      <c r="B54" s="20"/>
      <c r="C54" s="34" t="s">
        <v>1846</v>
      </c>
      <c r="D54" s="11" t="s">
        <v>1847</v>
      </c>
      <c r="E54" s="12" t="s">
        <v>549</v>
      </c>
      <c r="F54" s="162">
        <v>1865</v>
      </c>
      <c r="G54" s="23">
        <v>1925.29</v>
      </c>
      <c r="H54" s="24"/>
      <c r="I54" s="25"/>
      <c r="J54" s="39"/>
    </row>
    <row r="55" spans="1:10" ht="13.5" customHeight="1" x14ac:dyDescent="0.2">
      <c r="A55" s="171">
        <v>43564</v>
      </c>
      <c r="B55" s="172"/>
      <c r="C55" s="34" t="s">
        <v>1848</v>
      </c>
      <c r="D55" s="42"/>
      <c r="E55" s="43"/>
      <c r="F55" s="173"/>
      <c r="G55" s="23"/>
      <c r="H55" s="24"/>
      <c r="I55" s="25">
        <v>1490</v>
      </c>
      <c r="J55" s="26"/>
    </row>
    <row r="56" spans="1:10" ht="13.5" customHeight="1" x14ac:dyDescent="0.2">
      <c r="A56" s="171"/>
      <c r="B56" s="172"/>
      <c r="C56" s="34" t="s">
        <v>1849</v>
      </c>
      <c r="D56" s="42"/>
      <c r="E56" s="43"/>
      <c r="F56" s="173"/>
      <c r="G56" s="23"/>
      <c r="H56" s="24"/>
      <c r="I56" s="25">
        <v>190</v>
      </c>
      <c r="J56" s="26">
        <v>5656.6</v>
      </c>
    </row>
    <row r="57" spans="1:10" ht="13.5" customHeight="1" x14ac:dyDescent="0.2">
      <c r="A57" s="19"/>
      <c r="B57" s="20"/>
      <c r="C57" s="34" t="s">
        <v>62</v>
      </c>
      <c r="D57" s="11" t="s">
        <v>19</v>
      </c>
      <c r="E57" s="12">
        <v>-449.87</v>
      </c>
      <c r="F57" s="22" t="s">
        <v>549</v>
      </c>
      <c r="G57" s="23"/>
      <c r="H57" s="24"/>
      <c r="I57" s="25"/>
      <c r="J57" s="26"/>
    </row>
    <row r="58" spans="1:10" ht="13.5" customHeight="1" x14ac:dyDescent="0.2">
      <c r="A58" s="19"/>
      <c r="B58" s="20"/>
      <c r="C58" s="34" t="s">
        <v>20</v>
      </c>
      <c r="D58" s="11" t="s">
        <v>19</v>
      </c>
      <c r="E58" s="12" t="s">
        <v>549</v>
      </c>
      <c r="F58" s="22">
        <v>0.01</v>
      </c>
      <c r="G58" s="23">
        <v>1475.43</v>
      </c>
      <c r="H58" s="24"/>
      <c r="I58" s="25"/>
      <c r="J58" s="26"/>
    </row>
    <row r="59" spans="1:10" ht="13.5" customHeight="1" x14ac:dyDescent="0.2">
      <c r="A59" s="171">
        <v>43565</v>
      </c>
      <c r="B59" s="172"/>
      <c r="C59" s="34" t="s">
        <v>1850</v>
      </c>
      <c r="D59" s="42"/>
      <c r="E59" s="43"/>
      <c r="F59" s="173"/>
      <c r="G59" s="23"/>
      <c r="H59" s="24"/>
      <c r="I59" s="25">
        <v>5000</v>
      </c>
      <c r="J59" s="26"/>
    </row>
    <row r="60" spans="1:10" ht="13.5" customHeight="1" x14ac:dyDescent="0.2">
      <c r="A60" s="171"/>
      <c r="B60" s="172"/>
      <c r="C60" s="34" t="s">
        <v>1851</v>
      </c>
      <c r="D60" s="42"/>
      <c r="E60" s="43"/>
      <c r="F60" s="173"/>
      <c r="G60" s="23"/>
      <c r="H60" s="24">
        <v>5000</v>
      </c>
      <c r="I60" s="25"/>
      <c r="J60" s="26"/>
    </row>
    <row r="61" spans="1:10" ht="13.5" customHeight="1" x14ac:dyDescent="0.2">
      <c r="A61" s="171"/>
      <c r="B61" s="172"/>
      <c r="C61" s="34" t="s">
        <v>1852</v>
      </c>
      <c r="D61" s="42"/>
      <c r="E61" s="43"/>
      <c r="F61" s="173"/>
      <c r="G61" s="23"/>
      <c r="H61" s="24">
        <v>2000</v>
      </c>
      <c r="I61" s="25"/>
      <c r="J61" s="26">
        <v>3656.6000000000004</v>
      </c>
    </row>
    <row r="62" spans="1:10" ht="13.5" customHeight="1" x14ac:dyDescent="0.2">
      <c r="A62" s="19"/>
      <c r="B62" s="20"/>
      <c r="C62" s="34" t="s">
        <v>82</v>
      </c>
      <c r="D62" s="11" t="s">
        <v>1853</v>
      </c>
      <c r="E62" s="12">
        <v>-990.26</v>
      </c>
      <c r="F62" s="22" t="s">
        <v>549</v>
      </c>
      <c r="G62" s="23"/>
      <c r="H62" s="24"/>
      <c r="I62" s="25"/>
      <c r="J62" s="26"/>
    </row>
    <row r="63" spans="1:10" ht="13.5" customHeight="1" x14ac:dyDescent="0.2">
      <c r="A63" s="19"/>
      <c r="B63" s="20"/>
      <c r="C63" s="34" t="s">
        <v>68</v>
      </c>
      <c r="D63" s="11" t="s">
        <v>19</v>
      </c>
      <c r="E63" s="12">
        <v>-129.9</v>
      </c>
      <c r="F63" s="22" t="s">
        <v>549</v>
      </c>
      <c r="G63" s="23"/>
      <c r="H63" s="24"/>
      <c r="I63" s="25"/>
      <c r="J63" s="26"/>
    </row>
    <row r="64" spans="1:10" ht="13.5" customHeight="1" x14ac:dyDescent="0.2">
      <c r="A64" s="19"/>
      <c r="B64" s="20"/>
      <c r="C64" s="34" t="s">
        <v>20</v>
      </c>
      <c r="D64" s="11" t="s">
        <v>19</v>
      </c>
      <c r="E64" s="12" t="s">
        <v>549</v>
      </c>
      <c r="F64" s="22">
        <v>0.01</v>
      </c>
      <c r="G64" s="23">
        <v>355.28</v>
      </c>
      <c r="H64" s="24"/>
      <c r="I64" s="25"/>
      <c r="J64" s="26"/>
    </row>
    <row r="65" spans="1:10" ht="13.5" customHeight="1" x14ac:dyDescent="0.2">
      <c r="A65" s="171">
        <v>43566</v>
      </c>
      <c r="B65" s="172"/>
      <c r="C65" s="34" t="s">
        <v>1854</v>
      </c>
      <c r="D65" s="42"/>
      <c r="E65" s="43"/>
      <c r="F65" s="173"/>
      <c r="G65" s="23"/>
      <c r="H65" s="24">
        <v>412.5</v>
      </c>
      <c r="I65" s="25"/>
      <c r="J65" s="26"/>
    </row>
    <row r="66" spans="1:10" ht="13.5" customHeight="1" x14ac:dyDescent="0.2">
      <c r="A66" s="171"/>
      <c r="B66" s="172"/>
      <c r="C66" s="34" t="s">
        <v>1855</v>
      </c>
      <c r="D66" s="42"/>
      <c r="E66" s="43"/>
      <c r="F66" s="173"/>
      <c r="G66" s="23"/>
      <c r="H66" s="24"/>
      <c r="I66" s="25">
        <v>555.29999999999995</v>
      </c>
      <c r="J66" s="26"/>
    </row>
    <row r="67" spans="1:10" ht="13.5" customHeight="1" x14ac:dyDescent="0.2">
      <c r="A67" s="171"/>
      <c r="B67" s="172"/>
      <c r="C67" s="34" t="s">
        <v>1856</v>
      </c>
      <c r="D67" s="42"/>
      <c r="E67" s="43"/>
      <c r="F67" s="173"/>
      <c r="G67" s="23"/>
      <c r="H67" s="24"/>
      <c r="I67" s="25">
        <v>70</v>
      </c>
      <c r="J67" s="26"/>
    </row>
    <row r="68" spans="1:10" ht="13.5" customHeight="1" x14ac:dyDescent="0.2">
      <c r="A68" s="171"/>
      <c r="B68" s="172"/>
      <c r="C68" s="34" t="s">
        <v>1857</v>
      </c>
      <c r="D68" s="42"/>
      <c r="E68" s="43"/>
      <c r="F68" s="173"/>
      <c r="G68" s="23"/>
      <c r="H68" s="24"/>
      <c r="I68" s="25">
        <v>80</v>
      </c>
      <c r="J68" s="26">
        <v>3949.4000000000005</v>
      </c>
    </row>
    <row r="69" spans="1:10" ht="13.5" customHeight="1" x14ac:dyDescent="0.2">
      <c r="A69" s="171">
        <v>43567</v>
      </c>
      <c r="B69" s="172"/>
      <c r="C69" s="34" t="s">
        <v>318</v>
      </c>
      <c r="D69" s="42"/>
      <c r="E69" s="43"/>
      <c r="F69" s="173"/>
      <c r="G69" s="23"/>
      <c r="H69" s="24">
        <v>650</v>
      </c>
      <c r="I69" s="25"/>
      <c r="J69" s="26"/>
    </row>
    <row r="70" spans="1:10" ht="13.5" customHeight="1" x14ac:dyDescent="0.2">
      <c r="A70" s="171"/>
      <c r="B70" s="172"/>
      <c r="C70" s="34" t="s">
        <v>52</v>
      </c>
      <c r="D70" s="42"/>
      <c r="E70" s="43"/>
      <c r="F70" s="173"/>
      <c r="G70" s="23"/>
      <c r="H70" s="24">
        <v>450</v>
      </c>
      <c r="I70" s="25"/>
      <c r="J70" s="26">
        <v>2849.4000000000005</v>
      </c>
    </row>
    <row r="71" spans="1:10" ht="13.5" customHeight="1" x14ac:dyDescent="0.2">
      <c r="A71" s="46"/>
      <c r="B71" s="46"/>
      <c r="C71" s="34" t="s">
        <v>87</v>
      </c>
      <c r="D71" s="42" t="s">
        <v>19</v>
      </c>
      <c r="E71" s="43">
        <v>-37.93</v>
      </c>
      <c r="F71" s="43" t="s">
        <v>549</v>
      </c>
      <c r="G71" s="23"/>
      <c r="H71" s="24"/>
      <c r="I71" s="25"/>
      <c r="J71" s="26"/>
    </row>
    <row r="72" spans="1:10" ht="13.5" customHeight="1" x14ac:dyDescent="0.2">
      <c r="A72" s="19"/>
      <c r="B72" s="20"/>
      <c r="C72" s="34" t="s">
        <v>1858</v>
      </c>
      <c r="D72" s="11" t="s">
        <v>1859</v>
      </c>
      <c r="E72" s="12">
        <v>-230</v>
      </c>
      <c r="F72" s="22" t="s">
        <v>549</v>
      </c>
      <c r="G72" s="23"/>
      <c r="H72" s="24"/>
      <c r="I72" s="25"/>
      <c r="J72" s="26"/>
    </row>
    <row r="73" spans="1:10" ht="13.5" customHeight="1" x14ac:dyDescent="0.2">
      <c r="A73" s="19"/>
      <c r="B73" s="20"/>
      <c r="C73" s="34" t="s">
        <v>1860</v>
      </c>
      <c r="D73" s="11" t="s">
        <v>1861</v>
      </c>
      <c r="E73" s="12">
        <v>-600</v>
      </c>
      <c r="F73" s="22" t="s">
        <v>549</v>
      </c>
      <c r="G73" s="23"/>
      <c r="H73" s="24"/>
      <c r="I73" s="25"/>
      <c r="J73" s="26"/>
    </row>
    <row r="74" spans="1:10" ht="13.5" customHeight="1" x14ac:dyDescent="0.2">
      <c r="A74" s="19"/>
      <c r="B74" s="20"/>
      <c r="C74" s="34" t="s">
        <v>20</v>
      </c>
      <c r="D74" s="11" t="s">
        <v>19</v>
      </c>
      <c r="E74" s="12" t="s">
        <v>549</v>
      </c>
      <c r="F74" s="22">
        <v>0.01</v>
      </c>
      <c r="G74" s="23">
        <v>-512.64</v>
      </c>
      <c r="H74" s="24"/>
      <c r="I74" s="25"/>
      <c r="J74" s="26"/>
    </row>
    <row r="75" spans="1:10" ht="13.5" customHeight="1" x14ac:dyDescent="0.2">
      <c r="A75" s="171">
        <v>43568</v>
      </c>
      <c r="B75" s="172"/>
      <c r="C75" s="34" t="s">
        <v>1862</v>
      </c>
      <c r="D75" s="42"/>
      <c r="E75" s="43"/>
      <c r="F75" s="173"/>
      <c r="G75" s="23"/>
      <c r="H75" s="24">
        <v>500</v>
      </c>
      <c r="I75" s="25"/>
      <c r="J75" s="26">
        <v>2349.4000000000005</v>
      </c>
    </row>
    <row r="76" spans="1:10" ht="13.5" customHeight="1" x14ac:dyDescent="0.2">
      <c r="A76" s="171">
        <v>43570</v>
      </c>
      <c r="B76" s="172"/>
      <c r="C76" s="34" t="s">
        <v>1863</v>
      </c>
      <c r="D76" s="42"/>
      <c r="E76" s="43"/>
      <c r="F76" s="173"/>
      <c r="G76" s="23"/>
      <c r="H76" s="24"/>
      <c r="I76" s="25">
        <v>7750</v>
      </c>
      <c r="J76" s="26"/>
    </row>
    <row r="77" spans="1:10" ht="13.5" customHeight="1" x14ac:dyDescent="0.2">
      <c r="A77" s="171"/>
      <c r="B77" s="172"/>
      <c r="C77" s="34" t="s">
        <v>1864</v>
      </c>
      <c r="D77" s="42"/>
      <c r="E77" s="43"/>
      <c r="F77" s="173"/>
      <c r="G77" s="23"/>
      <c r="H77" s="24"/>
      <c r="I77" s="25">
        <v>525</v>
      </c>
      <c r="J77" s="26">
        <v>10624.400000000001</v>
      </c>
    </row>
    <row r="78" spans="1:10" ht="13.5" customHeight="1" x14ac:dyDescent="0.2">
      <c r="A78" s="19"/>
      <c r="B78" s="27"/>
      <c r="C78" s="34" t="s">
        <v>86</v>
      </c>
      <c r="D78" s="11" t="s">
        <v>19</v>
      </c>
      <c r="E78" s="27">
        <v>-72.900000000000006</v>
      </c>
      <c r="F78" s="27" t="s">
        <v>549</v>
      </c>
      <c r="G78" s="23"/>
      <c r="H78" s="38"/>
      <c r="I78" s="38"/>
      <c r="J78" s="39"/>
    </row>
    <row r="79" spans="1:10" ht="13.5" customHeight="1" x14ac:dyDescent="0.2">
      <c r="A79" s="46"/>
      <c r="B79" s="46"/>
      <c r="C79" s="21" t="s">
        <v>113</v>
      </c>
      <c r="D79" s="42" t="s">
        <v>1865</v>
      </c>
      <c r="E79" s="43">
        <v>-267</v>
      </c>
      <c r="F79" s="43" t="s">
        <v>549</v>
      </c>
      <c r="G79" s="23">
        <v>-852.54</v>
      </c>
      <c r="H79" s="24"/>
      <c r="I79" s="25"/>
      <c r="J79" s="26"/>
    </row>
    <row r="80" spans="1:10" ht="13.5" customHeight="1" x14ac:dyDescent="0.2">
      <c r="A80" s="171">
        <v>43571</v>
      </c>
      <c r="B80" s="172"/>
      <c r="C80" s="34" t="s">
        <v>1866</v>
      </c>
      <c r="D80" s="42"/>
      <c r="E80" s="43"/>
      <c r="F80" s="173"/>
      <c r="G80" s="23"/>
      <c r="H80" s="174">
        <v>8275</v>
      </c>
      <c r="I80" s="25"/>
      <c r="J80" s="26">
        <v>2349.4000000000015</v>
      </c>
    </row>
    <row r="81" spans="1:10" ht="13.5" customHeight="1" x14ac:dyDescent="0.2">
      <c r="A81" s="171"/>
      <c r="B81" s="172"/>
      <c r="C81" s="34" t="s">
        <v>1867</v>
      </c>
      <c r="D81" s="42"/>
      <c r="E81" s="43"/>
      <c r="F81" s="173"/>
      <c r="G81" s="23"/>
      <c r="H81" s="24"/>
      <c r="I81" s="25">
        <v>2050</v>
      </c>
      <c r="J81" s="26">
        <v>4399.4000000000015</v>
      </c>
    </row>
    <row r="82" spans="1:10" ht="13.5" customHeight="1" x14ac:dyDescent="0.2">
      <c r="A82" s="171"/>
      <c r="B82" s="172"/>
      <c r="C82" s="34" t="s">
        <v>1868</v>
      </c>
      <c r="D82" s="42"/>
      <c r="E82" s="43"/>
      <c r="F82" s="173"/>
      <c r="G82" s="23"/>
      <c r="H82" s="24">
        <v>100</v>
      </c>
      <c r="I82" s="25"/>
      <c r="J82" s="26">
        <v>4299.4000000000015</v>
      </c>
    </row>
    <row r="83" spans="1:10" ht="13.5" customHeight="1" x14ac:dyDescent="0.2">
      <c r="A83" s="46"/>
      <c r="B83" s="46"/>
      <c r="C83" s="34" t="s">
        <v>1869</v>
      </c>
      <c r="D83" s="42" t="s">
        <v>19</v>
      </c>
      <c r="E83" s="43">
        <v>-193.78</v>
      </c>
      <c r="F83" s="43" t="s">
        <v>549</v>
      </c>
      <c r="G83" s="23">
        <v>-1046.32</v>
      </c>
      <c r="H83" s="24"/>
      <c r="I83" s="25"/>
      <c r="J83" s="26"/>
    </row>
    <row r="84" spans="1:10" ht="13.5" customHeight="1" x14ac:dyDescent="0.2">
      <c r="A84" s="171"/>
      <c r="B84" s="172"/>
      <c r="C84" s="34" t="s">
        <v>1870</v>
      </c>
      <c r="D84" s="42" t="s">
        <v>19</v>
      </c>
      <c r="E84" s="43">
        <v>-104.71</v>
      </c>
      <c r="F84" s="173" t="s">
        <v>549</v>
      </c>
      <c r="G84" s="23">
        <v>-1151.03</v>
      </c>
      <c r="H84" s="24"/>
      <c r="I84" s="25"/>
      <c r="J84" s="26"/>
    </row>
    <row r="85" spans="1:10" ht="13.5" customHeight="1" x14ac:dyDescent="0.2">
      <c r="A85" s="171"/>
      <c r="B85" s="172"/>
      <c r="C85" s="34" t="s">
        <v>1625</v>
      </c>
      <c r="D85" s="42" t="s">
        <v>1871</v>
      </c>
      <c r="E85" s="43" t="s">
        <v>549</v>
      </c>
      <c r="F85" s="175">
        <v>4000</v>
      </c>
      <c r="G85" s="23">
        <v>2848.97</v>
      </c>
      <c r="H85" s="24"/>
      <c r="I85" s="25"/>
      <c r="J85" s="26"/>
    </row>
    <row r="86" spans="1:10" ht="13.5" customHeight="1" x14ac:dyDescent="0.2">
      <c r="A86" s="171">
        <v>43572</v>
      </c>
      <c r="B86" s="172"/>
      <c r="C86" s="34" t="s">
        <v>1872</v>
      </c>
      <c r="D86" s="42"/>
      <c r="E86" s="43"/>
      <c r="F86" s="173"/>
      <c r="G86" s="23"/>
      <c r="H86" s="24"/>
      <c r="I86" s="25">
        <v>185</v>
      </c>
      <c r="J86" s="26">
        <v>4484.4000000000015</v>
      </c>
    </row>
    <row r="87" spans="1:10" ht="13.5" customHeight="1" x14ac:dyDescent="0.2">
      <c r="A87" s="171"/>
      <c r="B87" s="172"/>
      <c r="C87" s="34" t="s">
        <v>1873</v>
      </c>
      <c r="D87" s="42"/>
      <c r="E87" s="43"/>
      <c r="F87" s="173"/>
      <c r="G87" s="23"/>
      <c r="H87" s="24">
        <v>279</v>
      </c>
      <c r="I87" s="25"/>
      <c r="J87" s="26">
        <v>4205.4000000000015</v>
      </c>
    </row>
    <row r="88" spans="1:10" ht="13.5" customHeight="1" x14ac:dyDescent="0.2">
      <c r="A88" s="171"/>
      <c r="B88" s="172"/>
      <c r="C88" s="34" t="s">
        <v>109</v>
      </c>
      <c r="D88" s="42" t="s">
        <v>19</v>
      </c>
      <c r="E88" s="43">
        <v>-26.71</v>
      </c>
      <c r="F88" s="173" t="s">
        <v>549</v>
      </c>
      <c r="G88" s="23">
        <v>2822.26</v>
      </c>
      <c r="H88" s="24"/>
      <c r="I88" s="25"/>
      <c r="J88" s="26"/>
    </row>
    <row r="89" spans="1:10" ht="13.5" customHeight="1" x14ac:dyDescent="0.2">
      <c r="A89" s="171"/>
      <c r="B89" s="172"/>
      <c r="C89" s="34" t="s">
        <v>18</v>
      </c>
      <c r="D89" s="42" t="s">
        <v>19</v>
      </c>
      <c r="E89" s="43">
        <v>-360.64</v>
      </c>
      <c r="F89" s="173" t="s">
        <v>549</v>
      </c>
      <c r="G89" s="23">
        <v>2461.62</v>
      </c>
      <c r="H89" s="24"/>
      <c r="I89" s="25"/>
      <c r="J89" s="26"/>
    </row>
    <row r="90" spans="1:10" ht="13.5" customHeight="1" x14ac:dyDescent="0.2">
      <c r="A90" s="171"/>
      <c r="B90" s="172"/>
      <c r="C90" s="34" t="s">
        <v>673</v>
      </c>
      <c r="D90" s="42" t="s">
        <v>19</v>
      </c>
      <c r="E90" s="43">
        <v>-114.98</v>
      </c>
      <c r="F90" s="173" t="s">
        <v>549</v>
      </c>
      <c r="G90" s="23">
        <v>2346.64</v>
      </c>
      <c r="H90" s="24"/>
      <c r="I90" s="25"/>
      <c r="J90" s="26"/>
    </row>
    <row r="91" spans="1:10" ht="13.5" customHeight="1" x14ac:dyDescent="0.2">
      <c r="A91" s="171"/>
      <c r="B91" s="172"/>
      <c r="C91" s="33" t="s">
        <v>81</v>
      </c>
      <c r="D91" s="42" t="s">
        <v>19</v>
      </c>
      <c r="E91" s="43">
        <v>-49.9</v>
      </c>
      <c r="F91" s="173" t="s">
        <v>549</v>
      </c>
      <c r="G91" s="23">
        <v>2296.7399999999998</v>
      </c>
      <c r="H91" s="24"/>
      <c r="I91" s="25"/>
      <c r="J91" s="26"/>
    </row>
    <row r="92" spans="1:10" ht="13.5" customHeight="1" x14ac:dyDescent="0.2">
      <c r="A92" s="171">
        <v>43573</v>
      </c>
      <c r="B92" s="172"/>
      <c r="C92" s="34" t="s">
        <v>1874</v>
      </c>
      <c r="D92" s="42"/>
      <c r="E92" s="43"/>
      <c r="F92" s="173"/>
      <c r="G92" s="23"/>
      <c r="H92" s="24">
        <v>55.97</v>
      </c>
      <c r="I92" s="25"/>
      <c r="J92" s="26"/>
    </row>
    <row r="93" spans="1:10" ht="13.5" customHeight="1" x14ac:dyDescent="0.2">
      <c r="A93" s="171"/>
      <c r="B93" s="172"/>
      <c r="C93" s="34" t="s">
        <v>1875</v>
      </c>
      <c r="D93" s="42"/>
      <c r="E93" s="43"/>
      <c r="F93" s="173"/>
      <c r="G93" s="23"/>
      <c r="H93" s="24">
        <v>22.46</v>
      </c>
      <c r="I93" s="25"/>
      <c r="J93" s="26"/>
    </row>
    <row r="94" spans="1:10" ht="13.5" customHeight="1" x14ac:dyDescent="0.2">
      <c r="A94" s="171"/>
      <c r="B94" s="172"/>
      <c r="C94" s="34" t="s">
        <v>1834</v>
      </c>
      <c r="D94" s="42"/>
      <c r="E94" s="43"/>
      <c r="F94" s="173"/>
      <c r="G94" s="23"/>
      <c r="H94" s="24">
        <v>31.5</v>
      </c>
      <c r="I94" s="25"/>
      <c r="J94" s="26"/>
    </row>
    <row r="95" spans="1:10" ht="13.5" customHeight="1" x14ac:dyDescent="0.2">
      <c r="A95" s="171"/>
      <c r="B95" s="172"/>
      <c r="C95" s="34" t="s">
        <v>1876</v>
      </c>
      <c r="D95" s="42"/>
      <c r="E95" s="43"/>
      <c r="F95" s="173"/>
      <c r="G95" s="23"/>
      <c r="H95" s="24">
        <v>4.45</v>
      </c>
      <c r="I95" s="25"/>
      <c r="J95" s="26"/>
    </row>
    <row r="96" spans="1:10" ht="13.5" customHeight="1" x14ac:dyDescent="0.2">
      <c r="A96" s="171"/>
      <c r="B96" s="172"/>
      <c r="C96" s="34" t="s">
        <v>1877</v>
      </c>
      <c r="D96" s="42"/>
      <c r="E96" s="43"/>
      <c r="F96" s="173"/>
      <c r="G96" s="23"/>
      <c r="H96" s="24">
        <v>16.95</v>
      </c>
      <c r="I96" s="25"/>
      <c r="J96" s="26"/>
    </row>
    <row r="97" spans="1:10" ht="13.5" customHeight="1" x14ac:dyDescent="0.2">
      <c r="A97" s="171"/>
      <c r="B97" s="172"/>
      <c r="C97" s="34" t="s">
        <v>1878</v>
      </c>
      <c r="D97" s="42"/>
      <c r="E97" s="43"/>
      <c r="F97" s="173"/>
      <c r="G97" s="23"/>
      <c r="H97" s="24">
        <v>7.5</v>
      </c>
      <c r="I97" s="25"/>
      <c r="J97" s="26"/>
    </row>
    <row r="98" spans="1:10" ht="13.5" customHeight="1" x14ac:dyDescent="0.2">
      <c r="A98" s="171"/>
      <c r="B98" s="172"/>
      <c r="C98" s="34" t="s">
        <v>1879</v>
      </c>
      <c r="D98" s="42"/>
      <c r="E98" s="43"/>
      <c r="F98" s="173"/>
      <c r="G98" s="23"/>
      <c r="H98" s="24">
        <v>18.93</v>
      </c>
      <c r="I98" s="25"/>
      <c r="J98" s="26"/>
    </row>
    <row r="99" spans="1:10" ht="13.5" customHeight="1" x14ac:dyDescent="0.2">
      <c r="A99" s="171"/>
      <c r="B99" s="172"/>
      <c r="C99" s="34" t="s">
        <v>1880</v>
      </c>
      <c r="D99" s="42"/>
      <c r="E99" s="43"/>
      <c r="F99" s="173"/>
      <c r="G99" s="23"/>
      <c r="H99" s="24">
        <v>5.9</v>
      </c>
      <c r="I99" s="25"/>
      <c r="J99" s="26"/>
    </row>
    <row r="100" spans="1:10" ht="13.5" customHeight="1" x14ac:dyDescent="0.2">
      <c r="A100" s="171"/>
      <c r="B100" s="172"/>
      <c r="C100" s="34" t="s">
        <v>1881</v>
      </c>
      <c r="D100" s="42"/>
      <c r="E100" s="43"/>
      <c r="F100" s="173"/>
      <c r="G100" s="23"/>
      <c r="H100" s="24">
        <v>12.25</v>
      </c>
      <c r="I100" s="25"/>
      <c r="J100" s="26"/>
    </row>
    <row r="101" spans="1:10" ht="13.5" customHeight="1" x14ac:dyDescent="0.2">
      <c r="A101" s="171"/>
      <c r="B101" s="172"/>
      <c r="C101" s="34" t="s">
        <v>1882</v>
      </c>
      <c r="D101" s="42"/>
      <c r="E101" s="43"/>
      <c r="F101" s="173"/>
      <c r="G101" s="23"/>
      <c r="H101" s="24">
        <v>40</v>
      </c>
      <c r="I101" s="25"/>
      <c r="J101" s="26"/>
    </row>
    <row r="102" spans="1:10" ht="13.5" customHeight="1" x14ac:dyDescent="0.2">
      <c r="A102" s="171"/>
      <c r="B102" s="172"/>
      <c r="C102" s="34" t="s">
        <v>1834</v>
      </c>
      <c r="D102" s="42"/>
      <c r="E102" s="43"/>
      <c r="F102" s="173"/>
      <c r="G102" s="23"/>
      <c r="H102" s="24">
        <v>24</v>
      </c>
      <c r="I102" s="25"/>
      <c r="J102" s="26"/>
    </row>
    <row r="103" spans="1:10" ht="13.5" customHeight="1" x14ac:dyDescent="0.2">
      <c r="A103" s="171"/>
      <c r="B103" s="172"/>
      <c r="C103" s="34" t="s">
        <v>1883</v>
      </c>
      <c r="D103" s="42"/>
      <c r="E103" s="43"/>
      <c r="F103" s="173"/>
      <c r="G103" s="23"/>
      <c r="H103" s="24">
        <v>34</v>
      </c>
      <c r="I103" s="25"/>
      <c r="J103" s="26"/>
    </row>
    <row r="104" spans="1:10" ht="13.5" customHeight="1" x14ac:dyDescent="0.2">
      <c r="A104" s="171"/>
      <c r="B104" s="172"/>
      <c r="C104" s="34" t="s">
        <v>1884</v>
      </c>
      <c r="D104" s="42"/>
      <c r="E104" s="43"/>
      <c r="F104" s="173"/>
      <c r="G104" s="23"/>
      <c r="H104" s="24"/>
      <c r="I104" s="25">
        <v>1290</v>
      </c>
      <c r="J104" s="26"/>
    </row>
    <row r="105" spans="1:10" ht="13.5" customHeight="1" x14ac:dyDescent="0.2">
      <c r="A105" s="171"/>
      <c r="B105" s="172"/>
      <c r="C105" s="34" t="s">
        <v>1885</v>
      </c>
      <c r="D105" s="42"/>
      <c r="E105" s="43"/>
      <c r="F105" s="173"/>
      <c r="G105" s="23"/>
      <c r="H105" s="24">
        <v>520</v>
      </c>
      <c r="I105" s="25"/>
      <c r="J105" s="26"/>
    </row>
    <row r="106" spans="1:10" ht="13.5" customHeight="1" x14ac:dyDescent="0.2">
      <c r="A106" s="171"/>
      <c r="B106" s="172"/>
      <c r="C106" s="34" t="s">
        <v>1886</v>
      </c>
      <c r="D106" s="42"/>
      <c r="E106" s="43"/>
      <c r="F106" s="173"/>
      <c r="G106" s="23"/>
      <c r="H106" s="24">
        <v>360</v>
      </c>
      <c r="I106" s="25"/>
      <c r="J106" s="26"/>
    </row>
    <row r="107" spans="1:10" ht="13.5" customHeight="1" x14ac:dyDescent="0.2">
      <c r="A107" s="171"/>
      <c r="B107" s="172"/>
      <c r="C107" s="34" t="s">
        <v>1887</v>
      </c>
      <c r="D107" s="42"/>
      <c r="E107" s="43"/>
      <c r="F107" s="173"/>
      <c r="G107" s="23"/>
      <c r="H107" s="24">
        <v>70</v>
      </c>
      <c r="I107" s="25"/>
      <c r="J107" s="26"/>
    </row>
    <row r="108" spans="1:10" ht="13.5" customHeight="1" x14ac:dyDescent="0.2">
      <c r="A108" s="171"/>
      <c r="B108" s="172"/>
      <c r="C108" s="34" t="s">
        <v>1888</v>
      </c>
      <c r="D108" s="42"/>
      <c r="E108" s="43"/>
      <c r="F108" s="173"/>
      <c r="G108" s="23"/>
      <c r="H108" s="24">
        <v>50</v>
      </c>
      <c r="I108" s="25"/>
      <c r="J108" s="26"/>
    </row>
    <row r="109" spans="1:10" ht="13.5" customHeight="1" x14ac:dyDescent="0.2">
      <c r="A109" s="171"/>
      <c r="B109" s="172"/>
      <c r="C109" s="34" t="s">
        <v>1889</v>
      </c>
      <c r="D109" s="42"/>
      <c r="E109" s="43"/>
      <c r="F109" s="173"/>
      <c r="G109" s="23"/>
      <c r="H109" s="24">
        <v>50</v>
      </c>
      <c r="I109" s="25"/>
      <c r="J109" s="26"/>
    </row>
    <row r="110" spans="1:10" ht="13.5" customHeight="1" x14ac:dyDescent="0.2">
      <c r="A110" s="171"/>
      <c r="B110" s="172"/>
      <c r="C110" s="34" t="s">
        <v>1834</v>
      </c>
      <c r="D110" s="42"/>
      <c r="E110" s="43"/>
      <c r="F110" s="173"/>
      <c r="G110" s="23"/>
      <c r="H110" s="24">
        <v>28</v>
      </c>
      <c r="I110" s="25"/>
      <c r="J110" s="26"/>
    </row>
    <row r="111" spans="1:10" ht="13.5" customHeight="1" x14ac:dyDescent="0.2">
      <c r="A111" s="171"/>
      <c r="B111" s="172"/>
      <c r="C111" s="34" t="s">
        <v>1890</v>
      </c>
      <c r="D111" s="42"/>
      <c r="E111" s="43"/>
      <c r="F111" s="173"/>
      <c r="G111" s="23"/>
      <c r="H111" s="24">
        <v>26.98</v>
      </c>
      <c r="I111" s="25"/>
      <c r="J111" s="26"/>
    </row>
    <row r="112" spans="1:10" ht="13.5" customHeight="1" x14ac:dyDescent="0.2">
      <c r="A112" s="171"/>
      <c r="B112" s="172"/>
      <c r="C112" s="34" t="s">
        <v>1891</v>
      </c>
      <c r="D112" s="42"/>
      <c r="E112" s="43"/>
      <c r="F112" s="173"/>
      <c r="G112" s="23"/>
      <c r="H112" s="24">
        <v>3.99</v>
      </c>
      <c r="I112" s="25"/>
      <c r="J112" s="26"/>
    </row>
    <row r="113" spans="1:10" ht="13.5" customHeight="1" x14ac:dyDescent="0.2">
      <c r="A113" s="171"/>
      <c r="B113" s="172"/>
      <c r="C113" s="34" t="s">
        <v>1892</v>
      </c>
      <c r="D113" s="42"/>
      <c r="E113" s="43"/>
      <c r="F113" s="173"/>
      <c r="G113" s="23"/>
      <c r="H113" s="24">
        <v>36</v>
      </c>
      <c r="I113" s="25"/>
      <c r="J113" s="26"/>
    </row>
    <row r="114" spans="1:10" ht="13.5" customHeight="1" x14ac:dyDescent="0.2">
      <c r="A114" s="171"/>
      <c r="B114" s="172"/>
      <c r="C114" s="34" t="s">
        <v>1893</v>
      </c>
      <c r="D114" s="42"/>
      <c r="E114" s="43"/>
      <c r="F114" s="173"/>
      <c r="G114" s="23"/>
      <c r="H114" s="24">
        <v>450</v>
      </c>
      <c r="I114" s="25"/>
      <c r="J114" s="26"/>
    </row>
    <row r="115" spans="1:10" ht="13.5" customHeight="1" x14ac:dyDescent="0.2">
      <c r="A115" s="171">
        <v>43577</v>
      </c>
      <c r="B115" s="172"/>
      <c r="C115" s="34" t="s">
        <v>1894</v>
      </c>
      <c r="D115" s="42"/>
      <c r="E115" s="43"/>
      <c r="F115" s="173"/>
      <c r="G115" s="23"/>
      <c r="H115" s="24">
        <v>19.899999999999999</v>
      </c>
      <c r="I115" s="25"/>
      <c r="J115" s="26"/>
    </row>
    <row r="116" spans="1:10" ht="13.5" customHeight="1" x14ac:dyDescent="0.2">
      <c r="A116" s="171"/>
      <c r="B116" s="172"/>
      <c r="C116" s="34" t="s">
        <v>1895</v>
      </c>
      <c r="D116" s="42"/>
      <c r="E116" s="43"/>
      <c r="F116" s="173"/>
      <c r="G116" s="23"/>
      <c r="H116" s="24"/>
      <c r="I116" s="25">
        <v>60</v>
      </c>
      <c r="J116" s="26">
        <v>3666.6200000000022</v>
      </c>
    </row>
    <row r="117" spans="1:10" ht="13.5" customHeight="1" x14ac:dyDescent="0.2">
      <c r="A117" s="171"/>
      <c r="B117" s="172"/>
      <c r="C117" s="36" t="s">
        <v>127</v>
      </c>
      <c r="D117" s="42" t="s">
        <v>19</v>
      </c>
      <c r="E117" s="43">
        <v>-30.6</v>
      </c>
      <c r="F117" s="173" t="s">
        <v>549</v>
      </c>
      <c r="G117" s="23"/>
      <c r="H117" s="24"/>
      <c r="I117" s="25"/>
      <c r="J117" s="26"/>
    </row>
    <row r="118" spans="1:10" ht="13.5" customHeight="1" x14ac:dyDescent="0.2">
      <c r="A118" s="171"/>
      <c r="B118" s="172"/>
      <c r="C118" s="36" t="s">
        <v>129</v>
      </c>
      <c r="D118" s="42" t="s">
        <v>19</v>
      </c>
      <c r="E118" s="43">
        <v>-44.53</v>
      </c>
      <c r="F118" s="173" t="s">
        <v>549</v>
      </c>
      <c r="G118" s="23"/>
      <c r="H118" s="24"/>
      <c r="I118" s="25"/>
      <c r="J118" s="26"/>
    </row>
    <row r="119" spans="1:10" ht="13.5" customHeight="1" x14ac:dyDescent="0.2">
      <c r="A119" s="171"/>
      <c r="B119" s="172"/>
      <c r="C119" s="33" t="s">
        <v>736</v>
      </c>
      <c r="D119" s="42" t="s">
        <v>19</v>
      </c>
      <c r="E119" s="43">
        <v>-46.37</v>
      </c>
      <c r="F119" s="173" t="s">
        <v>549</v>
      </c>
      <c r="G119" s="23"/>
      <c r="H119" s="24"/>
      <c r="I119" s="25"/>
      <c r="J119" s="26"/>
    </row>
    <row r="120" spans="1:10" ht="13.5" customHeight="1" x14ac:dyDescent="0.2">
      <c r="A120" s="171"/>
      <c r="B120" s="172"/>
      <c r="C120" s="36" t="s">
        <v>130</v>
      </c>
      <c r="D120" s="42" t="s">
        <v>19</v>
      </c>
      <c r="E120" s="43">
        <v>-164.6</v>
      </c>
      <c r="F120" s="173" t="s">
        <v>549</v>
      </c>
      <c r="G120" s="23"/>
      <c r="H120" s="24"/>
      <c r="I120" s="25"/>
      <c r="J120" s="26"/>
    </row>
    <row r="121" spans="1:10" ht="13.5" customHeight="1" x14ac:dyDescent="0.2">
      <c r="A121" s="171"/>
      <c r="B121" s="172"/>
      <c r="C121" s="33" t="s">
        <v>737</v>
      </c>
      <c r="D121" s="42" t="s">
        <v>19</v>
      </c>
      <c r="E121" s="43">
        <v>-377.14</v>
      </c>
      <c r="F121" s="173" t="s">
        <v>549</v>
      </c>
      <c r="G121" s="23"/>
      <c r="H121" s="24"/>
      <c r="I121" s="25"/>
      <c r="J121" s="26"/>
    </row>
    <row r="122" spans="1:10" ht="13.5" customHeight="1" x14ac:dyDescent="0.2">
      <c r="A122" s="171"/>
      <c r="B122" s="172"/>
      <c r="C122" s="34" t="s">
        <v>132</v>
      </c>
      <c r="D122" s="42" t="s">
        <v>1896</v>
      </c>
      <c r="E122" s="43">
        <v>-1083.01</v>
      </c>
      <c r="F122" s="173" t="s">
        <v>549</v>
      </c>
      <c r="G122" s="23"/>
      <c r="H122" s="24"/>
      <c r="I122" s="25"/>
      <c r="J122" s="26"/>
    </row>
    <row r="123" spans="1:10" ht="13.5" customHeight="1" x14ac:dyDescent="0.2">
      <c r="A123" s="171"/>
      <c r="B123" s="172"/>
      <c r="C123" s="34" t="s">
        <v>1897</v>
      </c>
      <c r="D123" s="42" t="s">
        <v>1898</v>
      </c>
      <c r="E123" s="43">
        <v>-44.53</v>
      </c>
      <c r="F123" s="173" t="s">
        <v>549</v>
      </c>
      <c r="G123" s="23"/>
      <c r="H123" s="24"/>
      <c r="I123" s="25"/>
      <c r="J123" s="26"/>
    </row>
    <row r="124" spans="1:10" ht="13.5" customHeight="1" x14ac:dyDescent="0.2">
      <c r="A124" s="171"/>
      <c r="B124" s="172"/>
      <c r="C124" s="34" t="s">
        <v>1899</v>
      </c>
      <c r="D124" s="42" t="s">
        <v>1900</v>
      </c>
      <c r="E124" s="43">
        <v>-525</v>
      </c>
      <c r="F124" s="173" t="s">
        <v>549</v>
      </c>
      <c r="G124" s="23"/>
      <c r="H124" s="24"/>
      <c r="I124" s="25"/>
      <c r="J124" s="26"/>
    </row>
    <row r="125" spans="1:10" ht="13.5" customHeight="1" x14ac:dyDescent="0.2">
      <c r="A125" s="171"/>
      <c r="B125" s="172"/>
      <c r="C125" s="34" t="s">
        <v>20</v>
      </c>
      <c r="D125" s="42" t="s">
        <v>19</v>
      </c>
      <c r="E125" s="43" t="s">
        <v>549</v>
      </c>
      <c r="F125" s="173">
        <v>0.02</v>
      </c>
      <c r="G125" s="23">
        <v>-19.02</v>
      </c>
      <c r="H125" s="24"/>
      <c r="I125" s="25"/>
      <c r="J125" s="26"/>
    </row>
    <row r="126" spans="1:10" ht="13.5" customHeight="1" x14ac:dyDescent="0.2">
      <c r="A126" s="171">
        <v>43578</v>
      </c>
      <c r="B126" s="172"/>
      <c r="C126" s="34" t="s">
        <v>1901</v>
      </c>
      <c r="D126" s="42"/>
      <c r="E126" s="43"/>
      <c r="F126" s="173"/>
      <c r="G126" s="23"/>
      <c r="H126" s="174">
        <v>185</v>
      </c>
      <c r="I126" s="25"/>
      <c r="J126" s="26">
        <v>3481.6200000000022</v>
      </c>
    </row>
    <row r="127" spans="1:10" ht="13.5" customHeight="1" x14ac:dyDescent="0.2">
      <c r="A127" s="171"/>
      <c r="B127" s="172"/>
      <c r="C127" s="34" t="s">
        <v>1901</v>
      </c>
      <c r="D127" s="42" t="s">
        <v>1902</v>
      </c>
      <c r="E127" s="43" t="s">
        <v>549</v>
      </c>
      <c r="F127" s="175">
        <v>185</v>
      </c>
      <c r="G127" s="23">
        <v>165.98</v>
      </c>
      <c r="H127" s="24"/>
      <c r="I127" s="25"/>
      <c r="J127" s="26"/>
    </row>
    <row r="128" spans="1:10" ht="13.5" customHeight="1" x14ac:dyDescent="0.2">
      <c r="A128" s="171">
        <v>43579</v>
      </c>
      <c r="B128" s="172"/>
      <c r="C128" s="34" t="s">
        <v>1903</v>
      </c>
      <c r="D128" s="42"/>
      <c r="E128" s="43"/>
      <c r="F128" s="173"/>
      <c r="G128" s="23"/>
      <c r="H128" s="24">
        <v>200</v>
      </c>
      <c r="I128" s="25"/>
      <c r="J128" s="26">
        <v>3281.6200000000022</v>
      </c>
    </row>
    <row r="129" spans="1:10" ht="13.5" customHeight="1" x14ac:dyDescent="0.2">
      <c r="A129" s="171"/>
      <c r="B129" s="172"/>
      <c r="C129" s="34" t="s">
        <v>161</v>
      </c>
      <c r="D129" s="42" t="s">
        <v>1310</v>
      </c>
      <c r="E129" s="43">
        <v>-1200</v>
      </c>
      <c r="F129" s="173" t="s">
        <v>549</v>
      </c>
      <c r="G129" s="23">
        <v>-1034.02</v>
      </c>
      <c r="H129" s="24"/>
      <c r="I129" s="25"/>
      <c r="J129" s="26"/>
    </row>
    <row r="130" spans="1:10" ht="13.5" customHeight="1" x14ac:dyDescent="0.2">
      <c r="A130" s="171">
        <v>43580</v>
      </c>
      <c r="B130" s="172"/>
      <c r="C130" s="34" t="s">
        <v>1904</v>
      </c>
      <c r="D130" s="42"/>
      <c r="E130" s="43"/>
      <c r="F130" s="173"/>
      <c r="G130" s="23"/>
      <c r="H130" s="24">
        <v>300</v>
      </c>
      <c r="I130" s="25"/>
      <c r="J130" s="26">
        <v>2981.6200000000022</v>
      </c>
    </row>
    <row r="131" spans="1:10" ht="13.5" customHeight="1" x14ac:dyDescent="0.2">
      <c r="A131" s="171"/>
      <c r="B131" s="172"/>
      <c r="C131" s="34" t="s">
        <v>136</v>
      </c>
      <c r="D131" s="42" t="s">
        <v>19</v>
      </c>
      <c r="E131" s="43">
        <v>-37.9</v>
      </c>
      <c r="F131" s="173" t="s">
        <v>549</v>
      </c>
      <c r="G131" s="23">
        <v>-1071.92</v>
      </c>
      <c r="H131" s="24"/>
      <c r="I131" s="25"/>
      <c r="J131" s="26"/>
    </row>
    <row r="132" spans="1:10" ht="13.5" customHeight="1" x14ac:dyDescent="0.2">
      <c r="A132" s="171"/>
      <c r="B132" s="172"/>
      <c r="C132" s="34" t="s">
        <v>1905</v>
      </c>
      <c r="D132" s="42" t="s">
        <v>329</v>
      </c>
      <c r="E132" s="43">
        <v>-44.16</v>
      </c>
      <c r="F132" s="173" t="s">
        <v>549</v>
      </c>
      <c r="G132" s="23">
        <v>-1116.08</v>
      </c>
      <c r="H132" s="24"/>
      <c r="I132" s="25"/>
      <c r="J132" s="26"/>
    </row>
    <row r="133" spans="1:10" ht="13.5" customHeight="1" x14ac:dyDescent="0.2">
      <c r="A133" s="171"/>
      <c r="B133" s="172"/>
      <c r="C133" s="34" t="s">
        <v>1625</v>
      </c>
      <c r="D133" s="42" t="s">
        <v>1906</v>
      </c>
      <c r="E133" s="43" t="s">
        <v>549</v>
      </c>
      <c r="F133" s="175">
        <v>2000</v>
      </c>
      <c r="G133" s="275">
        <v>883.92</v>
      </c>
      <c r="H133" s="24"/>
      <c r="I133" s="25"/>
      <c r="J133" s="26"/>
    </row>
    <row r="134" spans="1:10" ht="13.5" customHeight="1" x14ac:dyDescent="0.2">
      <c r="A134" s="171">
        <v>43581</v>
      </c>
      <c r="B134" s="172"/>
      <c r="C134" s="34" t="s">
        <v>1907</v>
      </c>
      <c r="D134" s="42"/>
      <c r="E134" s="43"/>
      <c r="F134" s="173"/>
      <c r="G134" s="23"/>
      <c r="H134" s="24">
        <v>650</v>
      </c>
      <c r="I134" s="25"/>
      <c r="J134" s="26"/>
    </row>
    <row r="135" spans="1:10" ht="13.5" customHeight="1" x14ac:dyDescent="0.2">
      <c r="A135" s="171"/>
      <c r="B135" s="172"/>
      <c r="C135" s="34" t="s">
        <v>1908</v>
      </c>
      <c r="D135" s="42"/>
      <c r="E135" s="43"/>
      <c r="F135" s="173"/>
      <c r="G135" s="23"/>
      <c r="H135" s="24">
        <v>450</v>
      </c>
      <c r="I135" s="25"/>
      <c r="J135" s="26">
        <v>1881.6200000000022</v>
      </c>
    </row>
    <row r="136" spans="1:10" ht="13.5" customHeight="1" x14ac:dyDescent="0.2">
      <c r="A136" s="171">
        <v>43584</v>
      </c>
      <c r="B136" s="172"/>
      <c r="C136" s="34" t="s">
        <v>1909</v>
      </c>
      <c r="D136" s="42"/>
      <c r="E136" s="43"/>
      <c r="F136" s="173"/>
      <c r="G136" s="23"/>
      <c r="H136" s="24">
        <v>450</v>
      </c>
      <c r="I136" s="25"/>
      <c r="J136" s="26"/>
    </row>
    <row r="137" spans="1:10" ht="13.5" customHeight="1" x14ac:dyDescent="0.2">
      <c r="A137" s="171"/>
      <c r="B137" s="172"/>
      <c r="C137" s="34" t="s">
        <v>1910</v>
      </c>
      <c r="D137" s="42"/>
      <c r="E137" s="43"/>
      <c r="F137" s="173"/>
      <c r="G137" s="23"/>
      <c r="H137" s="24"/>
      <c r="I137" s="25">
        <v>1595</v>
      </c>
      <c r="J137" s="26"/>
    </row>
    <row r="138" spans="1:10" ht="13.5" customHeight="1" x14ac:dyDescent="0.2">
      <c r="A138" s="171">
        <v>43585</v>
      </c>
      <c r="B138" s="172"/>
      <c r="C138" s="34" t="s">
        <v>1911</v>
      </c>
      <c r="D138" s="42"/>
      <c r="E138" s="43"/>
      <c r="F138" s="173"/>
      <c r="G138" s="23"/>
      <c r="H138" s="24">
        <v>30</v>
      </c>
      <c r="I138" s="25"/>
      <c r="J138" s="26"/>
    </row>
    <row r="139" spans="1:10" ht="13.5" customHeight="1" x14ac:dyDescent="0.2">
      <c r="A139" s="171"/>
      <c r="B139" s="172"/>
      <c r="C139" s="34" t="s">
        <v>1912</v>
      </c>
      <c r="D139" s="42"/>
      <c r="E139" s="43"/>
      <c r="F139" s="173"/>
      <c r="G139" s="23"/>
      <c r="H139" s="24">
        <v>6</v>
      </c>
      <c r="I139" s="25"/>
      <c r="J139" s="26"/>
    </row>
    <row r="140" spans="1:10" ht="13.5" customHeight="1" x14ac:dyDescent="0.2">
      <c r="A140" s="171"/>
      <c r="B140" s="172"/>
      <c r="C140" s="34" t="s">
        <v>1834</v>
      </c>
      <c r="D140" s="42"/>
      <c r="E140" s="43"/>
      <c r="F140" s="173"/>
      <c r="G140" s="23"/>
      <c r="H140" s="24">
        <v>22.8</v>
      </c>
      <c r="I140" s="25"/>
      <c r="J140" s="26"/>
    </row>
    <row r="141" spans="1:10" ht="13.5" customHeight="1" x14ac:dyDescent="0.2">
      <c r="A141" s="171"/>
      <c r="B141" s="172"/>
      <c r="C141" s="34" t="s">
        <v>1913</v>
      </c>
      <c r="D141" s="42"/>
      <c r="E141" s="43"/>
      <c r="F141" s="173"/>
      <c r="G141" s="23"/>
      <c r="H141" s="24">
        <v>6.2</v>
      </c>
      <c r="I141" s="25"/>
      <c r="J141" s="26"/>
    </row>
    <row r="142" spans="1:10" ht="13.5" customHeight="1" x14ac:dyDescent="0.2">
      <c r="A142" s="171"/>
      <c r="B142" s="172"/>
      <c r="C142" s="34" t="s">
        <v>1914</v>
      </c>
      <c r="D142" s="42"/>
      <c r="E142" s="43"/>
      <c r="F142" s="173"/>
      <c r="G142" s="23"/>
      <c r="H142" s="24">
        <v>9</v>
      </c>
      <c r="I142" s="25"/>
      <c r="J142" s="26"/>
    </row>
    <row r="143" spans="1:10" ht="13.5" customHeight="1" x14ac:dyDescent="0.2">
      <c r="A143" s="171"/>
      <c r="B143" s="172"/>
      <c r="C143" s="34" t="s">
        <v>1915</v>
      </c>
      <c r="D143" s="42"/>
      <c r="E143" s="43"/>
      <c r="F143" s="173"/>
      <c r="G143" s="23"/>
      <c r="H143" s="24">
        <v>29.7</v>
      </c>
      <c r="I143" s="25"/>
      <c r="J143" s="26"/>
    </row>
    <row r="144" spans="1:10" ht="13.5" customHeight="1" x14ac:dyDescent="0.2">
      <c r="A144" s="171"/>
      <c r="B144" s="172"/>
      <c r="C144" s="34" t="s">
        <v>1916</v>
      </c>
      <c r="D144" s="42"/>
      <c r="E144" s="43"/>
      <c r="F144" s="173"/>
      <c r="G144" s="23"/>
      <c r="H144" s="24">
        <v>14</v>
      </c>
      <c r="I144" s="25"/>
      <c r="J144" s="26"/>
    </row>
    <row r="145" spans="1:10" ht="13.5" customHeight="1" x14ac:dyDescent="0.2">
      <c r="A145" s="171"/>
      <c r="B145" s="172"/>
      <c r="C145" s="34" t="s">
        <v>1917</v>
      </c>
      <c r="D145" s="42"/>
      <c r="E145" s="43"/>
      <c r="F145" s="173"/>
      <c r="G145" s="23"/>
      <c r="H145" s="24">
        <v>21</v>
      </c>
      <c r="I145" s="25"/>
      <c r="J145" s="26"/>
    </row>
    <row r="146" spans="1:10" ht="13.5" customHeight="1" x14ac:dyDescent="0.2">
      <c r="A146" s="171"/>
      <c r="B146" s="172"/>
      <c r="C146" s="34" t="s">
        <v>1666</v>
      </c>
      <c r="D146" s="42"/>
      <c r="E146" s="43"/>
      <c r="F146" s="173"/>
      <c r="G146" s="23"/>
      <c r="H146" s="24">
        <v>55.9</v>
      </c>
      <c r="I146" s="25"/>
      <c r="J146" s="26"/>
    </row>
    <row r="147" spans="1:10" ht="13.5" customHeight="1" x14ac:dyDescent="0.2">
      <c r="A147" s="171"/>
      <c r="B147" s="172"/>
      <c r="C147" s="34" t="s">
        <v>1918</v>
      </c>
      <c r="D147" s="42"/>
      <c r="E147" s="43"/>
      <c r="F147" s="173"/>
      <c r="G147" s="23"/>
      <c r="H147" s="24">
        <v>50</v>
      </c>
      <c r="I147" s="25"/>
      <c r="J147" s="276">
        <v>2782.0200000000023</v>
      </c>
    </row>
    <row r="148" spans="1:10" ht="13.5" customHeight="1" thickBot="1" x14ac:dyDescent="0.25">
      <c r="A148" s="47"/>
      <c r="B148" s="48"/>
      <c r="C148" s="49"/>
      <c r="D148" s="50"/>
      <c r="E148" s="650">
        <f>SUM(E8:E147)</f>
        <v>-9018.1799999999985</v>
      </c>
      <c r="F148" s="649">
        <f>SUM(F4:F53,F58:F84,F125,)</f>
        <v>0.16</v>
      </c>
      <c r="G148" s="53"/>
      <c r="H148" s="648">
        <f>-SUM(H10:H51,H60:H79,H82:H125,H128:H147)</f>
        <v>-17589.670000000002</v>
      </c>
      <c r="I148" s="649">
        <f>SUM(I6:I147)</f>
        <v>27105.72</v>
      </c>
      <c r="J148" s="52"/>
    </row>
    <row r="149" spans="1:10" ht="13.5" customHeight="1" thickBot="1" x14ac:dyDescent="0.25">
      <c r="A149" s="2" t="s">
        <v>2</v>
      </c>
      <c r="B149" s="3"/>
      <c r="C149" s="3" t="s">
        <v>481</v>
      </c>
      <c r="D149" s="3" t="s">
        <v>4</v>
      </c>
      <c r="E149" s="3" t="s">
        <v>5</v>
      </c>
      <c r="F149" s="3" t="s">
        <v>6</v>
      </c>
      <c r="G149" s="5" t="s">
        <v>7</v>
      </c>
      <c r="H149" s="1415" t="s">
        <v>482</v>
      </c>
      <c r="I149" s="1416"/>
      <c r="J149" s="1417"/>
    </row>
    <row r="150" spans="1:10" ht="13.5" customHeight="1" x14ac:dyDescent="0.2">
      <c r="A150" s="8">
        <v>43556</v>
      </c>
      <c r="B150" s="56"/>
      <c r="C150" s="10" t="s">
        <v>8</v>
      </c>
      <c r="D150" s="11">
        <v>0</v>
      </c>
      <c r="E150" s="51"/>
      <c r="F150" s="12"/>
      <c r="G150" s="178">
        <v>0</v>
      </c>
      <c r="H150" s="179"/>
      <c r="I150" s="57"/>
      <c r="J150" s="58">
        <v>7293.26</v>
      </c>
    </row>
    <row r="151" spans="1:10" ht="13.5" customHeight="1" x14ac:dyDescent="0.2">
      <c r="A151" s="180"/>
      <c r="B151" s="56" t="s">
        <v>483</v>
      </c>
      <c r="C151" s="32" t="s">
        <v>1597</v>
      </c>
      <c r="D151" s="11" t="s">
        <v>488</v>
      </c>
      <c r="E151" s="181">
        <v>-0.3</v>
      </c>
      <c r="F151" s="12"/>
      <c r="G151" s="182" t="s">
        <v>483</v>
      </c>
      <c r="H151" s="59"/>
      <c r="I151" s="60"/>
      <c r="J151" s="61">
        <v>7293.26</v>
      </c>
    </row>
    <row r="152" spans="1:10" ht="13.5" customHeight="1" x14ac:dyDescent="0.2">
      <c r="A152" s="180"/>
      <c r="B152" s="56" t="s">
        <v>483</v>
      </c>
      <c r="C152" s="36" t="s">
        <v>1598</v>
      </c>
      <c r="D152" s="11" t="s">
        <v>488</v>
      </c>
      <c r="E152" s="181">
        <v>-10.09</v>
      </c>
      <c r="F152" s="12"/>
      <c r="G152" s="182" t="s">
        <v>483</v>
      </c>
      <c r="H152" s="59"/>
      <c r="I152" s="60"/>
      <c r="J152" s="61">
        <v>7293.26</v>
      </c>
    </row>
    <row r="153" spans="1:10" ht="13.5" customHeight="1" x14ac:dyDescent="0.2">
      <c r="A153" s="180"/>
      <c r="B153" s="56" t="s">
        <v>483</v>
      </c>
      <c r="C153" s="36" t="s">
        <v>174</v>
      </c>
      <c r="D153" s="11" t="s">
        <v>488</v>
      </c>
      <c r="E153" s="30"/>
      <c r="F153" s="183">
        <v>10.39</v>
      </c>
      <c r="G153" s="182">
        <v>0</v>
      </c>
      <c r="H153" s="59">
        <v>10.39</v>
      </c>
      <c r="I153" s="60"/>
      <c r="J153" s="61">
        <v>7282.87</v>
      </c>
    </row>
    <row r="154" spans="1:10" ht="13.5" customHeight="1" x14ac:dyDescent="0.2">
      <c r="A154" s="180" t="s">
        <v>1919</v>
      </c>
      <c r="B154" s="56" t="s">
        <v>483</v>
      </c>
      <c r="C154" s="36" t="s">
        <v>1920</v>
      </c>
      <c r="D154" s="11" t="s">
        <v>1921</v>
      </c>
      <c r="E154" s="181">
        <v>-145</v>
      </c>
      <c r="F154" s="12"/>
      <c r="G154" s="182" t="s">
        <v>483</v>
      </c>
      <c r="H154" s="59"/>
      <c r="I154" s="60"/>
      <c r="J154" s="61">
        <v>7282.87</v>
      </c>
    </row>
    <row r="155" spans="1:10" ht="13.5" customHeight="1" x14ac:dyDescent="0.2">
      <c r="A155" s="180"/>
      <c r="B155" s="56" t="s">
        <v>483</v>
      </c>
      <c r="C155" s="34" t="s">
        <v>1922</v>
      </c>
      <c r="D155" s="11" t="s">
        <v>1923</v>
      </c>
      <c r="E155" s="181">
        <v>-208</v>
      </c>
      <c r="F155" s="12"/>
      <c r="G155" s="182" t="s">
        <v>483</v>
      </c>
      <c r="H155" s="59"/>
      <c r="I155" s="60"/>
      <c r="J155" s="61">
        <v>7282.87</v>
      </c>
    </row>
    <row r="156" spans="1:10" ht="13.5" customHeight="1" x14ac:dyDescent="0.2">
      <c r="A156" s="180"/>
      <c r="B156" s="56" t="s">
        <v>483</v>
      </c>
      <c r="C156" s="34" t="s">
        <v>173</v>
      </c>
      <c r="D156" s="11" t="s">
        <v>1924</v>
      </c>
      <c r="E156" s="181">
        <v>-1007.27</v>
      </c>
      <c r="F156" s="12"/>
      <c r="G156" s="182" t="s">
        <v>483</v>
      </c>
      <c r="H156" s="59"/>
      <c r="I156" s="60"/>
      <c r="J156" s="61">
        <v>7282.87</v>
      </c>
    </row>
    <row r="157" spans="1:10" ht="13.5" customHeight="1" x14ac:dyDescent="0.2">
      <c r="A157" s="180"/>
      <c r="B157" s="56" t="s">
        <v>483</v>
      </c>
      <c r="C157" s="34" t="s">
        <v>172</v>
      </c>
      <c r="D157" s="11" t="s">
        <v>1925</v>
      </c>
      <c r="E157" s="181">
        <v>-608.67999999999995</v>
      </c>
      <c r="F157" s="30"/>
      <c r="G157" s="182" t="s">
        <v>483</v>
      </c>
      <c r="H157" s="59"/>
      <c r="I157" s="60"/>
      <c r="J157" s="61">
        <v>7282.87</v>
      </c>
    </row>
    <row r="158" spans="1:10" ht="13.5" customHeight="1" x14ac:dyDescent="0.2">
      <c r="A158" s="180"/>
      <c r="B158" s="56" t="s">
        <v>483</v>
      </c>
      <c r="C158" s="36" t="s">
        <v>174</v>
      </c>
      <c r="D158" s="11" t="s">
        <v>488</v>
      </c>
      <c r="E158" s="30"/>
      <c r="F158" s="181">
        <v>1968.95</v>
      </c>
      <c r="G158" s="182">
        <v>0</v>
      </c>
      <c r="H158" s="59">
        <v>1968.95</v>
      </c>
      <c r="I158" s="60"/>
      <c r="J158" s="61">
        <v>5313.92</v>
      </c>
    </row>
    <row r="159" spans="1:10" ht="13.5" customHeight="1" x14ac:dyDescent="0.2">
      <c r="A159" s="180" t="s">
        <v>1926</v>
      </c>
      <c r="B159" s="56" t="s">
        <v>483</v>
      </c>
      <c r="C159" t="s">
        <v>1927</v>
      </c>
      <c r="D159" s="11" t="s">
        <v>1928</v>
      </c>
      <c r="E159" s="181">
        <v>-52</v>
      </c>
      <c r="F159" s="30"/>
      <c r="G159" s="182" t="s">
        <v>483</v>
      </c>
      <c r="H159" s="59"/>
      <c r="I159" s="60"/>
      <c r="J159" s="61">
        <v>5313.92</v>
      </c>
    </row>
    <row r="160" spans="1:10" ht="13.5" customHeight="1" x14ac:dyDescent="0.2">
      <c r="A160" s="180"/>
      <c r="B160" s="56" t="s">
        <v>483</v>
      </c>
      <c r="C160" s="36" t="s">
        <v>174</v>
      </c>
      <c r="D160" s="11" t="s">
        <v>488</v>
      </c>
      <c r="E160" s="30"/>
      <c r="F160" s="181">
        <v>52</v>
      </c>
      <c r="G160" s="182">
        <v>0</v>
      </c>
      <c r="H160" s="59">
        <v>52</v>
      </c>
      <c r="I160" s="60"/>
      <c r="J160" s="61">
        <v>5261.92</v>
      </c>
    </row>
    <row r="161" spans="1:10" ht="13.5" customHeight="1" x14ac:dyDescent="0.2">
      <c r="A161" s="180" t="s">
        <v>1929</v>
      </c>
      <c r="B161" s="56" t="s">
        <v>483</v>
      </c>
      <c r="C161" s="32" t="s">
        <v>1930</v>
      </c>
      <c r="D161" s="11" t="s">
        <v>1931</v>
      </c>
      <c r="E161" s="181">
        <v>-100</v>
      </c>
      <c r="F161" s="30"/>
      <c r="G161" s="182" t="s">
        <v>483</v>
      </c>
      <c r="H161" s="59"/>
      <c r="I161" s="60"/>
      <c r="J161" s="61">
        <v>5261.92</v>
      </c>
    </row>
    <row r="162" spans="1:10" ht="13.5" customHeight="1" x14ac:dyDescent="0.2">
      <c r="A162" s="180"/>
      <c r="B162" s="56" t="s">
        <v>483</v>
      </c>
      <c r="C162" s="36" t="s">
        <v>174</v>
      </c>
      <c r="D162" s="11" t="s">
        <v>488</v>
      </c>
      <c r="E162" s="30"/>
      <c r="F162" s="181">
        <v>100</v>
      </c>
      <c r="G162" s="182">
        <v>0</v>
      </c>
      <c r="H162" s="59">
        <v>100</v>
      </c>
      <c r="I162" s="60"/>
      <c r="J162" s="61">
        <v>5161.92</v>
      </c>
    </row>
    <row r="163" spans="1:10" ht="13.5" customHeight="1" x14ac:dyDescent="0.2">
      <c r="A163" s="180" t="s">
        <v>1932</v>
      </c>
      <c r="B163" s="56" t="s">
        <v>483</v>
      </c>
      <c r="C163" s="36" t="s">
        <v>177</v>
      </c>
      <c r="D163" s="11" t="s">
        <v>488</v>
      </c>
      <c r="E163" s="181">
        <v>-243.07</v>
      </c>
      <c r="F163" s="30"/>
      <c r="G163" s="182" t="s">
        <v>483</v>
      </c>
      <c r="H163" s="59"/>
      <c r="I163" s="60"/>
      <c r="J163" s="61">
        <v>5161.92</v>
      </c>
    </row>
    <row r="164" spans="1:10" ht="13.5" customHeight="1" x14ac:dyDescent="0.2">
      <c r="A164" s="180"/>
      <c r="B164" s="56" t="s">
        <v>483</v>
      </c>
      <c r="C164" t="s">
        <v>1933</v>
      </c>
      <c r="D164" s="11" t="s">
        <v>1934</v>
      </c>
      <c r="E164" s="181">
        <v>-188.5</v>
      </c>
      <c r="F164" s="30"/>
      <c r="G164" s="182" t="s">
        <v>483</v>
      </c>
      <c r="H164" s="59"/>
      <c r="I164" s="60"/>
      <c r="J164" s="61">
        <v>5161.92</v>
      </c>
    </row>
    <row r="165" spans="1:10" ht="13.5" customHeight="1" x14ac:dyDescent="0.2">
      <c r="A165" s="180"/>
      <c r="B165" s="56" t="s">
        <v>483</v>
      </c>
      <c r="C165" s="36" t="s">
        <v>20</v>
      </c>
      <c r="D165" s="11" t="s">
        <v>488</v>
      </c>
      <c r="E165" s="181">
        <v>-32.83</v>
      </c>
      <c r="F165" s="30"/>
      <c r="G165" s="182" t="s">
        <v>483</v>
      </c>
      <c r="H165" s="59"/>
      <c r="I165" s="60"/>
      <c r="J165" s="61">
        <v>5161.92</v>
      </c>
    </row>
    <row r="166" spans="1:10" ht="13.5" customHeight="1" x14ac:dyDescent="0.2">
      <c r="A166" s="180"/>
      <c r="B166" s="56" t="s">
        <v>483</v>
      </c>
      <c r="C166" s="36" t="s">
        <v>174</v>
      </c>
      <c r="D166" s="11" t="s">
        <v>488</v>
      </c>
      <c r="E166" s="30"/>
      <c r="F166" s="181">
        <v>464.4</v>
      </c>
      <c r="G166" s="182">
        <v>0</v>
      </c>
      <c r="H166" s="59">
        <v>464.4</v>
      </c>
      <c r="I166" s="60"/>
      <c r="J166" s="61">
        <v>4697.5200000000004</v>
      </c>
    </row>
    <row r="167" spans="1:10" ht="13.5" customHeight="1" x14ac:dyDescent="0.2">
      <c r="A167" s="180" t="s">
        <v>1935</v>
      </c>
      <c r="B167" s="56" t="s">
        <v>483</v>
      </c>
      <c r="C167" s="36" t="s">
        <v>180</v>
      </c>
      <c r="D167" s="11" t="s">
        <v>488</v>
      </c>
      <c r="E167" s="181">
        <v>-296.74</v>
      </c>
      <c r="F167" s="30"/>
      <c r="G167" s="182" t="s">
        <v>483</v>
      </c>
      <c r="H167" s="59"/>
      <c r="I167" s="60"/>
      <c r="J167" s="61">
        <v>4697.5200000000004</v>
      </c>
    </row>
    <row r="168" spans="1:10" ht="13.5" customHeight="1" x14ac:dyDescent="0.2">
      <c r="A168" s="180"/>
      <c r="B168" s="56" t="s">
        <v>483</v>
      </c>
      <c r="C168" s="36" t="s">
        <v>1936</v>
      </c>
      <c r="D168" s="11" t="s">
        <v>1937</v>
      </c>
      <c r="E168" s="181">
        <v>-1330</v>
      </c>
      <c r="F168" s="30"/>
      <c r="G168" s="182" t="s">
        <v>483</v>
      </c>
      <c r="H168" s="59"/>
      <c r="I168" s="60"/>
      <c r="J168" s="61">
        <v>4697.5200000000004</v>
      </c>
    </row>
    <row r="169" spans="1:10" ht="13.5" customHeight="1" x14ac:dyDescent="0.2">
      <c r="A169" s="180"/>
      <c r="B169" s="56" t="s">
        <v>483</v>
      </c>
      <c r="C169" s="36" t="s">
        <v>174</v>
      </c>
      <c r="D169" s="11" t="s">
        <v>488</v>
      </c>
      <c r="E169" s="30"/>
      <c r="F169" s="181">
        <v>1626.74</v>
      </c>
      <c r="G169" s="182">
        <v>0</v>
      </c>
      <c r="H169" s="59">
        <v>1626.74</v>
      </c>
      <c r="I169" s="60"/>
      <c r="J169" s="61">
        <v>3070.7800000000007</v>
      </c>
    </row>
    <row r="170" spans="1:10" ht="13.5" customHeight="1" x14ac:dyDescent="0.2">
      <c r="A170" s="180" t="s">
        <v>1938</v>
      </c>
      <c r="B170" s="56" t="s">
        <v>591</v>
      </c>
      <c r="C170" s="36" t="s">
        <v>1939</v>
      </c>
      <c r="D170" s="11" t="s">
        <v>1940</v>
      </c>
      <c r="E170" s="30"/>
      <c r="F170" s="181">
        <v>4731.47</v>
      </c>
      <c r="G170" s="182">
        <v>4731.47</v>
      </c>
      <c r="H170" s="59"/>
      <c r="I170" s="60"/>
      <c r="J170" s="61">
        <v>3070.7800000000007</v>
      </c>
    </row>
    <row r="171" spans="1:10" ht="13.5" customHeight="1" x14ac:dyDescent="0.2">
      <c r="A171" s="180" t="s">
        <v>1941</v>
      </c>
      <c r="B171" s="56" t="s">
        <v>483</v>
      </c>
      <c r="C171" s="34" t="s">
        <v>189</v>
      </c>
      <c r="D171" s="11" t="s">
        <v>488</v>
      </c>
      <c r="E171" s="181">
        <v>-4731.47</v>
      </c>
      <c r="F171" s="30"/>
      <c r="G171" s="182">
        <v>0</v>
      </c>
      <c r="H171" s="59"/>
      <c r="I171" s="30">
        <v>4731.47</v>
      </c>
      <c r="J171" s="61">
        <v>7802.2500000000009</v>
      </c>
    </row>
    <row r="172" spans="1:10" ht="13.5" customHeight="1" x14ac:dyDescent="0.2">
      <c r="A172" s="180" t="s">
        <v>1942</v>
      </c>
      <c r="B172" s="56" t="s">
        <v>483</v>
      </c>
      <c r="C172" s="36" t="s">
        <v>1943</v>
      </c>
      <c r="D172" s="11" t="s">
        <v>1944</v>
      </c>
      <c r="E172" s="181">
        <v>-754</v>
      </c>
      <c r="F172" s="30"/>
      <c r="G172" s="182" t="s">
        <v>483</v>
      </c>
      <c r="H172" s="59"/>
      <c r="I172" s="60"/>
      <c r="J172" s="61">
        <v>7802.2500000000009</v>
      </c>
    </row>
    <row r="173" spans="1:10" ht="13.5" customHeight="1" x14ac:dyDescent="0.2">
      <c r="A173" s="180"/>
      <c r="B173" s="56" t="s">
        <v>483</v>
      </c>
      <c r="C173" s="36" t="s">
        <v>174</v>
      </c>
      <c r="D173" s="11" t="s">
        <v>488</v>
      </c>
      <c r="E173" s="30"/>
      <c r="F173" s="183">
        <v>754</v>
      </c>
      <c r="G173" s="182">
        <v>0</v>
      </c>
      <c r="H173" s="59">
        <v>754</v>
      </c>
      <c r="I173" s="60"/>
      <c r="J173" s="61">
        <v>7048.2500000000009</v>
      </c>
    </row>
    <row r="174" spans="1:10" ht="13.5" customHeight="1" x14ac:dyDescent="0.2">
      <c r="A174" s="180" t="s">
        <v>1945</v>
      </c>
      <c r="B174" s="56" t="s">
        <v>483</v>
      </c>
      <c r="C174" s="34" t="s">
        <v>1625</v>
      </c>
      <c r="D174" s="11" t="s">
        <v>1946</v>
      </c>
      <c r="E174" s="165">
        <v>-4000</v>
      </c>
      <c r="F174" s="183"/>
      <c r="G174" s="182">
        <v>-4000</v>
      </c>
      <c r="H174" s="59"/>
      <c r="I174" s="60"/>
      <c r="J174" s="61">
        <v>7048.2500000000009</v>
      </c>
    </row>
    <row r="175" spans="1:10" ht="13.5" customHeight="1" x14ac:dyDescent="0.2">
      <c r="A175" s="180"/>
      <c r="B175" s="56" t="s">
        <v>483</v>
      </c>
      <c r="C175" s="32" t="s">
        <v>1947</v>
      </c>
      <c r="D175" s="11" t="s">
        <v>1948</v>
      </c>
      <c r="E175" s="181">
        <v>-629</v>
      </c>
      <c r="F175" s="12"/>
      <c r="G175" s="182" t="s">
        <v>483</v>
      </c>
      <c r="H175" s="59"/>
      <c r="I175" s="60"/>
      <c r="J175" s="61">
        <v>7048.2500000000009</v>
      </c>
    </row>
    <row r="176" spans="1:10" ht="13.5" customHeight="1" x14ac:dyDescent="0.2">
      <c r="A176" s="180"/>
      <c r="B176" s="56" t="s">
        <v>483</v>
      </c>
      <c r="C176" s="36" t="s">
        <v>174</v>
      </c>
      <c r="D176" s="11" t="s">
        <v>488</v>
      </c>
      <c r="E176" s="30"/>
      <c r="F176" s="183">
        <v>4629</v>
      </c>
      <c r="G176" s="182">
        <v>0</v>
      </c>
      <c r="H176" s="59">
        <v>4629</v>
      </c>
      <c r="I176" s="60"/>
      <c r="J176" s="61">
        <v>2419.2500000000009</v>
      </c>
    </row>
    <row r="177" spans="1:11" ht="13.5" customHeight="1" x14ac:dyDescent="0.2">
      <c r="A177" s="180" t="s">
        <v>1949</v>
      </c>
      <c r="B177" s="56" t="s">
        <v>483</v>
      </c>
      <c r="C177" s="34" t="s">
        <v>194</v>
      </c>
      <c r="D177" s="11" t="s">
        <v>488</v>
      </c>
      <c r="E177" s="181">
        <v>-84.54</v>
      </c>
      <c r="F177" s="12"/>
      <c r="G177" s="182" t="s">
        <v>483</v>
      </c>
      <c r="H177" s="59"/>
      <c r="I177" s="60"/>
      <c r="J177" s="61">
        <v>2419.2500000000009</v>
      </c>
    </row>
    <row r="178" spans="1:11" ht="13.5" customHeight="1" x14ac:dyDescent="0.2">
      <c r="A178" s="180"/>
      <c r="B178" s="56" t="s">
        <v>483</v>
      </c>
      <c r="C178" s="34" t="s">
        <v>195</v>
      </c>
      <c r="D178" s="11" t="s">
        <v>488</v>
      </c>
      <c r="E178" s="181">
        <v>-390.19</v>
      </c>
      <c r="F178" s="12"/>
      <c r="G178" s="182">
        <v>-474.73</v>
      </c>
      <c r="H178" s="59"/>
      <c r="I178" s="60"/>
      <c r="J178" s="61">
        <v>2419.2500000000009</v>
      </c>
    </row>
    <row r="179" spans="1:11" ht="13.5" customHeight="1" x14ac:dyDescent="0.2">
      <c r="A179" s="180"/>
      <c r="B179" s="56" t="s">
        <v>483</v>
      </c>
      <c r="C179" s="36" t="s">
        <v>174</v>
      </c>
      <c r="D179" s="11" t="s">
        <v>488</v>
      </c>
      <c r="E179" s="30"/>
      <c r="F179" s="183">
        <v>474.73</v>
      </c>
      <c r="G179" s="182">
        <v>0</v>
      </c>
      <c r="H179" s="59">
        <v>474.73</v>
      </c>
      <c r="I179" s="60"/>
      <c r="J179" s="61">
        <v>1944.5200000000009</v>
      </c>
    </row>
    <row r="180" spans="1:11" ht="13.5" customHeight="1" x14ac:dyDescent="0.2">
      <c r="A180" s="180" t="s">
        <v>1950</v>
      </c>
      <c r="B180" s="56" t="s">
        <v>483</v>
      </c>
      <c r="C180" s="36" t="s">
        <v>198</v>
      </c>
      <c r="D180" s="11" t="s">
        <v>1185</v>
      </c>
      <c r="E180" s="181">
        <v>-1320.97</v>
      </c>
      <c r="F180" s="12"/>
      <c r="G180" s="182" t="s">
        <v>483</v>
      </c>
      <c r="H180" s="59"/>
      <c r="I180" s="60"/>
      <c r="J180" s="61">
        <v>1944.5200000000009</v>
      </c>
    </row>
    <row r="181" spans="1:11" ht="13.5" customHeight="1" x14ac:dyDescent="0.2">
      <c r="A181" s="180"/>
      <c r="B181" s="56" t="s">
        <v>483</v>
      </c>
      <c r="C181" s="32" t="s">
        <v>1951</v>
      </c>
      <c r="D181" s="11" t="s">
        <v>1952</v>
      </c>
      <c r="E181" s="181">
        <v>-90</v>
      </c>
      <c r="F181" s="12"/>
      <c r="G181" s="182" t="s">
        <v>483</v>
      </c>
      <c r="H181" s="59"/>
      <c r="I181" s="60"/>
      <c r="J181" s="61">
        <v>1944.5200000000009</v>
      </c>
    </row>
    <row r="182" spans="1:11" ht="13.5" customHeight="1" x14ac:dyDescent="0.2">
      <c r="A182" s="180"/>
      <c r="B182" s="56" t="s">
        <v>483</v>
      </c>
      <c r="C182" s="36" t="s">
        <v>1953</v>
      </c>
      <c r="D182" s="11" t="s">
        <v>1954</v>
      </c>
      <c r="E182" s="181">
        <v>-421.52</v>
      </c>
      <c r="F182" s="12"/>
      <c r="G182" s="182" t="s">
        <v>483</v>
      </c>
      <c r="H182" s="59"/>
      <c r="I182" s="60"/>
      <c r="J182" s="61">
        <v>1944.5200000000009</v>
      </c>
    </row>
    <row r="183" spans="1:11" ht="13.5" customHeight="1" x14ac:dyDescent="0.2">
      <c r="A183" s="180"/>
      <c r="B183" s="56" t="s">
        <v>483</v>
      </c>
      <c r="C183" s="36" t="s">
        <v>174</v>
      </c>
      <c r="D183" s="11" t="s">
        <v>488</v>
      </c>
      <c r="E183" s="30"/>
      <c r="F183" s="183">
        <v>1832.49</v>
      </c>
      <c r="G183" s="182">
        <v>0</v>
      </c>
      <c r="H183" s="59">
        <v>1832.49</v>
      </c>
      <c r="I183" s="60"/>
      <c r="J183" s="61">
        <v>112.03000000000088</v>
      </c>
    </row>
    <row r="184" spans="1:11" ht="13.5" customHeight="1" x14ac:dyDescent="0.2">
      <c r="A184" s="180" t="s">
        <v>1955</v>
      </c>
      <c r="B184" s="56" t="s">
        <v>483</v>
      </c>
      <c r="C184" s="36" t="s">
        <v>86</v>
      </c>
      <c r="D184" s="11" t="s">
        <v>488</v>
      </c>
      <c r="E184" s="181">
        <v>-85</v>
      </c>
      <c r="F184" s="12"/>
      <c r="G184" s="182" t="s">
        <v>483</v>
      </c>
      <c r="H184" s="59"/>
      <c r="I184" s="60"/>
      <c r="J184" s="61">
        <v>112.03000000000088</v>
      </c>
    </row>
    <row r="185" spans="1:11" ht="13.5" customHeight="1" x14ac:dyDescent="0.2">
      <c r="A185" s="180"/>
      <c r="B185" s="56" t="s">
        <v>591</v>
      </c>
      <c r="C185" s="34" t="s">
        <v>1866</v>
      </c>
      <c r="D185" s="11" t="s">
        <v>1956</v>
      </c>
      <c r="E185" s="181"/>
      <c r="F185" s="168">
        <v>8275</v>
      </c>
      <c r="G185" s="182" t="s">
        <v>483</v>
      </c>
      <c r="H185" s="59"/>
      <c r="I185" s="60"/>
      <c r="J185" s="61">
        <v>112.03000000000088</v>
      </c>
    </row>
    <row r="186" spans="1:11" ht="13.5" customHeight="1" x14ac:dyDescent="0.2">
      <c r="A186" s="180"/>
      <c r="B186" s="56" t="s">
        <v>483</v>
      </c>
      <c r="C186" s="36" t="s">
        <v>174</v>
      </c>
      <c r="D186" s="11" t="s">
        <v>488</v>
      </c>
      <c r="E186" s="30"/>
      <c r="F186" s="183">
        <v>85</v>
      </c>
      <c r="G186" s="182">
        <v>8275</v>
      </c>
      <c r="H186" s="59">
        <v>85</v>
      </c>
      <c r="I186" s="60"/>
      <c r="J186" s="61">
        <v>27.030000000000882</v>
      </c>
    </row>
    <row r="187" spans="1:11" ht="13.5" customHeight="1" x14ac:dyDescent="0.2">
      <c r="A187" s="180" t="s">
        <v>1957</v>
      </c>
      <c r="B187" s="56" t="s">
        <v>483</v>
      </c>
      <c r="C187" s="34" t="s">
        <v>189</v>
      </c>
      <c r="D187" s="11" t="s">
        <v>488</v>
      </c>
      <c r="E187" s="181">
        <v>-8275</v>
      </c>
      <c r="F187" s="12"/>
      <c r="G187" s="182">
        <v>0</v>
      </c>
      <c r="H187" s="59"/>
      <c r="I187" s="30">
        <v>8275</v>
      </c>
      <c r="J187" s="61">
        <v>8302.0300000000007</v>
      </c>
    </row>
    <row r="188" spans="1:11" ht="13.5" customHeight="1" x14ac:dyDescent="0.2">
      <c r="A188" s="180" t="s">
        <v>1958</v>
      </c>
      <c r="B188" s="56" t="s">
        <v>483</v>
      </c>
      <c r="C188" s="36" t="s">
        <v>86</v>
      </c>
      <c r="D188" s="11" t="s">
        <v>488</v>
      </c>
      <c r="E188" s="181">
        <v>-12.5</v>
      </c>
      <c r="F188" s="12"/>
      <c r="G188" s="182" t="s">
        <v>483</v>
      </c>
      <c r="H188" s="59"/>
      <c r="I188" s="60"/>
      <c r="J188" s="61">
        <v>8302.0300000000007</v>
      </c>
    </row>
    <row r="189" spans="1:11" ht="13.5" customHeight="1" x14ac:dyDescent="0.2">
      <c r="A189" s="180"/>
      <c r="B189" s="56" t="s">
        <v>483</v>
      </c>
      <c r="C189" s="34" t="s">
        <v>1625</v>
      </c>
      <c r="D189" s="11" t="s">
        <v>1959</v>
      </c>
      <c r="E189" s="165">
        <v>-2000</v>
      </c>
      <c r="F189" s="520"/>
      <c r="G189" s="182" t="s">
        <v>483</v>
      </c>
      <c r="H189" s="59"/>
      <c r="I189" s="60"/>
      <c r="J189" s="61">
        <v>8302.0300000000007</v>
      </c>
    </row>
    <row r="190" spans="1:11" ht="13.5" customHeight="1" x14ac:dyDescent="0.2">
      <c r="A190" s="180"/>
      <c r="B190" s="56" t="s">
        <v>483</v>
      </c>
      <c r="C190" s="36" t="s">
        <v>196</v>
      </c>
      <c r="D190" s="11" t="s">
        <v>488</v>
      </c>
      <c r="E190" s="181">
        <v>-1107.92</v>
      </c>
      <c r="F190" s="12"/>
      <c r="G190" s="182" t="s">
        <v>483</v>
      </c>
      <c r="H190" s="59"/>
      <c r="I190" s="60"/>
      <c r="J190" s="61">
        <v>8302.0300000000007</v>
      </c>
    </row>
    <row r="191" spans="1:11" s="64" customFormat="1" ht="13.5" customHeight="1" x14ac:dyDescent="0.2">
      <c r="A191" s="184"/>
      <c r="B191" s="63" t="s">
        <v>483</v>
      </c>
      <c r="C191" s="36" t="s">
        <v>197</v>
      </c>
      <c r="D191" s="50" t="s">
        <v>488</v>
      </c>
      <c r="E191" s="181">
        <v>-1846.53</v>
      </c>
      <c r="F191" s="13"/>
      <c r="G191" s="53" t="s">
        <v>483</v>
      </c>
      <c r="H191" s="179"/>
      <c r="I191" s="57"/>
      <c r="J191" s="61">
        <v>8302.0300000000007</v>
      </c>
      <c r="K191" s="65"/>
    </row>
    <row r="192" spans="1:11" s="64" customFormat="1" ht="13.5" customHeight="1" x14ac:dyDescent="0.2">
      <c r="A192" s="184"/>
      <c r="B192" s="63" t="s">
        <v>483</v>
      </c>
      <c r="C192" s="36" t="s">
        <v>174</v>
      </c>
      <c r="D192" s="50" t="s">
        <v>488</v>
      </c>
      <c r="E192" s="51"/>
      <c r="F192" s="183">
        <v>4966.95</v>
      </c>
      <c r="G192" s="53">
        <v>0</v>
      </c>
      <c r="H192" s="179">
        <v>4966.95</v>
      </c>
      <c r="I192" s="57"/>
      <c r="J192" s="61">
        <v>3335.0800000000008</v>
      </c>
      <c r="K192" s="65"/>
    </row>
    <row r="193" spans="1:11" s="64" customFormat="1" ht="13.5" customHeight="1" x14ac:dyDescent="0.2">
      <c r="A193" s="184" t="s">
        <v>1960</v>
      </c>
      <c r="B193" s="63" t="s">
        <v>483</v>
      </c>
      <c r="C193" s="32" t="s">
        <v>813</v>
      </c>
      <c r="D193" s="50" t="s">
        <v>1961</v>
      </c>
      <c r="E193" s="181">
        <v>-75</v>
      </c>
      <c r="F193" s="13"/>
      <c r="G193" s="53" t="s">
        <v>483</v>
      </c>
      <c r="H193" s="179"/>
      <c r="I193" s="57"/>
      <c r="J193" s="61">
        <v>3335.0800000000008</v>
      </c>
      <c r="K193" s="65"/>
    </row>
    <row r="194" spans="1:11" s="64" customFormat="1" ht="13.5" customHeight="1" x14ac:dyDescent="0.2">
      <c r="A194" s="184"/>
      <c r="B194" s="63" t="s">
        <v>483</v>
      </c>
      <c r="C194" s="36" t="s">
        <v>174</v>
      </c>
      <c r="D194" s="50" t="s">
        <v>488</v>
      </c>
      <c r="E194" s="51"/>
      <c r="F194" s="181">
        <v>75</v>
      </c>
      <c r="G194" s="178">
        <v>0</v>
      </c>
      <c r="H194" s="179">
        <v>75</v>
      </c>
      <c r="I194" s="57"/>
      <c r="J194" s="61">
        <v>3260.0800000000008</v>
      </c>
      <c r="K194" s="65"/>
    </row>
    <row r="195" spans="1:11" s="64" customFormat="1" ht="13.5" customHeight="1" x14ac:dyDescent="0.2">
      <c r="A195" s="184"/>
      <c r="B195" s="63"/>
      <c r="C195" s="36" t="s">
        <v>20</v>
      </c>
      <c r="D195" s="50"/>
      <c r="E195" s="51"/>
      <c r="F195" s="51"/>
      <c r="G195" s="53"/>
      <c r="H195" s="179"/>
      <c r="I195" s="57">
        <v>0.50999999999930878</v>
      </c>
      <c r="J195" s="58">
        <v>3260.59</v>
      </c>
      <c r="K195" s="65"/>
    </row>
    <row r="196" spans="1:11" s="64" customFormat="1" ht="13.5" customHeight="1" thickBot="1" x14ac:dyDescent="0.25">
      <c r="A196" s="184"/>
      <c r="B196" s="63"/>
      <c r="C196" s="63"/>
      <c r="D196" s="50"/>
      <c r="E196" s="650">
        <f>SUM(E151:E173,E175:E188,E190:E195)</f>
        <v>-24046.120000000003</v>
      </c>
      <c r="F196" s="651">
        <f>SUM(F153:F184,F186,F192:F195)</f>
        <v>21771.120000000003</v>
      </c>
      <c r="G196" s="53"/>
      <c r="H196" s="179"/>
      <c r="I196" s="57"/>
      <c r="J196" s="67"/>
      <c r="K196" s="65"/>
    </row>
    <row r="197" spans="1:11" ht="13.5" customHeight="1" thickBot="1" x14ac:dyDescent="0.25">
      <c r="A197" s="2" t="s">
        <v>2</v>
      </c>
      <c r="B197" s="3"/>
      <c r="C197" s="3" t="s">
        <v>525</v>
      </c>
      <c r="D197" s="3" t="s">
        <v>4</v>
      </c>
      <c r="E197" s="3" t="s">
        <v>5</v>
      </c>
      <c r="F197" s="3" t="s">
        <v>6</v>
      </c>
      <c r="G197" s="5" t="s">
        <v>7</v>
      </c>
      <c r="H197" s="187"/>
      <c r="I197" s="188"/>
      <c r="J197" s="189"/>
    </row>
    <row r="198" spans="1:11" ht="13.5" customHeight="1" x14ac:dyDescent="0.2">
      <c r="A198" s="8">
        <v>43556</v>
      </c>
      <c r="B198" s="56"/>
      <c r="C198" s="10" t="s">
        <v>8</v>
      </c>
      <c r="D198" s="11"/>
      <c r="E198" s="51"/>
      <c r="F198" s="12"/>
      <c r="G198" s="178">
        <v>425.88999999999965</v>
      </c>
      <c r="H198" s="179"/>
      <c r="I198" s="57"/>
      <c r="J198" s="67"/>
    </row>
    <row r="199" spans="1:11" customFormat="1" ht="13.5" customHeight="1" x14ac:dyDescent="0.2">
      <c r="A199" s="180">
        <v>43560</v>
      </c>
      <c r="B199" s="36"/>
      <c r="C199" s="32" t="s">
        <v>1390</v>
      </c>
      <c r="D199" s="42"/>
      <c r="E199" s="196"/>
      <c r="F199" s="199">
        <v>2000</v>
      </c>
      <c r="G199" s="190">
        <v>2425.8899999999994</v>
      </c>
      <c r="H199" s="197"/>
      <c r="I199" s="57"/>
      <c r="J199" s="198"/>
      <c r="K199" s="40"/>
    </row>
    <row r="200" spans="1:11" ht="13.5" customHeight="1" x14ac:dyDescent="0.2">
      <c r="A200" s="180"/>
      <c r="B200" s="56"/>
      <c r="C200" s="36" t="s">
        <v>815</v>
      </c>
      <c r="D200" s="11"/>
      <c r="E200" s="181">
        <v>888.22</v>
      </c>
      <c r="F200" s="12"/>
      <c r="G200" s="190">
        <v>1537.6699999999994</v>
      </c>
      <c r="H200" s="59"/>
      <c r="I200" s="60"/>
      <c r="J200" s="61"/>
    </row>
    <row r="201" spans="1:11" ht="13.5" customHeight="1" x14ac:dyDescent="0.2">
      <c r="A201" s="171">
        <v>43563</v>
      </c>
      <c r="B201" s="172"/>
      <c r="C201" s="36" t="s">
        <v>1844</v>
      </c>
      <c r="D201" s="11"/>
      <c r="E201" s="181">
        <v>793.85</v>
      </c>
      <c r="F201" s="12"/>
      <c r="G201" s="190">
        <v>743.81999999999937</v>
      </c>
      <c r="H201" s="59"/>
      <c r="I201" s="60"/>
      <c r="J201" s="61"/>
    </row>
    <row r="202" spans="1:11" ht="13.5" customHeight="1" x14ac:dyDescent="0.2">
      <c r="A202" s="180"/>
      <c r="B202" s="56"/>
      <c r="C202" s="36" t="s">
        <v>179</v>
      </c>
      <c r="D202" s="11"/>
      <c r="E202" s="181">
        <v>34</v>
      </c>
      <c r="F202" s="12"/>
      <c r="G202" s="190">
        <v>709.81999999999937</v>
      </c>
      <c r="H202" s="59"/>
      <c r="I202" s="60"/>
      <c r="J202" s="61"/>
    </row>
    <row r="203" spans="1:11" ht="13.5" customHeight="1" x14ac:dyDescent="0.2">
      <c r="A203" s="180">
        <v>43565</v>
      </c>
      <c r="B203" s="56"/>
      <c r="C203" s="36" t="s">
        <v>1962</v>
      </c>
      <c r="D203" s="11"/>
      <c r="E203" s="521">
        <v>3537.25</v>
      </c>
      <c r="F203" s="12"/>
      <c r="G203" s="190">
        <v>-2827.4300000000007</v>
      </c>
      <c r="H203" s="59"/>
      <c r="I203" s="60"/>
      <c r="J203" s="61"/>
    </row>
    <row r="204" spans="1:11" ht="13.5" customHeight="1" x14ac:dyDescent="0.2">
      <c r="A204" s="180"/>
      <c r="B204" s="56"/>
      <c r="C204" s="36" t="s">
        <v>1963</v>
      </c>
      <c r="D204" s="11"/>
      <c r="E204" s="521">
        <v>1665.11</v>
      </c>
      <c r="F204" s="12"/>
      <c r="G204" s="190">
        <v>-4492.5400000000009</v>
      </c>
      <c r="H204" s="59"/>
      <c r="I204" s="60"/>
      <c r="J204" s="61"/>
    </row>
    <row r="205" spans="1:11" ht="13.5" customHeight="1" x14ac:dyDescent="0.2">
      <c r="A205" s="180"/>
      <c r="B205" s="56"/>
      <c r="C205" s="36" t="s">
        <v>1964</v>
      </c>
      <c r="D205" s="11"/>
      <c r="E205" s="521">
        <v>2065.0300000000002</v>
      </c>
      <c r="F205" s="12"/>
      <c r="G205" s="190">
        <v>-6557.5700000000015</v>
      </c>
      <c r="H205" s="59"/>
      <c r="I205" s="60"/>
      <c r="J205" s="61"/>
    </row>
    <row r="206" spans="1:11" s="64" customFormat="1" ht="13.5" customHeight="1" x14ac:dyDescent="0.2">
      <c r="A206" s="184"/>
      <c r="B206" s="63"/>
      <c r="C206" s="36" t="s">
        <v>1965</v>
      </c>
      <c r="D206" s="50"/>
      <c r="E206" s="521">
        <v>351.79</v>
      </c>
      <c r="F206" s="13"/>
      <c r="G206" s="190">
        <v>-6909.3600000000015</v>
      </c>
      <c r="H206" s="179"/>
      <c r="I206" s="57"/>
      <c r="J206" s="67"/>
      <c r="K206" s="65"/>
    </row>
    <row r="207" spans="1:11" s="64" customFormat="1" ht="13.5" customHeight="1" x14ac:dyDescent="0.2">
      <c r="A207" s="184"/>
      <c r="B207" s="63"/>
      <c r="C207" s="36" t="s">
        <v>1966</v>
      </c>
      <c r="D207" s="50"/>
      <c r="E207" s="521">
        <v>267.11</v>
      </c>
      <c r="F207" s="13"/>
      <c r="G207" s="190">
        <v>-7176.4700000000012</v>
      </c>
      <c r="H207" s="179"/>
      <c r="I207" s="57"/>
      <c r="J207" s="67"/>
      <c r="K207" s="65"/>
    </row>
    <row r="208" spans="1:11" s="64" customFormat="1" ht="13.5" customHeight="1" x14ac:dyDescent="0.2">
      <c r="A208" s="184"/>
      <c r="B208" s="63"/>
      <c r="C208" s="36" t="s">
        <v>1967</v>
      </c>
      <c r="D208" s="50"/>
      <c r="E208" s="521">
        <v>226.67</v>
      </c>
      <c r="F208" s="13"/>
      <c r="G208" s="190">
        <v>-7403.1400000000012</v>
      </c>
      <c r="H208" s="179"/>
      <c r="I208" s="57"/>
      <c r="J208" s="67"/>
      <c r="K208" s="65"/>
    </row>
    <row r="209" spans="1:11" s="64" customFormat="1" ht="13.5" customHeight="1" x14ac:dyDescent="0.2">
      <c r="A209" s="184"/>
      <c r="B209" s="63"/>
      <c r="C209" s="32" t="s">
        <v>1390</v>
      </c>
      <c r="D209" s="50"/>
      <c r="E209" s="51"/>
      <c r="F209" s="183">
        <v>8000</v>
      </c>
      <c r="G209" s="178">
        <v>596.85999999999876</v>
      </c>
      <c r="H209" s="179"/>
      <c r="I209" s="57"/>
      <c r="J209" s="67"/>
      <c r="K209" s="65"/>
    </row>
    <row r="210" spans="1:11" s="64" customFormat="1" ht="13.5" customHeight="1" thickBot="1" x14ac:dyDescent="0.25">
      <c r="A210" s="184"/>
      <c r="B210" s="63"/>
      <c r="C210" s="138"/>
      <c r="D210" s="50"/>
      <c r="E210" s="51"/>
      <c r="F210" s="13"/>
      <c r="G210" s="190"/>
      <c r="H210" s="179"/>
      <c r="I210" s="57"/>
      <c r="J210" s="67"/>
      <c r="K210" s="65"/>
    </row>
    <row r="211" spans="1:11" s="64" customFormat="1" ht="13.5" customHeight="1" thickBot="1" x14ac:dyDescent="0.25">
      <c r="A211" s="2" t="s">
        <v>2</v>
      </c>
      <c r="B211" s="3"/>
      <c r="C211" s="3" t="s">
        <v>534</v>
      </c>
      <c r="D211" s="191" t="s">
        <v>4</v>
      </c>
      <c r="E211" s="3" t="s">
        <v>5</v>
      </c>
      <c r="F211" s="3" t="s">
        <v>6</v>
      </c>
      <c r="G211" s="5" t="s">
        <v>7</v>
      </c>
      <c r="H211" s="192"/>
      <c r="I211" s="193"/>
      <c r="J211" s="194"/>
      <c r="K211" s="65"/>
    </row>
    <row r="212" spans="1:11" s="64" customFormat="1" ht="13.5" customHeight="1" x14ac:dyDescent="0.2">
      <c r="A212" s="8">
        <v>42370</v>
      </c>
      <c r="B212" s="36"/>
      <c r="C212" s="10" t="s">
        <v>8</v>
      </c>
      <c r="D212" s="195"/>
      <c r="E212" s="196"/>
      <c r="F212" s="43"/>
      <c r="G212" s="178">
        <v>0</v>
      </c>
      <c r="H212" s="197"/>
      <c r="I212" s="57"/>
      <c r="J212" s="198"/>
      <c r="K212" s="65"/>
    </row>
    <row r="213" spans="1:11" s="64" customFormat="1" ht="13.5" customHeight="1" x14ac:dyDescent="0.2">
      <c r="A213" s="180">
        <v>43284</v>
      </c>
      <c r="B213" s="32"/>
      <c r="C213" s="32" t="s">
        <v>535</v>
      </c>
      <c r="D213" s="195"/>
      <c r="E213" s="196"/>
      <c r="F213" s="199">
        <v>500</v>
      </c>
      <c r="G213" s="190">
        <v>500</v>
      </c>
      <c r="H213" s="197"/>
      <c r="I213" s="57"/>
      <c r="J213" s="198"/>
      <c r="K213" s="65"/>
    </row>
    <row r="214" spans="1:11" s="64" customFormat="1" ht="13.5" customHeight="1" x14ac:dyDescent="0.2">
      <c r="A214" s="180">
        <v>43346</v>
      </c>
      <c r="B214" s="36"/>
      <c r="C214" s="32" t="s">
        <v>535</v>
      </c>
      <c r="D214" s="195"/>
      <c r="E214" s="200"/>
      <c r="F214" s="199">
        <v>3000</v>
      </c>
      <c r="G214" s="190">
        <v>3500</v>
      </c>
      <c r="H214" s="68"/>
      <c r="I214" s="60"/>
      <c r="J214" s="69"/>
      <c r="K214" s="65"/>
    </row>
    <row r="215" spans="1:11" s="64" customFormat="1" ht="13.5" customHeight="1" x14ac:dyDescent="0.2">
      <c r="A215" s="180">
        <v>43374</v>
      </c>
      <c r="B215" s="36"/>
      <c r="C215" s="32" t="s">
        <v>535</v>
      </c>
      <c r="D215" s="195"/>
      <c r="E215" s="200"/>
      <c r="F215" s="199">
        <v>2000</v>
      </c>
      <c r="G215" s="190">
        <v>5500</v>
      </c>
      <c r="H215" s="68"/>
      <c r="I215" s="60"/>
      <c r="J215" s="69"/>
      <c r="K215" s="65"/>
    </row>
    <row r="216" spans="1:11" s="64" customFormat="1" ht="13.5" customHeight="1" x14ac:dyDescent="0.2">
      <c r="A216" s="180">
        <v>43409</v>
      </c>
      <c r="B216" s="36"/>
      <c r="C216" s="32" t="s">
        <v>535</v>
      </c>
      <c r="D216" s="195"/>
      <c r="E216" s="200"/>
      <c r="F216" s="199">
        <v>1000</v>
      </c>
      <c r="G216" s="190">
        <v>6500</v>
      </c>
      <c r="H216" s="68"/>
      <c r="I216" s="60"/>
      <c r="J216" s="69"/>
      <c r="K216" s="65"/>
    </row>
    <row r="217" spans="1:11" s="64" customFormat="1" ht="13.5" customHeight="1" x14ac:dyDescent="0.2">
      <c r="A217" s="180">
        <v>43439</v>
      </c>
      <c r="B217" s="36"/>
      <c r="C217" s="32" t="s">
        <v>535</v>
      </c>
      <c r="D217" s="195"/>
      <c r="E217" s="200"/>
      <c r="F217" s="199">
        <v>500</v>
      </c>
      <c r="G217" s="190">
        <v>7000</v>
      </c>
      <c r="H217" s="68"/>
      <c r="I217" s="60"/>
      <c r="J217" s="69"/>
      <c r="K217" s="65"/>
    </row>
    <row r="218" spans="1:11" s="64" customFormat="1" ht="13.5" customHeight="1" x14ac:dyDescent="0.2">
      <c r="A218" s="180">
        <v>43469</v>
      </c>
      <c r="B218" s="36"/>
      <c r="C218" s="32" t="s">
        <v>1390</v>
      </c>
      <c r="D218" s="195"/>
      <c r="E218" s="200"/>
      <c r="F218" s="199">
        <v>1500</v>
      </c>
      <c r="G218" s="190">
        <v>8500</v>
      </c>
      <c r="H218" s="68"/>
      <c r="I218" s="60"/>
      <c r="J218" s="69"/>
      <c r="K218" s="65"/>
    </row>
    <row r="219" spans="1:11" s="64" customFormat="1" ht="13.5" customHeight="1" x14ac:dyDescent="0.2">
      <c r="A219" s="184">
        <v>43475</v>
      </c>
      <c r="B219" s="63"/>
      <c r="C219" s="32" t="s">
        <v>1391</v>
      </c>
      <c r="D219" s="50"/>
      <c r="E219" s="51"/>
      <c r="F219" s="183">
        <v>5000</v>
      </c>
      <c r="G219" s="190">
        <v>13500</v>
      </c>
      <c r="H219" s="179"/>
      <c r="I219" s="57"/>
      <c r="J219" s="67"/>
      <c r="K219" s="65"/>
    </row>
    <row r="220" spans="1:11" s="64" customFormat="1" ht="13.5" customHeight="1" x14ac:dyDescent="0.2">
      <c r="A220" s="184">
        <v>43482</v>
      </c>
      <c r="B220" s="63"/>
      <c r="C220" s="32" t="s">
        <v>1391</v>
      </c>
      <c r="D220" s="50"/>
      <c r="E220" s="51"/>
      <c r="F220" s="183">
        <v>5000</v>
      </c>
      <c r="G220" s="190">
        <v>18500</v>
      </c>
      <c r="H220" s="179"/>
      <c r="I220" s="57"/>
      <c r="J220" s="67"/>
      <c r="K220" s="65"/>
    </row>
    <row r="221" spans="1:11" s="64" customFormat="1" ht="13.5" customHeight="1" x14ac:dyDescent="0.2">
      <c r="A221" s="184">
        <v>43500</v>
      </c>
      <c r="B221" s="63"/>
      <c r="C221" s="32" t="s">
        <v>1391</v>
      </c>
      <c r="D221" s="50"/>
      <c r="E221" s="51"/>
      <c r="F221" s="183">
        <v>3000</v>
      </c>
      <c r="G221" s="190">
        <v>21500</v>
      </c>
      <c r="H221" s="179"/>
      <c r="I221" s="57"/>
      <c r="J221" s="67"/>
      <c r="K221" s="65"/>
    </row>
    <row r="222" spans="1:11" s="64" customFormat="1" ht="13.5" customHeight="1" x14ac:dyDescent="0.2">
      <c r="A222" s="184">
        <v>43501</v>
      </c>
      <c r="B222" s="63"/>
      <c r="C222" s="32" t="s">
        <v>1391</v>
      </c>
      <c r="D222" s="50"/>
      <c r="E222" s="51"/>
      <c r="F222" s="183">
        <v>4000</v>
      </c>
      <c r="G222" s="190">
        <v>25500</v>
      </c>
      <c r="H222" s="179"/>
      <c r="I222" s="57"/>
      <c r="J222" s="67"/>
      <c r="K222" s="65"/>
    </row>
    <row r="223" spans="1:11" s="64" customFormat="1" ht="13.5" customHeight="1" x14ac:dyDescent="0.2">
      <c r="A223" s="184">
        <v>43503</v>
      </c>
      <c r="B223" s="63"/>
      <c r="C223" s="32" t="s">
        <v>1391</v>
      </c>
      <c r="D223" s="50"/>
      <c r="E223" s="51"/>
      <c r="F223" s="183">
        <v>2000</v>
      </c>
      <c r="G223" s="190">
        <v>27500</v>
      </c>
      <c r="H223" s="179"/>
      <c r="I223" s="57"/>
      <c r="J223" s="67"/>
      <c r="K223" s="65"/>
    </row>
    <row r="224" spans="1:11" s="64" customFormat="1" ht="13.5" customHeight="1" x14ac:dyDescent="0.2">
      <c r="A224" s="184">
        <v>43504</v>
      </c>
      <c r="B224" s="63"/>
      <c r="C224" s="32" t="s">
        <v>1390</v>
      </c>
      <c r="D224" s="50"/>
      <c r="E224" s="51"/>
      <c r="F224" s="183">
        <v>1500</v>
      </c>
      <c r="G224" s="190">
        <v>29000</v>
      </c>
      <c r="H224" s="179"/>
      <c r="I224" s="57"/>
      <c r="J224" s="67"/>
      <c r="K224" s="65"/>
    </row>
    <row r="225" spans="1:14" s="64" customFormat="1" ht="13.5" customHeight="1" x14ac:dyDescent="0.2">
      <c r="A225" s="184">
        <v>43522</v>
      </c>
      <c r="B225" s="63"/>
      <c r="C225" s="32" t="s">
        <v>1544</v>
      </c>
      <c r="D225" s="50"/>
      <c r="E225" s="181">
        <v>5000</v>
      </c>
      <c r="F225" s="12"/>
      <c r="G225" s="190">
        <v>24000</v>
      </c>
      <c r="H225" s="179"/>
      <c r="I225" s="57"/>
      <c r="J225" s="67"/>
      <c r="K225" s="65"/>
    </row>
    <row r="226" spans="1:14" s="64" customFormat="1" ht="13.5" customHeight="1" x14ac:dyDescent="0.2">
      <c r="A226" s="180">
        <v>43531</v>
      </c>
      <c r="B226" s="63"/>
      <c r="C226" s="32" t="s">
        <v>1390</v>
      </c>
      <c r="D226" s="50"/>
      <c r="E226" s="51"/>
      <c r="F226" s="183">
        <v>3000</v>
      </c>
      <c r="G226" s="190">
        <v>27000</v>
      </c>
      <c r="H226" s="179"/>
      <c r="I226" s="57"/>
      <c r="J226" s="67"/>
      <c r="K226" s="65"/>
    </row>
    <row r="227" spans="1:14" s="64" customFormat="1" ht="13.5" customHeight="1" x14ac:dyDescent="0.2">
      <c r="A227" s="180">
        <v>43536</v>
      </c>
      <c r="B227" s="56"/>
      <c r="C227" s="32" t="s">
        <v>1391</v>
      </c>
      <c r="D227" s="11"/>
      <c r="E227" s="30"/>
      <c r="F227" s="183">
        <v>3000</v>
      </c>
      <c r="G227" s="190">
        <v>30000</v>
      </c>
      <c r="H227" s="59"/>
      <c r="I227" s="60"/>
      <c r="J227" s="61"/>
      <c r="K227" s="65"/>
    </row>
    <row r="228" spans="1:14" s="64" customFormat="1" ht="13.5" customHeight="1" x14ac:dyDescent="0.2">
      <c r="A228" s="180">
        <v>43560</v>
      </c>
      <c r="B228" s="36"/>
      <c r="C228" s="32" t="s">
        <v>1390</v>
      </c>
      <c r="D228" s="50"/>
      <c r="E228" s="51"/>
      <c r="F228" s="183">
        <v>2000</v>
      </c>
      <c r="G228" s="190">
        <v>32000</v>
      </c>
      <c r="H228" s="179"/>
      <c r="I228" s="57"/>
      <c r="J228" s="67"/>
      <c r="K228" s="65"/>
    </row>
    <row r="229" spans="1:14" s="64" customFormat="1" ht="13.5" customHeight="1" x14ac:dyDescent="0.2">
      <c r="A229" s="184">
        <v>43565</v>
      </c>
      <c r="B229" s="63"/>
      <c r="C229" s="32" t="s">
        <v>1390</v>
      </c>
      <c r="D229" s="50"/>
      <c r="E229" s="51"/>
      <c r="F229" s="183">
        <v>8000</v>
      </c>
      <c r="G229" s="190">
        <v>40000</v>
      </c>
      <c r="H229" s="179"/>
      <c r="I229" s="57"/>
      <c r="J229" s="67"/>
      <c r="K229" s="65"/>
    </row>
    <row r="230" spans="1:14" s="64" customFormat="1" ht="13.5" customHeight="1" x14ac:dyDescent="0.2">
      <c r="A230" s="184">
        <v>43571</v>
      </c>
      <c r="B230" s="63"/>
      <c r="C230" s="32" t="s">
        <v>1544</v>
      </c>
      <c r="D230" s="50"/>
      <c r="E230" s="181">
        <v>4000</v>
      </c>
      <c r="F230" s="13"/>
      <c r="G230" s="190">
        <v>36000</v>
      </c>
      <c r="H230" s="179"/>
      <c r="I230" s="57"/>
      <c r="J230" s="67"/>
      <c r="K230" s="65"/>
    </row>
    <row r="231" spans="1:14" s="64" customFormat="1" ht="13.5" customHeight="1" x14ac:dyDescent="0.2">
      <c r="A231" s="184">
        <v>43580</v>
      </c>
      <c r="B231" s="63"/>
      <c r="C231" s="32" t="s">
        <v>1544</v>
      </c>
      <c r="D231" s="50"/>
      <c r="E231" s="181">
        <v>2000</v>
      </c>
      <c r="F231" s="13"/>
      <c r="G231" s="178">
        <v>34000</v>
      </c>
      <c r="H231" s="179"/>
      <c r="I231" s="57"/>
      <c r="J231" s="67"/>
      <c r="K231" s="65"/>
    </row>
    <row r="232" spans="1:14" ht="13.5" customHeight="1" thickBot="1" x14ac:dyDescent="0.25">
      <c r="A232" s="180"/>
      <c r="B232" s="56"/>
      <c r="C232" s="56"/>
      <c r="D232" s="11"/>
      <c r="E232" s="30"/>
      <c r="F232" s="12"/>
      <c r="G232" s="182"/>
      <c r="H232" s="59"/>
      <c r="I232" s="60"/>
      <c r="J232" s="61"/>
    </row>
    <row r="233" spans="1:14" ht="13.5" customHeight="1" thickBot="1" x14ac:dyDescent="0.25">
      <c r="A233" s="2" t="s">
        <v>2</v>
      </c>
      <c r="B233" s="3"/>
      <c r="C233" s="3" t="s">
        <v>536</v>
      </c>
      <c r="D233" s="3"/>
      <c r="E233" s="3"/>
      <c r="F233" s="3"/>
      <c r="G233" s="5" t="s">
        <v>7</v>
      </c>
      <c r="H233" s="6" t="s">
        <v>5</v>
      </c>
      <c r="I233" s="4" t="s">
        <v>6</v>
      </c>
      <c r="J233" s="7" t="s">
        <v>7</v>
      </c>
    </row>
    <row r="234" spans="1:14" ht="13.5" customHeight="1" x14ac:dyDescent="0.2">
      <c r="A234" s="8">
        <v>43556</v>
      </c>
      <c r="B234" s="70"/>
      <c r="C234" s="10" t="s">
        <v>537</v>
      </c>
      <c r="D234" s="125"/>
      <c r="E234" s="67"/>
      <c r="F234" s="67"/>
      <c r="G234" s="178"/>
      <c r="H234" s="179"/>
      <c r="I234" s="57"/>
      <c r="J234" s="58">
        <v>904.25999999999976</v>
      </c>
    </row>
    <row r="235" spans="1:14" customFormat="1" ht="13.5" customHeight="1" x14ac:dyDescent="0.2">
      <c r="A235" s="180">
        <v>43558</v>
      </c>
      <c r="B235" s="221"/>
      <c r="C235" s="34" t="s">
        <v>1968</v>
      </c>
      <c r="D235" s="522"/>
      <c r="E235" s="198"/>
      <c r="F235" s="198"/>
      <c r="G235" s="190"/>
      <c r="H235" s="523">
        <v>21.24</v>
      </c>
      <c r="I235" s="524"/>
      <c r="J235" s="525">
        <v>883.01999999999975</v>
      </c>
      <c r="K235" s="40"/>
      <c r="L235" s="30">
        <f>SUM(G3,J3,G150,J234,)</f>
        <v>6347.17</v>
      </c>
      <c r="M235" t="s">
        <v>8082</v>
      </c>
      <c r="N235" s="1"/>
    </row>
    <row r="236" spans="1:14" customFormat="1" ht="13.5" customHeight="1" x14ac:dyDescent="0.2">
      <c r="A236" s="180"/>
      <c r="B236" s="221"/>
      <c r="C236" s="34" t="s">
        <v>1968</v>
      </c>
      <c r="D236" s="522"/>
      <c r="E236" s="198"/>
      <c r="F236" s="198"/>
      <c r="G236" s="190"/>
      <c r="H236" s="523">
        <v>19.149999999999999</v>
      </c>
      <c r="I236" s="524"/>
      <c r="J236" s="525">
        <v>863.86999999999978</v>
      </c>
      <c r="K236" s="40"/>
      <c r="L236" s="1159"/>
      <c r="M236" s="1"/>
      <c r="N236" s="1"/>
    </row>
    <row r="237" spans="1:14" ht="13.5" customHeight="1" x14ac:dyDescent="0.2">
      <c r="A237" s="171">
        <v>43566</v>
      </c>
      <c r="B237" s="46"/>
      <c r="C237" s="237" t="s">
        <v>1590</v>
      </c>
      <c r="D237" s="229"/>
      <c r="E237" s="69"/>
      <c r="F237" s="69"/>
      <c r="G237" s="203"/>
      <c r="H237" s="355">
        <v>100</v>
      </c>
      <c r="I237" s="526"/>
      <c r="J237" s="525">
        <v>763.86999999999978</v>
      </c>
      <c r="L237" s="30">
        <f>SUM(J242,G194,G133,J147)</f>
        <v>6432.9300000000021</v>
      </c>
      <c r="M237" t="s">
        <v>8083</v>
      </c>
    </row>
    <row r="238" spans="1:14" ht="13.5" customHeight="1" x14ac:dyDescent="0.2">
      <c r="A238" s="171">
        <v>43567</v>
      </c>
      <c r="B238" s="46"/>
      <c r="C238" s="237" t="s">
        <v>1590</v>
      </c>
      <c r="D238" s="229"/>
      <c r="E238" s="69"/>
      <c r="F238" s="69"/>
      <c r="G238" s="203"/>
      <c r="H238" s="355">
        <v>211.02</v>
      </c>
      <c r="I238" s="355"/>
      <c r="J238" s="525">
        <v>552.8499999999998</v>
      </c>
      <c r="L238" s="1159"/>
    </row>
    <row r="239" spans="1:14" ht="13.5" customHeight="1" x14ac:dyDescent="0.2">
      <c r="A239" s="171"/>
      <c r="B239" s="46"/>
      <c r="C239" s="36" t="s">
        <v>1969</v>
      </c>
      <c r="D239" s="229"/>
      <c r="E239" s="69"/>
      <c r="F239" s="69"/>
      <c r="G239" s="203"/>
      <c r="H239" s="355">
        <v>52.86</v>
      </c>
      <c r="I239" s="355"/>
      <c r="J239" s="525">
        <v>499.98999999999978</v>
      </c>
      <c r="L239" s="697">
        <f>SUM(I243,H243,F196,E196,I148,H148,F148,E148,)</f>
        <v>85.760000000000218</v>
      </c>
      <c r="M239" t="s">
        <v>1800</v>
      </c>
    </row>
    <row r="240" spans="1:14" ht="13.5" customHeight="1" x14ac:dyDescent="0.2">
      <c r="A240" s="180">
        <v>43571</v>
      </c>
      <c r="B240" s="46"/>
      <c r="C240" s="34" t="s">
        <v>1970</v>
      </c>
      <c r="D240" s="229"/>
      <c r="E240" s="69"/>
      <c r="F240" s="69"/>
      <c r="G240" s="203"/>
      <c r="H240" s="355"/>
      <c r="I240" s="526">
        <v>3500</v>
      </c>
      <c r="J240" s="525">
        <v>3999.99</v>
      </c>
      <c r="L240" s="1159"/>
    </row>
    <row r="241" spans="1:13" ht="13.5" customHeight="1" x14ac:dyDescent="0.2">
      <c r="A241" s="180">
        <v>43571</v>
      </c>
      <c r="B241" s="9"/>
      <c r="C241" s="45" t="s">
        <v>1971</v>
      </c>
      <c r="D241" s="230"/>
      <c r="E241" s="61"/>
      <c r="F241" s="61"/>
      <c r="G241" s="205"/>
      <c r="H241" s="356">
        <v>1200</v>
      </c>
      <c r="I241" s="526"/>
      <c r="J241" s="525">
        <v>2799.99</v>
      </c>
      <c r="L241" s="1159"/>
    </row>
    <row r="242" spans="1:13" ht="13.5" customHeight="1" x14ac:dyDescent="0.2">
      <c r="A242" s="180">
        <v>43577</v>
      </c>
      <c r="B242" s="9"/>
      <c r="C242" s="34" t="s">
        <v>1972</v>
      </c>
      <c r="D242" s="230"/>
      <c r="E242" s="61"/>
      <c r="F242" s="61"/>
      <c r="G242" s="205"/>
      <c r="H242" s="356">
        <v>33</v>
      </c>
      <c r="I242" s="526"/>
      <c r="J242" s="527">
        <v>2766.99</v>
      </c>
      <c r="L242" s="1159"/>
    </row>
    <row r="243" spans="1:13" ht="13.5" customHeight="1" thickBot="1" x14ac:dyDescent="0.25">
      <c r="A243" s="207"/>
      <c r="B243" s="207"/>
      <c r="C243" s="208"/>
      <c r="D243" s="208"/>
      <c r="E243" s="208"/>
      <c r="F243" s="208"/>
      <c r="G243" s="210"/>
      <c r="H243" s="652">
        <f>-SUM(H235:H242)</f>
        <v>-1637.27</v>
      </c>
      <c r="I243" s="652">
        <f>SUM(I240)</f>
        <v>3500</v>
      </c>
      <c r="J243" s="212"/>
      <c r="L243" s="615">
        <f>L235+L239-L237</f>
        <v>0</v>
      </c>
      <c r="M243" t="s">
        <v>8084</v>
      </c>
    </row>
    <row r="244" spans="1:13" ht="13.5" customHeight="1" thickBot="1" x14ac:dyDescent="0.25">
      <c r="A244" s="213"/>
      <c r="B244" s="214"/>
      <c r="C244" s="215" t="s">
        <v>539</v>
      </c>
      <c r="D244" s="216"/>
      <c r="E244" s="187"/>
      <c r="F244" s="187"/>
      <c r="G244" s="217" t="s">
        <v>7</v>
      </c>
      <c r="H244" s="187"/>
      <c r="I244" s="187"/>
      <c r="J244" s="189"/>
    </row>
    <row r="245" spans="1:13" ht="13.5" customHeight="1" x14ac:dyDescent="0.2">
      <c r="A245" s="74" t="s">
        <v>540</v>
      </c>
      <c r="B245" s="74"/>
      <c r="C245" s="218" t="s">
        <v>541</v>
      </c>
      <c r="D245" s="219"/>
      <c r="E245" s="220"/>
      <c r="F245" s="220"/>
      <c r="G245" s="75">
        <v>0</v>
      </c>
      <c r="H245" s="220"/>
      <c r="I245" s="220"/>
      <c r="J245" s="220"/>
    </row>
    <row r="246" spans="1:13" ht="13.5" customHeight="1" x14ac:dyDescent="0.2">
      <c r="A246" s="221" t="s">
        <v>540</v>
      </c>
      <c r="B246" s="70"/>
      <c r="C246" s="63" t="s">
        <v>542</v>
      </c>
      <c r="D246" s="50"/>
      <c r="E246" s="13"/>
      <c r="F246" s="13"/>
      <c r="G246" s="75">
        <v>3260.59</v>
      </c>
      <c r="H246" s="13"/>
      <c r="I246" s="13"/>
      <c r="J246" s="13"/>
    </row>
    <row r="247" spans="1:13" ht="13.5" customHeight="1" x14ac:dyDescent="0.2">
      <c r="A247" s="70"/>
      <c r="B247" s="70"/>
      <c r="C247" s="222" t="s">
        <v>543</v>
      </c>
      <c r="D247" s="50"/>
      <c r="E247" s="13"/>
      <c r="F247" s="13"/>
      <c r="G247" s="14">
        <v>3260.59</v>
      </c>
      <c r="H247" s="13"/>
      <c r="I247" s="13"/>
      <c r="J247" s="13"/>
    </row>
    <row r="248" spans="1:13" ht="13.5" customHeight="1" x14ac:dyDescent="0.2">
      <c r="A248" s="70"/>
      <c r="B248" s="70"/>
      <c r="C248" s="63"/>
      <c r="D248" s="50"/>
      <c r="E248" s="13"/>
      <c r="F248" s="13"/>
      <c r="G248" s="14"/>
      <c r="H248" s="13"/>
      <c r="I248" s="13"/>
      <c r="J248" s="13"/>
    </row>
    <row r="249" spans="1:13" ht="13.5" customHeight="1" x14ac:dyDescent="0.2">
      <c r="A249" s="70"/>
      <c r="B249" s="70"/>
      <c r="C249" s="222" t="s">
        <v>544</v>
      </c>
      <c r="D249" s="50"/>
      <c r="E249" s="13"/>
      <c r="F249" s="13"/>
      <c r="G249" s="14">
        <v>6432.9300000000021</v>
      </c>
      <c r="H249" s="13"/>
      <c r="I249" s="13"/>
      <c r="J249" s="13"/>
    </row>
    <row r="250" spans="1:13" ht="13.5" customHeight="1" x14ac:dyDescent="0.2">
      <c r="A250" s="70"/>
      <c r="B250" s="70"/>
      <c r="C250" s="63"/>
      <c r="D250" s="50"/>
      <c r="E250" s="13"/>
      <c r="F250" s="13"/>
      <c r="G250" s="75"/>
      <c r="H250" s="13"/>
      <c r="I250" s="13"/>
      <c r="J250" s="13"/>
    </row>
    <row r="251" spans="1:13" ht="13.5" customHeight="1" x14ac:dyDescent="0.2">
      <c r="A251" s="76"/>
      <c r="B251" s="76"/>
      <c r="C251" s="222" t="s">
        <v>545</v>
      </c>
      <c r="D251" s="78"/>
      <c r="E251" s="78"/>
      <c r="F251" s="78"/>
      <c r="G251" s="14">
        <v>9199.9200000000019</v>
      </c>
      <c r="H251" s="77"/>
      <c r="I251" s="77"/>
      <c r="J251" s="13"/>
    </row>
    <row r="252" spans="1:13" ht="13.5" customHeight="1" x14ac:dyDescent="0.2">
      <c r="A252" s="76"/>
      <c r="B252" s="76"/>
      <c r="C252" s="78"/>
      <c r="D252" s="78"/>
      <c r="E252" s="78"/>
      <c r="F252" s="78"/>
      <c r="G252" s="75"/>
      <c r="H252" s="77"/>
      <c r="I252" s="77"/>
      <c r="J252" s="13"/>
    </row>
    <row r="253" spans="1:13" ht="13.5" customHeight="1" x14ac:dyDescent="0.2">
      <c r="A253" s="70"/>
      <c r="B253" s="70"/>
      <c r="C253" s="63"/>
      <c r="D253" s="50"/>
      <c r="E253" s="13"/>
      <c r="F253" s="13"/>
      <c r="G253" s="75"/>
      <c r="H253" s="13"/>
      <c r="I253" s="13"/>
      <c r="J253" s="13"/>
    </row>
    <row r="254" spans="1:13" ht="13.5" customHeight="1" x14ac:dyDescent="0.2">
      <c r="A254" s="79"/>
      <c r="B254" s="70"/>
      <c r="C254" s="63"/>
      <c r="D254" s="50"/>
      <c r="E254" s="13"/>
      <c r="F254" s="13"/>
      <c r="G254" s="75"/>
      <c r="H254" s="13"/>
      <c r="I254" s="13"/>
      <c r="J254" s="13"/>
    </row>
    <row r="255" spans="1:13" ht="13.5" customHeight="1" x14ac:dyDescent="0.2">
      <c r="A255" s="79"/>
      <c r="B255" s="79"/>
      <c r="C255" s="63"/>
      <c r="D255" s="78"/>
      <c r="E255" s="13"/>
      <c r="F255" s="13"/>
      <c r="G255" s="75"/>
      <c r="H255" s="77"/>
      <c r="I255" s="77"/>
      <c r="J255" s="13"/>
    </row>
    <row r="256" spans="1:13" ht="13.5" customHeight="1" x14ac:dyDescent="0.2">
      <c r="A256" s="79"/>
      <c r="B256" s="79"/>
      <c r="C256" s="78"/>
      <c r="D256" s="78"/>
      <c r="E256" s="78"/>
      <c r="F256" s="78"/>
      <c r="G256" s="75"/>
      <c r="H256" s="77"/>
      <c r="I256" s="77"/>
      <c r="J256" s="13"/>
    </row>
    <row r="257" spans="1:10" ht="13.5" customHeight="1" x14ac:dyDescent="0.2">
      <c r="A257" s="79"/>
      <c r="B257" s="79"/>
      <c r="C257" s="78"/>
      <c r="D257" s="78"/>
      <c r="E257" s="78"/>
      <c r="F257" s="78"/>
      <c r="G257" s="75"/>
      <c r="H257" s="77"/>
      <c r="I257" s="77"/>
      <c r="J257" s="13"/>
    </row>
    <row r="258" spans="1:10" ht="13.5" customHeight="1" x14ac:dyDescent="0.2">
      <c r="A258" s="79"/>
      <c r="B258" s="79"/>
      <c r="C258" s="78"/>
      <c r="D258" s="78"/>
      <c r="E258" s="13"/>
      <c r="F258" s="13"/>
      <c r="G258" s="75"/>
      <c r="H258" s="77"/>
      <c r="I258" s="77"/>
      <c r="J258" s="13"/>
    </row>
    <row r="259" spans="1:10" ht="13.5" customHeight="1" x14ac:dyDescent="0.2">
      <c r="A259" s="74"/>
      <c r="B259" s="80"/>
      <c r="C259" s="81"/>
      <c r="D259" s="50"/>
      <c r="E259" s="13"/>
      <c r="F259" s="13"/>
      <c r="G259" s="75"/>
      <c r="H259" s="13"/>
      <c r="I259" s="13"/>
      <c r="J259" s="13"/>
    </row>
    <row r="260" spans="1:10" ht="13.5" customHeight="1" x14ac:dyDescent="0.2">
      <c r="A260" s="79"/>
      <c r="B260" s="79"/>
      <c r="C260" s="78"/>
      <c r="D260" s="78"/>
      <c r="E260" s="13"/>
      <c r="F260" s="13"/>
      <c r="G260" s="75"/>
      <c r="H260" s="77"/>
      <c r="I260" s="77"/>
      <c r="J260" s="13"/>
    </row>
    <row r="261" spans="1:10" ht="13.5" customHeight="1" x14ac:dyDescent="0.2">
      <c r="A261" s="79"/>
      <c r="B261" s="79"/>
      <c r="C261" s="78"/>
      <c r="D261" s="78"/>
      <c r="E261" s="13"/>
      <c r="F261" s="13"/>
      <c r="G261" s="75"/>
      <c r="H261" s="77"/>
      <c r="I261" s="77"/>
      <c r="J261" s="13"/>
    </row>
    <row r="262" spans="1:10" ht="13.5" customHeight="1" x14ac:dyDescent="0.2">
      <c r="A262" s="79"/>
      <c r="B262" s="79"/>
      <c r="C262" s="78"/>
      <c r="D262" s="78"/>
      <c r="E262" s="78"/>
      <c r="F262" s="78"/>
      <c r="G262" s="75"/>
      <c r="H262" s="77"/>
      <c r="I262" s="77"/>
      <c r="J262" s="13"/>
    </row>
    <row r="263" spans="1:10" ht="13.5" customHeight="1" x14ac:dyDescent="0.2">
      <c r="A263" s="79"/>
      <c r="B263" s="79"/>
      <c r="C263" s="78"/>
      <c r="D263" s="78"/>
      <c r="E263" s="78"/>
      <c r="F263" s="78"/>
      <c r="G263" s="75"/>
      <c r="H263" s="77"/>
      <c r="I263" s="77"/>
      <c r="J263" s="13"/>
    </row>
    <row r="264" spans="1:10" ht="13.5" customHeight="1" x14ac:dyDescent="0.2">
      <c r="A264" s="79"/>
      <c r="B264" s="79"/>
      <c r="C264" s="78"/>
      <c r="D264" s="78"/>
      <c r="E264" s="78"/>
      <c r="F264" s="78"/>
      <c r="G264" s="75"/>
      <c r="H264" s="77"/>
      <c r="I264" s="77"/>
      <c r="J264" s="13"/>
    </row>
    <row r="265" spans="1:10" ht="13.5" customHeight="1" x14ac:dyDescent="0.2">
      <c r="A265" s="79"/>
      <c r="B265" s="79"/>
      <c r="C265" s="78"/>
      <c r="D265" s="78"/>
      <c r="E265" s="78"/>
      <c r="F265" s="78"/>
      <c r="G265" s="75"/>
      <c r="H265" s="77"/>
      <c r="I265" s="77"/>
      <c r="J265" s="13"/>
    </row>
    <row r="266" spans="1:10" ht="13.5" customHeight="1" x14ac:dyDescent="0.2">
      <c r="A266" s="79"/>
      <c r="B266" s="79"/>
      <c r="C266" s="78"/>
      <c r="D266" s="78"/>
      <c r="E266" s="78"/>
      <c r="F266" s="78"/>
      <c r="G266" s="75"/>
      <c r="H266" s="77"/>
      <c r="I266" s="77"/>
      <c r="J266" s="13"/>
    </row>
    <row r="267" spans="1:10" ht="13.5" customHeight="1" x14ac:dyDescent="0.2">
      <c r="A267" s="79"/>
      <c r="B267" s="79"/>
      <c r="C267" s="78"/>
      <c r="D267" s="78"/>
      <c r="E267" s="78"/>
      <c r="F267" s="78"/>
      <c r="G267" s="14"/>
      <c r="H267" s="77"/>
      <c r="I267" s="77"/>
      <c r="J267" s="130"/>
    </row>
    <row r="268" spans="1:10" ht="13.5" customHeight="1" x14ac:dyDescent="0.2">
      <c r="A268" s="70"/>
      <c r="B268" s="70"/>
      <c r="C268" s="63"/>
      <c r="D268" s="50"/>
      <c r="E268" s="13"/>
      <c r="F268" s="13"/>
      <c r="G268" s="75"/>
      <c r="H268" s="82"/>
      <c r="I268" s="13"/>
      <c r="J268" s="13"/>
    </row>
    <row r="269" spans="1:10" ht="13.5" customHeight="1" x14ac:dyDescent="0.2">
      <c r="A269" s="70"/>
      <c r="B269" s="70"/>
      <c r="C269" s="63"/>
      <c r="D269" s="50"/>
      <c r="E269" s="13"/>
      <c r="F269" s="13"/>
      <c r="G269" s="75"/>
      <c r="H269" s="82"/>
      <c r="I269" s="13"/>
      <c r="J269" s="13"/>
    </row>
    <row r="270" spans="1:10" ht="13.5" customHeight="1" x14ac:dyDescent="0.2">
      <c r="A270" s="70"/>
      <c r="B270" s="70"/>
      <c r="C270" s="63"/>
      <c r="D270" s="50"/>
      <c r="E270" s="13"/>
      <c r="F270" s="13"/>
      <c r="G270" s="75"/>
      <c r="H270" s="82"/>
      <c r="I270" s="13"/>
      <c r="J270" s="13"/>
    </row>
    <row r="271" spans="1:10" ht="13.5" customHeight="1" x14ac:dyDescent="0.2">
      <c r="A271" s="70"/>
      <c r="B271" s="70"/>
      <c r="C271" s="63"/>
      <c r="D271" s="50"/>
      <c r="E271" s="13"/>
      <c r="F271" s="13"/>
      <c r="G271" s="75"/>
      <c r="H271" s="82"/>
      <c r="I271" s="13"/>
      <c r="J271" s="13"/>
    </row>
    <row r="272" spans="1:10" ht="13.5" customHeight="1" x14ac:dyDescent="0.2">
      <c r="A272" s="70"/>
      <c r="B272" s="70"/>
      <c r="C272" s="63"/>
      <c r="D272" s="50"/>
      <c r="E272" s="13"/>
      <c r="F272" s="13"/>
      <c r="G272" s="75"/>
      <c r="H272" s="82"/>
      <c r="I272" s="13"/>
      <c r="J272" s="13"/>
    </row>
    <row r="273" spans="1:10" ht="13.5" customHeight="1" x14ac:dyDescent="0.2">
      <c r="A273" s="70"/>
      <c r="B273" s="70"/>
      <c r="C273" s="63"/>
      <c r="D273" s="50"/>
      <c r="E273" s="13"/>
      <c r="F273" s="13"/>
      <c r="G273" s="75"/>
      <c r="H273" s="82"/>
      <c r="I273" s="13"/>
      <c r="J273" s="13"/>
    </row>
    <row r="274" spans="1:10" ht="13.5" customHeight="1" x14ac:dyDescent="0.2">
      <c r="A274" s="70"/>
      <c r="B274" s="70"/>
      <c r="C274" s="63"/>
      <c r="D274" s="50"/>
      <c r="E274" s="13"/>
      <c r="F274" s="13"/>
      <c r="G274" s="75"/>
      <c r="H274" s="82"/>
      <c r="I274" s="13"/>
      <c r="J274" s="13"/>
    </row>
    <row r="275" spans="1:10" ht="13.5" customHeight="1" x14ac:dyDescent="0.2">
      <c r="A275" s="70"/>
      <c r="B275" s="70"/>
      <c r="C275" s="63"/>
      <c r="D275" s="50"/>
      <c r="E275" s="13"/>
      <c r="F275" s="13"/>
      <c r="G275" s="75"/>
      <c r="H275" s="82"/>
      <c r="I275" s="13"/>
      <c r="J275" s="13"/>
    </row>
    <row r="276" spans="1:10" ht="13.5" customHeight="1" x14ac:dyDescent="0.2">
      <c r="A276" s="70"/>
      <c r="B276" s="70"/>
      <c r="C276" s="63"/>
      <c r="D276" s="50"/>
      <c r="E276" s="13"/>
      <c r="F276" s="13"/>
      <c r="G276" s="75"/>
      <c r="H276" s="82"/>
      <c r="I276" s="13"/>
      <c r="J276" s="13"/>
    </row>
    <row r="277" spans="1:10" ht="13.5" customHeight="1" x14ac:dyDescent="0.2">
      <c r="A277" s="70"/>
      <c r="B277" s="70"/>
      <c r="C277" s="63"/>
      <c r="D277" s="50"/>
      <c r="E277" s="13"/>
      <c r="F277" s="13"/>
      <c r="G277" s="75"/>
      <c r="H277" s="82"/>
      <c r="I277" s="13"/>
      <c r="J277" s="13"/>
    </row>
    <row r="278" spans="1:10" ht="13.5" customHeight="1" x14ac:dyDescent="0.2">
      <c r="A278" s="70"/>
      <c r="B278" s="70"/>
      <c r="C278" s="63"/>
      <c r="D278" s="50"/>
      <c r="E278" s="13"/>
      <c r="F278" s="13"/>
      <c r="G278" s="75"/>
      <c r="H278" s="82"/>
      <c r="I278" s="13"/>
      <c r="J278" s="13"/>
    </row>
    <row r="279" spans="1:10" ht="13.5" customHeight="1" x14ac:dyDescent="0.2">
      <c r="A279" s="70"/>
      <c r="B279" s="70"/>
      <c r="C279" s="63"/>
      <c r="D279" s="50"/>
      <c r="E279" s="13"/>
      <c r="F279" s="13"/>
      <c r="G279" s="75"/>
      <c r="H279" s="82"/>
      <c r="I279" s="13"/>
      <c r="J279" s="13"/>
    </row>
    <row r="280" spans="1:10" ht="13.5" customHeight="1" x14ac:dyDescent="0.2">
      <c r="A280" s="70"/>
      <c r="B280" s="70"/>
      <c r="C280" s="63"/>
      <c r="D280" s="50"/>
      <c r="E280" s="13"/>
      <c r="F280" s="13"/>
      <c r="G280" s="75"/>
      <c r="H280" s="82"/>
      <c r="I280" s="13"/>
      <c r="J280" s="13"/>
    </row>
    <row r="281" spans="1:10" ht="13.5" customHeight="1" x14ac:dyDescent="0.2">
      <c r="A281" s="70"/>
      <c r="B281" s="70"/>
      <c r="C281" s="63"/>
      <c r="D281" s="50"/>
      <c r="E281" s="13"/>
      <c r="F281" s="13"/>
      <c r="G281" s="75"/>
      <c r="H281" s="82"/>
      <c r="I281" s="13"/>
      <c r="J281" s="13"/>
    </row>
    <row r="282" spans="1:10" ht="13.5" customHeight="1" x14ac:dyDescent="0.2">
      <c r="A282" s="70"/>
      <c r="B282" s="70"/>
      <c r="C282" s="63"/>
      <c r="D282" s="50"/>
      <c r="E282" s="13"/>
      <c r="F282" s="13"/>
      <c r="G282" s="75"/>
      <c r="H282" s="82"/>
      <c r="I282" s="13"/>
      <c r="J282" s="13"/>
    </row>
    <row r="283" spans="1:10" ht="13.5" customHeight="1" x14ac:dyDescent="0.2">
      <c r="A283" s="70"/>
      <c r="B283" s="70"/>
      <c r="C283" s="63"/>
      <c r="D283" s="50"/>
      <c r="E283" s="13"/>
      <c r="F283" s="13"/>
      <c r="G283" s="75"/>
      <c r="H283" s="82"/>
      <c r="I283" s="13"/>
      <c r="J283" s="13"/>
    </row>
    <row r="284" spans="1:10" ht="13.5" customHeight="1" x14ac:dyDescent="0.2">
      <c r="A284" s="70"/>
      <c r="B284" s="70"/>
      <c r="C284" s="63"/>
      <c r="D284" s="50"/>
      <c r="E284" s="13"/>
      <c r="F284" s="13"/>
      <c r="G284" s="75"/>
      <c r="H284" s="82"/>
      <c r="I284" s="13"/>
      <c r="J284" s="13"/>
    </row>
    <row r="285" spans="1:10" ht="13.5" customHeight="1" x14ac:dyDescent="0.2">
      <c r="A285" s="70"/>
      <c r="B285" s="70"/>
      <c r="C285" s="63"/>
      <c r="D285" s="50"/>
      <c r="E285" s="13"/>
      <c r="F285" s="13"/>
      <c r="G285" s="75"/>
      <c r="H285" s="82"/>
      <c r="I285" s="13"/>
      <c r="J285" s="13"/>
    </row>
    <row r="286" spans="1:10" ht="13.5" customHeight="1" x14ac:dyDescent="0.2">
      <c r="A286" s="70"/>
      <c r="B286" s="70"/>
      <c r="C286" s="63"/>
      <c r="D286" s="50"/>
      <c r="E286" s="13"/>
      <c r="F286" s="13"/>
      <c r="G286" s="75"/>
      <c r="H286" s="82"/>
      <c r="I286" s="13"/>
      <c r="J286" s="13"/>
    </row>
    <row r="287" spans="1:10" ht="13.5" customHeight="1" x14ac:dyDescent="0.2">
      <c r="A287" s="70"/>
      <c r="B287" s="70"/>
      <c r="C287" s="63"/>
      <c r="D287" s="50"/>
      <c r="E287" s="13"/>
      <c r="F287" s="13"/>
      <c r="G287" s="75"/>
      <c r="H287" s="82"/>
      <c r="I287" s="13"/>
      <c r="J287" s="13"/>
    </row>
    <row r="288" spans="1:10" ht="13.5" customHeight="1" x14ac:dyDescent="0.2">
      <c r="A288" s="70"/>
      <c r="B288" s="70"/>
      <c r="C288" s="63"/>
      <c r="D288" s="50"/>
      <c r="E288" s="13"/>
      <c r="F288" s="13"/>
      <c r="G288" s="75"/>
      <c r="H288" s="82"/>
      <c r="I288" s="13"/>
      <c r="J288" s="13"/>
    </row>
    <row r="289" spans="1:10" ht="13.5" customHeight="1" x14ac:dyDescent="0.2">
      <c r="A289" s="70"/>
      <c r="B289" s="70"/>
      <c r="C289" s="63"/>
      <c r="D289" s="50"/>
      <c r="E289" s="13"/>
      <c r="F289" s="13"/>
      <c r="G289" s="75"/>
      <c r="H289" s="82"/>
      <c r="I289" s="13"/>
      <c r="J289" s="13"/>
    </row>
    <row r="290" spans="1:10" ht="13.5" customHeight="1" x14ac:dyDescent="0.2">
      <c r="A290" s="70"/>
      <c r="B290" s="70"/>
      <c r="C290" s="63"/>
      <c r="D290" s="50"/>
      <c r="E290" s="13"/>
      <c r="F290" s="13"/>
      <c r="G290" s="75"/>
      <c r="H290" s="82"/>
      <c r="I290" s="13"/>
      <c r="J290" s="13"/>
    </row>
    <row r="291" spans="1:10" ht="13.5" customHeight="1" x14ac:dyDescent="0.2">
      <c r="A291" s="70"/>
      <c r="B291" s="70"/>
      <c r="C291" s="63"/>
      <c r="D291" s="50"/>
      <c r="E291" s="13"/>
      <c r="F291" s="13"/>
      <c r="G291" s="75"/>
      <c r="H291" s="82"/>
      <c r="I291" s="13"/>
      <c r="J291" s="13"/>
    </row>
    <row r="292" spans="1:10" ht="13.5" customHeight="1" x14ac:dyDescent="0.2">
      <c r="A292" s="70"/>
      <c r="B292" s="70"/>
      <c r="C292" s="63"/>
      <c r="D292" s="50"/>
      <c r="E292" s="13"/>
      <c r="F292" s="13"/>
      <c r="G292" s="75"/>
      <c r="H292" s="82"/>
      <c r="I292" s="13"/>
      <c r="J292" s="13"/>
    </row>
    <row r="293" spans="1:10" ht="13.5" customHeight="1" x14ac:dyDescent="0.2">
      <c r="A293" s="70"/>
      <c r="B293" s="70"/>
      <c r="C293" s="63"/>
      <c r="D293" s="50"/>
      <c r="E293" s="13"/>
      <c r="F293" s="13"/>
      <c r="G293" s="75"/>
      <c r="H293" s="82"/>
      <c r="I293" s="13"/>
      <c r="J293" s="13"/>
    </row>
    <row r="294" spans="1:10" ht="13.5" customHeight="1" x14ac:dyDescent="0.2">
      <c r="A294" s="70"/>
      <c r="B294" s="70"/>
      <c r="C294" s="63"/>
      <c r="D294" s="50"/>
      <c r="E294" s="13"/>
      <c r="F294" s="13"/>
      <c r="G294" s="75"/>
      <c r="H294" s="82"/>
      <c r="I294" s="13"/>
      <c r="J294" s="13"/>
    </row>
    <row r="295" spans="1:10" ht="13.5" customHeight="1" x14ac:dyDescent="0.2">
      <c r="A295" s="70"/>
      <c r="B295" s="70"/>
      <c r="C295" s="63"/>
      <c r="D295" s="50"/>
      <c r="E295" s="13"/>
      <c r="F295" s="13"/>
      <c r="G295" s="75"/>
      <c r="H295" s="82"/>
      <c r="I295" s="13"/>
      <c r="J295" s="13"/>
    </row>
    <row r="296" spans="1:10" ht="13.5" customHeight="1" x14ac:dyDescent="0.2">
      <c r="A296" s="70"/>
      <c r="B296" s="70"/>
      <c r="C296" s="63"/>
      <c r="D296" s="50"/>
      <c r="E296" s="13"/>
      <c r="F296" s="13"/>
      <c r="G296" s="75"/>
      <c r="H296" s="82"/>
      <c r="I296" s="13"/>
      <c r="J296" s="13"/>
    </row>
    <row r="297" spans="1:10" ht="13.5" customHeight="1" x14ac:dyDescent="0.2">
      <c r="A297" s="70"/>
      <c r="B297" s="70"/>
      <c r="C297" s="63"/>
      <c r="D297" s="50"/>
      <c r="E297" s="13"/>
      <c r="F297" s="13"/>
      <c r="G297" s="75"/>
      <c r="H297" s="82"/>
      <c r="I297" s="13"/>
      <c r="J297" s="13"/>
    </row>
    <row r="298" spans="1:10" ht="13.5" customHeight="1" x14ac:dyDescent="0.2">
      <c r="A298" s="70"/>
      <c r="B298" s="70"/>
      <c r="C298" s="63"/>
      <c r="D298" s="50"/>
      <c r="E298" s="13"/>
      <c r="F298" s="13"/>
      <c r="G298" s="75"/>
      <c r="H298" s="82"/>
      <c r="I298" s="13"/>
      <c r="J298" s="13"/>
    </row>
    <row r="299" spans="1:10" ht="13.5" customHeight="1" x14ac:dyDescent="0.2">
      <c r="A299" s="70"/>
      <c r="B299" s="70"/>
      <c r="C299" s="63"/>
      <c r="D299" s="50"/>
      <c r="E299" s="13"/>
      <c r="F299" s="13"/>
      <c r="G299" s="75"/>
      <c r="H299" s="82"/>
      <c r="I299" s="13"/>
      <c r="J299" s="13"/>
    </row>
    <row r="300" spans="1:10" ht="13.5" customHeight="1" x14ac:dyDescent="0.2">
      <c r="A300" s="70"/>
      <c r="B300" s="70"/>
      <c r="C300" s="63"/>
      <c r="D300" s="50"/>
      <c r="E300" s="13"/>
      <c r="F300" s="13"/>
      <c r="G300" s="75"/>
      <c r="H300" s="82"/>
      <c r="I300" s="13"/>
      <c r="J300" s="13"/>
    </row>
    <row r="301" spans="1:10" ht="13.5" customHeight="1" x14ac:dyDescent="0.2">
      <c r="A301" s="70"/>
      <c r="B301" s="70"/>
      <c r="C301" s="63"/>
      <c r="D301" s="50"/>
      <c r="E301" s="13"/>
      <c r="F301" s="13"/>
      <c r="G301" s="75"/>
      <c r="H301" s="82"/>
      <c r="I301" s="13"/>
      <c r="J301" s="13"/>
    </row>
    <row r="302" spans="1:10" ht="13.5" customHeight="1" x14ac:dyDescent="0.2">
      <c r="A302" s="70"/>
      <c r="B302" s="70"/>
      <c r="C302" s="63"/>
      <c r="D302" s="50"/>
      <c r="E302" s="13"/>
      <c r="F302" s="13"/>
      <c r="G302" s="75"/>
      <c r="H302" s="82"/>
      <c r="I302" s="13"/>
      <c r="J302" s="13"/>
    </row>
    <row r="303" spans="1:10" ht="13.5" customHeight="1" x14ac:dyDescent="0.2">
      <c r="A303" s="70"/>
      <c r="B303" s="70"/>
      <c r="C303" s="63"/>
      <c r="D303" s="50"/>
      <c r="E303" s="13"/>
      <c r="F303" s="13"/>
      <c r="G303" s="75"/>
      <c r="H303" s="82"/>
      <c r="I303" s="13"/>
      <c r="J303" s="13"/>
    </row>
    <row r="304" spans="1:10" ht="13.5" customHeight="1" x14ac:dyDescent="0.2">
      <c r="A304" s="70"/>
      <c r="B304" s="70"/>
      <c r="C304" s="63"/>
      <c r="D304" s="50"/>
      <c r="E304" s="13"/>
      <c r="F304" s="13"/>
      <c r="G304" s="75"/>
      <c r="H304" s="82"/>
      <c r="I304" s="13"/>
      <c r="J304" s="13"/>
    </row>
    <row r="305" spans="1:10" ht="13.5" customHeight="1" x14ac:dyDescent="0.2">
      <c r="A305" s="70"/>
      <c r="B305" s="70"/>
      <c r="C305" s="63"/>
      <c r="D305" s="50"/>
      <c r="E305" s="13"/>
      <c r="F305" s="13"/>
      <c r="G305" s="75"/>
      <c r="H305" s="82"/>
      <c r="I305" s="13"/>
      <c r="J305" s="13"/>
    </row>
    <row r="306" spans="1:10" ht="13.5" customHeight="1" x14ac:dyDescent="0.2">
      <c r="A306" s="70"/>
      <c r="B306" s="70"/>
      <c r="C306" s="63"/>
      <c r="D306" s="50"/>
      <c r="E306" s="13"/>
      <c r="F306" s="13"/>
      <c r="G306" s="75"/>
      <c r="H306" s="82"/>
      <c r="I306" s="13"/>
      <c r="J306" s="13"/>
    </row>
    <row r="307" spans="1:10" ht="13.5" customHeight="1" x14ac:dyDescent="0.2">
      <c r="A307" s="70"/>
      <c r="B307" s="70"/>
      <c r="C307" s="63"/>
      <c r="D307" s="50"/>
      <c r="E307" s="13"/>
      <c r="F307" s="13"/>
      <c r="G307" s="75"/>
      <c r="H307" s="82"/>
      <c r="I307" s="13"/>
      <c r="J307" s="13"/>
    </row>
    <row r="308" spans="1:10" ht="13.5" customHeight="1" x14ac:dyDescent="0.2">
      <c r="A308" s="70"/>
      <c r="B308" s="70"/>
      <c r="C308" s="63"/>
      <c r="D308" s="50"/>
      <c r="E308" s="13"/>
      <c r="F308" s="13"/>
      <c r="G308" s="75"/>
      <c r="H308" s="83"/>
      <c r="I308" s="13"/>
      <c r="J308" s="13"/>
    </row>
    <row r="309" spans="1:10" ht="13.5" customHeight="1" x14ac:dyDescent="0.2">
      <c r="A309" s="70"/>
      <c r="B309" s="70"/>
      <c r="C309" s="63"/>
      <c r="D309" s="50"/>
      <c r="E309" s="13"/>
      <c r="F309" s="13"/>
      <c r="G309" s="75"/>
      <c r="H309" s="83"/>
      <c r="I309" s="13"/>
      <c r="J309" s="13"/>
    </row>
    <row r="310" spans="1:10" ht="13.5" customHeight="1" x14ac:dyDescent="0.2">
      <c r="A310" s="131"/>
      <c r="B310" s="70"/>
      <c r="C310" s="64"/>
      <c r="D310" s="50"/>
      <c r="E310" s="13"/>
      <c r="F310" s="13"/>
      <c r="G310" s="75"/>
      <c r="H310" s="84"/>
      <c r="I310" s="13"/>
      <c r="J310" s="13"/>
    </row>
    <row r="311" spans="1:10" ht="13.5" customHeight="1" x14ac:dyDescent="0.2">
      <c r="A311" s="70"/>
      <c r="B311" s="70"/>
      <c r="C311" s="63"/>
      <c r="D311" s="50"/>
      <c r="E311" s="13"/>
      <c r="F311" s="13"/>
      <c r="G311" s="75"/>
      <c r="H311" s="83"/>
      <c r="I311" s="13"/>
      <c r="J311" s="13"/>
    </row>
    <row r="312" spans="1:10" ht="13.5" customHeight="1" x14ac:dyDescent="0.2">
      <c r="A312" s="70"/>
      <c r="B312" s="70"/>
      <c r="C312" s="63"/>
      <c r="D312" s="50"/>
      <c r="E312" s="13"/>
      <c r="F312" s="13"/>
      <c r="G312" s="75"/>
      <c r="H312" s="83"/>
      <c r="I312" s="13"/>
      <c r="J312" s="13"/>
    </row>
    <row r="313" spans="1:10" ht="13.5" customHeight="1" x14ac:dyDescent="0.2">
      <c r="A313" s="131"/>
      <c r="B313" s="70"/>
      <c r="C313" s="85"/>
      <c r="D313" s="50"/>
      <c r="E313" s="13"/>
      <c r="F313" s="13"/>
      <c r="G313" s="75"/>
      <c r="H313" s="83"/>
      <c r="I313" s="13"/>
      <c r="J313" s="13"/>
    </row>
    <row r="314" spans="1:10" ht="13.5" customHeight="1" x14ac:dyDescent="0.2">
      <c r="A314" s="131"/>
      <c r="B314" s="70"/>
      <c r="C314" s="63"/>
      <c r="D314" s="50"/>
      <c r="E314" s="13"/>
      <c r="F314" s="13"/>
      <c r="G314" s="75"/>
      <c r="H314" s="83"/>
      <c r="I314" s="13"/>
      <c r="J314" s="13"/>
    </row>
    <row r="315" spans="1:10" ht="13.5" customHeight="1" x14ac:dyDescent="0.2">
      <c r="A315" s="131"/>
      <c r="B315" s="70"/>
      <c r="C315" s="63"/>
      <c r="D315" s="50"/>
      <c r="E315" s="13"/>
      <c r="F315" s="13"/>
      <c r="G315" s="75"/>
      <c r="H315" s="84"/>
      <c r="I315" s="13"/>
      <c r="J315" s="13"/>
    </row>
    <row r="316" spans="1:10" ht="13.5" customHeight="1" x14ac:dyDescent="0.2">
      <c r="A316" s="131"/>
      <c r="B316" s="70"/>
      <c r="C316" s="64"/>
      <c r="D316" s="50"/>
      <c r="E316" s="13"/>
      <c r="F316" s="13"/>
      <c r="G316" s="75"/>
      <c r="H316" s="83"/>
      <c r="I316" s="13"/>
      <c r="J316" s="13"/>
    </row>
    <row r="317" spans="1:10" ht="13.5" customHeight="1" x14ac:dyDescent="0.2">
      <c r="A317" s="70"/>
      <c r="B317" s="70"/>
      <c r="C317" s="63"/>
      <c r="D317" s="50"/>
      <c r="E317" s="13"/>
      <c r="F317" s="13"/>
      <c r="G317" s="75"/>
      <c r="H317" s="83"/>
      <c r="I317" s="13"/>
      <c r="J317" s="13"/>
    </row>
    <row r="318" spans="1:10" ht="13.5" customHeight="1" x14ac:dyDescent="0.2">
      <c r="A318" s="131"/>
      <c r="B318" s="70"/>
      <c r="C318" s="63"/>
      <c r="D318" s="50"/>
      <c r="E318" s="13"/>
      <c r="F318" s="13"/>
      <c r="G318" s="75"/>
      <c r="H318" s="84"/>
      <c r="I318" s="13"/>
      <c r="J318" s="13"/>
    </row>
    <row r="319" spans="1:10" ht="13.5" customHeight="1" x14ac:dyDescent="0.2">
      <c r="A319" s="131"/>
      <c r="B319" s="70"/>
      <c r="C319" s="64"/>
      <c r="D319" s="50"/>
      <c r="E319" s="13"/>
      <c r="F319" s="13"/>
      <c r="G319" s="75"/>
      <c r="H319" s="84"/>
      <c r="I319" s="13"/>
      <c r="J319" s="13"/>
    </row>
    <row r="320" spans="1:10" ht="13.5" customHeight="1" x14ac:dyDescent="0.2">
      <c r="A320" s="70"/>
      <c r="B320" s="70"/>
      <c r="C320" s="63"/>
      <c r="D320" s="50"/>
      <c r="E320" s="13"/>
      <c r="F320" s="13"/>
      <c r="G320" s="75"/>
      <c r="H320" s="83"/>
      <c r="I320" s="13"/>
      <c r="J320" s="13"/>
    </row>
    <row r="321" spans="1:10" ht="13.5" customHeight="1" x14ac:dyDescent="0.2">
      <c r="A321" s="131"/>
      <c r="B321" s="70"/>
      <c r="C321" s="63"/>
      <c r="D321" s="50"/>
      <c r="E321" s="13"/>
      <c r="F321" s="13"/>
      <c r="G321" s="75"/>
      <c r="H321" s="84"/>
      <c r="I321" s="13"/>
      <c r="J321" s="13"/>
    </row>
    <row r="322" spans="1:10" ht="13.5" customHeight="1" x14ac:dyDescent="0.2">
      <c r="A322" s="131"/>
      <c r="B322" s="70"/>
      <c r="C322" s="64"/>
      <c r="D322" s="50"/>
      <c r="E322" s="13"/>
      <c r="F322" s="13"/>
      <c r="G322" s="75"/>
      <c r="H322" s="84"/>
      <c r="I322" s="13"/>
      <c r="J322" s="13"/>
    </row>
    <row r="323" spans="1:10" ht="13.5" customHeight="1" x14ac:dyDescent="0.2">
      <c r="A323" s="70"/>
      <c r="B323" s="70"/>
      <c r="C323" s="63"/>
      <c r="D323" s="50"/>
      <c r="E323" s="13"/>
      <c r="F323" s="13"/>
      <c r="G323" s="75"/>
      <c r="H323" s="83"/>
      <c r="I323" s="13"/>
      <c r="J323" s="13"/>
    </row>
    <row r="324" spans="1:10" ht="13.5" customHeight="1" x14ac:dyDescent="0.2">
      <c r="A324" s="70"/>
      <c r="B324" s="70"/>
      <c r="C324" s="63"/>
      <c r="D324" s="50"/>
      <c r="E324" s="13"/>
      <c r="F324" s="13"/>
      <c r="G324" s="75"/>
      <c r="H324" s="83"/>
      <c r="I324" s="13"/>
      <c r="J324" s="13"/>
    </row>
    <row r="325" spans="1:10" ht="13.5" customHeight="1" x14ac:dyDescent="0.2">
      <c r="A325" s="70"/>
      <c r="B325" s="70"/>
      <c r="C325" s="63"/>
      <c r="D325" s="50"/>
      <c r="E325" s="13"/>
      <c r="F325" s="13"/>
      <c r="G325" s="75"/>
      <c r="H325" s="82"/>
      <c r="I325" s="13"/>
      <c r="J325" s="13"/>
    </row>
    <row r="326" spans="1:10" ht="13.5" customHeight="1" x14ac:dyDescent="0.2">
      <c r="A326" s="131"/>
      <c r="B326" s="70"/>
      <c r="C326" s="86"/>
      <c r="D326" s="50"/>
      <c r="E326" s="13"/>
      <c r="F326" s="13"/>
      <c r="G326" s="75"/>
      <c r="H326" s="82"/>
      <c r="I326" s="13"/>
      <c r="J326" s="13"/>
    </row>
    <row r="327" spans="1:10" ht="13.5" customHeight="1" x14ac:dyDescent="0.2">
      <c r="A327" s="131"/>
      <c r="B327" s="70"/>
      <c r="C327" s="85"/>
      <c r="D327" s="50"/>
      <c r="E327" s="13"/>
      <c r="F327" s="13"/>
      <c r="G327" s="75"/>
      <c r="H327" s="82"/>
      <c r="I327" s="13"/>
      <c r="J327" s="13"/>
    </row>
    <row r="328" spans="1:10" ht="13.5" customHeight="1" x14ac:dyDescent="0.2">
      <c r="A328" s="131"/>
      <c r="B328" s="70"/>
      <c r="C328" s="87"/>
      <c r="D328" s="50"/>
      <c r="E328" s="13"/>
      <c r="F328" s="13"/>
      <c r="G328" s="75"/>
      <c r="H328" s="82"/>
      <c r="I328" s="13"/>
      <c r="J328" s="13"/>
    </row>
    <row r="329" spans="1:10" ht="13.5" customHeight="1" x14ac:dyDescent="0.2">
      <c r="A329" s="131"/>
      <c r="B329" s="70"/>
      <c r="C329" s="88"/>
      <c r="D329" s="50"/>
      <c r="E329" s="13"/>
      <c r="F329" s="13"/>
      <c r="G329" s="75"/>
      <c r="H329" s="82"/>
      <c r="I329" s="13"/>
      <c r="J329" s="13"/>
    </row>
    <row r="330" spans="1:10" ht="13.5" customHeight="1" x14ac:dyDescent="0.2">
      <c r="A330" s="91"/>
      <c r="B330" s="9"/>
      <c r="C330" s="56"/>
      <c r="D330" s="11"/>
      <c r="E330" s="12"/>
      <c r="F330" s="12"/>
      <c r="G330" s="23"/>
      <c r="H330" s="89"/>
      <c r="I330" s="12"/>
      <c r="J330" s="13"/>
    </row>
    <row r="331" spans="1:10" ht="13.5" customHeight="1" x14ac:dyDescent="0.2">
      <c r="A331" s="9"/>
      <c r="B331" s="9"/>
      <c r="C331" s="56"/>
      <c r="D331" s="11"/>
      <c r="E331" s="12"/>
      <c r="F331" s="12"/>
      <c r="G331" s="23"/>
      <c r="H331" s="90"/>
      <c r="I331" s="12"/>
      <c r="J331" s="13"/>
    </row>
    <row r="332" spans="1:10" ht="13.5" customHeight="1" x14ac:dyDescent="0.2">
      <c r="A332" s="9"/>
      <c r="B332" s="9"/>
      <c r="C332" s="56"/>
      <c r="D332" s="11"/>
      <c r="E332" s="12"/>
      <c r="F332" s="12"/>
      <c r="G332" s="23"/>
      <c r="H332" s="89"/>
      <c r="I332" s="12"/>
      <c r="J332" s="13"/>
    </row>
    <row r="333" spans="1:10" ht="13.5" customHeight="1" x14ac:dyDescent="0.2">
      <c r="A333" s="91"/>
      <c r="B333" s="9"/>
      <c r="D333" s="11"/>
      <c r="E333" s="12"/>
      <c r="F333" s="12"/>
      <c r="G333" s="23"/>
      <c r="H333" s="89"/>
      <c r="I333" s="12"/>
      <c r="J333" s="13"/>
    </row>
    <row r="334" spans="1:10" ht="13.5" customHeight="1" x14ac:dyDescent="0.2">
      <c r="A334" s="9"/>
      <c r="B334" s="9"/>
      <c r="C334" s="56"/>
      <c r="D334" s="11"/>
      <c r="E334" s="12"/>
      <c r="F334" s="12"/>
      <c r="G334" s="23"/>
      <c r="H334" s="90"/>
      <c r="I334" s="12"/>
      <c r="J334" s="13"/>
    </row>
    <row r="335" spans="1:10" ht="13.5" customHeight="1" x14ac:dyDescent="0.2">
      <c r="A335" s="9"/>
      <c r="B335" s="9"/>
      <c r="C335" s="56"/>
      <c r="D335" s="11"/>
      <c r="E335" s="12"/>
      <c r="F335" s="12"/>
      <c r="G335" s="23"/>
      <c r="H335" s="90"/>
      <c r="I335" s="12"/>
      <c r="J335" s="13"/>
    </row>
    <row r="336" spans="1:10" ht="13.5" customHeight="1" x14ac:dyDescent="0.2">
      <c r="A336" s="9"/>
      <c r="B336" s="9"/>
      <c r="C336" s="56"/>
      <c r="D336" s="11"/>
      <c r="E336" s="12"/>
      <c r="F336" s="12"/>
      <c r="G336" s="23"/>
      <c r="H336" s="90"/>
      <c r="I336" s="12"/>
      <c r="J336" s="13"/>
    </row>
    <row r="337" spans="1:10" ht="13.5" customHeight="1" x14ac:dyDescent="0.2">
      <c r="A337" s="91"/>
      <c r="B337" s="9"/>
      <c r="C337" s="27"/>
      <c r="D337" s="11"/>
      <c r="E337" s="12"/>
      <c r="F337" s="12"/>
      <c r="G337" s="23"/>
      <c r="H337" s="92"/>
      <c r="I337" s="12"/>
      <c r="J337" s="13"/>
    </row>
    <row r="338" spans="1:10" ht="13.5" customHeight="1" x14ac:dyDescent="0.2">
      <c r="A338" s="91"/>
      <c r="B338" s="9"/>
      <c r="C338" s="27"/>
      <c r="D338" s="11"/>
      <c r="E338" s="12"/>
      <c r="F338" s="12"/>
      <c r="G338" s="23"/>
      <c r="H338" s="90"/>
      <c r="I338" s="12"/>
      <c r="J338" s="13"/>
    </row>
    <row r="339" spans="1:10" ht="13.5" customHeight="1" x14ac:dyDescent="0.2">
      <c r="A339" s="91"/>
      <c r="B339" s="9"/>
      <c r="D339" s="11"/>
      <c r="E339" s="12"/>
      <c r="F339" s="12"/>
      <c r="G339" s="23"/>
      <c r="H339" s="92"/>
      <c r="I339" s="12"/>
      <c r="J339" s="13"/>
    </row>
    <row r="340" spans="1:10" ht="13.5" customHeight="1" x14ac:dyDescent="0.2">
      <c r="A340" s="9"/>
      <c r="B340" s="9"/>
      <c r="C340" s="56"/>
      <c r="D340" s="11"/>
      <c r="E340" s="12"/>
      <c r="F340" s="12"/>
      <c r="G340" s="23"/>
      <c r="H340" s="89"/>
      <c r="I340" s="12"/>
      <c r="J340" s="13"/>
    </row>
    <row r="341" spans="1:10" ht="13.5" customHeight="1" x14ac:dyDescent="0.2">
      <c r="A341" s="9"/>
      <c r="B341" s="9"/>
      <c r="C341" s="56"/>
      <c r="D341" s="11"/>
      <c r="E341" s="12"/>
      <c r="F341" s="12"/>
      <c r="G341" s="23"/>
      <c r="H341" s="89"/>
      <c r="I341" s="12"/>
      <c r="J341" s="13"/>
    </row>
    <row r="342" spans="1:10" ht="13.5" customHeight="1" x14ac:dyDescent="0.2">
      <c r="A342" s="9"/>
      <c r="B342" s="9"/>
      <c r="C342" s="56"/>
      <c r="D342" s="11"/>
      <c r="E342" s="12"/>
      <c r="F342" s="12"/>
      <c r="G342" s="23"/>
      <c r="H342" s="89"/>
      <c r="I342" s="12"/>
      <c r="J342" s="13"/>
    </row>
    <row r="343" spans="1:10" ht="13.5" customHeight="1" x14ac:dyDescent="0.2">
      <c r="A343" s="9"/>
      <c r="B343" s="9"/>
      <c r="C343" s="56"/>
      <c r="D343" s="11"/>
      <c r="E343" s="12"/>
      <c r="F343" s="12"/>
      <c r="G343" s="23"/>
      <c r="H343" s="89"/>
      <c r="I343" s="12"/>
      <c r="J343" s="13"/>
    </row>
    <row r="344" spans="1:10" x14ac:dyDescent="0.2">
      <c r="A344" s="132"/>
      <c r="B344" s="93"/>
      <c r="C344" s="94"/>
      <c r="D344" s="27"/>
      <c r="E344" s="27"/>
      <c r="F344" s="27"/>
      <c r="G344" s="27"/>
      <c r="H344" s="95"/>
      <c r="I344" s="30"/>
      <c r="J344" s="51"/>
    </row>
  </sheetData>
  <mergeCells count="4">
    <mergeCell ref="A1:C1"/>
    <mergeCell ref="D1:G1"/>
    <mergeCell ref="H1:J1"/>
    <mergeCell ref="H149:J149"/>
  </mergeCells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J338"/>
  <sheetViews>
    <sheetView topLeftCell="B213" zoomScaleNormal="100" workbookViewId="0">
      <selection activeCell="E235" sqref="E235"/>
    </sheetView>
  </sheetViews>
  <sheetFormatPr defaultColWidth="9" defaultRowHeight="12.75" x14ac:dyDescent="0.2"/>
  <cols>
    <col min="1" max="1" width="16.875" style="1" customWidth="1"/>
    <col min="2" max="2" width="107" style="1" bestFit="1" customWidth="1"/>
    <col min="3" max="3" width="10.75" style="18" customWidth="1"/>
    <col min="4" max="4" width="12" style="18" customWidth="1"/>
    <col min="5" max="5" width="10.25" style="1" customWidth="1"/>
    <col min="6" max="6" width="10.125" style="1" customWidth="1"/>
    <col min="7" max="7" width="10.625" style="1" customWidth="1"/>
    <col min="8" max="9" width="9" style="1"/>
    <col min="10" max="10" width="10.625" style="1" customWidth="1"/>
    <col min="11" max="16384" width="9" style="1"/>
  </cols>
  <sheetData>
    <row r="1" spans="1:10" x14ac:dyDescent="0.2">
      <c r="F1" s="97" t="s">
        <v>218</v>
      </c>
      <c r="G1" s="97" t="s">
        <v>219</v>
      </c>
      <c r="H1" s="97" t="s">
        <v>220</v>
      </c>
      <c r="I1" s="97" t="s">
        <v>221</v>
      </c>
      <c r="J1" s="97" t="s">
        <v>222</v>
      </c>
    </row>
    <row r="2" spans="1:10" s="40" customFormat="1" ht="13.5" customHeight="1" x14ac:dyDescent="0.2">
      <c r="A2" s="236" t="s">
        <v>240</v>
      </c>
      <c r="B2" s="34" t="s">
        <v>1855</v>
      </c>
      <c r="C2" s="24"/>
      <c r="D2" s="25">
        <v>489.99999999999994</v>
      </c>
      <c r="F2" s="25">
        <v>555.29999999999995</v>
      </c>
      <c r="G2" s="25"/>
      <c r="H2" s="402">
        <v>65.3</v>
      </c>
      <c r="I2" s="402"/>
      <c r="J2" s="104">
        <f>F2-G2-H2-I2</f>
        <v>489.99999999999994</v>
      </c>
    </row>
    <row r="3" spans="1:10" s="40" customFormat="1" ht="13.5" customHeight="1" x14ac:dyDescent="0.2">
      <c r="A3" s="236" t="s">
        <v>240</v>
      </c>
      <c r="B3" s="34" t="s">
        <v>1806</v>
      </c>
      <c r="C3" s="24"/>
      <c r="D3" s="25">
        <v>990</v>
      </c>
      <c r="F3" s="25">
        <v>1080</v>
      </c>
      <c r="G3" s="25">
        <v>90</v>
      </c>
      <c r="H3" s="402"/>
      <c r="I3" s="402"/>
      <c r="J3" s="104">
        <f t="shared" ref="J3:J14" si="0">F3-G3-H3-I3</f>
        <v>990</v>
      </c>
    </row>
    <row r="4" spans="1:10" s="40" customFormat="1" ht="13.5" customHeight="1" x14ac:dyDescent="0.2">
      <c r="A4" s="236" t="s">
        <v>240</v>
      </c>
      <c r="B4" s="34" t="s">
        <v>1884</v>
      </c>
      <c r="C4" s="24"/>
      <c r="D4" s="25">
        <v>1200</v>
      </c>
      <c r="F4" s="25">
        <v>1290</v>
      </c>
      <c r="G4" s="25">
        <v>90</v>
      </c>
      <c r="H4" s="402"/>
      <c r="I4" s="402"/>
      <c r="J4" s="104">
        <f t="shared" si="0"/>
        <v>1200</v>
      </c>
    </row>
    <row r="5" spans="1:10" s="40" customFormat="1" ht="13.5" customHeight="1" x14ac:dyDescent="0.2">
      <c r="A5" s="236" t="s">
        <v>240</v>
      </c>
      <c r="B5" s="34" t="s">
        <v>1848</v>
      </c>
      <c r="C5" s="24"/>
      <c r="D5" s="25">
        <v>1400</v>
      </c>
      <c r="F5" s="25">
        <v>1490</v>
      </c>
      <c r="G5" s="25">
        <v>90</v>
      </c>
      <c r="H5" s="402"/>
      <c r="I5" s="402"/>
      <c r="J5" s="104">
        <f t="shared" si="0"/>
        <v>1400</v>
      </c>
    </row>
    <row r="6" spans="1:10" s="40" customFormat="1" ht="13.5" customHeight="1" x14ac:dyDescent="0.2">
      <c r="A6" s="236" t="s">
        <v>240</v>
      </c>
      <c r="B6" s="36" t="s">
        <v>1814</v>
      </c>
      <c r="C6" s="24"/>
      <c r="D6" s="25">
        <v>1400</v>
      </c>
      <c r="F6" s="25">
        <v>1490</v>
      </c>
      <c r="G6" s="25">
        <v>90</v>
      </c>
      <c r="H6" s="402"/>
      <c r="I6" s="402"/>
      <c r="J6" s="104">
        <f t="shared" si="0"/>
        <v>1400</v>
      </c>
    </row>
    <row r="7" spans="1:10" s="40" customFormat="1" ht="13.5" customHeight="1" x14ac:dyDescent="0.2">
      <c r="A7" s="236" t="s">
        <v>240</v>
      </c>
      <c r="B7" s="56" t="s">
        <v>9</v>
      </c>
      <c r="C7" s="24"/>
      <c r="D7" s="25">
        <v>900</v>
      </c>
      <c r="F7" s="25">
        <v>0</v>
      </c>
      <c r="G7" s="25"/>
      <c r="H7" s="402"/>
      <c r="I7" s="402"/>
      <c r="J7" s="104">
        <f>F7-G7-H7-I7</f>
        <v>0</v>
      </c>
    </row>
    <row r="8" spans="1:10" s="40" customFormat="1" ht="13.5" customHeight="1" x14ac:dyDescent="0.2">
      <c r="A8" s="236" t="s">
        <v>240</v>
      </c>
      <c r="B8" s="34" t="s">
        <v>1840</v>
      </c>
      <c r="C8" s="24"/>
      <c r="D8" s="25">
        <v>1500</v>
      </c>
      <c r="F8" s="25">
        <v>1500</v>
      </c>
      <c r="G8" s="25"/>
      <c r="H8" s="403"/>
      <c r="I8" s="403"/>
      <c r="J8" s="104">
        <f>F8-G8-H8-I8</f>
        <v>1500</v>
      </c>
    </row>
    <row r="9" spans="1:10" s="40" customFormat="1" ht="13.5" customHeight="1" x14ac:dyDescent="0.2">
      <c r="A9" s="236" t="s">
        <v>240</v>
      </c>
      <c r="B9" s="21" t="s">
        <v>10</v>
      </c>
      <c r="C9" s="24"/>
      <c r="D9" s="25">
        <v>360</v>
      </c>
      <c r="F9" s="25">
        <v>0</v>
      </c>
      <c r="G9" s="25"/>
      <c r="H9" s="403"/>
      <c r="I9" s="403"/>
      <c r="J9" s="104">
        <f t="shared" si="0"/>
        <v>0</v>
      </c>
    </row>
    <row r="10" spans="1:10" s="40" customFormat="1" ht="13.5" customHeight="1" x14ac:dyDescent="0.2">
      <c r="A10" s="236" t="s">
        <v>240</v>
      </c>
      <c r="B10" s="34" t="s">
        <v>1845</v>
      </c>
      <c r="C10" s="24"/>
      <c r="D10" s="25">
        <v>1975.42</v>
      </c>
      <c r="F10" s="25">
        <v>1975.42</v>
      </c>
      <c r="G10" s="25"/>
      <c r="H10" s="403"/>
      <c r="I10" s="403"/>
      <c r="J10" s="104">
        <f t="shared" si="0"/>
        <v>1975.42</v>
      </c>
    </row>
    <row r="11" spans="1:10" s="40" customFormat="1" ht="13.5" customHeight="1" x14ac:dyDescent="0.2">
      <c r="A11" s="236" t="s">
        <v>240</v>
      </c>
      <c r="B11" s="34" t="s">
        <v>1970</v>
      </c>
      <c r="C11" s="24"/>
      <c r="D11" s="25">
        <v>3500</v>
      </c>
      <c r="F11" s="25">
        <v>3500</v>
      </c>
      <c r="G11" s="25"/>
      <c r="H11" s="403"/>
      <c r="I11" s="403"/>
      <c r="J11" s="104">
        <f t="shared" si="0"/>
        <v>3500</v>
      </c>
    </row>
    <row r="12" spans="1:10" s="40" customFormat="1" ht="13.5" customHeight="1" x14ac:dyDescent="0.2">
      <c r="A12" s="236" t="s">
        <v>240</v>
      </c>
      <c r="B12" s="34" t="s">
        <v>1867</v>
      </c>
      <c r="C12" s="24"/>
      <c r="D12" s="25">
        <v>2050</v>
      </c>
      <c r="F12" s="25">
        <v>2050</v>
      </c>
      <c r="G12" s="25"/>
      <c r="H12" s="403"/>
      <c r="I12" s="403"/>
      <c r="J12" s="104">
        <f t="shared" si="0"/>
        <v>2050</v>
      </c>
    </row>
    <row r="13" spans="1:10" s="40" customFormat="1" ht="13.5" customHeight="1" x14ac:dyDescent="0.2">
      <c r="A13" s="236" t="s">
        <v>240</v>
      </c>
      <c r="B13" s="34" t="s">
        <v>1850</v>
      </c>
      <c r="C13" s="24"/>
      <c r="D13" s="25">
        <v>5000</v>
      </c>
      <c r="F13" s="25">
        <v>5000</v>
      </c>
      <c r="G13" s="25"/>
      <c r="H13" s="403"/>
      <c r="I13" s="403"/>
      <c r="J13" s="104">
        <f>F13-G13-H13-I13</f>
        <v>5000</v>
      </c>
    </row>
    <row r="14" spans="1:10" s="40" customFormat="1" ht="13.5" customHeight="1" x14ac:dyDescent="0.2">
      <c r="A14" s="236" t="s">
        <v>240</v>
      </c>
      <c r="B14" s="34" t="s">
        <v>1910</v>
      </c>
      <c r="C14" s="24"/>
      <c r="D14" s="25">
        <v>1465</v>
      </c>
      <c r="F14" s="25">
        <v>1595</v>
      </c>
      <c r="G14" s="25"/>
      <c r="H14" s="403"/>
      <c r="I14" s="403">
        <v>130</v>
      </c>
      <c r="J14" s="104">
        <f t="shared" si="0"/>
        <v>1465</v>
      </c>
    </row>
    <row r="15" spans="1:10" s="40" customFormat="1" ht="13.5" customHeight="1" x14ac:dyDescent="0.2">
      <c r="A15" s="236" t="s">
        <v>240</v>
      </c>
      <c r="B15" s="34" t="s">
        <v>1872</v>
      </c>
      <c r="C15" s="24"/>
      <c r="D15" s="538">
        <v>185</v>
      </c>
      <c r="F15" s="399"/>
      <c r="G15" s="107">
        <f>SUM(G2:G14)</f>
        <v>360</v>
      </c>
      <c r="H15" s="107">
        <f>SUM(H2:H14)</f>
        <v>65.3</v>
      </c>
      <c r="I15" s="107">
        <f>SUM(I2:I14)</f>
        <v>130</v>
      </c>
      <c r="J15" s="1"/>
    </row>
    <row r="16" spans="1:10" s="40" customFormat="1" ht="13.5" customHeight="1" x14ac:dyDescent="0.2">
      <c r="A16" s="236" t="s">
        <v>240</v>
      </c>
      <c r="B16" s="34" t="s">
        <v>1849</v>
      </c>
      <c r="C16" s="24"/>
      <c r="D16" s="538">
        <v>190</v>
      </c>
    </row>
    <row r="17" spans="1:10" s="40" customFormat="1" ht="13.5" customHeight="1" x14ac:dyDescent="0.2">
      <c r="A17" s="236" t="s">
        <v>240</v>
      </c>
      <c r="B17" s="34" t="s">
        <v>1856</v>
      </c>
      <c r="C17" s="24"/>
      <c r="D17" s="538">
        <v>70</v>
      </c>
    </row>
    <row r="18" spans="1:10" s="40" customFormat="1" ht="13.5" customHeight="1" x14ac:dyDescent="0.2">
      <c r="A18" s="236" t="s">
        <v>240</v>
      </c>
      <c r="B18" s="34" t="s">
        <v>1857</v>
      </c>
      <c r="C18" s="24"/>
      <c r="D18" s="538">
        <v>80</v>
      </c>
    </row>
    <row r="19" spans="1:10" s="40" customFormat="1" ht="13.5" customHeight="1" x14ac:dyDescent="0.2">
      <c r="A19" s="236" t="s">
        <v>240</v>
      </c>
      <c r="B19" s="34" t="s">
        <v>1895</v>
      </c>
      <c r="C19" s="24"/>
      <c r="D19" s="538">
        <v>60</v>
      </c>
    </row>
    <row r="20" spans="1:10" s="40" customFormat="1" ht="13.5" customHeight="1" x14ac:dyDescent="0.2">
      <c r="A20" s="236" t="s">
        <v>240</v>
      </c>
      <c r="B20" s="34" t="s">
        <v>1895</v>
      </c>
      <c r="C20" s="24"/>
      <c r="D20" s="538">
        <v>525</v>
      </c>
    </row>
    <row r="21" spans="1:10" s="40" customFormat="1" ht="13.5" customHeight="1" x14ac:dyDescent="0.2">
      <c r="A21" s="236" t="s">
        <v>240</v>
      </c>
      <c r="B21" s="34" t="s">
        <v>1895</v>
      </c>
      <c r="C21" s="24"/>
      <c r="D21" s="538">
        <v>220</v>
      </c>
      <c r="E21" s="537">
        <f>SUM(D15:D21)</f>
        <v>1330</v>
      </c>
    </row>
    <row r="22" spans="1:10" s="40" customFormat="1" ht="13.5" customHeight="1" x14ac:dyDescent="0.2">
      <c r="A22" s="236" t="s">
        <v>240</v>
      </c>
      <c r="B22" s="34" t="s">
        <v>844</v>
      </c>
      <c r="C22" s="24"/>
      <c r="D22" s="538">
        <v>130</v>
      </c>
      <c r="E22" s="529"/>
    </row>
    <row r="23" spans="1:10" s="40" customFormat="1" ht="13.5" customHeight="1" x14ac:dyDescent="0.2">
      <c r="A23" s="236"/>
      <c r="B23" s="34"/>
      <c r="C23" s="24"/>
      <c r="D23" s="539">
        <f>SUM(D2:D22)</f>
        <v>23690.42</v>
      </c>
    </row>
    <row r="24" spans="1:10" s="40" customFormat="1" ht="13.5" customHeight="1" x14ac:dyDescent="0.2">
      <c r="A24" s="236"/>
      <c r="B24" s="34"/>
      <c r="C24" s="24"/>
      <c r="D24" s="25"/>
    </row>
    <row r="25" spans="1:10" s="40" customFormat="1" ht="13.5" customHeight="1" x14ac:dyDescent="0.2">
      <c r="A25" s="236" t="s">
        <v>240</v>
      </c>
      <c r="B25" s="34" t="s">
        <v>1863</v>
      </c>
      <c r="C25" s="24"/>
      <c r="D25" s="25">
        <v>7750</v>
      </c>
      <c r="F25" s="100">
        <v>7750</v>
      </c>
      <c r="G25" s="109"/>
      <c r="H25" s="109"/>
      <c r="I25" s="109"/>
      <c r="J25" s="104">
        <f>F25-G25-H25-I25</f>
        <v>7750</v>
      </c>
    </row>
    <row r="26" spans="1:10" s="40" customFormat="1" ht="13.5" customHeight="1" x14ac:dyDescent="0.2">
      <c r="A26" s="236" t="s">
        <v>240</v>
      </c>
      <c r="B26" s="34" t="s">
        <v>1939</v>
      </c>
      <c r="C26" s="24"/>
      <c r="D26" s="25">
        <v>4731.47</v>
      </c>
      <c r="F26" s="100">
        <v>4731.47</v>
      </c>
      <c r="G26" s="109"/>
      <c r="H26" s="109"/>
      <c r="I26" s="109"/>
      <c r="J26" s="104">
        <f>F26-G26-H26-I26</f>
        <v>4731.47</v>
      </c>
    </row>
    <row r="27" spans="1:10" s="40" customFormat="1" ht="13.5" customHeight="1" x14ac:dyDescent="0.2">
      <c r="A27" s="236"/>
      <c r="B27" s="34"/>
      <c r="C27" s="24"/>
      <c r="D27" s="539">
        <f>SUM(D25:D26)</f>
        <v>12481.470000000001</v>
      </c>
      <c r="F27" s="1"/>
      <c r="G27" s="107">
        <f>SUM(G25:G26)</f>
        <v>0</v>
      </c>
      <c r="H27" s="107">
        <f>SUM(H25:H26)</f>
        <v>0</v>
      </c>
      <c r="I27" s="107">
        <f>SUM(I25:I26)</f>
        <v>0</v>
      </c>
      <c r="J27" s="1"/>
    </row>
    <row r="28" spans="1:10" s="40" customFormat="1" ht="13.5" customHeight="1" x14ac:dyDescent="0.2">
      <c r="A28" s="236"/>
      <c r="B28" s="34"/>
      <c r="C28" s="24"/>
      <c r="D28" s="25"/>
    </row>
    <row r="29" spans="1:10" s="40" customFormat="1" ht="13.5" customHeight="1" x14ac:dyDescent="0.2">
      <c r="A29" s="236" t="s">
        <v>241</v>
      </c>
      <c r="B29" s="34" t="s">
        <v>189</v>
      </c>
      <c r="C29" s="110">
        <v>8275</v>
      </c>
      <c r="D29" s="533"/>
    </row>
    <row r="30" spans="1:10" s="40" customFormat="1" ht="13.5" customHeight="1" x14ac:dyDescent="0.2">
      <c r="A30" s="236" t="s">
        <v>241</v>
      </c>
      <c r="B30" s="34" t="s">
        <v>189</v>
      </c>
      <c r="C30" s="110">
        <v>4731.47</v>
      </c>
      <c r="D30" s="533"/>
    </row>
    <row r="31" spans="1:10" s="40" customFormat="1" ht="13.5" customHeight="1" x14ac:dyDescent="0.2">
      <c r="A31" s="236" t="s">
        <v>241</v>
      </c>
      <c r="B31" s="34" t="s">
        <v>174</v>
      </c>
      <c r="C31" s="24">
        <v>-10.39</v>
      </c>
      <c r="D31" s="25"/>
    </row>
    <row r="32" spans="1:10" s="40" customFormat="1" ht="13.5" customHeight="1" x14ac:dyDescent="0.2">
      <c r="A32" s="236" t="s">
        <v>241</v>
      </c>
      <c r="B32" s="34" t="s">
        <v>174</v>
      </c>
      <c r="C32" s="24">
        <v>-52</v>
      </c>
      <c r="D32" s="25"/>
    </row>
    <row r="33" spans="1:4" s="40" customFormat="1" ht="13.5" customHeight="1" x14ac:dyDescent="0.2">
      <c r="A33" s="236" t="s">
        <v>241</v>
      </c>
      <c r="B33" s="34" t="s">
        <v>174</v>
      </c>
      <c r="C33" s="24">
        <v>-75</v>
      </c>
      <c r="D33" s="16"/>
    </row>
    <row r="34" spans="1:4" s="40" customFormat="1" ht="13.5" customHeight="1" x14ac:dyDescent="0.2">
      <c r="A34" s="236" t="s">
        <v>241</v>
      </c>
      <c r="B34" s="34" t="s">
        <v>174</v>
      </c>
      <c r="C34" s="24">
        <v>-85</v>
      </c>
      <c r="D34" s="25"/>
    </row>
    <row r="35" spans="1:4" s="40" customFormat="1" ht="13.5" customHeight="1" x14ac:dyDescent="0.2">
      <c r="A35" s="236" t="s">
        <v>241</v>
      </c>
      <c r="B35" s="34" t="s">
        <v>174</v>
      </c>
      <c r="C35" s="24">
        <v>-100</v>
      </c>
      <c r="D35" s="25"/>
    </row>
    <row r="36" spans="1:4" s="40" customFormat="1" ht="13.5" customHeight="1" x14ac:dyDescent="0.2">
      <c r="A36" s="236" t="s">
        <v>241</v>
      </c>
      <c r="B36" s="34" t="s">
        <v>174</v>
      </c>
      <c r="C36" s="24">
        <v>-464.4</v>
      </c>
      <c r="D36" s="25"/>
    </row>
    <row r="37" spans="1:4" s="40" customFormat="1" ht="13.5" customHeight="1" x14ac:dyDescent="0.2">
      <c r="A37" s="236" t="s">
        <v>241</v>
      </c>
      <c r="B37" s="34" t="s">
        <v>174</v>
      </c>
      <c r="C37" s="24">
        <v>-474.73</v>
      </c>
      <c r="D37" s="25"/>
    </row>
    <row r="38" spans="1:4" s="40" customFormat="1" ht="13.5" customHeight="1" x14ac:dyDescent="0.2">
      <c r="A38" s="236" t="s">
        <v>241</v>
      </c>
      <c r="B38" s="34" t="s">
        <v>174</v>
      </c>
      <c r="C38" s="24">
        <v>-754</v>
      </c>
      <c r="D38" s="25"/>
    </row>
    <row r="39" spans="1:4" s="40" customFormat="1" ht="13.5" customHeight="1" x14ac:dyDescent="0.2">
      <c r="A39" s="236" t="s">
        <v>241</v>
      </c>
      <c r="B39" s="34" t="s">
        <v>174</v>
      </c>
      <c r="C39" s="24">
        <v>-1626.74</v>
      </c>
      <c r="D39" s="25"/>
    </row>
    <row r="40" spans="1:4" s="40" customFormat="1" ht="13.5" customHeight="1" x14ac:dyDescent="0.2">
      <c r="A40" s="236" t="s">
        <v>241</v>
      </c>
      <c r="B40" s="34" t="s">
        <v>174</v>
      </c>
      <c r="C40" s="24">
        <v>-1832.49</v>
      </c>
      <c r="D40" s="25"/>
    </row>
    <row r="41" spans="1:4" s="40" customFormat="1" ht="13.5" customHeight="1" x14ac:dyDescent="0.2">
      <c r="A41" s="236" t="s">
        <v>241</v>
      </c>
      <c r="B41" s="34" t="s">
        <v>174</v>
      </c>
      <c r="C41" s="24">
        <v>-1968.95</v>
      </c>
      <c r="D41" s="25"/>
    </row>
    <row r="42" spans="1:4" s="40" customFormat="1" ht="13.5" customHeight="1" x14ac:dyDescent="0.2">
      <c r="A42" s="236" t="s">
        <v>241</v>
      </c>
      <c r="B42" s="34" t="s">
        <v>174</v>
      </c>
      <c r="C42" s="24">
        <v>-4629</v>
      </c>
      <c r="D42" s="25"/>
    </row>
    <row r="43" spans="1:4" s="40" customFormat="1" ht="13.5" customHeight="1" x14ac:dyDescent="0.2">
      <c r="A43" s="236" t="s">
        <v>241</v>
      </c>
      <c r="B43" s="34" t="s">
        <v>174</v>
      </c>
      <c r="C43" s="24">
        <v>-4966.95</v>
      </c>
      <c r="D43" s="16"/>
    </row>
    <row r="44" spans="1:4" s="40" customFormat="1" ht="13.5" customHeight="1" x14ac:dyDescent="0.2">
      <c r="A44" s="236"/>
      <c r="B44" s="34"/>
      <c r="C44" s="540">
        <f>SUM(C29:C43)</f>
        <v>-4033.1799999999967</v>
      </c>
      <c r="D44" s="16"/>
    </row>
    <row r="45" spans="1:4" s="40" customFormat="1" ht="13.5" customHeight="1" x14ac:dyDescent="0.2">
      <c r="A45" s="236"/>
      <c r="B45" s="34"/>
      <c r="C45" s="24"/>
      <c r="D45" s="16"/>
    </row>
    <row r="46" spans="1:4" s="40" customFormat="1" ht="13.5" customHeight="1" x14ac:dyDescent="0.2">
      <c r="A46" s="236" t="s">
        <v>224</v>
      </c>
      <c r="B46" s="34" t="s">
        <v>62</v>
      </c>
      <c r="C46" s="110">
        <v>449.87</v>
      </c>
      <c r="D46" s="25"/>
    </row>
    <row r="47" spans="1:4" s="40" customFormat="1" ht="13.5" customHeight="1" x14ac:dyDescent="0.2">
      <c r="A47" s="236" t="s">
        <v>224</v>
      </c>
      <c r="B47" s="34" t="s">
        <v>68</v>
      </c>
      <c r="C47" s="110">
        <v>129.9</v>
      </c>
      <c r="D47" s="25"/>
    </row>
    <row r="48" spans="1:4" s="40" customFormat="1" ht="13.5" customHeight="1" x14ac:dyDescent="0.2">
      <c r="A48" s="236" t="s">
        <v>224</v>
      </c>
      <c r="B48" s="138" t="s">
        <v>1597</v>
      </c>
      <c r="C48" s="110">
        <v>0.37</v>
      </c>
      <c r="D48" s="25"/>
    </row>
    <row r="49" spans="1:9" s="40" customFormat="1" ht="13.5" customHeight="1" x14ac:dyDescent="0.2">
      <c r="A49" s="236" t="s">
        <v>224</v>
      </c>
      <c r="B49" s="138" t="s">
        <v>1597</v>
      </c>
      <c r="C49" s="110">
        <v>0.3</v>
      </c>
      <c r="D49" s="25"/>
    </row>
    <row r="50" spans="1:9" s="40" customFormat="1" ht="13.5" customHeight="1" x14ac:dyDescent="0.2">
      <c r="A50" s="236" t="s">
        <v>224</v>
      </c>
      <c r="B50" s="34" t="s">
        <v>1598</v>
      </c>
      <c r="C50" s="110">
        <v>10.09</v>
      </c>
      <c r="D50" s="25"/>
    </row>
    <row r="51" spans="1:9" s="40" customFormat="1" ht="13.5" customHeight="1" x14ac:dyDescent="0.2">
      <c r="A51" s="236" t="s">
        <v>224</v>
      </c>
      <c r="B51" s="34" t="s">
        <v>1598</v>
      </c>
      <c r="C51" s="110">
        <v>7.6</v>
      </c>
      <c r="D51" s="25"/>
      <c r="I51" s="529"/>
    </row>
    <row r="52" spans="1:9" s="40" customFormat="1" ht="13.5" customHeight="1" x14ac:dyDescent="0.2">
      <c r="A52" s="236" t="s">
        <v>224</v>
      </c>
      <c r="B52" s="34" t="s">
        <v>630</v>
      </c>
      <c r="C52" s="110">
        <f>E55</f>
        <v>475</v>
      </c>
      <c r="D52" s="25"/>
    </row>
    <row r="53" spans="1:9" s="40" customFormat="1" ht="13.5" customHeight="1" x14ac:dyDescent="0.2">
      <c r="A53" s="236"/>
      <c r="B53" s="34"/>
      <c r="C53" s="541">
        <f>SUM(C46:C52)</f>
        <v>1073.1300000000001</v>
      </c>
      <c r="D53" s="25"/>
    </row>
    <row r="54" spans="1:9" s="40" customFormat="1" ht="13.5" customHeight="1" x14ac:dyDescent="0.2">
      <c r="A54" s="236"/>
      <c r="B54" s="34"/>
      <c r="C54" s="110"/>
      <c r="D54" s="25"/>
    </row>
    <row r="55" spans="1:9" s="40" customFormat="1" ht="13.5" customHeight="1" x14ac:dyDescent="0.2">
      <c r="A55" s="236" t="s">
        <v>224</v>
      </c>
      <c r="B55" s="34" t="s">
        <v>1854</v>
      </c>
      <c r="C55" s="24">
        <v>412.5</v>
      </c>
      <c r="D55" s="25"/>
      <c r="E55" s="40">
        <f>SUM(C55:C56)-D56</f>
        <v>475</v>
      </c>
    </row>
    <row r="56" spans="1:9" s="40" customFormat="1" ht="13.5" customHeight="1" x14ac:dyDescent="0.2">
      <c r="A56" s="236" t="s">
        <v>224</v>
      </c>
      <c r="B56" s="34" t="s">
        <v>1904</v>
      </c>
      <c r="C56" s="24">
        <v>300</v>
      </c>
      <c r="D56" s="25">
        <f t="array" ref="D56">SUM(C55:C56/3)</f>
        <v>237.5</v>
      </c>
    </row>
    <row r="57" spans="1:9" s="40" customFormat="1" ht="13.5" customHeight="1" x14ac:dyDescent="0.2">
      <c r="A57" s="236"/>
      <c r="B57" s="34"/>
      <c r="C57" s="24"/>
      <c r="D57" s="25"/>
    </row>
    <row r="58" spans="1:9" s="40" customFormat="1" ht="13.5" customHeight="1" x14ac:dyDescent="0.2">
      <c r="A58" s="236"/>
      <c r="B58" s="34"/>
      <c r="C58" s="24"/>
      <c r="D58" s="25"/>
    </row>
    <row r="59" spans="1:9" s="40" customFormat="1" ht="13.5" customHeight="1" x14ac:dyDescent="0.2">
      <c r="A59" s="236"/>
      <c r="B59" s="34"/>
      <c r="C59" s="24"/>
      <c r="D59" s="25"/>
    </row>
    <row r="60" spans="1:9" s="40" customFormat="1" ht="13.5" customHeight="1" x14ac:dyDescent="0.2">
      <c r="A60" s="236" t="s">
        <v>225</v>
      </c>
      <c r="B60" s="34" t="s">
        <v>1943</v>
      </c>
      <c r="C60" s="541">
        <v>754</v>
      </c>
      <c r="D60" s="25"/>
    </row>
    <row r="61" spans="1:9" s="40" customFormat="1" ht="13.5" customHeight="1" x14ac:dyDescent="0.2">
      <c r="A61" s="236"/>
      <c r="B61" s="34"/>
      <c r="C61" s="110"/>
      <c r="D61" s="25"/>
    </row>
    <row r="62" spans="1:9" s="40" customFormat="1" ht="13.5" customHeight="1" x14ac:dyDescent="0.2">
      <c r="A62" s="236"/>
      <c r="B62" s="34"/>
      <c r="C62" s="110"/>
      <c r="D62" s="25"/>
    </row>
    <row r="63" spans="1:9" s="40" customFormat="1" ht="13.5" customHeight="1" x14ac:dyDescent="0.2">
      <c r="A63" s="236" t="s">
        <v>428</v>
      </c>
      <c r="B63" s="34" t="s">
        <v>196</v>
      </c>
      <c r="C63" s="110">
        <v>1107.92</v>
      </c>
      <c r="D63" s="25"/>
    </row>
    <row r="64" spans="1:9" s="40" customFormat="1" ht="13.5" customHeight="1" x14ac:dyDescent="0.2">
      <c r="A64" s="236" t="s">
        <v>428</v>
      </c>
      <c r="B64" s="36" t="s">
        <v>197</v>
      </c>
      <c r="C64" s="110">
        <v>1846.53</v>
      </c>
      <c r="D64" s="16"/>
    </row>
    <row r="65" spans="1:8" s="40" customFormat="1" ht="13.5" customHeight="1" x14ac:dyDescent="0.2">
      <c r="A65" s="236"/>
      <c r="B65" s="34"/>
      <c r="C65" s="541">
        <f>SUM(C63:C64)</f>
        <v>2954.45</v>
      </c>
      <c r="D65" s="16"/>
    </row>
    <row r="66" spans="1:8" s="40" customFormat="1" ht="13.5" customHeight="1" x14ac:dyDescent="0.2">
      <c r="A66" s="236"/>
      <c r="B66" s="34"/>
      <c r="C66" s="110"/>
      <c r="D66" s="16"/>
    </row>
    <row r="67" spans="1:8" s="40" customFormat="1" ht="13.5" customHeight="1" x14ac:dyDescent="0.2">
      <c r="A67" s="236" t="s">
        <v>242</v>
      </c>
      <c r="B67" s="34" t="s">
        <v>127</v>
      </c>
      <c r="C67" s="110">
        <v>30.6</v>
      </c>
      <c r="D67" s="25"/>
      <c r="F67" s="236" t="s">
        <v>242</v>
      </c>
      <c r="G67" s="34" t="s">
        <v>1968</v>
      </c>
      <c r="H67" s="532">
        <v>19.149999999999999</v>
      </c>
    </row>
    <row r="68" spans="1:8" s="40" customFormat="1" ht="13.5" customHeight="1" x14ac:dyDescent="0.2">
      <c r="A68" s="236" t="s">
        <v>242</v>
      </c>
      <c r="B68" s="34" t="s">
        <v>2333</v>
      </c>
      <c r="C68" s="110">
        <v>-65.3</v>
      </c>
      <c r="D68" s="25"/>
      <c r="F68" s="236" t="s">
        <v>242</v>
      </c>
      <c r="G68" s="34" t="s">
        <v>1968</v>
      </c>
      <c r="H68" s="532">
        <v>21.24</v>
      </c>
    </row>
    <row r="69" spans="1:8" s="40" customFormat="1" ht="13.5" customHeight="1" x14ac:dyDescent="0.2">
      <c r="A69" s="236" t="s">
        <v>242</v>
      </c>
      <c r="B69" s="237" t="s">
        <v>736</v>
      </c>
      <c r="C69" s="110">
        <v>46.37</v>
      </c>
      <c r="D69" s="25"/>
      <c r="F69" s="236" t="s">
        <v>242</v>
      </c>
      <c r="G69" s="34" t="s">
        <v>1830</v>
      </c>
      <c r="H69" s="24">
        <v>15.37</v>
      </c>
    </row>
    <row r="70" spans="1:8" s="40" customFormat="1" ht="13.5" customHeight="1" x14ac:dyDescent="0.2">
      <c r="A70" s="236" t="s">
        <v>242</v>
      </c>
      <c r="B70" s="34" t="s">
        <v>109</v>
      </c>
      <c r="C70" s="110">
        <v>26.71</v>
      </c>
      <c r="D70" s="25"/>
      <c r="F70" s="236" t="s">
        <v>242</v>
      </c>
      <c r="G70" s="237" t="s">
        <v>1927</v>
      </c>
      <c r="H70" s="110">
        <v>52</v>
      </c>
    </row>
    <row r="71" spans="1:8" s="40" customFormat="1" ht="13.5" customHeight="1" x14ac:dyDescent="0.2">
      <c r="A71" s="236" t="s">
        <v>242</v>
      </c>
      <c r="B71" s="34" t="s">
        <v>129</v>
      </c>
      <c r="C71" s="110">
        <v>44.53</v>
      </c>
      <c r="D71" s="25"/>
      <c r="F71" s="236" t="s">
        <v>242</v>
      </c>
      <c r="G71" s="237" t="s">
        <v>1590</v>
      </c>
      <c r="H71" s="110">
        <v>263.43</v>
      </c>
    </row>
    <row r="72" spans="1:8" s="40" customFormat="1" ht="13.5" customHeight="1" x14ac:dyDescent="0.2">
      <c r="A72" s="236" t="s">
        <v>242</v>
      </c>
      <c r="B72" s="237" t="s">
        <v>737</v>
      </c>
      <c r="C72" s="110">
        <v>377.14</v>
      </c>
      <c r="D72" s="25"/>
      <c r="F72" s="236" t="s">
        <v>242</v>
      </c>
      <c r="G72" s="237" t="s">
        <v>1590</v>
      </c>
      <c r="H72" s="361">
        <v>100</v>
      </c>
    </row>
    <row r="73" spans="1:8" s="40" customFormat="1" ht="13.5" customHeight="1" x14ac:dyDescent="0.2">
      <c r="A73" s="236" t="s">
        <v>242</v>
      </c>
      <c r="B73" s="34" t="s">
        <v>87</v>
      </c>
      <c r="C73" s="110">
        <v>37.93</v>
      </c>
      <c r="D73" s="25"/>
      <c r="F73" s="236" t="s">
        <v>242</v>
      </c>
      <c r="G73" s="237" t="s">
        <v>1590</v>
      </c>
      <c r="H73" s="361">
        <v>211.02</v>
      </c>
    </row>
    <row r="74" spans="1:8" s="40" customFormat="1" ht="13.5" customHeight="1" x14ac:dyDescent="0.2">
      <c r="A74" s="236" t="s">
        <v>242</v>
      </c>
      <c r="B74" s="34" t="s">
        <v>422</v>
      </c>
      <c r="C74" s="110">
        <f t="array" ref="C74">SUM(H67:H75/2)</f>
        <v>430.96000000000004</v>
      </c>
      <c r="D74" s="25"/>
      <c r="F74" s="236" t="s">
        <v>242</v>
      </c>
      <c r="G74" s="34" t="s">
        <v>1870</v>
      </c>
      <c r="H74" s="110">
        <v>104.71</v>
      </c>
    </row>
    <row r="75" spans="1:8" s="40" customFormat="1" ht="13.5" customHeight="1" x14ac:dyDescent="0.2">
      <c r="A75" s="236"/>
      <c r="B75" s="34"/>
      <c r="C75" s="541">
        <f>SUM(C67:C74)</f>
        <v>928.94</v>
      </c>
      <c r="D75" s="25"/>
      <c r="F75" s="236" t="s">
        <v>242</v>
      </c>
      <c r="G75" s="36" t="s">
        <v>813</v>
      </c>
      <c r="H75" s="59">
        <v>75</v>
      </c>
    </row>
    <row r="76" spans="1:8" s="40" customFormat="1" ht="13.5" customHeight="1" x14ac:dyDescent="0.2">
      <c r="A76" s="236"/>
      <c r="B76" s="34"/>
      <c r="C76" s="110"/>
      <c r="D76" s="25"/>
    </row>
    <row r="77" spans="1:8" s="40" customFormat="1" ht="13.5" customHeight="1" x14ac:dyDescent="0.2">
      <c r="A77" s="236" t="s">
        <v>242</v>
      </c>
      <c r="B77" s="34" t="s">
        <v>1819</v>
      </c>
      <c r="C77" s="24">
        <v>10</v>
      </c>
      <c r="D77" s="25"/>
    </row>
    <row r="78" spans="1:8" s="40" customFormat="1" ht="13.5" customHeight="1" x14ac:dyDescent="0.2">
      <c r="A78" s="236" t="s">
        <v>242</v>
      </c>
      <c r="B78" s="34" t="s">
        <v>1823</v>
      </c>
      <c r="C78" s="24">
        <v>15</v>
      </c>
      <c r="D78" s="25"/>
    </row>
    <row r="79" spans="1:8" s="40" customFormat="1" ht="13.5" customHeight="1" x14ac:dyDescent="0.2">
      <c r="A79" s="236" t="s">
        <v>242</v>
      </c>
      <c r="B79" s="34" t="s">
        <v>180</v>
      </c>
      <c r="C79" s="110">
        <v>296.74</v>
      </c>
      <c r="D79" s="25"/>
    </row>
    <row r="80" spans="1:8" s="40" customFormat="1" ht="13.5" customHeight="1" x14ac:dyDescent="0.2">
      <c r="A80" s="236" t="s">
        <v>242</v>
      </c>
      <c r="B80" s="34" t="s">
        <v>1839</v>
      </c>
      <c r="C80" s="24">
        <v>7</v>
      </c>
      <c r="D80" s="25"/>
    </row>
    <row r="81" spans="1:4" s="40" customFormat="1" ht="13.5" customHeight="1" x14ac:dyDescent="0.2">
      <c r="A81" s="236" t="s">
        <v>242</v>
      </c>
      <c r="B81" s="34" t="s">
        <v>1913</v>
      </c>
      <c r="C81" s="24">
        <v>6.2</v>
      </c>
      <c r="D81" s="25"/>
    </row>
    <row r="82" spans="1:4" s="40" customFormat="1" ht="13.5" customHeight="1" x14ac:dyDescent="0.2">
      <c r="A82" s="236" t="s">
        <v>242</v>
      </c>
      <c r="B82" s="34" t="s">
        <v>423</v>
      </c>
      <c r="C82" s="24">
        <f>C74</f>
        <v>430.96000000000004</v>
      </c>
      <c r="D82" s="25"/>
    </row>
    <row r="83" spans="1:4" s="40" customFormat="1" ht="13.5" customHeight="1" x14ac:dyDescent="0.2">
      <c r="A83" s="236"/>
      <c r="B83" s="34"/>
      <c r="C83" s="540">
        <f>SUM(C77:C82)</f>
        <v>765.90000000000009</v>
      </c>
      <c r="D83" s="25"/>
    </row>
    <row r="84" spans="1:4" s="40" customFormat="1" ht="13.5" customHeight="1" x14ac:dyDescent="0.2">
      <c r="A84" s="236"/>
      <c r="B84" s="34"/>
      <c r="C84" s="24"/>
      <c r="D84" s="25"/>
    </row>
    <row r="85" spans="1:4" s="40" customFormat="1" ht="13.5" customHeight="1" x14ac:dyDescent="0.2">
      <c r="A85" s="236" t="s">
        <v>243</v>
      </c>
      <c r="B85" s="34" t="s">
        <v>161</v>
      </c>
      <c r="C85" s="110">
        <v>1200</v>
      </c>
      <c r="D85" s="25"/>
    </row>
    <row r="86" spans="1:4" s="40" customFormat="1" ht="13.5" customHeight="1" x14ac:dyDescent="0.2">
      <c r="A86" s="236" t="s">
        <v>243</v>
      </c>
      <c r="B86" s="34" t="s">
        <v>630</v>
      </c>
      <c r="C86" s="110">
        <f>D56</f>
        <v>237.5</v>
      </c>
      <c r="D86" s="25"/>
    </row>
    <row r="87" spans="1:4" s="40" customFormat="1" ht="13.5" customHeight="1" x14ac:dyDescent="0.2">
      <c r="A87" s="236" t="s">
        <v>243</v>
      </c>
      <c r="B87" s="34" t="s">
        <v>9</v>
      </c>
      <c r="C87" s="110">
        <v>900</v>
      </c>
      <c r="D87" s="25"/>
    </row>
    <row r="88" spans="1:4" s="40" customFormat="1" ht="13.5" customHeight="1" x14ac:dyDescent="0.2">
      <c r="A88" s="236" t="s">
        <v>243</v>
      </c>
      <c r="B88" s="34" t="s">
        <v>1852</v>
      </c>
      <c r="C88" s="24">
        <v>2000</v>
      </c>
      <c r="D88" s="25"/>
    </row>
    <row r="89" spans="1:4" s="40" customFormat="1" ht="13.5" customHeight="1" x14ac:dyDescent="0.2">
      <c r="A89" s="236" t="s">
        <v>243</v>
      </c>
      <c r="B89" s="45" t="s">
        <v>1971</v>
      </c>
      <c r="C89" s="363">
        <v>1200</v>
      </c>
      <c r="D89" s="534"/>
    </row>
    <row r="90" spans="1:4" s="40" customFormat="1" ht="13.5" customHeight="1" x14ac:dyDescent="0.2">
      <c r="A90" s="236" t="s">
        <v>243</v>
      </c>
      <c r="B90" s="34" t="s">
        <v>1811</v>
      </c>
      <c r="C90" s="110">
        <v>388.15</v>
      </c>
      <c r="D90" s="25"/>
    </row>
    <row r="91" spans="1:4" s="40" customFormat="1" ht="13.5" customHeight="1" x14ac:dyDescent="0.2">
      <c r="A91" s="236" t="s">
        <v>243</v>
      </c>
      <c r="B91" s="237" t="s">
        <v>81</v>
      </c>
      <c r="C91" s="110">
        <v>49.9</v>
      </c>
      <c r="D91" s="25"/>
    </row>
    <row r="92" spans="1:4" s="40" customFormat="1" ht="13.5" customHeight="1" x14ac:dyDescent="0.2">
      <c r="A92" s="236" t="s">
        <v>243</v>
      </c>
      <c r="B92" s="34" t="s">
        <v>673</v>
      </c>
      <c r="C92" s="61">
        <v>114.98</v>
      </c>
      <c r="D92" s="60"/>
    </row>
    <row r="93" spans="1:4" s="40" customFormat="1" ht="13.5" customHeight="1" x14ac:dyDescent="0.2">
      <c r="A93" s="236" t="s">
        <v>243</v>
      </c>
      <c r="B93" s="21" t="s">
        <v>113</v>
      </c>
      <c r="C93" s="110">
        <v>267</v>
      </c>
      <c r="D93" s="25"/>
    </row>
    <row r="94" spans="1:4" s="40" customFormat="1" ht="13.5" customHeight="1" x14ac:dyDescent="0.2">
      <c r="A94" s="236" t="s">
        <v>243</v>
      </c>
      <c r="B94" s="34" t="s">
        <v>1903</v>
      </c>
      <c r="C94" s="24">
        <v>200</v>
      </c>
      <c r="D94" s="25"/>
    </row>
    <row r="95" spans="1:4" s="40" customFormat="1" ht="13.5" customHeight="1" x14ac:dyDescent="0.2">
      <c r="A95" s="236" t="s">
        <v>243</v>
      </c>
      <c r="B95" s="34" t="s">
        <v>1868</v>
      </c>
      <c r="C95" s="24">
        <v>100</v>
      </c>
      <c r="D95" s="25"/>
    </row>
    <row r="96" spans="1:4" s="40" customFormat="1" ht="13.5" customHeight="1" x14ac:dyDescent="0.2">
      <c r="A96" s="236" t="s">
        <v>243</v>
      </c>
      <c r="B96" s="34" t="s">
        <v>1918</v>
      </c>
      <c r="C96" s="24">
        <v>50</v>
      </c>
      <c r="D96" s="25"/>
    </row>
    <row r="97" spans="1:5" s="40" customFormat="1" ht="13.5" customHeight="1" x14ac:dyDescent="0.2">
      <c r="A97" s="236" t="s">
        <v>243</v>
      </c>
      <c r="B97" s="34" t="s">
        <v>1817</v>
      </c>
      <c r="C97" s="24">
        <v>2.9</v>
      </c>
      <c r="D97" s="25"/>
    </row>
    <row r="98" spans="1:5" s="40" customFormat="1" ht="13.5" customHeight="1" x14ac:dyDescent="0.2">
      <c r="A98" s="236" t="s">
        <v>243</v>
      </c>
      <c r="B98" s="34" t="s">
        <v>1807</v>
      </c>
      <c r="C98" s="24">
        <v>30.26</v>
      </c>
      <c r="D98" s="25"/>
    </row>
    <row r="99" spans="1:5" s="40" customFormat="1" ht="13.5" customHeight="1" x14ac:dyDescent="0.2">
      <c r="A99" s="236" t="s">
        <v>243</v>
      </c>
      <c r="B99" s="34" t="s">
        <v>1879</v>
      </c>
      <c r="C99" s="24">
        <v>18.93</v>
      </c>
      <c r="D99" s="25"/>
    </row>
    <row r="100" spans="1:5" s="40" customFormat="1" ht="13.5" customHeight="1" x14ac:dyDescent="0.2">
      <c r="A100" s="236" t="s">
        <v>243</v>
      </c>
      <c r="B100" s="34" t="s">
        <v>1834</v>
      </c>
      <c r="C100" s="24">
        <v>22.8</v>
      </c>
      <c r="D100" s="25"/>
    </row>
    <row r="101" spans="1:5" s="40" customFormat="1" ht="13.5" customHeight="1" x14ac:dyDescent="0.2">
      <c r="A101" s="236" t="s">
        <v>243</v>
      </c>
      <c r="B101" s="34" t="s">
        <v>1834</v>
      </c>
      <c r="C101" s="24">
        <v>24</v>
      </c>
      <c r="D101" s="25"/>
    </row>
    <row r="102" spans="1:5" s="40" customFormat="1" ht="13.5" customHeight="1" x14ac:dyDescent="0.2">
      <c r="A102" s="236" t="s">
        <v>243</v>
      </c>
      <c r="B102" s="34" t="s">
        <v>1834</v>
      </c>
      <c r="C102" s="24">
        <v>27.6</v>
      </c>
      <c r="D102" s="25"/>
    </row>
    <row r="103" spans="1:5" s="40" customFormat="1" ht="13.5" customHeight="1" x14ac:dyDescent="0.2">
      <c r="A103" s="236" t="s">
        <v>243</v>
      </c>
      <c r="B103" s="36" t="s">
        <v>1834</v>
      </c>
      <c r="C103" s="24">
        <v>28</v>
      </c>
      <c r="D103" s="25"/>
    </row>
    <row r="104" spans="1:5" s="40" customFormat="1" ht="13.5" customHeight="1" x14ac:dyDescent="0.2">
      <c r="A104" s="236" t="s">
        <v>243</v>
      </c>
      <c r="B104" s="34" t="s">
        <v>1834</v>
      </c>
      <c r="C104" s="24">
        <v>31.5</v>
      </c>
      <c r="D104" s="25"/>
    </row>
    <row r="105" spans="1:5" s="40" customFormat="1" ht="13.5" customHeight="1" x14ac:dyDescent="0.2">
      <c r="A105" s="236" t="s">
        <v>243</v>
      </c>
      <c r="B105" s="34" t="s">
        <v>1842</v>
      </c>
      <c r="C105" s="24">
        <v>1270</v>
      </c>
      <c r="D105" s="25"/>
    </row>
    <row r="106" spans="1:5" s="40" customFormat="1" ht="13.5" customHeight="1" x14ac:dyDescent="0.2">
      <c r="A106" s="236" t="s">
        <v>243</v>
      </c>
      <c r="B106" s="34" t="s">
        <v>1666</v>
      </c>
      <c r="C106" s="24">
        <v>55.9</v>
      </c>
      <c r="D106" s="25"/>
    </row>
    <row r="107" spans="1:5" s="40" customFormat="1" ht="13.5" customHeight="1" x14ac:dyDescent="0.2">
      <c r="A107" s="236" t="s">
        <v>243</v>
      </c>
      <c r="B107" s="34" t="s">
        <v>1818</v>
      </c>
      <c r="C107" s="24">
        <v>20.84</v>
      </c>
      <c r="D107" s="25"/>
    </row>
    <row r="108" spans="1:5" s="40" customFormat="1" ht="13.5" customHeight="1" x14ac:dyDescent="0.2">
      <c r="A108" s="236"/>
      <c r="B108" s="34"/>
      <c r="C108" s="540">
        <f>SUM(C85:C107)</f>
        <v>8240.26</v>
      </c>
      <c r="D108" s="25">
        <f>C108/2</f>
        <v>4120.13</v>
      </c>
      <c r="E108" s="40" t="s">
        <v>3514</v>
      </c>
    </row>
    <row r="109" spans="1:5" s="40" customFormat="1" ht="13.5" customHeight="1" x14ac:dyDescent="0.2">
      <c r="A109" s="244"/>
      <c r="B109" s="34"/>
      <c r="C109" s="24"/>
      <c r="D109" s="25"/>
    </row>
    <row r="110" spans="1:5" s="40" customFormat="1" ht="13.5" customHeight="1" x14ac:dyDescent="0.2">
      <c r="A110" s="244"/>
      <c r="B110" s="34"/>
      <c r="C110" s="24"/>
      <c r="D110" s="25"/>
    </row>
    <row r="111" spans="1:5" s="40" customFormat="1" ht="13.5" customHeight="1" x14ac:dyDescent="0.2">
      <c r="A111" s="236" t="s">
        <v>230</v>
      </c>
      <c r="B111" s="34" t="s">
        <v>177</v>
      </c>
      <c r="C111" s="541">
        <v>243.07</v>
      </c>
      <c r="D111" s="25">
        <f>SUM(C111*D119)</f>
        <v>44.040588757054024</v>
      </c>
      <c r="E111" s="40" t="s">
        <v>1793</v>
      </c>
    </row>
    <row r="112" spans="1:5" s="40" customFormat="1" ht="13.5" customHeight="1" x14ac:dyDescent="0.2">
      <c r="A112" s="236"/>
      <c r="B112" s="34"/>
      <c r="C112" s="110"/>
      <c r="D112" s="25">
        <f>SUM(C111)-D111</f>
        <v>199.02941124294597</v>
      </c>
      <c r="E112" s="40" t="s">
        <v>3540</v>
      </c>
    </row>
    <row r="113" spans="1:8" s="40" customFormat="1" ht="13.5" customHeight="1" x14ac:dyDescent="0.2">
      <c r="A113" s="236"/>
      <c r="B113" s="34"/>
      <c r="C113" s="110"/>
      <c r="D113" s="25"/>
    </row>
    <row r="114" spans="1:8" s="40" customFormat="1" ht="13.5" customHeight="1" x14ac:dyDescent="0.2">
      <c r="A114" s="236" t="s">
        <v>231</v>
      </c>
      <c r="B114" s="34" t="s">
        <v>198</v>
      </c>
      <c r="C114" s="541">
        <v>1320.97</v>
      </c>
      <c r="D114" s="25">
        <f>SUM(C114*D119)</f>
        <v>239.3396821097036</v>
      </c>
      <c r="E114" s="40" t="s">
        <v>1793</v>
      </c>
    </row>
    <row r="115" spans="1:8" s="40" customFormat="1" ht="13.5" customHeight="1" x14ac:dyDescent="0.2">
      <c r="A115" s="236"/>
      <c r="B115" s="34"/>
      <c r="C115" s="110"/>
      <c r="D115" s="25">
        <f>SUM(C114)-D114</f>
        <v>1081.6303178902965</v>
      </c>
      <c r="E115" s="40" t="s">
        <v>3541</v>
      </c>
    </row>
    <row r="116" spans="1:8" s="40" customFormat="1" ht="13.5" customHeight="1" x14ac:dyDescent="0.2">
      <c r="A116" s="236"/>
      <c r="B116" s="34"/>
      <c r="C116" s="110"/>
      <c r="D116" s="25"/>
    </row>
    <row r="117" spans="1:8" s="40" customFormat="1" ht="13.5" customHeight="1" x14ac:dyDescent="0.2">
      <c r="A117" s="236" t="s">
        <v>417</v>
      </c>
      <c r="B117" s="138" t="s">
        <v>1930</v>
      </c>
      <c r="C117" s="110">
        <v>100</v>
      </c>
      <c r="D117" s="25"/>
    </row>
    <row r="118" spans="1:8" s="40" customFormat="1" ht="13.5" customHeight="1" x14ac:dyDescent="0.2">
      <c r="A118" s="236" t="s">
        <v>417</v>
      </c>
      <c r="B118" s="138" t="s">
        <v>624</v>
      </c>
      <c r="C118" s="110">
        <f t="array" ref="C118">SUM(H121:H122/2)</f>
        <v>807.97499999999991</v>
      </c>
      <c r="D118" s="25"/>
    </row>
    <row r="119" spans="1:8" s="40" customFormat="1" ht="13.5" customHeight="1" x14ac:dyDescent="0.2">
      <c r="A119" s="236"/>
      <c r="B119" s="138"/>
      <c r="C119" s="541">
        <f>SUM(C117:C118)</f>
        <v>907.97499999999991</v>
      </c>
      <c r="D119" s="441">
        <f>SUM(C119/(C119+C130))</f>
        <v>0.18118479761819239</v>
      </c>
    </row>
    <row r="120" spans="1:8" s="40" customFormat="1" ht="13.5" customHeight="1" x14ac:dyDescent="0.2">
      <c r="A120" s="236"/>
      <c r="B120" s="138"/>
      <c r="C120" s="110"/>
      <c r="D120" s="25"/>
    </row>
    <row r="121" spans="1:8" s="40" customFormat="1" ht="13.5" customHeight="1" x14ac:dyDescent="0.2">
      <c r="A121" s="236" t="s">
        <v>417</v>
      </c>
      <c r="B121" s="34" t="s">
        <v>1844</v>
      </c>
      <c r="C121" s="24">
        <v>793.85</v>
      </c>
      <c r="D121" s="25"/>
      <c r="F121" s="236" t="s">
        <v>417</v>
      </c>
      <c r="G121" s="34" t="s">
        <v>173</v>
      </c>
      <c r="H121" s="110">
        <v>1007.27</v>
      </c>
    </row>
    <row r="122" spans="1:8" s="40" customFormat="1" ht="13.5" customHeight="1" x14ac:dyDescent="0.2">
      <c r="A122" s="236" t="s">
        <v>417</v>
      </c>
      <c r="B122" s="34" t="s">
        <v>1953</v>
      </c>
      <c r="C122" s="110">
        <v>421.52</v>
      </c>
      <c r="D122" s="25"/>
      <c r="F122" s="236" t="s">
        <v>417</v>
      </c>
      <c r="G122" s="34" t="s">
        <v>172</v>
      </c>
      <c r="H122" s="110">
        <v>608.67999999999995</v>
      </c>
    </row>
    <row r="123" spans="1:8" s="40" customFormat="1" ht="13.5" customHeight="1" x14ac:dyDescent="0.2">
      <c r="A123" s="236" t="s">
        <v>417</v>
      </c>
      <c r="B123" s="34" t="s">
        <v>1889</v>
      </c>
      <c r="C123" s="24">
        <v>50</v>
      </c>
      <c r="D123" s="25"/>
      <c r="F123" s="236"/>
      <c r="G123" s="395"/>
      <c r="H123" s="430"/>
    </row>
    <row r="124" spans="1:8" s="40" customFormat="1" ht="13.5" customHeight="1" x14ac:dyDescent="0.2">
      <c r="A124" s="236" t="s">
        <v>417</v>
      </c>
      <c r="B124" s="34" t="s">
        <v>1888</v>
      </c>
      <c r="C124" s="24">
        <v>50</v>
      </c>
      <c r="D124" s="25"/>
      <c r="F124" s="236"/>
      <c r="G124" s="395"/>
      <c r="H124" s="430"/>
    </row>
    <row r="125" spans="1:8" s="40" customFormat="1" ht="13.5" customHeight="1" x14ac:dyDescent="0.2">
      <c r="A125" s="236" t="s">
        <v>417</v>
      </c>
      <c r="B125" s="34" t="s">
        <v>318</v>
      </c>
      <c r="C125" s="24">
        <v>520</v>
      </c>
      <c r="D125" s="25"/>
      <c r="F125" s="236"/>
      <c r="G125" s="395"/>
      <c r="H125" s="430"/>
    </row>
    <row r="126" spans="1:8" s="40" customFormat="1" ht="13.5" customHeight="1" x14ac:dyDescent="0.2">
      <c r="A126" s="236" t="s">
        <v>417</v>
      </c>
      <c r="B126" s="34" t="s">
        <v>318</v>
      </c>
      <c r="C126" s="24">
        <v>650</v>
      </c>
      <c r="D126" s="25"/>
    </row>
    <row r="127" spans="1:8" s="40" customFormat="1" ht="13.5" customHeight="1" x14ac:dyDescent="0.2">
      <c r="A127" s="236" t="s">
        <v>417</v>
      </c>
      <c r="B127" s="34" t="s">
        <v>52</v>
      </c>
      <c r="C127" s="24">
        <v>360</v>
      </c>
      <c r="D127" s="25"/>
    </row>
    <row r="128" spans="1:8" s="40" customFormat="1" ht="13.5" customHeight="1" x14ac:dyDescent="0.2">
      <c r="A128" s="236" t="s">
        <v>417</v>
      </c>
      <c r="B128" s="34" t="s">
        <v>52</v>
      </c>
      <c r="C128" s="24">
        <v>450</v>
      </c>
      <c r="D128" s="25"/>
    </row>
    <row r="129" spans="1:4" s="40" customFormat="1" ht="13.5" customHeight="1" x14ac:dyDescent="0.2">
      <c r="A129" s="236" t="s">
        <v>417</v>
      </c>
      <c r="B129" s="34" t="s">
        <v>625</v>
      </c>
      <c r="C129" s="24">
        <f>C118</f>
        <v>807.97499999999991</v>
      </c>
      <c r="D129" s="25"/>
    </row>
    <row r="130" spans="1:4" s="40" customFormat="1" ht="13.5" customHeight="1" x14ac:dyDescent="0.2">
      <c r="A130" s="236"/>
      <c r="B130" s="34"/>
      <c r="C130" s="540">
        <f>SUM(C121:C129)</f>
        <v>4103.3449999999993</v>
      </c>
      <c r="D130" s="25"/>
    </row>
    <row r="131" spans="1:4" s="40" customFormat="1" ht="13.5" customHeight="1" x14ac:dyDescent="0.2">
      <c r="A131" s="236"/>
      <c r="B131" s="34"/>
      <c r="C131" s="542"/>
      <c r="D131" s="25"/>
    </row>
    <row r="132" spans="1:4" s="40" customFormat="1" ht="13.5" customHeight="1" x14ac:dyDescent="0.2">
      <c r="A132" s="236" t="s">
        <v>245</v>
      </c>
      <c r="B132" s="34" t="s">
        <v>1828</v>
      </c>
      <c r="C132" s="24">
        <v>12.3</v>
      </c>
      <c r="D132" s="25"/>
    </row>
    <row r="133" spans="1:4" s="40" customFormat="1" ht="13.5" customHeight="1" x14ac:dyDescent="0.2">
      <c r="A133" s="236" t="s">
        <v>245</v>
      </c>
      <c r="B133" s="34" t="s">
        <v>1829</v>
      </c>
      <c r="C133" s="24">
        <v>0.8</v>
      </c>
      <c r="D133" s="25"/>
    </row>
    <row r="134" spans="1:4" s="40" customFormat="1" ht="13.5" customHeight="1" x14ac:dyDescent="0.2">
      <c r="A134" s="236" t="s">
        <v>245</v>
      </c>
      <c r="B134" s="34" t="s">
        <v>1825</v>
      </c>
      <c r="C134" s="24">
        <v>81</v>
      </c>
      <c r="D134" s="25"/>
    </row>
    <row r="135" spans="1:4" s="40" customFormat="1" ht="13.5" customHeight="1" x14ac:dyDescent="0.2">
      <c r="A135" s="236" t="s">
        <v>245</v>
      </c>
      <c r="B135" s="34" t="s">
        <v>1837</v>
      </c>
      <c r="C135" s="24">
        <v>13.9</v>
      </c>
      <c r="D135" s="25"/>
    </row>
    <row r="136" spans="1:4" s="40" customFormat="1" ht="13.5" customHeight="1" x14ac:dyDescent="0.2">
      <c r="A136" s="236" t="s">
        <v>245</v>
      </c>
      <c r="B136" s="34" t="s">
        <v>1822</v>
      </c>
      <c r="C136" s="24">
        <v>5.2</v>
      </c>
      <c r="D136" s="25"/>
    </row>
    <row r="137" spans="1:4" s="40" customFormat="1" ht="13.5" customHeight="1" x14ac:dyDescent="0.2">
      <c r="A137" s="236" t="s">
        <v>245</v>
      </c>
      <c r="B137" s="34" t="s">
        <v>1832</v>
      </c>
      <c r="C137" s="24">
        <v>12.99</v>
      </c>
      <c r="D137" s="25"/>
    </row>
    <row r="138" spans="1:4" s="40" customFormat="1" ht="13.5" customHeight="1" x14ac:dyDescent="0.2">
      <c r="A138" s="236" t="s">
        <v>245</v>
      </c>
      <c r="B138" s="34" t="s">
        <v>1836</v>
      </c>
      <c r="C138" s="24">
        <v>62</v>
      </c>
      <c r="D138" s="25"/>
    </row>
    <row r="139" spans="1:4" s="40" customFormat="1" ht="13.5" customHeight="1" x14ac:dyDescent="0.2">
      <c r="A139" s="236" t="s">
        <v>245</v>
      </c>
      <c r="B139" s="34" t="s">
        <v>1920</v>
      </c>
      <c r="C139" s="110">
        <v>145</v>
      </c>
      <c r="D139" s="25"/>
    </row>
    <row r="140" spans="1:4" s="40" customFormat="1" ht="13.5" customHeight="1" x14ac:dyDescent="0.2">
      <c r="A140" s="236" t="s">
        <v>245</v>
      </c>
      <c r="B140" s="32" t="s">
        <v>1951</v>
      </c>
      <c r="C140" s="110">
        <v>90</v>
      </c>
      <c r="D140" s="25"/>
    </row>
    <row r="141" spans="1:4" s="40" customFormat="1" ht="13.5" customHeight="1" x14ac:dyDescent="0.2">
      <c r="A141" s="236" t="s">
        <v>245</v>
      </c>
      <c r="B141" s="36" t="s">
        <v>1969</v>
      </c>
      <c r="C141" s="361">
        <v>52.86</v>
      </c>
      <c r="D141" s="535"/>
    </row>
    <row r="142" spans="1:4" s="40" customFormat="1" ht="13.5" customHeight="1" x14ac:dyDescent="0.2">
      <c r="A142" s="236" t="s">
        <v>245</v>
      </c>
      <c r="B142" s="36" t="s">
        <v>422</v>
      </c>
      <c r="C142" s="361">
        <f>SUM(H146/2)</f>
        <v>94.25</v>
      </c>
      <c r="D142" s="535"/>
    </row>
    <row r="143" spans="1:4" s="40" customFormat="1" ht="13.5" customHeight="1" x14ac:dyDescent="0.2">
      <c r="A143" s="236"/>
      <c r="B143" s="36"/>
      <c r="C143" s="543">
        <f>SUM(C132:C142)</f>
        <v>570.29999999999995</v>
      </c>
      <c r="D143" s="535"/>
    </row>
    <row r="144" spans="1:4" s="40" customFormat="1" ht="13.5" customHeight="1" x14ac:dyDescent="0.2">
      <c r="A144" s="236"/>
      <c r="B144" s="36"/>
      <c r="C144" s="361"/>
      <c r="D144" s="535"/>
    </row>
    <row r="145" spans="1:8" s="40" customFormat="1" ht="13.5" customHeight="1" x14ac:dyDescent="0.2">
      <c r="A145" s="236" t="s">
        <v>245</v>
      </c>
      <c r="B145" s="36" t="s">
        <v>1936</v>
      </c>
      <c r="C145" s="110">
        <v>1330</v>
      </c>
      <c r="D145" s="25"/>
    </row>
    <row r="146" spans="1:8" s="40" customFormat="1" ht="13.5" customHeight="1" x14ac:dyDescent="0.2">
      <c r="A146" s="236" t="s">
        <v>245</v>
      </c>
      <c r="B146" s="36" t="s">
        <v>1835</v>
      </c>
      <c r="C146" s="24">
        <v>19.600000000000001</v>
      </c>
      <c r="D146" s="25"/>
      <c r="F146" s="236" t="s">
        <v>245</v>
      </c>
      <c r="G146" s="33" t="s">
        <v>1933</v>
      </c>
      <c r="H146" s="110">
        <v>188.5</v>
      </c>
    </row>
    <row r="147" spans="1:8" s="40" customFormat="1" ht="13.5" customHeight="1" x14ac:dyDescent="0.2">
      <c r="A147" s="236" t="s">
        <v>245</v>
      </c>
      <c r="B147" s="34" t="s">
        <v>1877</v>
      </c>
      <c r="C147" s="24">
        <v>16.95</v>
      </c>
      <c r="D147" s="25"/>
    </row>
    <row r="148" spans="1:8" s="40" customFormat="1" ht="13.5" customHeight="1" x14ac:dyDescent="0.2">
      <c r="A148" s="236" t="s">
        <v>245</v>
      </c>
      <c r="B148" s="34" t="s">
        <v>1881</v>
      </c>
      <c r="C148" s="24">
        <v>12.25</v>
      </c>
      <c r="D148" s="25"/>
    </row>
    <row r="149" spans="1:8" s="40" customFormat="1" ht="13.5" customHeight="1" x14ac:dyDescent="0.2">
      <c r="A149" s="236" t="s">
        <v>245</v>
      </c>
      <c r="B149" s="34" t="s">
        <v>1917</v>
      </c>
      <c r="C149" s="24">
        <v>21</v>
      </c>
      <c r="D149" s="25"/>
    </row>
    <row r="150" spans="1:8" s="40" customFormat="1" ht="13.5" customHeight="1" x14ac:dyDescent="0.2">
      <c r="A150" s="236" t="s">
        <v>245</v>
      </c>
      <c r="B150" s="34" t="s">
        <v>1827</v>
      </c>
      <c r="C150" s="24">
        <v>5</v>
      </c>
      <c r="D150" s="25"/>
    </row>
    <row r="151" spans="1:8" s="40" customFormat="1" ht="13.5" customHeight="1" x14ac:dyDescent="0.2">
      <c r="A151" s="236" t="s">
        <v>245</v>
      </c>
      <c r="B151" s="34" t="s">
        <v>1915</v>
      </c>
      <c r="C151" s="24">
        <v>29.7</v>
      </c>
      <c r="D151" s="25"/>
    </row>
    <row r="152" spans="1:8" s="40" customFormat="1" ht="13.5" customHeight="1" x14ac:dyDescent="0.2">
      <c r="A152" s="236" t="s">
        <v>245</v>
      </c>
      <c r="B152" s="34" t="s">
        <v>1890</v>
      </c>
      <c r="C152" s="24">
        <v>26.98</v>
      </c>
      <c r="D152" s="25"/>
    </row>
    <row r="153" spans="1:8" s="40" customFormat="1" ht="13.5" customHeight="1" x14ac:dyDescent="0.2">
      <c r="A153" s="236" t="s">
        <v>245</v>
      </c>
      <c r="B153" s="34" t="s">
        <v>1912</v>
      </c>
      <c r="C153" s="24">
        <v>6</v>
      </c>
      <c r="D153" s="25"/>
    </row>
    <row r="154" spans="1:8" s="40" customFormat="1" ht="13.5" customHeight="1" x14ac:dyDescent="0.2">
      <c r="A154" s="236" t="s">
        <v>245</v>
      </c>
      <c r="B154" s="34" t="s">
        <v>1891</v>
      </c>
      <c r="C154" s="24">
        <v>3.99</v>
      </c>
      <c r="D154" s="25"/>
    </row>
    <row r="155" spans="1:8" s="40" customFormat="1" ht="13.5" customHeight="1" x14ac:dyDescent="0.2">
      <c r="A155" s="236" t="s">
        <v>245</v>
      </c>
      <c r="B155" s="34" t="s">
        <v>1821</v>
      </c>
      <c r="C155" s="24">
        <v>1.25</v>
      </c>
      <c r="D155" s="25"/>
    </row>
    <row r="156" spans="1:8" s="40" customFormat="1" ht="13.5" customHeight="1" x14ac:dyDescent="0.2">
      <c r="A156" s="236" t="s">
        <v>245</v>
      </c>
      <c r="B156" s="34" t="s">
        <v>1880</v>
      </c>
      <c r="C156" s="24">
        <v>5.9</v>
      </c>
      <c r="D156" s="25"/>
    </row>
    <row r="157" spans="1:8" s="40" customFormat="1" ht="13.5" customHeight="1" x14ac:dyDescent="0.2">
      <c r="A157" s="236" t="s">
        <v>245</v>
      </c>
      <c r="B157" s="34" t="s">
        <v>1815</v>
      </c>
      <c r="C157" s="24">
        <v>28</v>
      </c>
      <c r="D157" s="25"/>
    </row>
    <row r="158" spans="1:8" s="40" customFormat="1" ht="13.5" customHeight="1" x14ac:dyDescent="0.2">
      <c r="A158" s="236" t="s">
        <v>245</v>
      </c>
      <c r="B158" s="34" t="s">
        <v>1883</v>
      </c>
      <c r="C158" s="24">
        <v>34</v>
      </c>
      <c r="D158" s="25"/>
    </row>
    <row r="159" spans="1:8" s="40" customFormat="1" ht="13.5" customHeight="1" x14ac:dyDescent="0.2">
      <c r="A159" s="236" t="s">
        <v>245</v>
      </c>
      <c r="B159" s="34" t="s">
        <v>1876</v>
      </c>
      <c r="C159" s="24">
        <v>4.45</v>
      </c>
      <c r="D159" s="25"/>
    </row>
    <row r="160" spans="1:8" s="40" customFormat="1" ht="13.5" customHeight="1" x14ac:dyDescent="0.2">
      <c r="A160" s="236" t="s">
        <v>245</v>
      </c>
      <c r="B160" s="34" t="s">
        <v>1816</v>
      </c>
      <c r="C160" s="24">
        <v>31.91</v>
      </c>
      <c r="D160" s="25"/>
    </row>
    <row r="161" spans="1:4" s="40" customFormat="1" ht="13.5" customHeight="1" x14ac:dyDescent="0.2">
      <c r="A161" s="236" t="s">
        <v>245</v>
      </c>
      <c r="B161" s="34" t="s">
        <v>1831</v>
      </c>
      <c r="C161" s="24">
        <v>48.9</v>
      </c>
      <c r="D161" s="25"/>
    </row>
    <row r="162" spans="1:4" s="40" customFormat="1" ht="13.5" customHeight="1" x14ac:dyDescent="0.2">
      <c r="A162" s="236" t="s">
        <v>245</v>
      </c>
      <c r="B162" s="34" t="s">
        <v>1838</v>
      </c>
      <c r="C162" s="24">
        <v>24</v>
      </c>
      <c r="D162" s="25"/>
    </row>
    <row r="163" spans="1:4" s="40" customFormat="1" ht="13.5" customHeight="1" x14ac:dyDescent="0.2">
      <c r="A163" s="236" t="s">
        <v>245</v>
      </c>
      <c r="B163" s="34" t="s">
        <v>1916</v>
      </c>
      <c r="C163" s="24">
        <v>14</v>
      </c>
      <c r="D163" s="25"/>
    </row>
    <row r="164" spans="1:4" s="40" customFormat="1" ht="13.5" customHeight="1" x14ac:dyDescent="0.2">
      <c r="A164" s="236" t="s">
        <v>245</v>
      </c>
      <c r="B164" s="34" t="s">
        <v>1874</v>
      </c>
      <c r="C164" s="24">
        <v>55.97</v>
      </c>
      <c r="D164" s="25"/>
    </row>
    <row r="165" spans="1:4" s="40" customFormat="1" ht="13.5" customHeight="1" x14ac:dyDescent="0.2">
      <c r="A165" s="236" t="s">
        <v>245</v>
      </c>
      <c r="B165" s="34" t="s">
        <v>1892</v>
      </c>
      <c r="C165" s="24">
        <v>36</v>
      </c>
      <c r="D165" s="25"/>
    </row>
    <row r="166" spans="1:4" s="40" customFormat="1" ht="13.5" customHeight="1" x14ac:dyDescent="0.2">
      <c r="A166" s="236" t="s">
        <v>245</v>
      </c>
      <c r="B166" s="34" t="s">
        <v>1911</v>
      </c>
      <c r="C166" s="24">
        <v>30</v>
      </c>
      <c r="D166" s="25"/>
    </row>
    <row r="167" spans="1:4" s="40" customFormat="1" ht="13.5" customHeight="1" x14ac:dyDescent="0.2">
      <c r="A167" s="236" t="s">
        <v>245</v>
      </c>
      <c r="B167" s="34" t="s">
        <v>1878</v>
      </c>
      <c r="C167" s="24">
        <v>7.5</v>
      </c>
      <c r="D167" s="25"/>
    </row>
    <row r="168" spans="1:4" s="40" customFormat="1" ht="13.5" customHeight="1" x14ac:dyDescent="0.2">
      <c r="A168" s="236" t="s">
        <v>245</v>
      </c>
      <c r="B168" s="34" t="s">
        <v>1450</v>
      </c>
      <c r="C168" s="24">
        <v>6.22</v>
      </c>
      <c r="D168" s="25"/>
    </row>
    <row r="169" spans="1:4" s="40" customFormat="1" ht="13.5" customHeight="1" x14ac:dyDescent="0.2">
      <c r="A169" s="236" t="s">
        <v>245</v>
      </c>
      <c r="B169" s="34" t="s">
        <v>1882</v>
      </c>
      <c r="C169" s="24">
        <v>40</v>
      </c>
      <c r="D169" s="25"/>
    </row>
    <row r="170" spans="1:4" s="40" customFormat="1" ht="13.5" customHeight="1" x14ac:dyDescent="0.2">
      <c r="A170" s="236" t="s">
        <v>245</v>
      </c>
      <c r="B170" s="34" t="s">
        <v>1824</v>
      </c>
      <c r="C170" s="259">
        <v>10.9</v>
      </c>
      <c r="D170" s="235"/>
    </row>
    <row r="171" spans="1:4" s="40" customFormat="1" ht="13.5" customHeight="1" x14ac:dyDescent="0.2">
      <c r="A171" s="236" t="s">
        <v>245</v>
      </c>
      <c r="B171" s="36" t="s">
        <v>1820</v>
      </c>
      <c r="C171" s="119">
        <v>3</v>
      </c>
      <c r="D171" s="60"/>
    </row>
    <row r="172" spans="1:4" s="40" customFormat="1" ht="13.5" customHeight="1" x14ac:dyDescent="0.2">
      <c r="A172" s="236" t="s">
        <v>245</v>
      </c>
      <c r="B172" s="36" t="s">
        <v>1894</v>
      </c>
      <c r="C172" s="119">
        <v>19.899999999999999</v>
      </c>
      <c r="D172" s="60"/>
    </row>
    <row r="173" spans="1:4" s="40" customFormat="1" ht="13.5" customHeight="1" x14ac:dyDescent="0.2">
      <c r="A173" s="236" t="s">
        <v>245</v>
      </c>
      <c r="B173" s="36" t="s">
        <v>1826</v>
      </c>
      <c r="C173" s="119">
        <v>40</v>
      </c>
      <c r="D173" s="60"/>
    </row>
    <row r="174" spans="1:4" s="40" customFormat="1" ht="13.5" customHeight="1" x14ac:dyDescent="0.2">
      <c r="A174" s="236" t="s">
        <v>245</v>
      </c>
      <c r="B174" s="36" t="s">
        <v>1914</v>
      </c>
      <c r="C174" s="119">
        <v>9</v>
      </c>
      <c r="D174" s="60"/>
    </row>
    <row r="175" spans="1:4" s="40" customFormat="1" ht="13.5" customHeight="1" x14ac:dyDescent="0.2">
      <c r="A175" s="236" t="s">
        <v>245</v>
      </c>
      <c r="B175" s="34" t="s">
        <v>1875</v>
      </c>
      <c r="C175" s="119">
        <v>22.46</v>
      </c>
      <c r="D175" s="60"/>
    </row>
    <row r="176" spans="1:4" s="40" customFormat="1" ht="13.5" customHeight="1" x14ac:dyDescent="0.2">
      <c r="A176" s="236" t="s">
        <v>245</v>
      </c>
      <c r="B176" s="34" t="s">
        <v>1893</v>
      </c>
      <c r="C176" s="119">
        <v>450</v>
      </c>
      <c r="D176" s="60"/>
    </row>
    <row r="177" spans="1:8" s="40" customFormat="1" ht="13.5" customHeight="1" x14ac:dyDescent="0.2">
      <c r="A177" s="236" t="s">
        <v>245</v>
      </c>
      <c r="B177" s="34" t="s">
        <v>1873</v>
      </c>
      <c r="C177" s="119">
        <v>279</v>
      </c>
      <c r="D177" s="60"/>
    </row>
    <row r="178" spans="1:8" s="40" customFormat="1" ht="13.5" customHeight="1" x14ac:dyDescent="0.2">
      <c r="A178" s="244" t="s">
        <v>245</v>
      </c>
      <c r="B178" s="36" t="s">
        <v>1972</v>
      </c>
      <c r="C178" s="356">
        <v>33</v>
      </c>
      <c r="D178" s="536"/>
    </row>
    <row r="179" spans="1:8" s="40" customFormat="1" ht="13.5" customHeight="1" x14ac:dyDescent="0.2">
      <c r="A179" s="244" t="s">
        <v>245</v>
      </c>
      <c r="B179" s="34" t="s">
        <v>423</v>
      </c>
      <c r="C179" s="544">
        <f>C142</f>
        <v>94.25</v>
      </c>
      <c r="D179" s="536"/>
    </row>
    <row r="180" spans="1:8" s="40" customFormat="1" ht="13.5" customHeight="1" x14ac:dyDescent="0.2">
      <c r="A180" s="244"/>
      <c r="B180" s="34"/>
      <c r="C180" s="545">
        <f>SUM(C145:C179)</f>
        <v>2801.0800000000008</v>
      </c>
      <c r="D180" s="536"/>
    </row>
    <row r="181" spans="1:8" s="40" customFormat="1" ht="13.5" customHeight="1" x14ac:dyDescent="0.2">
      <c r="A181" s="244"/>
      <c r="B181" s="34"/>
      <c r="C181" s="36"/>
      <c r="D181" s="536"/>
    </row>
    <row r="182" spans="1:8" s="40" customFormat="1" ht="13.5" customHeight="1" x14ac:dyDescent="0.2">
      <c r="A182" s="244"/>
      <c r="B182" s="34"/>
      <c r="C182" s="546"/>
      <c r="D182" s="536"/>
    </row>
    <row r="183" spans="1:8" s="40" customFormat="1" ht="13.5" customHeight="1" x14ac:dyDescent="0.2">
      <c r="A183" s="236" t="s">
        <v>246</v>
      </c>
      <c r="B183" s="36" t="s">
        <v>195</v>
      </c>
      <c r="C183" s="59">
        <v>390.19</v>
      </c>
      <c r="D183" s="60"/>
    </row>
    <row r="184" spans="1:8" s="40" customFormat="1" ht="13.5" customHeight="1" x14ac:dyDescent="0.2">
      <c r="A184" s="236" t="s">
        <v>246</v>
      </c>
      <c r="B184" s="36" t="s">
        <v>194</v>
      </c>
      <c r="C184" s="59">
        <v>84.54</v>
      </c>
      <c r="D184" s="60"/>
    </row>
    <row r="185" spans="1:8" s="40" customFormat="1" ht="13.5" customHeight="1" x14ac:dyDescent="0.2">
      <c r="A185" s="236"/>
      <c r="B185" s="36"/>
      <c r="C185" s="545">
        <f>SUM(C183:C184)</f>
        <v>474.73</v>
      </c>
      <c r="D185" s="60"/>
      <c r="F185" s="236"/>
      <c r="G185" s="395"/>
      <c r="H185" s="430"/>
    </row>
    <row r="186" spans="1:8" s="40" customFormat="1" ht="13.5" customHeight="1" x14ac:dyDescent="0.2">
      <c r="A186" s="236"/>
      <c r="B186" s="36"/>
      <c r="C186" s="59"/>
      <c r="D186" s="60"/>
      <c r="F186" s="236"/>
      <c r="G186" s="395"/>
      <c r="H186" s="430"/>
    </row>
    <row r="187" spans="1:8" s="40" customFormat="1" ht="13.5" customHeight="1" x14ac:dyDescent="0.2">
      <c r="A187" s="236" t="s">
        <v>248</v>
      </c>
      <c r="B187" s="36" t="s">
        <v>132</v>
      </c>
      <c r="C187" s="59">
        <v>1083.01</v>
      </c>
      <c r="D187" s="60"/>
    </row>
    <row r="188" spans="1:8" s="40" customFormat="1" ht="13.5" customHeight="1" x14ac:dyDescent="0.2">
      <c r="A188" s="236" t="s">
        <v>248</v>
      </c>
      <c r="B188" s="36" t="s">
        <v>130</v>
      </c>
      <c r="C188" s="59">
        <v>164.6</v>
      </c>
      <c r="D188" s="60"/>
    </row>
    <row r="189" spans="1:8" s="40" customFormat="1" ht="13.5" customHeight="1" x14ac:dyDescent="0.2">
      <c r="A189" s="236" t="s">
        <v>248</v>
      </c>
      <c r="B189" s="34" t="s">
        <v>53</v>
      </c>
      <c r="C189" s="59">
        <v>532.21</v>
      </c>
      <c r="D189" s="60"/>
    </row>
    <row r="190" spans="1:8" s="40" customFormat="1" ht="13.5" customHeight="1" x14ac:dyDescent="0.2">
      <c r="A190" s="236" t="s">
        <v>248</v>
      </c>
      <c r="B190" s="36" t="s">
        <v>55</v>
      </c>
      <c r="C190" s="59">
        <v>400</v>
      </c>
      <c r="D190" s="60"/>
    </row>
    <row r="191" spans="1:8" s="40" customFormat="1" ht="13.5" customHeight="1" x14ac:dyDescent="0.2">
      <c r="A191" s="236" t="s">
        <v>248</v>
      </c>
      <c r="B191" s="36" t="s">
        <v>1869</v>
      </c>
      <c r="C191" s="59">
        <v>193.78</v>
      </c>
      <c r="D191" s="60"/>
    </row>
    <row r="192" spans="1:8" s="40" customFormat="1" ht="13.5" customHeight="1" x14ac:dyDescent="0.2">
      <c r="A192" s="236" t="s">
        <v>248</v>
      </c>
      <c r="B192" s="36" t="s">
        <v>1858</v>
      </c>
      <c r="C192" s="59">
        <v>230</v>
      </c>
      <c r="D192" s="60"/>
    </row>
    <row r="193" spans="1:4" s="40" customFormat="1" ht="13.5" customHeight="1" x14ac:dyDescent="0.2">
      <c r="A193" s="236" t="s">
        <v>248</v>
      </c>
      <c r="B193" s="36" t="s">
        <v>136</v>
      </c>
      <c r="C193" s="59">
        <v>37.9</v>
      </c>
      <c r="D193" s="60"/>
    </row>
    <row r="194" spans="1:4" s="40" customFormat="1" ht="13.5" customHeight="1" x14ac:dyDescent="0.2">
      <c r="A194" s="236" t="s">
        <v>248</v>
      </c>
      <c r="B194" s="36" t="s">
        <v>2331</v>
      </c>
      <c r="C194" s="119">
        <v>500</v>
      </c>
      <c r="D194" s="60"/>
    </row>
    <row r="195" spans="1:4" s="40" customFormat="1" ht="13.5" customHeight="1" x14ac:dyDescent="0.2">
      <c r="A195" s="236" t="s">
        <v>248</v>
      </c>
      <c r="B195" s="36" t="s">
        <v>1905</v>
      </c>
      <c r="C195" s="59">
        <v>44.16</v>
      </c>
      <c r="D195" s="60"/>
    </row>
    <row r="196" spans="1:4" s="40" customFormat="1" ht="13.5" customHeight="1" x14ac:dyDescent="0.2">
      <c r="A196" s="236" t="s">
        <v>248</v>
      </c>
      <c r="B196" s="34" t="s">
        <v>82</v>
      </c>
      <c r="C196" s="59">
        <v>990.26</v>
      </c>
      <c r="D196" s="60"/>
    </row>
    <row r="197" spans="1:4" s="40" customFormat="1" ht="13.5" customHeight="1" x14ac:dyDescent="0.2">
      <c r="A197" s="236" t="s">
        <v>248</v>
      </c>
      <c r="B197" s="36" t="s">
        <v>1841</v>
      </c>
      <c r="C197" s="119">
        <v>500</v>
      </c>
      <c r="D197" s="60"/>
    </row>
    <row r="198" spans="1:4" s="40" customFormat="1" ht="13.5" customHeight="1" x14ac:dyDescent="0.2">
      <c r="A198" s="236" t="s">
        <v>248</v>
      </c>
      <c r="B198" s="36" t="s">
        <v>18</v>
      </c>
      <c r="C198" s="59">
        <v>360.64</v>
      </c>
      <c r="D198" s="60"/>
    </row>
    <row r="199" spans="1:4" s="40" customFormat="1" ht="13.5" customHeight="1" x14ac:dyDescent="0.2">
      <c r="A199" s="236"/>
      <c r="B199" s="36"/>
      <c r="C199" s="547">
        <f>SUM(C187:C198)</f>
        <v>5036.5600000000004</v>
      </c>
      <c r="D199" s="60"/>
    </row>
    <row r="200" spans="1:4" s="40" customFormat="1" ht="13.5" customHeight="1" x14ac:dyDescent="0.2">
      <c r="A200" s="236"/>
      <c r="B200" s="36"/>
      <c r="C200" s="59"/>
      <c r="D200" s="60"/>
    </row>
    <row r="201" spans="1:4" s="40" customFormat="1" ht="13.5" customHeight="1" x14ac:dyDescent="0.2">
      <c r="A201" s="236" t="s">
        <v>248</v>
      </c>
      <c r="B201" s="36" t="s">
        <v>1851</v>
      </c>
      <c r="C201" s="119">
        <v>5000</v>
      </c>
      <c r="D201" s="60"/>
    </row>
    <row r="202" spans="1:4" s="40" customFormat="1" ht="13.5" customHeight="1" x14ac:dyDescent="0.2">
      <c r="A202" s="236" t="s">
        <v>248</v>
      </c>
      <c r="B202" s="36" t="s">
        <v>1897</v>
      </c>
      <c r="C202" s="59">
        <v>44.53</v>
      </c>
      <c r="D202" s="60"/>
    </row>
    <row r="203" spans="1:4" s="40" customFormat="1" ht="13.5" customHeight="1" x14ac:dyDescent="0.2">
      <c r="A203" s="244"/>
      <c r="B203" s="34"/>
      <c r="C203" s="548">
        <f>SUM(C201:C202)</f>
        <v>5044.53</v>
      </c>
      <c r="D203" s="60"/>
    </row>
    <row r="204" spans="1:4" s="40" customFormat="1" ht="13.5" customHeight="1" x14ac:dyDescent="0.2">
      <c r="A204" s="244"/>
      <c r="B204" s="34"/>
      <c r="C204" s="119"/>
      <c r="D204" s="60"/>
    </row>
    <row r="205" spans="1:4" s="40" customFormat="1" ht="13.5" customHeight="1" x14ac:dyDescent="0.2">
      <c r="A205" s="236" t="s">
        <v>249</v>
      </c>
      <c r="B205" s="34" t="s">
        <v>1899</v>
      </c>
      <c r="C205" s="59">
        <v>525</v>
      </c>
      <c r="D205" s="60"/>
    </row>
    <row r="206" spans="1:4" s="40" customFormat="1" ht="13.5" customHeight="1" x14ac:dyDescent="0.2">
      <c r="A206" s="236" t="s">
        <v>249</v>
      </c>
      <c r="B206" s="34" t="s">
        <v>1808</v>
      </c>
      <c r="C206" s="59">
        <v>200</v>
      </c>
      <c r="D206" s="60"/>
    </row>
    <row r="207" spans="1:4" s="40" customFormat="1" ht="13.5" customHeight="1" x14ac:dyDescent="0.2">
      <c r="A207" s="236" t="s">
        <v>249</v>
      </c>
      <c r="B207" s="36" t="s">
        <v>1909</v>
      </c>
      <c r="C207" s="119">
        <v>450</v>
      </c>
      <c r="D207" s="60"/>
    </row>
    <row r="208" spans="1:4" s="40" customFormat="1" ht="13.5" customHeight="1" x14ac:dyDescent="0.2">
      <c r="A208" s="236" t="s">
        <v>249</v>
      </c>
      <c r="B208" s="36" t="s">
        <v>1833</v>
      </c>
      <c r="C208" s="119">
        <v>35</v>
      </c>
      <c r="D208" s="60"/>
    </row>
    <row r="209" spans="1:10" s="40" customFormat="1" ht="13.5" customHeight="1" x14ac:dyDescent="0.2">
      <c r="A209" s="236"/>
      <c r="B209" s="36"/>
      <c r="C209" s="548">
        <f>SUM(C205:C208)</f>
        <v>1210</v>
      </c>
      <c r="D209" s="60"/>
      <c r="F209" s="1"/>
      <c r="G209" s="1"/>
      <c r="H209" s="1"/>
    </row>
    <row r="210" spans="1:10" s="40" customFormat="1" ht="13.5" customHeight="1" x14ac:dyDescent="0.2">
      <c r="A210" s="236"/>
      <c r="B210" s="36"/>
      <c r="C210" s="119"/>
      <c r="D210" s="60"/>
      <c r="F210" s="1"/>
      <c r="G210" s="1"/>
      <c r="H210" s="1"/>
    </row>
    <row r="211" spans="1:10" s="40" customFormat="1" ht="13.5" customHeight="1" x14ac:dyDescent="0.2">
      <c r="A211" s="236" t="s">
        <v>249</v>
      </c>
      <c r="B211" s="36" t="s">
        <v>1860</v>
      </c>
      <c r="C211" s="59">
        <v>600</v>
      </c>
      <c r="D211" s="60"/>
      <c r="F211" s="1"/>
      <c r="G211" s="1"/>
      <c r="H211" s="1"/>
    </row>
    <row r="212" spans="1:10" s="40" customFormat="1" ht="13.5" customHeight="1" x14ac:dyDescent="0.2">
      <c r="A212" s="236" t="s">
        <v>249</v>
      </c>
      <c r="B212" s="36" t="s">
        <v>1887</v>
      </c>
      <c r="C212" s="119">
        <v>70</v>
      </c>
      <c r="D212" s="60"/>
      <c r="F212" s="1"/>
      <c r="G212" s="1"/>
      <c r="H212" s="1"/>
      <c r="I212" s="1"/>
      <c r="J212" s="1"/>
    </row>
    <row r="213" spans="1:10" s="40" customFormat="1" ht="13.5" customHeight="1" x14ac:dyDescent="0.2">
      <c r="A213" s="236" t="s">
        <v>249</v>
      </c>
      <c r="B213" s="36" t="s">
        <v>1885</v>
      </c>
      <c r="C213" s="119">
        <v>520</v>
      </c>
      <c r="D213" s="60"/>
      <c r="F213" s="1"/>
      <c r="G213" s="1"/>
      <c r="H213" s="1"/>
      <c r="I213" s="1"/>
      <c r="J213" s="1"/>
    </row>
    <row r="214" spans="1:10" ht="13.5" customHeight="1" x14ac:dyDescent="0.2">
      <c r="A214" s="236" t="s">
        <v>249</v>
      </c>
      <c r="B214" s="36" t="s">
        <v>1907</v>
      </c>
      <c r="C214" s="119">
        <v>650</v>
      </c>
      <c r="D214" s="60"/>
    </row>
    <row r="215" spans="1:10" ht="13.5" customHeight="1" x14ac:dyDescent="0.2">
      <c r="A215" s="236" t="s">
        <v>249</v>
      </c>
      <c r="B215" s="36" t="s">
        <v>1886</v>
      </c>
      <c r="C215" s="119">
        <v>360</v>
      </c>
      <c r="D215" s="60"/>
    </row>
    <row r="216" spans="1:10" ht="13.5" customHeight="1" x14ac:dyDescent="0.2">
      <c r="A216" s="236" t="s">
        <v>249</v>
      </c>
      <c r="B216" s="34" t="s">
        <v>1908</v>
      </c>
      <c r="C216" s="119">
        <v>450</v>
      </c>
      <c r="D216" s="60"/>
    </row>
    <row r="217" spans="1:10" ht="13.5" customHeight="1" x14ac:dyDescent="0.2">
      <c r="A217" s="236"/>
      <c r="B217" s="34"/>
      <c r="C217" s="548">
        <f>SUM(C211:C216)</f>
        <v>2650</v>
      </c>
      <c r="D217" s="60"/>
    </row>
    <row r="218" spans="1:10" ht="13.5" customHeight="1" x14ac:dyDescent="0.2">
      <c r="A218" s="236"/>
      <c r="B218" s="34"/>
      <c r="C218" s="119"/>
      <c r="D218" s="60"/>
    </row>
    <row r="219" spans="1:10" ht="13.5" customHeight="1" x14ac:dyDescent="0.2">
      <c r="A219" s="236" t="s">
        <v>250</v>
      </c>
      <c r="B219" s="36" t="s">
        <v>20</v>
      </c>
      <c r="C219" s="59">
        <v>32.83</v>
      </c>
      <c r="D219" s="60"/>
    </row>
    <row r="220" spans="1:10" ht="13.5" customHeight="1" x14ac:dyDescent="0.2">
      <c r="A220" s="236" t="s">
        <v>250</v>
      </c>
      <c r="B220" s="36" t="s">
        <v>20</v>
      </c>
      <c r="C220" s="119">
        <v>-0.01</v>
      </c>
      <c r="D220" s="60"/>
    </row>
    <row r="221" spans="1:10" ht="13.5" customHeight="1" x14ac:dyDescent="0.2">
      <c r="A221" s="236" t="s">
        <v>250</v>
      </c>
      <c r="B221" s="36" t="s">
        <v>20</v>
      </c>
      <c r="C221" s="119">
        <v>-0.01</v>
      </c>
      <c r="D221" s="60"/>
    </row>
    <row r="222" spans="1:10" ht="13.5" customHeight="1" x14ac:dyDescent="0.2">
      <c r="A222" s="236" t="s">
        <v>250</v>
      </c>
      <c r="B222" s="36" t="s">
        <v>20</v>
      </c>
      <c r="C222" s="119">
        <v>-0.01</v>
      </c>
      <c r="D222" s="60"/>
    </row>
    <row r="223" spans="1:10" ht="13.5" customHeight="1" x14ac:dyDescent="0.2">
      <c r="A223" s="236" t="s">
        <v>250</v>
      </c>
      <c r="B223" s="36" t="s">
        <v>20</v>
      </c>
      <c r="C223" s="119">
        <v>-0.01</v>
      </c>
      <c r="D223" s="60"/>
    </row>
    <row r="224" spans="1:10" ht="13.5" customHeight="1" x14ac:dyDescent="0.2">
      <c r="A224" s="236" t="s">
        <v>250</v>
      </c>
      <c r="B224" s="36" t="s">
        <v>20</v>
      </c>
      <c r="C224" s="119">
        <v>-0.02</v>
      </c>
      <c r="D224" s="60"/>
    </row>
    <row r="225" spans="1:10" ht="13.5" customHeight="1" x14ac:dyDescent="0.2">
      <c r="A225" s="236" t="s">
        <v>250</v>
      </c>
      <c r="B225" s="36" t="s">
        <v>20</v>
      </c>
      <c r="C225" s="119">
        <v>-0.03</v>
      </c>
      <c r="D225" s="60"/>
      <c r="F225" s="64"/>
      <c r="G225" s="64"/>
      <c r="H225" s="64"/>
    </row>
    <row r="226" spans="1:10" ht="13.5" customHeight="1" x14ac:dyDescent="0.2">
      <c r="A226" s="236" t="s">
        <v>250</v>
      </c>
      <c r="B226" s="36" t="s">
        <v>20</v>
      </c>
      <c r="C226" s="119">
        <v>-7.0000000000000007E-2</v>
      </c>
      <c r="D226" s="60"/>
      <c r="F226" s="64"/>
      <c r="G226" s="64"/>
      <c r="H226" s="64"/>
    </row>
    <row r="227" spans="1:10" ht="13.5" customHeight="1" x14ac:dyDescent="0.2">
      <c r="A227" s="236" t="s">
        <v>250</v>
      </c>
      <c r="B227" s="34" t="s">
        <v>86</v>
      </c>
      <c r="C227" s="59">
        <v>85</v>
      </c>
      <c r="D227" s="71"/>
      <c r="F227" s="64"/>
      <c r="G227" s="64"/>
      <c r="H227" s="64"/>
    </row>
    <row r="228" spans="1:10" ht="13.5" customHeight="1" x14ac:dyDescent="0.2">
      <c r="A228" s="236" t="s">
        <v>250</v>
      </c>
      <c r="B228" s="34" t="s">
        <v>86</v>
      </c>
      <c r="C228" s="59">
        <v>72.900000000000006</v>
      </c>
      <c r="D228" s="121"/>
      <c r="F228" s="64"/>
      <c r="G228" s="64"/>
      <c r="H228" s="64"/>
      <c r="I228" s="64"/>
      <c r="J228" s="64"/>
    </row>
    <row r="229" spans="1:10" ht="13.5" customHeight="1" x14ac:dyDescent="0.2">
      <c r="A229" s="236" t="s">
        <v>250</v>
      </c>
      <c r="B229" s="34" t="s">
        <v>86</v>
      </c>
      <c r="C229" s="59">
        <v>12.5</v>
      </c>
      <c r="D229" s="71"/>
      <c r="F229" s="64"/>
      <c r="G229" s="64"/>
      <c r="H229" s="64"/>
      <c r="I229" s="64"/>
      <c r="J229" s="64"/>
    </row>
    <row r="230" spans="1:10" s="64" customFormat="1" ht="13.5" customHeight="1" x14ac:dyDescent="0.2">
      <c r="A230" s="236"/>
      <c r="B230" s="34"/>
      <c r="C230" s="547">
        <f>SUM(C219:C229)</f>
        <v>203.07</v>
      </c>
      <c r="D230" s="71">
        <f>SUM(C230/2)</f>
        <v>101.535</v>
      </c>
    </row>
    <row r="231" spans="1:10" s="64" customFormat="1" ht="13.5" customHeight="1" x14ac:dyDescent="0.2">
      <c r="A231" s="236"/>
      <c r="B231" s="34"/>
      <c r="C231" s="59"/>
      <c r="D231" s="71"/>
      <c r="F231"/>
      <c r="G231"/>
      <c r="H231"/>
    </row>
    <row r="232" spans="1:10" s="64" customFormat="1" ht="13.5" customHeight="1" x14ac:dyDescent="0.2">
      <c r="A232" s="236" t="s">
        <v>421</v>
      </c>
      <c r="B232" s="36" t="s">
        <v>1922</v>
      </c>
      <c r="C232" s="59">
        <v>208</v>
      </c>
      <c r="D232" s="71"/>
      <c r="F232" s="1"/>
      <c r="G232" s="1"/>
      <c r="H232" s="1"/>
    </row>
    <row r="233" spans="1:10" s="64" customFormat="1" ht="13.5" customHeight="1" x14ac:dyDescent="0.2">
      <c r="A233" s="236" t="s">
        <v>421</v>
      </c>
      <c r="B233" s="138" t="s">
        <v>1947</v>
      </c>
      <c r="C233" s="59">
        <v>629</v>
      </c>
      <c r="D233" s="71"/>
      <c r="F233" s="1"/>
      <c r="G233" s="1"/>
      <c r="H233" s="1"/>
    </row>
    <row r="234" spans="1:10" s="64" customFormat="1" ht="13.5" customHeight="1" x14ac:dyDescent="0.2">
      <c r="A234" s="40"/>
      <c r="B234" s="49"/>
      <c r="C234" s="547">
        <f>SUM(C232:C233)</f>
        <v>837</v>
      </c>
      <c r="D234" s="122"/>
      <c r="F234" s="18">
        <f>SUM(C234,C230,C217,C209,C203,C199,C185,C180,C143,C130,C119,C114,C111,C108,C83,C75,C65,C60,C53,C44)-SUM(D27,D23)</f>
        <v>-85.759999999994761</v>
      </c>
      <c r="G234" s="1"/>
      <c r="H234" s="1"/>
      <c r="I234"/>
      <c r="J234"/>
    </row>
    <row r="235" spans="1:10" customFormat="1" ht="13.5" customHeight="1" x14ac:dyDescent="0.2">
      <c r="A235" s="40"/>
      <c r="B235" s="357"/>
      <c r="C235" s="179"/>
      <c r="D235" s="122"/>
      <c r="F235" s="1"/>
      <c r="G235" s="1"/>
      <c r="H235" s="1"/>
      <c r="I235" s="1"/>
      <c r="J235" s="1"/>
    </row>
    <row r="236" spans="1:10" customFormat="1" ht="13.5" customHeight="1" x14ac:dyDescent="0.2">
      <c r="A236" s="40"/>
      <c r="B236" s="208"/>
      <c r="C236" s="211"/>
      <c r="D236" s="211"/>
      <c r="F236" s="1"/>
      <c r="G236" s="1"/>
      <c r="H236" s="1"/>
      <c r="I236" s="1"/>
      <c r="J236" s="1"/>
    </row>
    <row r="237" spans="1:10" ht="13.5" customHeight="1" x14ac:dyDescent="0.2">
      <c r="A237" s="40"/>
      <c r="B237" s="78"/>
      <c r="C237" s="77"/>
      <c r="D237" s="77"/>
    </row>
    <row r="238" spans="1:10" ht="13.5" customHeight="1" x14ac:dyDescent="0.2">
      <c r="A238" s="40"/>
      <c r="B238" s="63"/>
      <c r="C238" s="13"/>
      <c r="D238" s="13"/>
      <c r="F238" s="40"/>
      <c r="G238" s="40"/>
      <c r="H238" s="40"/>
    </row>
    <row r="239" spans="1:10" ht="13.5" customHeight="1" x14ac:dyDescent="0.2">
      <c r="A239" s="40"/>
      <c r="B239" s="63"/>
      <c r="C239" s="13"/>
      <c r="D239" s="13"/>
      <c r="F239" s="40"/>
      <c r="G239" s="40"/>
      <c r="H239" s="40"/>
    </row>
    <row r="240" spans="1:10" ht="13.5" customHeight="1" x14ac:dyDescent="0.2">
      <c r="A240" s="40"/>
      <c r="B240" s="63"/>
      <c r="C240" s="77"/>
      <c r="D240" s="77"/>
      <c r="F240" s="40"/>
      <c r="G240" s="40"/>
      <c r="H240" s="40"/>
    </row>
    <row r="241" spans="1:10" ht="13.5" customHeight="1" x14ac:dyDescent="0.2">
      <c r="A241" s="40"/>
      <c r="B241" s="78"/>
      <c r="C241" s="77"/>
      <c r="D241" s="77"/>
      <c r="F241" s="40"/>
      <c r="G241" s="40"/>
      <c r="H241" s="40"/>
      <c r="I241" s="40"/>
      <c r="J241" s="40"/>
    </row>
    <row r="242" spans="1:10" ht="13.5" customHeight="1" x14ac:dyDescent="0.2">
      <c r="A242" s="40"/>
      <c r="B242" s="78"/>
      <c r="C242" s="77"/>
      <c r="D242" s="77"/>
      <c r="F242" s="40"/>
      <c r="G242" s="40"/>
      <c r="H242" s="40"/>
      <c r="I242" s="40"/>
      <c r="J242" s="40"/>
    </row>
    <row r="243" spans="1:10" s="40" customFormat="1" ht="13.5" customHeight="1" x14ac:dyDescent="0.2">
      <c r="B243" s="78"/>
      <c r="C243" s="77"/>
      <c r="D243" s="77"/>
    </row>
    <row r="244" spans="1:10" s="40" customFormat="1" ht="13.5" customHeight="1" x14ac:dyDescent="0.2">
      <c r="B244" s="81"/>
      <c r="C244" s="13"/>
      <c r="D244" s="13"/>
    </row>
    <row r="245" spans="1:10" s="40" customFormat="1" ht="13.5" customHeight="1" x14ac:dyDescent="0.2">
      <c r="B245" s="78"/>
      <c r="C245" s="77"/>
      <c r="D245" s="77"/>
    </row>
    <row r="246" spans="1:10" s="40" customFormat="1" ht="13.5" customHeight="1" x14ac:dyDescent="0.2">
      <c r="B246" s="78"/>
      <c r="C246" s="77"/>
      <c r="D246" s="77"/>
    </row>
    <row r="247" spans="1:10" s="40" customFormat="1" ht="13.5" customHeight="1" x14ac:dyDescent="0.2">
      <c r="B247" s="78"/>
      <c r="C247" s="77"/>
      <c r="D247" s="77"/>
    </row>
    <row r="248" spans="1:10" s="40" customFormat="1" ht="13.5" customHeight="1" x14ac:dyDescent="0.2">
      <c r="B248" s="78"/>
      <c r="C248" s="77"/>
      <c r="D248" s="77"/>
    </row>
    <row r="249" spans="1:10" s="40" customFormat="1" ht="13.5" customHeight="1" x14ac:dyDescent="0.2">
      <c r="B249" s="78"/>
      <c r="C249" s="77"/>
      <c r="D249" s="77"/>
    </row>
    <row r="250" spans="1:10" s="40" customFormat="1" ht="13.5" customHeight="1" x14ac:dyDescent="0.2">
      <c r="B250" s="78"/>
      <c r="C250" s="77"/>
      <c r="D250" s="77"/>
    </row>
    <row r="251" spans="1:10" s="40" customFormat="1" ht="13.5" customHeight="1" x14ac:dyDescent="0.2">
      <c r="B251" s="78"/>
      <c r="C251" s="77"/>
      <c r="D251" s="77"/>
    </row>
    <row r="252" spans="1:10" s="40" customFormat="1" ht="13.5" customHeight="1" x14ac:dyDescent="0.2">
      <c r="B252" s="78"/>
      <c r="C252" s="77"/>
      <c r="D252" s="77"/>
    </row>
    <row r="253" spans="1:10" s="40" customFormat="1" ht="13.5" customHeight="1" x14ac:dyDescent="0.2">
      <c r="B253" s="63"/>
      <c r="C253" s="82"/>
      <c r="D253" s="13"/>
    </row>
    <row r="254" spans="1:10" s="40" customFormat="1" ht="13.5" customHeight="1" x14ac:dyDescent="0.2">
      <c r="B254" s="63"/>
      <c r="C254" s="82"/>
      <c r="D254" s="13"/>
    </row>
    <row r="255" spans="1:10" s="40" customFormat="1" ht="13.5" customHeight="1" x14ac:dyDescent="0.2">
      <c r="B255" s="63"/>
      <c r="C255" s="82"/>
      <c r="D255" s="13"/>
    </row>
    <row r="256" spans="1:10" s="40" customFormat="1" ht="13.5" customHeight="1" x14ac:dyDescent="0.2">
      <c r="B256" s="63"/>
      <c r="C256" s="82"/>
      <c r="D256" s="13"/>
    </row>
    <row r="257" spans="2:4" s="40" customFormat="1" ht="13.5" customHeight="1" x14ac:dyDescent="0.2">
      <c r="B257" s="63"/>
      <c r="C257" s="82"/>
      <c r="D257" s="13"/>
    </row>
    <row r="258" spans="2:4" s="40" customFormat="1" ht="13.5" customHeight="1" x14ac:dyDescent="0.2">
      <c r="B258" s="63"/>
      <c r="C258" s="82"/>
      <c r="D258" s="13"/>
    </row>
    <row r="259" spans="2:4" s="40" customFormat="1" ht="13.5" customHeight="1" x14ac:dyDescent="0.2">
      <c r="B259" s="63"/>
      <c r="C259" s="82"/>
      <c r="D259" s="13"/>
    </row>
    <row r="260" spans="2:4" s="40" customFormat="1" ht="13.5" customHeight="1" x14ac:dyDescent="0.2">
      <c r="B260" s="63"/>
      <c r="C260" s="82"/>
      <c r="D260" s="13"/>
    </row>
    <row r="261" spans="2:4" s="40" customFormat="1" ht="13.5" customHeight="1" x14ac:dyDescent="0.2">
      <c r="B261" s="63"/>
      <c r="C261" s="82"/>
      <c r="D261" s="13"/>
    </row>
    <row r="262" spans="2:4" s="40" customFormat="1" ht="13.5" customHeight="1" x14ac:dyDescent="0.2">
      <c r="B262" s="63"/>
      <c r="C262" s="82"/>
      <c r="D262" s="13"/>
    </row>
    <row r="263" spans="2:4" s="40" customFormat="1" ht="13.5" customHeight="1" x14ac:dyDescent="0.2">
      <c r="B263" s="63"/>
      <c r="C263" s="82"/>
      <c r="D263" s="13"/>
    </row>
    <row r="264" spans="2:4" s="40" customFormat="1" ht="13.5" customHeight="1" x14ac:dyDescent="0.2">
      <c r="B264" s="63"/>
      <c r="C264" s="82"/>
      <c r="D264" s="13"/>
    </row>
    <row r="265" spans="2:4" s="40" customFormat="1" ht="13.5" customHeight="1" x14ac:dyDescent="0.2">
      <c r="B265" s="63"/>
      <c r="C265" s="82"/>
      <c r="D265" s="13"/>
    </row>
    <row r="266" spans="2:4" s="40" customFormat="1" ht="13.5" customHeight="1" x14ac:dyDescent="0.2">
      <c r="B266" s="63"/>
      <c r="C266" s="82"/>
      <c r="D266" s="13"/>
    </row>
    <row r="267" spans="2:4" s="40" customFormat="1" ht="13.5" customHeight="1" x14ac:dyDescent="0.2">
      <c r="B267" s="63"/>
      <c r="C267" s="82"/>
      <c r="D267" s="13"/>
    </row>
    <row r="268" spans="2:4" s="40" customFormat="1" ht="13.5" customHeight="1" x14ac:dyDescent="0.2">
      <c r="B268" s="63"/>
      <c r="C268" s="82"/>
      <c r="D268" s="13"/>
    </row>
    <row r="269" spans="2:4" s="40" customFormat="1" ht="13.5" customHeight="1" x14ac:dyDescent="0.2">
      <c r="B269" s="63"/>
      <c r="C269" s="82"/>
      <c r="D269" s="13"/>
    </row>
    <row r="270" spans="2:4" s="40" customFormat="1" ht="13.5" customHeight="1" x14ac:dyDescent="0.2">
      <c r="B270" s="63"/>
      <c r="C270" s="82"/>
      <c r="D270" s="13"/>
    </row>
    <row r="271" spans="2:4" s="40" customFormat="1" ht="13.5" customHeight="1" x14ac:dyDescent="0.2">
      <c r="B271" s="63"/>
      <c r="C271" s="82"/>
      <c r="D271" s="13"/>
    </row>
    <row r="272" spans="2:4" s="40" customFormat="1" ht="13.5" customHeight="1" x14ac:dyDescent="0.2">
      <c r="B272" s="63"/>
      <c r="C272" s="82"/>
      <c r="D272" s="13"/>
    </row>
    <row r="273" spans="2:4" s="40" customFormat="1" ht="13.5" customHeight="1" x14ac:dyDescent="0.2">
      <c r="B273" s="63"/>
      <c r="C273" s="82"/>
      <c r="D273" s="13"/>
    </row>
    <row r="274" spans="2:4" s="40" customFormat="1" ht="13.5" customHeight="1" x14ac:dyDescent="0.2">
      <c r="B274" s="63"/>
      <c r="C274" s="82"/>
      <c r="D274" s="13"/>
    </row>
    <row r="275" spans="2:4" s="40" customFormat="1" ht="13.5" customHeight="1" x14ac:dyDescent="0.2">
      <c r="B275" s="63"/>
      <c r="C275" s="82"/>
      <c r="D275" s="13"/>
    </row>
    <row r="276" spans="2:4" s="40" customFormat="1" ht="13.5" customHeight="1" x14ac:dyDescent="0.2">
      <c r="B276" s="63"/>
      <c r="C276" s="82"/>
      <c r="D276" s="13"/>
    </row>
    <row r="277" spans="2:4" s="40" customFormat="1" ht="13.5" customHeight="1" x14ac:dyDescent="0.2">
      <c r="B277" s="63"/>
      <c r="C277" s="82"/>
      <c r="D277" s="13"/>
    </row>
    <row r="278" spans="2:4" s="40" customFormat="1" ht="13.5" customHeight="1" x14ac:dyDescent="0.2">
      <c r="B278" s="63"/>
      <c r="C278" s="82"/>
      <c r="D278" s="13"/>
    </row>
    <row r="279" spans="2:4" s="40" customFormat="1" ht="13.5" customHeight="1" x14ac:dyDescent="0.2">
      <c r="B279" s="63"/>
      <c r="C279" s="82"/>
      <c r="D279" s="13"/>
    </row>
    <row r="280" spans="2:4" s="40" customFormat="1" ht="13.5" customHeight="1" x14ac:dyDescent="0.2">
      <c r="B280" s="63"/>
      <c r="C280" s="82"/>
      <c r="D280" s="13"/>
    </row>
    <row r="281" spans="2:4" s="40" customFormat="1" ht="13.5" customHeight="1" x14ac:dyDescent="0.2">
      <c r="B281" s="63"/>
      <c r="C281" s="82"/>
      <c r="D281" s="13"/>
    </row>
    <row r="282" spans="2:4" s="40" customFormat="1" ht="13.5" customHeight="1" x14ac:dyDescent="0.2">
      <c r="B282" s="63"/>
      <c r="C282" s="82"/>
      <c r="D282" s="13"/>
    </row>
    <row r="283" spans="2:4" s="40" customFormat="1" ht="13.5" customHeight="1" x14ac:dyDescent="0.2">
      <c r="B283" s="63"/>
      <c r="C283" s="82"/>
      <c r="D283" s="13"/>
    </row>
    <row r="284" spans="2:4" s="40" customFormat="1" ht="13.5" customHeight="1" x14ac:dyDescent="0.2">
      <c r="B284" s="63"/>
      <c r="C284" s="82"/>
      <c r="D284" s="13"/>
    </row>
    <row r="285" spans="2:4" s="40" customFormat="1" ht="13.5" customHeight="1" x14ac:dyDescent="0.2">
      <c r="B285" s="63"/>
      <c r="C285" s="82"/>
      <c r="D285" s="13"/>
    </row>
    <row r="286" spans="2:4" s="40" customFormat="1" ht="13.5" customHeight="1" x14ac:dyDescent="0.2">
      <c r="B286" s="63"/>
      <c r="C286" s="82"/>
      <c r="D286" s="13"/>
    </row>
    <row r="287" spans="2:4" s="40" customFormat="1" ht="13.5" customHeight="1" x14ac:dyDescent="0.2">
      <c r="B287" s="63"/>
      <c r="C287" s="82"/>
      <c r="D287" s="13"/>
    </row>
    <row r="288" spans="2:4" s="40" customFormat="1" ht="13.5" customHeight="1" x14ac:dyDescent="0.2">
      <c r="B288" s="63"/>
      <c r="C288" s="82"/>
      <c r="D288" s="13"/>
    </row>
    <row r="289" spans="2:4" s="40" customFormat="1" ht="13.5" customHeight="1" x14ac:dyDescent="0.2">
      <c r="B289" s="63"/>
      <c r="C289" s="82"/>
      <c r="D289" s="13"/>
    </row>
    <row r="290" spans="2:4" s="40" customFormat="1" ht="13.5" customHeight="1" x14ac:dyDescent="0.2">
      <c r="B290" s="63"/>
      <c r="C290" s="82"/>
      <c r="D290" s="13"/>
    </row>
    <row r="291" spans="2:4" s="40" customFormat="1" ht="13.5" customHeight="1" x14ac:dyDescent="0.2">
      <c r="B291" s="63"/>
      <c r="C291" s="82"/>
      <c r="D291" s="13"/>
    </row>
    <row r="292" spans="2:4" s="40" customFormat="1" ht="13.5" customHeight="1" x14ac:dyDescent="0.2">
      <c r="B292" s="63"/>
      <c r="C292" s="82"/>
      <c r="D292" s="13"/>
    </row>
    <row r="293" spans="2:4" s="40" customFormat="1" ht="13.5" customHeight="1" x14ac:dyDescent="0.2">
      <c r="B293" s="63"/>
      <c r="C293" s="83"/>
      <c r="D293" s="13"/>
    </row>
    <row r="294" spans="2:4" s="40" customFormat="1" ht="13.5" customHeight="1" x14ac:dyDescent="0.2">
      <c r="B294" s="63"/>
      <c r="C294" s="83"/>
      <c r="D294" s="13"/>
    </row>
    <row r="295" spans="2:4" s="40" customFormat="1" ht="13.5" customHeight="1" x14ac:dyDescent="0.2">
      <c r="B295" s="64"/>
      <c r="C295" s="84"/>
      <c r="D295" s="13"/>
    </row>
    <row r="296" spans="2:4" s="40" customFormat="1" ht="13.5" customHeight="1" x14ac:dyDescent="0.2">
      <c r="B296" s="63"/>
      <c r="C296" s="83"/>
      <c r="D296" s="13"/>
    </row>
    <row r="297" spans="2:4" s="40" customFormat="1" ht="13.5" customHeight="1" x14ac:dyDescent="0.2">
      <c r="B297" s="63"/>
      <c r="C297" s="83"/>
      <c r="D297" s="13"/>
    </row>
    <row r="298" spans="2:4" s="40" customFormat="1" ht="13.5" customHeight="1" x14ac:dyDescent="0.2">
      <c r="B298" s="85"/>
      <c r="C298" s="83"/>
      <c r="D298" s="13"/>
    </row>
    <row r="299" spans="2:4" s="40" customFormat="1" ht="13.5" customHeight="1" x14ac:dyDescent="0.2">
      <c r="B299" s="63"/>
      <c r="C299" s="83"/>
      <c r="D299" s="13"/>
    </row>
    <row r="300" spans="2:4" s="40" customFormat="1" ht="13.5" customHeight="1" x14ac:dyDescent="0.2">
      <c r="B300" s="63"/>
      <c r="C300" s="84"/>
      <c r="D300" s="13"/>
    </row>
    <row r="301" spans="2:4" s="40" customFormat="1" ht="13.5" customHeight="1" x14ac:dyDescent="0.2">
      <c r="B301" s="64"/>
      <c r="C301" s="83"/>
      <c r="D301" s="13"/>
    </row>
    <row r="302" spans="2:4" s="40" customFormat="1" ht="13.5" customHeight="1" x14ac:dyDescent="0.2">
      <c r="B302" s="63"/>
      <c r="C302" s="83"/>
      <c r="D302" s="13"/>
    </row>
    <row r="303" spans="2:4" s="40" customFormat="1" ht="13.5" customHeight="1" x14ac:dyDescent="0.2">
      <c r="B303" s="63"/>
      <c r="C303" s="84"/>
      <c r="D303" s="13"/>
    </row>
    <row r="304" spans="2:4" s="40" customFormat="1" ht="13.5" customHeight="1" x14ac:dyDescent="0.2">
      <c r="B304" s="64"/>
      <c r="C304" s="84"/>
      <c r="D304" s="13"/>
    </row>
    <row r="305" spans="2:4" s="40" customFormat="1" ht="13.5" customHeight="1" x14ac:dyDescent="0.2">
      <c r="B305" s="63"/>
      <c r="C305" s="83"/>
      <c r="D305" s="13"/>
    </row>
    <row r="306" spans="2:4" s="40" customFormat="1" ht="13.5" customHeight="1" x14ac:dyDescent="0.2">
      <c r="B306" s="63"/>
      <c r="C306" s="84"/>
      <c r="D306" s="13"/>
    </row>
    <row r="307" spans="2:4" s="40" customFormat="1" ht="13.5" customHeight="1" x14ac:dyDescent="0.2">
      <c r="B307" s="64"/>
      <c r="C307" s="84"/>
      <c r="D307" s="13"/>
    </row>
    <row r="308" spans="2:4" s="40" customFormat="1" ht="13.5" customHeight="1" x14ac:dyDescent="0.2">
      <c r="B308" s="63"/>
      <c r="C308" s="83"/>
      <c r="D308" s="13"/>
    </row>
    <row r="309" spans="2:4" s="40" customFormat="1" ht="13.5" customHeight="1" x14ac:dyDescent="0.2">
      <c r="B309" s="63"/>
      <c r="C309" s="83"/>
      <c r="D309" s="13"/>
    </row>
    <row r="310" spans="2:4" s="40" customFormat="1" ht="13.5" customHeight="1" x14ac:dyDescent="0.2">
      <c r="B310" s="63"/>
      <c r="C310" s="82"/>
      <c r="D310" s="13"/>
    </row>
    <row r="311" spans="2:4" s="40" customFormat="1" ht="13.5" customHeight="1" x14ac:dyDescent="0.2">
      <c r="B311" s="86"/>
      <c r="C311" s="82"/>
      <c r="D311" s="13"/>
    </row>
    <row r="312" spans="2:4" s="40" customFormat="1" ht="13.5" customHeight="1" x14ac:dyDescent="0.2">
      <c r="B312" s="85"/>
      <c r="C312" s="82"/>
      <c r="D312" s="13"/>
    </row>
    <row r="313" spans="2:4" s="40" customFormat="1" ht="13.5" customHeight="1" x14ac:dyDescent="0.2">
      <c r="B313" s="87"/>
      <c r="C313" s="82"/>
      <c r="D313" s="13"/>
    </row>
    <row r="314" spans="2:4" s="40" customFormat="1" ht="13.5" customHeight="1" x14ac:dyDescent="0.2">
      <c r="B314" s="88"/>
      <c r="C314" s="82"/>
      <c r="D314" s="13"/>
    </row>
    <row r="315" spans="2:4" s="40" customFormat="1" ht="13.5" customHeight="1" x14ac:dyDescent="0.2">
      <c r="B315" s="56"/>
      <c r="C315" s="89"/>
      <c r="D315" s="12"/>
    </row>
    <row r="316" spans="2:4" s="40" customFormat="1" ht="13.5" customHeight="1" x14ac:dyDescent="0.2">
      <c r="B316" s="56"/>
      <c r="C316" s="90"/>
      <c r="D316" s="12"/>
    </row>
    <row r="317" spans="2:4" s="40" customFormat="1" ht="13.5" customHeight="1" x14ac:dyDescent="0.2">
      <c r="B317" s="56"/>
      <c r="C317" s="89"/>
      <c r="D317" s="12"/>
    </row>
    <row r="318" spans="2:4" s="40" customFormat="1" ht="13.5" customHeight="1" x14ac:dyDescent="0.2">
      <c r="B318" s="1"/>
      <c r="C318" s="89"/>
      <c r="D318" s="12"/>
    </row>
    <row r="319" spans="2:4" s="40" customFormat="1" ht="13.5" customHeight="1" x14ac:dyDescent="0.2">
      <c r="B319" s="56"/>
      <c r="C319" s="90"/>
      <c r="D319" s="12"/>
    </row>
    <row r="320" spans="2:4" s="40" customFormat="1" ht="13.5" customHeight="1" x14ac:dyDescent="0.2">
      <c r="B320" s="56"/>
      <c r="C320" s="90"/>
      <c r="D320" s="12"/>
    </row>
    <row r="321" spans="1:8" s="40" customFormat="1" ht="13.5" customHeight="1" x14ac:dyDescent="0.2">
      <c r="B321" s="56"/>
      <c r="C321" s="90"/>
      <c r="D321" s="12"/>
    </row>
    <row r="322" spans="1:8" s="40" customFormat="1" ht="13.5" customHeight="1" x14ac:dyDescent="0.2">
      <c r="B322" s="27"/>
      <c r="C322" s="92"/>
      <c r="D322" s="12"/>
    </row>
    <row r="323" spans="1:8" s="40" customFormat="1" ht="13.5" customHeight="1" x14ac:dyDescent="0.2">
      <c r="B323" s="27"/>
      <c r="C323" s="90"/>
      <c r="D323" s="12"/>
    </row>
    <row r="324" spans="1:8" s="40" customFormat="1" ht="13.5" customHeight="1" x14ac:dyDescent="0.2">
      <c r="B324" s="1"/>
      <c r="C324" s="92"/>
      <c r="D324" s="12"/>
    </row>
    <row r="325" spans="1:8" s="40" customFormat="1" ht="13.5" customHeight="1" x14ac:dyDescent="0.2">
      <c r="B325" s="56"/>
      <c r="C325" s="89"/>
      <c r="D325" s="12"/>
    </row>
    <row r="326" spans="1:8" s="40" customFormat="1" ht="13.5" customHeight="1" x14ac:dyDescent="0.2">
      <c r="B326" s="56"/>
      <c r="C326" s="89"/>
      <c r="D326" s="12"/>
    </row>
    <row r="327" spans="1:8" s="40" customFormat="1" ht="13.5" customHeight="1" x14ac:dyDescent="0.2">
      <c r="B327" s="56"/>
      <c r="C327" s="89"/>
      <c r="D327" s="12"/>
    </row>
    <row r="328" spans="1:8" s="40" customFormat="1" ht="13.5" customHeight="1" x14ac:dyDescent="0.2">
      <c r="B328" s="56"/>
      <c r="C328" s="89"/>
      <c r="D328" s="12"/>
    </row>
    <row r="329" spans="1:8" s="40" customFormat="1" ht="13.5" customHeight="1" x14ac:dyDescent="0.2">
      <c r="B329" s="94"/>
      <c r="C329" s="95"/>
      <c r="D329" s="30"/>
    </row>
    <row r="330" spans="1:8" s="40" customFormat="1" ht="13.5" customHeight="1" x14ac:dyDescent="0.2">
      <c r="A330" s="1"/>
      <c r="B330" s="1"/>
      <c r="C330" s="18"/>
      <c r="D330" s="18"/>
    </row>
    <row r="331" spans="1:8" s="40" customFormat="1" ht="13.5" customHeight="1" x14ac:dyDescent="0.2">
      <c r="A331" s="1"/>
      <c r="B331" s="1"/>
      <c r="C331" s="18"/>
      <c r="D331" s="18"/>
    </row>
    <row r="332" spans="1:8" s="40" customFormat="1" ht="13.5" customHeight="1" x14ac:dyDescent="0.2">
      <c r="A332" s="1"/>
      <c r="B332" s="1"/>
      <c r="C332" s="18"/>
      <c r="D332" s="18"/>
    </row>
    <row r="333" spans="1:8" s="40" customFormat="1" ht="13.5" customHeight="1" x14ac:dyDescent="0.2">
      <c r="A333" s="1"/>
      <c r="B333" s="1"/>
      <c r="C333" s="18"/>
      <c r="D333" s="18"/>
    </row>
    <row r="334" spans="1:8" s="40" customFormat="1" ht="13.5" customHeight="1" x14ac:dyDescent="0.2">
      <c r="A334" s="1"/>
      <c r="B334" s="1"/>
      <c r="C334" s="18"/>
      <c r="D334" s="18"/>
      <c r="F334" s="1"/>
      <c r="G334" s="1"/>
      <c r="H334" s="1"/>
    </row>
    <row r="335" spans="1:8" s="40" customFormat="1" ht="13.5" customHeight="1" x14ac:dyDescent="0.2">
      <c r="A335" s="1"/>
      <c r="B335" s="1"/>
      <c r="C335" s="18"/>
      <c r="D335" s="18"/>
      <c r="F335" s="1"/>
      <c r="G335" s="1"/>
      <c r="H335" s="1"/>
    </row>
    <row r="336" spans="1:8" s="40" customFormat="1" ht="13.5" customHeight="1" x14ac:dyDescent="0.2">
      <c r="A336" s="1"/>
      <c r="B336" s="1"/>
      <c r="C336" s="18"/>
      <c r="D336" s="18"/>
      <c r="F336" s="1"/>
      <c r="G336" s="1"/>
      <c r="H336" s="1"/>
    </row>
    <row r="337" spans="1:10" s="40" customFormat="1" ht="13.5" customHeight="1" x14ac:dyDescent="0.2">
      <c r="A337" s="1"/>
      <c r="B337" s="1"/>
      <c r="C337" s="18"/>
      <c r="D337" s="18"/>
      <c r="F337" s="1"/>
      <c r="G337" s="1"/>
      <c r="H337" s="1"/>
      <c r="I337" s="1"/>
      <c r="J337" s="1"/>
    </row>
    <row r="338" spans="1:10" s="40" customFormat="1" x14ac:dyDescent="0.2">
      <c r="A338" s="1"/>
      <c r="B338" s="1"/>
      <c r="C338" s="18"/>
      <c r="D338" s="18"/>
      <c r="F338" s="1"/>
      <c r="G338" s="1"/>
      <c r="H338" s="1"/>
      <c r="I338" s="1"/>
      <c r="J338" s="1"/>
    </row>
  </sheetData>
  <sortState xmlns:xlrd2="http://schemas.microsoft.com/office/spreadsheetml/2017/richdata2" ref="A2:D350">
    <sortCondition ref="A2:A350"/>
    <sortCondition ref="B2:B350"/>
  </sortState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P360"/>
  <sheetViews>
    <sheetView topLeftCell="D252" zoomScale="80" zoomScaleNormal="80" workbookViewId="0">
      <selection activeCell="L262" sqref="L262:N270"/>
    </sheetView>
  </sheetViews>
  <sheetFormatPr defaultColWidth="9" defaultRowHeight="12.75" x14ac:dyDescent="0.2"/>
  <cols>
    <col min="1" max="1" width="14" style="1" customWidth="1"/>
    <col min="2" max="2" width="1.875" style="1" customWidth="1"/>
    <col min="3" max="3" width="107.75" style="1" bestFit="1" customWidth="1"/>
    <col min="4" max="4" width="12" style="1" customWidth="1"/>
    <col min="5" max="5" width="12.375" style="1" customWidth="1"/>
    <col min="6" max="6" width="10.75" style="1" customWidth="1"/>
    <col min="7" max="7" width="11.875" style="1" customWidth="1"/>
    <col min="8" max="9" width="10.75" style="18" customWidth="1"/>
    <col min="10" max="10" width="10.875" style="66" customWidth="1"/>
    <col min="11" max="11" width="9" style="1"/>
    <col min="12" max="12" width="10.375" style="1" customWidth="1"/>
    <col min="13" max="14" width="9" style="1"/>
    <col min="15" max="15" width="10.875" style="40" bestFit="1" customWidth="1"/>
    <col min="16" max="16" width="10.75" style="1" bestFit="1" customWidth="1"/>
    <col min="17" max="16384" width="9" style="1"/>
  </cols>
  <sheetData>
    <row r="1" spans="1:12" ht="13.5" customHeight="1" thickBot="1" x14ac:dyDescent="0.25">
      <c r="A1" s="1407" t="s">
        <v>1973</v>
      </c>
      <c r="B1" s="1407"/>
      <c r="C1" s="1408"/>
      <c r="D1" s="1409" t="s">
        <v>0</v>
      </c>
      <c r="E1" s="1410"/>
      <c r="F1" s="1410"/>
      <c r="G1" s="1411"/>
      <c r="H1" s="1412" t="s">
        <v>1</v>
      </c>
      <c r="I1" s="1413"/>
      <c r="J1" s="1414"/>
    </row>
    <row r="2" spans="1:12" ht="13.5" customHeight="1" thickBot="1" x14ac:dyDescent="0.25">
      <c r="A2" s="2" t="s">
        <v>2</v>
      </c>
      <c r="B2" s="3"/>
      <c r="C2" s="3" t="s">
        <v>3</v>
      </c>
      <c r="D2" s="3" t="s">
        <v>4</v>
      </c>
      <c r="E2" s="3" t="s">
        <v>5</v>
      </c>
      <c r="F2" s="3" t="s">
        <v>6</v>
      </c>
      <c r="G2" s="5" t="s">
        <v>7</v>
      </c>
      <c r="H2" s="6" t="s">
        <v>5</v>
      </c>
      <c r="I2" s="4" t="s">
        <v>6</v>
      </c>
      <c r="J2" s="7" t="s">
        <v>7</v>
      </c>
    </row>
    <row r="3" spans="1:12" ht="13.5" customHeight="1" x14ac:dyDescent="0.2">
      <c r="A3" s="8">
        <v>43586</v>
      </c>
      <c r="B3" s="9"/>
      <c r="C3" s="10" t="s">
        <v>8</v>
      </c>
      <c r="D3" s="11"/>
      <c r="E3" s="12"/>
      <c r="F3" s="13"/>
      <c r="G3" s="14">
        <v>883.92</v>
      </c>
      <c r="H3" s="15"/>
      <c r="I3" s="16"/>
      <c r="J3" s="17">
        <v>2782.0200000000023</v>
      </c>
      <c r="K3" s="18"/>
      <c r="L3" s="12"/>
    </row>
    <row r="4" spans="1:12" ht="13.5" customHeight="1" x14ac:dyDescent="0.2">
      <c r="A4" s="19"/>
      <c r="B4" s="20"/>
      <c r="C4" s="21" t="s">
        <v>9</v>
      </c>
      <c r="D4" s="11"/>
      <c r="E4" s="12"/>
      <c r="F4" s="22">
        <v>0</v>
      </c>
      <c r="G4" s="23"/>
      <c r="H4" s="24"/>
      <c r="I4" s="25"/>
      <c r="J4" s="26"/>
      <c r="K4" s="18"/>
      <c r="L4" s="12"/>
    </row>
    <row r="5" spans="1:12" ht="13.5" customHeight="1" x14ac:dyDescent="0.2">
      <c r="A5" s="19"/>
      <c r="B5" s="20"/>
      <c r="C5" s="21" t="s">
        <v>10</v>
      </c>
      <c r="D5" s="11"/>
      <c r="E5" s="12"/>
      <c r="F5" s="22">
        <v>0</v>
      </c>
      <c r="G5" s="23"/>
      <c r="H5" s="24"/>
      <c r="I5" s="25"/>
      <c r="J5" s="26"/>
      <c r="K5" s="18"/>
      <c r="L5" s="12"/>
    </row>
    <row r="6" spans="1:12" ht="13.5" customHeight="1" x14ac:dyDescent="0.2">
      <c r="A6" s="19">
        <v>43587</v>
      </c>
      <c r="B6" s="20"/>
      <c r="C6" s="34" t="s">
        <v>1974</v>
      </c>
      <c r="D6" s="11"/>
      <c r="E6" s="12"/>
      <c r="F6" s="22"/>
      <c r="G6" s="23"/>
      <c r="H6" s="24"/>
      <c r="I6" s="25">
        <v>1519.07</v>
      </c>
      <c r="J6" s="26"/>
      <c r="K6" s="18"/>
      <c r="L6" s="12"/>
    </row>
    <row r="7" spans="1:12" ht="13.5" customHeight="1" x14ac:dyDescent="0.2">
      <c r="A7" s="19"/>
      <c r="B7" s="20"/>
      <c r="C7" s="34" t="s">
        <v>1975</v>
      </c>
      <c r="D7" s="11"/>
      <c r="E7" s="12"/>
      <c r="F7" s="22"/>
      <c r="G7" s="23"/>
      <c r="H7" s="24"/>
      <c r="I7" s="25">
        <v>220</v>
      </c>
      <c r="J7" s="26"/>
      <c r="K7" s="18"/>
      <c r="L7" s="12"/>
    </row>
    <row r="8" spans="1:12" ht="13.5" customHeight="1" x14ac:dyDescent="0.2">
      <c r="A8" s="19"/>
      <c r="B8" s="20"/>
      <c r="C8" s="34" t="s">
        <v>1976</v>
      </c>
      <c r="D8" s="11"/>
      <c r="E8" s="12"/>
      <c r="F8" s="22"/>
      <c r="G8" s="23"/>
      <c r="H8" s="24"/>
      <c r="I8" s="25">
        <v>200</v>
      </c>
      <c r="J8" s="26"/>
      <c r="K8" s="18"/>
      <c r="L8" s="12"/>
    </row>
    <row r="9" spans="1:12" ht="13.5" customHeight="1" x14ac:dyDescent="0.2">
      <c r="A9" s="19"/>
      <c r="B9" s="20"/>
      <c r="C9" s="34" t="s">
        <v>1977</v>
      </c>
      <c r="D9" s="11"/>
      <c r="E9" s="12"/>
      <c r="F9" s="22"/>
      <c r="G9" s="23"/>
      <c r="H9" s="24"/>
      <c r="I9" s="25">
        <v>1286.1400000000001</v>
      </c>
      <c r="J9" s="26"/>
      <c r="K9" s="18"/>
      <c r="L9" s="12"/>
    </row>
    <row r="10" spans="1:12" ht="13.5" customHeight="1" x14ac:dyDescent="0.2">
      <c r="A10" s="19"/>
      <c r="B10" s="20"/>
      <c r="C10" s="34" t="s">
        <v>1978</v>
      </c>
      <c r="D10" s="11"/>
      <c r="E10" s="12"/>
      <c r="F10" s="22"/>
      <c r="G10" s="23"/>
      <c r="H10" s="24">
        <v>15.96</v>
      </c>
      <c r="I10" s="25"/>
      <c r="J10" s="26">
        <v>5991.2700000000023</v>
      </c>
      <c r="K10" s="18"/>
      <c r="L10" s="12"/>
    </row>
    <row r="11" spans="1:12" ht="13.5" customHeight="1" x14ac:dyDescent="0.2">
      <c r="A11" s="19"/>
      <c r="B11" s="20"/>
      <c r="C11" s="34" t="s">
        <v>1979</v>
      </c>
      <c r="D11" s="11" t="s">
        <v>19</v>
      </c>
      <c r="E11" s="12">
        <v>-122.76</v>
      </c>
      <c r="F11" s="22" t="s">
        <v>549</v>
      </c>
      <c r="G11" s="23">
        <v>761.16</v>
      </c>
      <c r="H11" s="24"/>
      <c r="I11" s="25"/>
      <c r="J11" s="26"/>
      <c r="K11" s="18"/>
      <c r="L11" s="12"/>
    </row>
    <row r="12" spans="1:12" ht="13.5" customHeight="1" x14ac:dyDescent="0.2">
      <c r="A12" s="19"/>
      <c r="B12" s="20"/>
      <c r="C12" s="32" t="s">
        <v>1597</v>
      </c>
      <c r="D12" s="11" t="s">
        <v>19</v>
      </c>
      <c r="E12" s="12">
        <v>-0.28000000000000003</v>
      </c>
      <c r="F12" s="22" t="s">
        <v>549</v>
      </c>
      <c r="G12" s="23">
        <v>760.88</v>
      </c>
      <c r="H12" s="24"/>
      <c r="I12" s="25"/>
      <c r="J12" s="26"/>
      <c r="K12" s="18"/>
      <c r="L12" s="12"/>
    </row>
    <row r="13" spans="1:12" ht="13.5" customHeight="1" x14ac:dyDescent="0.2">
      <c r="A13" s="19"/>
      <c r="B13" s="20"/>
      <c r="C13" s="36" t="s">
        <v>1598</v>
      </c>
      <c r="D13" s="11" t="s">
        <v>19</v>
      </c>
      <c r="E13" s="12">
        <v>-7.15</v>
      </c>
      <c r="F13" s="22" t="s">
        <v>549</v>
      </c>
      <c r="G13" s="23">
        <v>753.73</v>
      </c>
      <c r="H13" s="24"/>
      <c r="I13" s="25"/>
      <c r="J13" s="26"/>
      <c r="K13" s="18"/>
      <c r="L13" s="12"/>
    </row>
    <row r="14" spans="1:12" ht="13.5" customHeight="1" x14ac:dyDescent="0.2">
      <c r="A14" s="19">
        <v>43588</v>
      </c>
      <c r="B14" s="20"/>
      <c r="C14" s="34" t="s">
        <v>1980</v>
      </c>
      <c r="D14" s="11"/>
      <c r="E14" s="12"/>
      <c r="F14" s="22"/>
      <c r="G14" s="23"/>
      <c r="H14" s="24">
        <v>360</v>
      </c>
      <c r="I14" s="25"/>
      <c r="J14" s="26"/>
      <c r="K14" s="18"/>
      <c r="L14" s="12"/>
    </row>
    <row r="15" spans="1:12" ht="13.5" customHeight="1" x14ac:dyDescent="0.2">
      <c r="A15" s="19"/>
      <c r="B15" s="20"/>
      <c r="C15" s="34" t="s">
        <v>1981</v>
      </c>
      <c r="D15" s="11"/>
      <c r="E15" s="12"/>
      <c r="F15" s="22"/>
      <c r="G15" s="23"/>
      <c r="H15" s="44">
        <v>4000</v>
      </c>
      <c r="I15" s="25"/>
      <c r="J15" s="26">
        <v>1631.2700000000023</v>
      </c>
      <c r="K15" s="18"/>
      <c r="L15" s="12"/>
    </row>
    <row r="16" spans="1:12" ht="13.5" customHeight="1" x14ac:dyDescent="0.2">
      <c r="A16" s="19">
        <v>43591</v>
      </c>
      <c r="B16" s="20"/>
      <c r="C16" s="34" t="s">
        <v>1982</v>
      </c>
      <c r="D16" s="11"/>
      <c r="E16" s="12"/>
      <c r="F16" s="22"/>
      <c r="G16" s="23"/>
      <c r="H16" s="24"/>
      <c r="I16" s="25">
        <v>1659.87</v>
      </c>
      <c r="J16" s="26"/>
      <c r="K16" s="18"/>
      <c r="L16" s="12"/>
    </row>
    <row r="17" spans="1:12" ht="13.5" customHeight="1" x14ac:dyDescent="0.2">
      <c r="A17" s="19"/>
      <c r="B17" s="20"/>
      <c r="C17" s="34" t="s">
        <v>1983</v>
      </c>
      <c r="D17" s="11"/>
      <c r="E17" s="12"/>
      <c r="F17" s="22"/>
      <c r="G17" s="23"/>
      <c r="H17" s="24">
        <v>14.2</v>
      </c>
      <c r="I17" s="25"/>
      <c r="J17" s="26"/>
      <c r="K17" s="18"/>
      <c r="L17" s="12"/>
    </row>
    <row r="18" spans="1:12" ht="13.5" customHeight="1" x14ac:dyDescent="0.2">
      <c r="A18" s="19"/>
      <c r="B18" s="20"/>
      <c r="C18" s="34" t="s">
        <v>1984</v>
      </c>
      <c r="D18" s="11"/>
      <c r="E18" s="12"/>
      <c r="F18" s="22"/>
      <c r="G18" s="23"/>
      <c r="H18" s="24"/>
      <c r="I18" s="25">
        <v>1500</v>
      </c>
      <c r="J18" s="39">
        <v>4776.9400000000023</v>
      </c>
      <c r="K18" s="18"/>
      <c r="L18" s="12"/>
    </row>
    <row r="19" spans="1:12" ht="13.5" customHeight="1" x14ac:dyDescent="0.2">
      <c r="A19" s="19"/>
      <c r="B19" s="20"/>
      <c r="C19" s="34" t="s">
        <v>1985</v>
      </c>
      <c r="D19" s="11" t="s">
        <v>1986</v>
      </c>
      <c r="E19" s="12">
        <v>-450</v>
      </c>
      <c r="F19" s="22" t="s">
        <v>549</v>
      </c>
      <c r="G19" s="23">
        <v>303.73</v>
      </c>
      <c r="H19" s="24"/>
      <c r="I19" s="25"/>
      <c r="J19" s="26"/>
      <c r="K19" s="18"/>
      <c r="L19" s="12"/>
    </row>
    <row r="20" spans="1:12" ht="13.5" customHeight="1" x14ac:dyDescent="0.2">
      <c r="A20" s="19"/>
      <c r="B20" s="20"/>
      <c r="C20" s="34" t="s">
        <v>55</v>
      </c>
      <c r="D20" s="11" t="s">
        <v>474</v>
      </c>
      <c r="E20" s="12">
        <v>-400</v>
      </c>
      <c r="F20" s="22" t="s">
        <v>549</v>
      </c>
      <c r="G20" s="23">
        <v>-96.27</v>
      </c>
      <c r="H20" s="24"/>
      <c r="I20" s="25"/>
      <c r="J20" s="26"/>
      <c r="K20" s="18"/>
      <c r="L20" s="12"/>
    </row>
    <row r="21" spans="1:12" ht="13.5" customHeight="1" x14ac:dyDescent="0.2">
      <c r="A21" s="19"/>
      <c r="B21" s="20"/>
      <c r="C21" s="34" t="s">
        <v>53</v>
      </c>
      <c r="D21" s="11" t="s">
        <v>1987</v>
      </c>
      <c r="E21" s="12">
        <v>-532.21</v>
      </c>
      <c r="F21" s="22" t="s">
        <v>549</v>
      </c>
      <c r="G21" s="23">
        <v>-628.48</v>
      </c>
      <c r="H21" s="24"/>
      <c r="I21" s="25"/>
      <c r="J21" s="26"/>
      <c r="K21" s="18"/>
      <c r="L21" s="12"/>
    </row>
    <row r="22" spans="1:12" ht="13.5" customHeight="1" x14ac:dyDescent="0.2">
      <c r="A22" s="19"/>
      <c r="B22" s="20"/>
      <c r="C22" s="36" t="s">
        <v>20</v>
      </c>
      <c r="D22" s="11" t="s">
        <v>19</v>
      </c>
      <c r="E22" s="12" t="s">
        <v>549</v>
      </c>
      <c r="F22" s="22">
        <v>0.02</v>
      </c>
      <c r="G22" s="23">
        <v>-628.46</v>
      </c>
      <c r="H22" s="24"/>
      <c r="I22" s="25"/>
      <c r="J22" s="26"/>
      <c r="K22" s="18"/>
      <c r="L22" s="12"/>
    </row>
    <row r="23" spans="1:12" ht="13.5" customHeight="1" x14ac:dyDescent="0.2">
      <c r="A23" s="19">
        <v>43592</v>
      </c>
      <c r="B23" s="20"/>
      <c r="C23" s="34" t="s">
        <v>1988</v>
      </c>
      <c r="D23" s="11"/>
      <c r="E23" s="12"/>
      <c r="F23" s="22"/>
      <c r="G23" s="23"/>
      <c r="H23" s="24">
        <v>18.05</v>
      </c>
      <c r="I23" s="25"/>
      <c r="J23" s="26"/>
      <c r="K23" s="18"/>
      <c r="L23" s="12"/>
    </row>
    <row r="24" spans="1:12" ht="13.5" customHeight="1" x14ac:dyDescent="0.2">
      <c r="A24" s="19"/>
      <c r="B24" s="20"/>
      <c r="C24" s="34" t="s">
        <v>1989</v>
      </c>
      <c r="D24" s="11"/>
      <c r="E24" s="12"/>
      <c r="F24" s="22"/>
      <c r="G24" s="23"/>
      <c r="H24" s="24">
        <v>650</v>
      </c>
      <c r="I24" s="25"/>
      <c r="J24" s="26">
        <v>4108.8900000000021</v>
      </c>
      <c r="K24" s="18"/>
      <c r="L24" s="12"/>
    </row>
    <row r="25" spans="1:12" ht="13.5" customHeight="1" x14ac:dyDescent="0.2">
      <c r="A25" s="19">
        <v>43593</v>
      </c>
      <c r="B25" s="20"/>
      <c r="C25" s="34" t="s">
        <v>1990</v>
      </c>
      <c r="D25" s="11"/>
      <c r="E25" s="12"/>
      <c r="F25" s="22"/>
      <c r="G25" s="23"/>
      <c r="H25" s="24"/>
      <c r="I25" s="25">
        <v>900</v>
      </c>
      <c r="J25" s="26"/>
      <c r="K25" s="18"/>
      <c r="L25" s="12"/>
    </row>
    <row r="26" spans="1:12" ht="13.5" customHeight="1" x14ac:dyDescent="0.2">
      <c r="A26" s="19"/>
      <c r="B26" s="20"/>
      <c r="C26" s="34" t="s">
        <v>1991</v>
      </c>
      <c r="D26" s="11"/>
      <c r="E26" s="12"/>
      <c r="F26" s="22"/>
      <c r="G26" s="23"/>
      <c r="H26" s="24"/>
      <c r="I26" s="25">
        <v>1513.58</v>
      </c>
      <c r="J26" s="26"/>
      <c r="K26" s="18"/>
      <c r="L26" s="12"/>
    </row>
    <row r="27" spans="1:12" ht="13.5" customHeight="1" x14ac:dyDescent="0.2">
      <c r="A27" s="19"/>
      <c r="B27" s="20"/>
      <c r="C27" s="34" t="s">
        <v>1992</v>
      </c>
      <c r="D27" s="11"/>
      <c r="E27" s="12"/>
      <c r="F27" s="22"/>
      <c r="G27" s="23"/>
      <c r="H27" s="24">
        <v>837</v>
      </c>
      <c r="I27" s="25"/>
      <c r="J27" s="26"/>
      <c r="K27" s="18"/>
      <c r="L27" s="12"/>
    </row>
    <row r="28" spans="1:12" ht="13.5" customHeight="1" x14ac:dyDescent="0.2">
      <c r="A28" s="19"/>
      <c r="B28" s="20"/>
      <c r="C28" s="34" t="s">
        <v>1993</v>
      </c>
      <c r="D28" s="11"/>
      <c r="E28" s="12"/>
      <c r="F28" s="22"/>
      <c r="G28" s="23"/>
      <c r="H28" s="24">
        <v>2677.35</v>
      </c>
      <c r="I28" s="25"/>
      <c r="J28" s="39">
        <v>3008.1200000000022</v>
      </c>
      <c r="K28" s="18"/>
      <c r="L28" s="12"/>
    </row>
    <row r="29" spans="1:12" ht="13.5" customHeight="1" x14ac:dyDescent="0.2">
      <c r="A29" s="19">
        <v>43594</v>
      </c>
      <c r="B29" s="46"/>
      <c r="C29" s="34" t="s">
        <v>1994</v>
      </c>
      <c r="D29" s="42"/>
      <c r="E29" s="43"/>
      <c r="F29" s="43"/>
      <c r="G29" s="23"/>
      <c r="H29" s="24"/>
      <c r="I29" s="25">
        <v>2322.86</v>
      </c>
      <c r="J29" s="26"/>
      <c r="K29" s="18"/>
      <c r="L29" s="12"/>
    </row>
    <row r="30" spans="1:12" ht="13.5" customHeight="1" x14ac:dyDescent="0.2">
      <c r="A30" s="19"/>
      <c r="B30" s="20"/>
      <c r="C30" s="34" t="s">
        <v>1981</v>
      </c>
      <c r="D30" s="11"/>
      <c r="E30" s="12"/>
      <c r="F30" s="22"/>
      <c r="G30" s="23"/>
      <c r="H30" s="44">
        <v>1000</v>
      </c>
      <c r="I30" s="25"/>
      <c r="J30" s="26"/>
      <c r="K30" s="18"/>
      <c r="L30" s="12"/>
    </row>
    <row r="31" spans="1:12" ht="13.5" customHeight="1" x14ac:dyDescent="0.2">
      <c r="A31" s="19"/>
      <c r="B31" s="20"/>
      <c r="C31" s="34" t="s">
        <v>1995</v>
      </c>
      <c r="D31" s="11"/>
      <c r="E31" s="12"/>
      <c r="F31" s="22"/>
      <c r="G31" s="23"/>
      <c r="H31" s="24">
        <v>360</v>
      </c>
      <c r="I31" s="25"/>
      <c r="J31" s="26">
        <v>3970.9800000000023</v>
      </c>
      <c r="K31" s="18"/>
      <c r="L31" s="12"/>
    </row>
    <row r="32" spans="1:12" ht="13.5" customHeight="1" x14ac:dyDescent="0.2">
      <c r="A32" s="19">
        <v>43595</v>
      </c>
      <c r="B32" s="20"/>
      <c r="C32" s="34" t="s">
        <v>1996</v>
      </c>
      <c r="D32" s="11"/>
      <c r="E32" s="12"/>
      <c r="F32" s="22"/>
      <c r="G32" s="23"/>
      <c r="H32" s="24">
        <v>30</v>
      </c>
      <c r="I32" s="25"/>
      <c r="J32" s="26"/>
      <c r="K32" s="18"/>
      <c r="L32" s="12"/>
    </row>
    <row r="33" spans="1:12" ht="13.5" customHeight="1" x14ac:dyDescent="0.2">
      <c r="A33" s="19"/>
      <c r="B33" s="20"/>
      <c r="C33" s="34" t="s">
        <v>1997</v>
      </c>
      <c r="D33" s="11"/>
      <c r="E33" s="12"/>
      <c r="F33" s="22"/>
      <c r="G33" s="23"/>
      <c r="H33" s="24">
        <v>10</v>
      </c>
      <c r="I33" s="25"/>
      <c r="J33" s="26"/>
      <c r="K33" s="18"/>
      <c r="L33" s="12"/>
    </row>
    <row r="34" spans="1:12" ht="13.5" customHeight="1" x14ac:dyDescent="0.2">
      <c r="A34" s="19"/>
      <c r="B34" s="20"/>
      <c r="C34" s="34" t="s">
        <v>1998</v>
      </c>
      <c r="D34" s="11"/>
      <c r="E34" s="12"/>
      <c r="F34" s="22"/>
      <c r="G34" s="23"/>
      <c r="H34" s="24">
        <v>4.4000000000000004</v>
      </c>
      <c r="I34" s="25"/>
      <c r="J34" s="26"/>
      <c r="K34" s="18"/>
      <c r="L34" s="12"/>
    </row>
    <row r="35" spans="1:12" ht="13.5" customHeight="1" x14ac:dyDescent="0.2">
      <c r="A35" s="19"/>
      <c r="B35" s="20"/>
      <c r="C35" s="34" t="s">
        <v>1999</v>
      </c>
      <c r="D35" s="11"/>
      <c r="E35" s="12"/>
      <c r="F35" s="22"/>
      <c r="G35" s="23"/>
      <c r="H35" s="24">
        <v>3.25</v>
      </c>
      <c r="I35" s="25"/>
      <c r="J35" s="26"/>
      <c r="K35" s="18"/>
      <c r="L35" s="12"/>
    </row>
    <row r="36" spans="1:12" ht="13.5" customHeight="1" x14ac:dyDescent="0.2">
      <c r="A36" s="19"/>
      <c r="B36" s="20"/>
      <c r="C36" s="34" t="s">
        <v>2000</v>
      </c>
      <c r="D36" s="11"/>
      <c r="E36" s="12"/>
      <c r="F36" s="22"/>
      <c r="G36" s="23"/>
      <c r="H36" s="24">
        <v>15</v>
      </c>
      <c r="I36" s="25"/>
      <c r="J36" s="26"/>
      <c r="K36" s="18"/>
      <c r="L36" s="12"/>
    </row>
    <row r="37" spans="1:12" ht="13.5" customHeight="1" x14ac:dyDescent="0.2">
      <c r="A37" s="19"/>
      <c r="B37" s="20"/>
      <c r="C37" s="34" t="s">
        <v>2001</v>
      </c>
      <c r="D37" s="11"/>
      <c r="E37" s="12"/>
      <c r="F37" s="22"/>
      <c r="G37" s="23"/>
      <c r="H37" s="24">
        <v>8.98</v>
      </c>
      <c r="I37" s="25"/>
      <c r="J37" s="127"/>
      <c r="K37" s="18"/>
      <c r="L37" s="12"/>
    </row>
    <row r="38" spans="1:12" ht="13.5" customHeight="1" x14ac:dyDescent="0.2">
      <c r="A38" s="19"/>
      <c r="B38" s="20"/>
      <c r="C38" s="34" t="s">
        <v>2002</v>
      </c>
      <c r="D38" s="11"/>
      <c r="E38" s="12"/>
      <c r="F38" s="22"/>
      <c r="G38" s="23"/>
      <c r="H38" s="24">
        <v>21.98</v>
      </c>
      <c r="I38" s="25"/>
      <c r="J38" s="26"/>
      <c r="K38" s="18"/>
      <c r="L38" s="12"/>
    </row>
    <row r="39" spans="1:12" ht="13.5" customHeight="1" x14ac:dyDescent="0.2">
      <c r="A39" s="19"/>
      <c r="B39" s="20"/>
      <c r="C39" s="34" t="s">
        <v>1834</v>
      </c>
      <c r="D39" s="11"/>
      <c r="E39" s="12"/>
      <c r="F39" s="22"/>
      <c r="G39" s="23"/>
      <c r="H39" s="24">
        <v>22.8</v>
      </c>
      <c r="I39" s="25"/>
      <c r="J39" s="26"/>
      <c r="K39" s="18"/>
      <c r="L39" s="12"/>
    </row>
    <row r="40" spans="1:12" ht="13.5" customHeight="1" x14ac:dyDescent="0.2">
      <c r="A40" s="19"/>
      <c r="B40" s="20"/>
      <c r="C40" s="34" t="s">
        <v>2003</v>
      </c>
      <c r="D40" s="11"/>
      <c r="E40" s="12"/>
      <c r="F40" s="22"/>
      <c r="G40" s="23"/>
      <c r="H40" s="24">
        <v>22</v>
      </c>
      <c r="I40" s="25"/>
      <c r="J40" s="39"/>
      <c r="K40" s="18"/>
      <c r="L40" s="12"/>
    </row>
    <row r="41" spans="1:12" ht="13.5" customHeight="1" x14ac:dyDescent="0.2">
      <c r="A41" s="19"/>
      <c r="B41" s="20"/>
      <c r="C41" s="34" t="s">
        <v>2004</v>
      </c>
      <c r="D41" s="11"/>
      <c r="E41" s="12"/>
      <c r="F41" s="22"/>
      <c r="G41" s="23"/>
      <c r="H41" s="24"/>
      <c r="I41" s="25">
        <v>1218.05</v>
      </c>
      <c r="J41" s="26"/>
      <c r="K41" s="18"/>
      <c r="L41" s="12"/>
    </row>
    <row r="42" spans="1:12" ht="13.5" customHeight="1" x14ac:dyDescent="0.2">
      <c r="A42" s="19"/>
      <c r="B42" s="20"/>
      <c r="C42" s="34" t="s">
        <v>2005</v>
      </c>
      <c r="D42" s="11"/>
      <c r="E42" s="12"/>
      <c r="F42" s="22"/>
      <c r="G42" s="23"/>
      <c r="H42" s="24"/>
      <c r="I42" s="25">
        <v>150</v>
      </c>
      <c r="J42" s="26"/>
      <c r="K42" s="18"/>
      <c r="L42" s="12"/>
    </row>
    <row r="43" spans="1:12" ht="13.5" customHeight="1" x14ac:dyDescent="0.2">
      <c r="A43" s="19"/>
      <c r="B43" s="20"/>
      <c r="C43" s="34" t="s">
        <v>2006</v>
      </c>
      <c r="D43" s="11"/>
      <c r="E43" s="12"/>
      <c r="F43" s="22"/>
      <c r="G43" s="23"/>
      <c r="H43" s="24">
        <v>36.71</v>
      </c>
      <c r="I43" s="25"/>
      <c r="J43" s="26"/>
      <c r="K43" s="18"/>
      <c r="L43" s="12"/>
    </row>
    <row r="44" spans="1:12" ht="13.5" customHeight="1" x14ac:dyDescent="0.2">
      <c r="A44" s="19"/>
      <c r="B44" s="20"/>
      <c r="C44" s="34" t="s">
        <v>2007</v>
      </c>
      <c r="D44" s="11"/>
      <c r="E44" s="12"/>
      <c r="F44" s="22"/>
      <c r="G44" s="23"/>
      <c r="H44" s="24">
        <v>600</v>
      </c>
      <c r="I44" s="25"/>
      <c r="J44" s="26">
        <v>4563.9100000000017</v>
      </c>
      <c r="K44" s="18"/>
      <c r="L44" s="12"/>
    </row>
    <row r="45" spans="1:12" ht="13.5" customHeight="1" x14ac:dyDescent="0.2">
      <c r="A45" s="19" t="s">
        <v>2008</v>
      </c>
      <c r="B45" s="20"/>
      <c r="C45" s="34" t="s">
        <v>82</v>
      </c>
      <c r="D45" s="11" t="s">
        <v>2009</v>
      </c>
      <c r="E45" s="12">
        <v>-934.04</v>
      </c>
      <c r="F45" s="22" t="s">
        <v>549</v>
      </c>
      <c r="G45" s="23">
        <v>-1562.5</v>
      </c>
      <c r="H45" s="24"/>
      <c r="I45" s="25"/>
      <c r="J45" s="26"/>
      <c r="K45" s="18"/>
      <c r="L45" s="12"/>
    </row>
    <row r="46" spans="1:12" ht="13.5" customHeight="1" x14ac:dyDescent="0.2">
      <c r="A46" s="19"/>
      <c r="B46" s="20"/>
      <c r="C46" s="34" t="s">
        <v>68</v>
      </c>
      <c r="D46" s="11" t="s">
        <v>1097</v>
      </c>
      <c r="E46" s="12">
        <v>-129.9</v>
      </c>
      <c r="F46" s="22" t="s">
        <v>549</v>
      </c>
      <c r="G46" s="23">
        <v>-1692.4</v>
      </c>
      <c r="H46" s="24"/>
      <c r="I46" s="25"/>
      <c r="J46" s="26"/>
      <c r="K46" s="18"/>
      <c r="L46" s="12"/>
    </row>
    <row r="47" spans="1:12" ht="13.5" customHeight="1" x14ac:dyDescent="0.2">
      <c r="A47" s="19">
        <v>43598</v>
      </c>
      <c r="B47" s="20"/>
      <c r="C47" s="34" t="s">
        <v>2010</v>
      </c>
      <c r="D47" s="11"/>
      <c r="E47" s="12"/>
      <c r="F47" s="22"/>
      <c r="G47" s="23"/>
      <c r="H47" s="24"/>
      <c r="I47" s="25">
        <v>185</v>
      </c>
      <c r="J47" s="26"/>
      <c r="K47" s="18"/>
      <c r="L47" s="12"/>
    </row>
    <row r="48" spans="1:12" ht="13.5" customHeight="1" x14ac:dyDescent="0.2">
      <c r="A48" s="19"/>
      <c r="B48" s="20"/>
      <c r="C48" s="34" t="s">
        <v>2011</v>
      </c>
      <c r="D48" s="11"/>
      <c r="E48" s="12"/>
      <c r="F48" s="22"/>
      <c r="G48" s="23"/>
      <c r="H48" s="24"/>
      <c r="I48" s="25">
        <v>3590.73</v>
      </c>
      <c r="J48" s="26"/>
      <c r="K48" s="18"/>
      <c r="L48" s="12"/>
    </row>
    <row r="49" spans="1:12" ht="13.5" customHeight="1" x14ac:dyDescent="0.2">
      <c r="A49" s="19"/>
      <c r="B49" s="20"/>
      <c r="C49" s="21" t="s">
        <v>2012</v>
      </c>
      <c r="D49" s="11"/>
      <c r="E49" s="12"/>
      <c r="F49" s="22"/>
      <c r="G49" s="23"/>
      <c r="H49" s="24"/>
      <c r="I49" s="25">
        <v>3000</v>
      </c>
      <c r="J49" s="26">
        <v>11339.640000000001</v>
      </c>
      <c r="K49" s="18"/>
      <c r="L49" s="12"/>
    </row>
    <row r="50" spans="1:12" ht="13.5" customHeight="1" x14ac:dyDescent="0.2">
      <c r="A50" s="19"/>
      <c r="B50" s="20"/>
      <c r="C50" s="34" t="s">
        <v>87</v>
      </c>
      <c r="D50" s="11" t="s">
        <v>19</v>
      </c>
      <c r="E50" s="12">
        <v>-35.74</v>
      </c>
      <c r="F50" s="22" t="s">
        <v>549</v>
      </c>
      <c r="G50" s="23">
        <v>-1728.14</v>
      </c>
      <c r="H50" s="24"/>
      <c r="I50" s="25"/>
      <c r="J50" s="26"/>
      <c r="K50" s="18"/>
      <c r="L50" s="12"/>
    </row>
    <row r="51" spans="1:12" ht="13.5" customHeight="1" x14ac:dyDescent="0.2">
      <c r="A51" s="19"/>
      <c r="B51" s="20"/>
      <c r="C51" s="34" t="s">
        <v>62</v>
      </c>
      <c r="D51" s="11" t="s">
        <v>19</v>
      </c>
      <c r="E51" s="12">
        <v>-520.74</v>
      </c>
      <c r="F51" s="22" t="s">
        <v>549</v>
      </c>
      <c r="G51" s="23">
        <v>-2248.88</v>
      </c>
      <c r="H51" s="24"/>
      <c r="I51" s="25"/>
      <c r="J51" s="26"/>
      <c r="K51" s="18"/>
      <c r="L51" s="12"/>
    </row>
    <row r="52" spans="1:12" ht="13.5" customHeight="1" x14ac:dyDescent="0.2">
      <c r="A52" s="19"/>
      <c r="B52" s="20"/>
      <c r="C52" s="34" t="s">
        <v>2013</v>
      </c>
      <c r="D52" s="11" t="s">
        <v>2014</v>
      </c>
      <c r="E52" s="12">
        <v>-930</v>
      </c>
      <c r="F52" s="22" t="s">
        <v>549</v>
      </c>
      <c r="G52" s="23">
        <v>-3178.88</v>
      </c>
      <c r="H52" s="24"/>
      <c r="I52" s="25"/>
      <c r="J52" s="26"/>
      <c r="K52" s="18"/>
      <c r="L52" s="12"/>
    </row>
    <row r="53" spans="1:12" ht="13.5" customHeight="1" x14ac:dyDescent="0.2">
      <c r="A53" s="19">
        <v>43599</v>
      </c>
      <c r="B53" s="20"/>
      <c r="C53" s="34" t="s">
        <v>2015</v>
      </c>
      <c r="D53" s="11"/>
      <c r="E53" s="12"/>
      <c r="F53" s="22"/>
      <c r="G53" s="23"/>
      <c r="H53" s="24"/>
      <c r="I53" s="25">
        <v>538.72</v>
      </c>
      <c r="J53" s="26">
        <v>11878.36</v>
      </c>
      <c r="K53" s="18"/>
      <c r="L53" s="12"/>
    </row>
    <row r="54" spans="1:12" ht="13.5" customHeight="1" x14ac:dyDescent="0.2">
      <c r="A54" s="19">
        <v>43600</v>
      </c>
      <c r="B54" s="20"/>
      <c r="C54" s="34" t="s">
        <v>2016</v>
      </c>
      <c r="D54" s="11"/>
      <c r="E54" s="12"/>
      <c r="F54" s="22"/>
      <c r="G54" s="23"/>
      <c r="H54" s="174">
        <v>2050</v>
      </c>
      <c r="I54" s="25"/>
      <c r="J54" s="39"/>
      <c r="K54" s="18"/>
      <c r="L54" s="12"/>
    </row>
    <row r="55" spans="1:12" ht="13.5" customHeight="1" x14ac:dyDescent="0.2">
      <c r="A55" s="19"/>
      <c r="B55" s="20"/>
      <c r="C55" s="34" t="s">
        <v>2017</v>
      </c>
      <c r="D55" s="11"/>
      <c r="E55" s="12"/>
      <c r="F55" s="22"/>
      <c r="G55" s="23"/>
      <c r="H55" s="174">
        <v>3000</v>
      </c>
      <c r="I55" s="25"/>
      <c r="J55" s="26"/>
      <c r="K55" s="18"/>
      <c r="L55" s="12"/>
    </row>
    <row r="56" spans="1:12" ht="13.5" customHeight="1" x14ac:dyDescent="0.2">
      <c r="A56" s="19"/>
      <c r="B56" s="20"/>
      <c r="C56" s="34" t="s">
        <v>2018</v>
      </c>
      <c r="D56" s="11"/>
      <c r="E56" s="12"/>
      <c r="F56" s="22"/>
      <c r="G56" s="23"/>
      <c r="H56" s="44">
        <v>5000</v>
      </c>
      <c r="I56" s="25"/>
      <c r="J56" s="26"/>
      <c r="K56" s="18"/>
      <c r="L56" s="12"/>
    </row>
    <row r="57" spans="1:12" ht="13.5" customHeight="1" x14ac:dyDescent="0.2">
      <c r="A57" s="19"/>
      <c r="B57" s="20"/>
      <c r="C57" s="34" t="s">
        <v>2019</v>
      </c>
      <c r="D57" s="11"/>
      <c r="E57" s="12"/>
      <c r="F57" s="22"/>
      <c r="G57" s="23"/>
      <c r="H57" s="24"/>
      <c r="I57" s="25">
        <v>815.96</v>
      </c>
      <c r="J57" s="26"/>
      <c r="K57" s="18"/>
      <c r="L57" s="12"/>
    </row>
    <row r="58" spans="1:12" ht="13.5" customHeight="1" x14ac:dyDescent="0.2">
      <c r="A58" s="19"/>
      <c r="B58" s="20"/>
      <c r="C58" s="21" t="s">
        <v>2020</v>
      </c>
      <c r="D58" s="11"/>
      <c r="E58" s="12"/>
      <c r="F58" s="22"/>
      <c r="G58" s="23"/>
      <c r="H58" s="24"/>
      <c r="I58" s="25">
        <v>2105.2800000000002</v>
      </c>
      <c r="J58" s="26"/>
      <c r="K58" s="18"/>
      <c r="L58" s="12"/>
    </row>
    <row r="59" spans="1:12" ht="13.5" customHeight="1" x14ac:dyDescent="0.2">
      <c r="A59" s="19"/>
      <c r="B59" s="20"/>
      <c r="C59" s="34" t="s">
        <v>2021</v>
      </c>
      <c r="D59" s="11"/>
      <c r="E59" s="12"/>
      <c r="F59" s="22"/>
      <c r="G59" s="23" t="s">
        <v>483</v>
      </c>
      <c r="H59" s="24">
        <v>99.98</v>
      </c>
      <c r="I59" s="25"/>
      <c r="J59" s="26">
        <v>4649.6200000000008</v>
      </c>
      <c r="K59" s="18"/>
      <c r="L59" s="12"/>
    </row>
    <row r="60" spans="1:12" ht="13.5" customHeight="1" x14ac:dyDescent="0.2">
      <c r="A60" s="19"/>
      <c r="B60" s="20"/>
      <c r="C60" s="34" t="s">
        <v>86</v>
      </c>
      <c r="D60" s="11" t="s">
        <v>19</v>
      </c>
      <c r="E60" s="12">
        <v>-72.900000000000006</v>
      </c>
      <c r="F60" s="22" t="s">
        <v>549</v>
      </c>
      <c r="G60" s="23">
        <v>-3251.78</v>
      </c>
      <c r="H60" s="24"/>
      <c r="I60" s="25"/>
      <c r="J60" s="26"/>
      <c r="K60" s="18"/>
      <c r="L60" s="12"/>
    </row>
    <row r="61" spans="1:12" ht="13.5" customHeight="1" x14ac:dyDescent="0.2">
      <c r="A61" s="19"/>
      <c r="B61" s="20"/>
      <c r="C61" s="21" t="s">
        <v>113</v>
      </c>
      <c r="D61" s="11" t="s">
        <v>2022</v>
      </c>
      <c r="E61" s="12">
        <v>-267</v>
      </c>
      <c r="F61" s="22" t="s">
        <v>549</v>
      </c>
      <c r="G61" s="23">
        <v>-3518.78</v>
      </c>
      <c r="H61" s="24"/>
      <c r="I61" s="25"/>
      <c r="J61" s="26"/>
      <c r="K61" s="18"/>
      <c r="L61" s="12"/>
    </row>
    <row r="62" spans="1:12" ht="13.5" customHeight="1" x14ac:dyDescent="0.2">
      <c r="A62" s="19"/>
      <c r="B62" s="20"/>
      <c r="C62" s="34" t="s">
        <v>2017</v>
      </c>
      <c r="D62" s="11" t="s">
        <v>2023</v>
      </c>
      <c r="E62" s="12" t="s">
        <v>549</v>
      </c>
      <c r="F62" s="162">
        <v>3000</v>
      </c>
      <c r="G62" s="23">
        <v>-518.78</v>
      </c>
      <c r="H62" s="24"/>
      <c r="I62" s="25"/>
      <c r="J62" s="26"/>
      <c r="K62" s="18"/>
      <c r="L62" s="12"/>
    </row>
    <row r="63" spans="1:12" ht="13.5" customHeight="1" x14ac:dyDescent="0.2">
      <c r="A63" s="19"/>
      <c r="B63" s="20"/>
      <c r="C63" s="138" t="s">
        <v>2024</v>
      </c>
      <c r="D63" s="11" t="s">
        <v>2025</v>
      </c>
      <c r="E63" s="12" t="s">
        <v>549</v>
      </c>
      <c r="F63" s="409">
        <v>2000</v>
      </c>
      <c r="G63" s="23">
        <v>1481.22</v>
      </c>
      <c r="H63" s="24"/>
      <c r="I63" s="25"/>
      <c r="J63" s="26"/>
      <c r="K63" s="18"/>
      <c r="L63" s="12"/>
    </row>
    <row r="64" spans="1:12" ht="13.5" customHeight="1" x14ac:dyDescent="0.2">
      <c r="A64" s="19"/>
      <c r="B64" s="20"/>
      <c r="C64" s="34" t="s">
        <v>2016</v>
      </c>
      <c r="D64" s="11" t="s">
        <v>2026</v>
      </c>
      <c r="E64" s="12" t="s">
        <v>549</v>
      </c>
      <c r="F64" s="162">
        <v>2050</v>
      </c>
      <c r="G64" s="23">
        <v>3531.22</v>
      </c>
      <c r="H64" s="24"/>
      <c r="I64" s="25"/>
      <c r="J64" s="26"/>
      <c r="K64" s="18"/>
      <c r="L64" s="12"/>
    </row>
    <row r="65" spans="1:12" ht="13.5" customHeight="1" x14ac:dyDescent="0.2">
      <c r="A65" s="19"/>
      <c r="B65" s="20"/>
      <c r="C65" s="34" t="s">
        <v>673</v>
      </c>
      <c r="D65" s="11" t="s">
        <v>19</v>
      </c>
      <c r="E65" s="12">
        <v>-99.98</v>
      </c>
      <c r="F65" s="22" t="s">
        <v>549</v>
      </c>
      <c r="G65" s="23">
        <v>3431.24</v>
      </c>
      <c r="H65" s="24"/>
      <c r="I65" s="25"/>
      <c r="J65" s="26"/>
      <c r="K65" s="18"/>
      <c r="L65" s="12"/>
    </row>
    <row r="66" spans="1:12" ht="13.5" customHeight="1" x14ac:dyDescent="0.2">
      <c r="A66" s="19"/>
      <c r="B66" s="20"/>
      <c r="C66" s="33" t="s">
        <v>81</v>
      </c>
      <c r="D66" s="11" t="s">
        <v>19</v>
      </c>
      <c r="E66" s="12">
        <v>-49.9</v>
      </c>
      <c r="F66" s="22" t="s">
        <v>549</v>
      </c>
      <c r="G66" s="23">
        <v>3381.34</v>
      </c>
      <c r="H66" s="24"/>
      <c r="I66" s="25"/>
      <c r="J66" s="26"/>
      <c r="K66" s="18"/>
      <c r="L66" s="12"/>
    </row>
    <row r="67" spans="1:12" ht="13.5" customHeight="1" x14ac:dyDescent="0.2">
      <c r="A67" s="19"/>
      <c r="B67" s="20"/>
      <c r="C67" s="34" t="s">
        <v>2027</v>
      </c>
      <c r="D67" s="11" t="s">
        <v>19</v>
      </c>
      <c r="E67" s="12">
        <v>-323.33999999999997</v>
      </c>
      <c r="F67" s="22" t="s">
        <v>549</v>
      </c>
      <c r="G67" s="23">
        <v>3058</v>
      </c>
      <c r="H67" s="24"/>
      <c r="I67" s="25"/>
      <c r="J67" s="26"/>
      <c r="K67" s="18"/>
      <c r="L67" s="12"/>
    </row>
    <row r="68" spans="1:12" ht="13.5" customHeight="1" x14ac:dyDescent="0.2">
      <c r="A68" s="19"/>
      <c r="B68" s="20"/>
      <c r="C68" s="34" t="s">
        <v>114</v>
      </c>
      <c r="D68" s="11" t="s">
        <v>19</v>
      </c>
      <c r="E68" s="12">
        <v>-222.23</v>
      </c>
      <c r="F68" s="22" t="s">
        <v>549</v>
      </c>
      <c r="G68" s="23">
        <v>2835.77</v>
      </c>
      <c r="H68" s="24"/>
      <c r="I68" s="25"/>
      <c r="J68" s="26"/>
      <c r="K68" s="18"/>
      <c r="L68" s="12"/>
    </row>
    <row r="69" spans="1:12" ht="13.5" customHeight="1" x14ac:dyDescent="0.2">
      <c r="A69" s="19"/>
      <c r="B69" s="20"/>
      <c r="C69" s="34" t="s">
        <v>2028</v>
      </c>
      <c r="D69" s="11" t="s">
        <v>19</v>
      </c>
      <c r="E69" s="12">
        <v>-7.16</v>
      </c>
      <c r="F69" s="22" t="s">
        <v>549</v>
      </c>
      <c r="G69" s="23">
        <v>2828.61</v>
      </c>
      <c r="H69" s="24"/>
      <c r="I69" s="25"/>
      <c r="J69" s="26"/>
      <c r="K69" s="18"/>
      <c r="L69" s="12"/>
    </row>
    <row r="70" spans="1:12" ht="13.5" customHeight="1" x14ac:dyDescent="0.2">
      <c r="A70" s="19">
        <v>43601</v>
      </c>
      <c r="B70" s="46"/>
      <c r="C70" s="34" t="s">
        <v>2029</v>
      </c>
      <c r="D70" s="42"/>
      <c r="E70" s="43"/>
      <c r="F70" s="43"/>
      <c r="G70" s="23"/>
      <c r="H70" s="24">
        <v>35</v>
      </c>
      <c r="I70" s="25"/>
      <c r="J70" s="26"/>
      <c r="K70" s="18"/>
      <c r="L70" s="12"/>
    </row>
    <row r="71" spans="1:12" ht="13.5" customHeight="1" x14ac:dyDescent="0.2">
      <c r="A71" s="19"/>
      <c r="B71" s="20"/>
      <c r="C71" s="34" t="s">
        <v>2030</v>
      </c>
      <c r="D71" s="11"/>
      <c r="E71" s="12"/>
      <c r="F71" s="22"/>
      <c r="G71" s="23"/>
      <c r="H71" s="24">
        <v>12.3</v>
      </c>
      <c r="I71" s="25"/>
      <c r="J71" s="26"/>
      <c r="K71" s="18"/>
      <c r="L71" s="12"/>
    </row>
    <row r="72" spans="1:12" ht="13.5" customHeight="1" x14ac:dyDescent="0.2">
      <c r="A72" s="19"/>
      <c r="B72" s="20"/>
      <c r="C72" s="34" t="s">
        <v>2031</v>
      </c>
      <c r="D72" s="11"/>
      <c r="E72" s="12"/>
      <c r="F72" s="22"/>
      <c r="G72" s="23"/>
      <c r="H72" s="24">
        <v>7.48</v>
      </c>
      <c r="I72" s="25"/>
      <c r="J72" s="26"/>
      <c r="K72" s="18"/>
      <c r="L72" s="12"/>
    </row>
    <row r="73" spans="1:12" ht="13.5" customHeight="1" x14ac:dyDescent="0.2">
      <c r="A73" s="19"/>
      <c r="B73" s="20"/>
      <c r="C73" s="34" t="s">
        <v>2032</v>
      </c>
      <c r="D73" s="11"/>
      <c r="E73" s="12"/>
      <c r="F73" s="22"/>
      <c r="G73" s="23"/>
      <c r="H73" s="24">
        <v>14.2</v>
      </c>
      <c r="I73" s="25"/>
      <c r="J73" s="26"/>
      <c r="K73" s="18"/>
      <c r="L73" s="12"/>
    </row>
    <row r="74" spans="1:12" ht="13.5" customHeight="1" x14ac:dyDescent="0.2">
      <c r="A74" s="19"/>
      <c r="B74" s="20"/>
      <c r="C74" s="34" t="s">
        <v>2033</v>
      </c>
      <c r="D74" s="11"/>
      <c r="E74" s="12"/>
      <c r="F74" s="22"/>
      <c r="G74" s="23"/>
      <c r="H74" s="24">
        <v>300</v>
      </c>
      <c r="I74" s="25"/>
      <c r="J74" s="26">
        <v>4280.6400000000012</v>
      </c>
      <c r="K74" s="18"/>
      <c r="L74" s="12"/>
    </row>
    <row r="75" spans="1:12" ht="13.5" customHeight="1" x14ac:dyDescent="0.2">
      <c r="A75" s="19"/>
      <c r="B75" s="20"/>
      <c r="C75" s="34" t="s">
        <v>2034</v>
      </c>
      <c r="D75" s="11" t="s">
        <v>1987</v>
      </c>
      <c r="E75" s="12">
        <v>-110</v>
      </c>
      <c r="F75" s="22" t="s">
        <v>549</v>
      </c>
      <c r="G75" s="23">
        <v>2718.61</v>
      </c>
      <c r="H75" s="24"/>
      <c r="I75" s="25"/>
      <c r="J75" s="26"/>
      <c r="K75" s="18"/>
      <c r="L75" s="12"/>
    </row>
    <row r="76" spans="1:12" ht="13.5" customHeight="1" x14ac:dyDescent="0.2">
      <c r="A76" s="19"/>
      <c r="B76" s="20"/>
      <c r="C76" s="34" t="s">
        <v>2035</v>
      </c>
      <c r="D76" s="11" t="s">
        <v>19</v>
      </c>
      <c r="E76" s="12">
        <v>-30.32</v>
      </c>
      <c r="F76" s="22" t="s">
        <v>549</v>
      </c>
      <c r="G76" s="23">
        <v>2688.29</v>
      </c>
      <c r="H76" s="24"/>
      <c r="I76" s="25"/>
      <c r="J76" s="26"/>
      <c r="K76" s="18"/>
      <c r="L76" s="12"/>
    </row>
    <row r="77" spans="1:12" ht="13.5" customHeight="1" x14ac:dyDescent="0.2">
      <c r="A77" s="19"/>
      <c r="B77" s="20"/>
      <c r="C77" s="34" t="s">
        <v>2036</v>
      </c>
      <c r="D77" s="11" t="s">
        <v>19</v>
      </c>
      <c r="E77" s="12">
        <v>-207.42</v>
      </c>
      <c r="F77" s="22" t="s">
        <v>549</v>
      </c>
      <c r="G77" s="23">
        <v>2480.87</v>
      </c>
      <c r="H77" s="24"/>
      <c r="I77" s="25"/>
      <c r="J77" s="26"/>
      <c r="K77" s="18"/>
      <c r="L77" s="12"/>
    </row>
    <row r="78" spans="1:12" ht="13.5" customHeight="1" x14ac:dyDescent="0.2">
      <c r="A78" s="19">
        <v>43602</v>
      </c>
      <c r="B78" s="20"/>
      <c r="C78" s="34" t="s">
        <v>2037</v>
      </c>
      <c r="D78" s="11"/>
      <c r="E78" s="12"/>
      <c r="F78" s="22"/>
      <c r="G78" s="23"/>
      <c r="H78" s="24"/>
      <c r="I78" s="25">
        <v>1318.28</v>
      </c>
      <c r="J78" s="26"/>
      <c r="K78" s="18"/>
      <c r="L78" s="12"/>
    </row>
    <row r="79" spans="1:12" ht="13.5" customHeight="1" x14ac:dyDescent="0.2">
      <c r="A79" s="19"/>
      <c r="B79" s="20"/>
      <c r="C79" s="34" t="s">
        <v>2038</v>
      </c>
      <c r="D79" s="11"/>
      <c r="E79" s="12"/>
      <c r="F79" s="22"/>
      <c r="G79" s="23"/>
      <c r="H79" s="24">
        <v>50</v>
      </c>
      <c r="I79" s="25"/>
      <c r="J79" s="26"/>
      <c r="K79" s="18"/>
      <c r="L79" s="12"/>
    </row>
    <row r="80" spans="1:12" ht="13.5" customHeight="1" x14ac:dyDescent="0.2">
      <c r="A80" s="19"/>
      <c r="B80" s="20"/>
      <c r="C80" s="34" t="s">
        <v>2039</v>
      </c>
      <c r="D80" s="11"/>
      <c r="E80" s="12"/>
      <c r="F80" s="22"/>
      <c r="G80" s="23"/>
      <c r="H80" s="24">
        <v>19</v>
      </c>
      <c r="I80" s="25"/>
      <c r="J80" s="26"/>
      <c r="K80" s="18"/>
      <c r="L80" s="12"/>
    </row>
    <row r="81" spans="1:12" ht="13.5" customHeight="1" x14ac:dyDescent="0.2">
      <c r="A81" s="19"/>
      <c r="B81" s="20"/>
      <c r="C81" s="34" t="s">
        <v>1834</v>
      </c>
      <c r="D81" s="11"/>
      <c r="E81" s="12"/>
      <c r="F81" s="22"/>
      <c r="G81" s="23"/>
      <c r="H81" s="24">
        <v>39.6</v>
      </c>
      <c r="I81" s="25"/>
      <c r="J81" s="26"/>
      <c r="K81" s="18"/>
      <c r="L81" s="12"/>
    </row>
    <row r="82" spans="1:12" ht="13.5" customHeight="1" x14ac:dyDescent="0.2">
      <c r="A82" s="19"/>
      <c r="B82" s="20"/>
      <c r="C82" s="34" t="s">
        <v>2040</v>
      </c>
      <c r="D82" s="11"/>
      <c r="E82" s="12"/>
      <c r="F82" s="22"/>
      <c r="G82" s="23"/>
      <c r="H82" s="24">
        <v>15</v>
      </c>
      <c r="I82" s="25"/>
      <c r="J82" s="26"/>
      <c r="K82" s="18"/>
      <c r="L82" s="12"/>
    </row>
    <row r="83" spans="1:12" ht="13.5" customHeight="1" x14ac:dyDescent="0.2">
      <c r="A83" s="19"/>
      <c r="B83" s="20"/>
      <c r="C83" s="34" t="s">
        <v>2041</v>
      </c>
      <c r="D83" s="11"/>
      <c r="E83" s="12"/>
      <c r="F83" s="22"/>
      <c r="G83" s="23"/>
      <c r="H83" s="24">
        <v>8</v>
      </c>
      <c r="I83" s="25"/>
      <c r="J83" s="26"/>
      <c r="K83" s="18"/>
      <c r="L83" s="12"/>
    </row>
    <row r="84" spans="1:12" ht="13.5" customHeight="1" x14ac:dyDescent="0.2">
      <c r="A84" s="19"/>
      <c r="B84" s="20"/>
      <c r="C84" s="34" t="s">
        <v>2042</v>
      </c>
      <c r="D84" s="11"/>
      <c r="E84" s="12"/>
      <c r="F84" s="22"/>
      <c r="G84" s="23"/>
      <c r="H84" s="24">
        <v>16.11</v>
      </c>
      <c r="I84" s="25"/>
      <c r="J84" s="26"/>
      <c r="K84" s="18"/>
      <c r="L84" s="12"/>
    </row>
    <row r="85" spans="1:12" ht="13.5" customHeight="1" x14ac:dyDescent="0.2">
      <c r="A85" s="19"/>
      <c r="B85" s="20"/>
      <c r="C85" s="34" t="s">
        <v>2043</v>
      </c>
      <c r="D85" s="11"/>
      <c r="E85" s="12"/>
      <c r="F85" s="22"/>
      <c r="G85" s="23"/>
      <c r="H85" s="24">
        <v>6</v>
      </c>
      <c r="I85" s="25"/>
      <c r="J85" s="26"/>
      <c r="K85" s="18"/>
      <c r="L85" s="12"/>
    </row>
    <row r="86" spans="1:12" ht="13.5" customHeight="1" x14ac:dyDescent="0.2">
      <c r="A86" s="19"/>
      <c r="B86" s="20"/>
      <c r="C86" s="34" t="s">
        <v>2044</v>
      </c>
      <c r="D86" s="11"/>
      <c r="E86" s="12"/>
      <c r="F86" s="22"/>
      <c r="G86" s="23"/>
      <c r="H86" s="24">
        <v>9.99</v>
      </c>
      <c r="I86" s="25"/>
      <c r="J86" s="26"/>
      <c r="K86" s="18"/>
      <c r="L86" s="12"/>
    </row>
    <row r="87" spans="1:12" ht="13.5" customHeight="1" x14ac:dyDescent="0.2">
      <c r="A87" s="19"/>
      <c r="B87" s="20"/>
      <c r="C87" s="34" t="s">
        <v>2045</v>
      </c>
      <c r="D87" s="11"/>
      <c r="E87" s="12"/>
      <c r="F87" s="22"/>
      <c r="G87" s="23"/>
      <c r="H87" s="24">
        <v>17.2</v>
      </c>
      <c r="I87" s="25"/>
      <c r="J87" s="26"/>
      <c r="K87" s="18"/>
      <c r="L87" s="12"/>
    </row>
    <row r="88" spans="1:12" ht="13.5" customHeight="1" x14ac:dyDescent="0.2">
      <c r="A88" s="19"/>
      <c r="B88" s="20"/>
      <c r="C88" s="34" t="s">
        <v>1834</v>
      </c>
      <c r="D88" s="11"/>
      <c r="E88" s="12"/>
      <c r="F88" s="22"/>
      <c r="G88" s="23"/>
      <c r="H88" s="24">
        <v>23.4</v>
      </c>
      <c r="I88" s="25"/>
      <c r="J88" s="26"/>
      <c r="K88" s="18"/>
      <c r="L88" s="12"/>
    </row>
    <row r="89" spans="1:12" ht="13.5" customHeight="1" x14ac:dyDescent="0.2">
      <c r="A89" s="19"/>
      <c r="B89" s="20"/>
      <c r="C89" s="34" t="s">
        <v>2046</v>
      </c>
      <c r="D89" s="11"/>
      <c r="E89" s="12"/>
      <c r="F89" s="22"/>
      <c r="G89" s="23"/>
      <c r="H89" s="24">
        <v>6.91</v>
      </c>
      <c r="I89" s="25"/>
      <c r="J89" s="26"/>
      <c r="K89" s="18"/>
      <c r="L89" s="12"/>
    </row>
    <row r="90" spans="1:12" ht="13.5" customHeight="1" x14ac:dyDescent="0.2">
      <c r="A90" s="19"/>
      <c r="B90" s="20"/>
      <c r="C90" s="34" t="s">
        <v>2047</v>
      </c>
      <c r="D90" s="11"/>
      <c r="E90" s="12"/>
      <c r="F90" s="22"/>
      <c r="G90" s="23"/>
      <c r="H90" s="24">
        <v>7.1</v>
      </c>
      <c r="I90" s="25"/>
      <c r="J90" s="26"/>
      <c r="K90" s="18"/>
      <c r="L90" s="12"/>
    </row>
    <row r="91" spans="1:12" ht="13.5" customHeight="1" x14ac:dyDescent="0.2">
      <c r="A91" s="19"/>
      <c r="B91" s="20"/>
      <c r="C91" s="34" t="s">
        <v>2048</v>
      </c>
      <c r="D91" s="11"/>
      <c r="E91" s="12"/>
      <c r="F91" s="22"/>
      <c r="G91" s="23"/>
      <c r="H91" s="24">
        <v>31.97</v>
      </c>
      <c r="I91" s="25"/>
      <c r="J91" s="26"/>
      <c r="K91" s="18"/>
      <c r="L91" s="12"/>
    </row>
    <row r="92" spans="1:12" ht="13.5" customHeight="1" x14ac:dyDescent="0.2">
      <c r="A92" s="19"/>
      <c r="B92" s="20"/>
      <c r="C92" s="34" t="s">
        <v>2049</v>
      </c>
      <c r="D92" s="11"/>
      <c r="E92" s="12"/>
      <c r="F92" s="22"/>
      <c r="G92" s="23"/>
      <c r="H92" s="24">
        <v>315</v>
      </c>
      <c r="I92" s="25"/>
      <c r="J92" s="26"/>
      <c r="K92" s="18"/>
      <c r="L92" s="12"/>
    </row>
    <row r="93" spans="1:12" ht="13.5" customHeight="1" x14ac:dyDescent="0.2">
      <c r="A93" s="19"/>
      <c r="B93" s="20"/>
      <c r="C93" s="34" t="s">
        <v>2050</v>
      </c>
      <c r="D93" s="11"/>
      <c r="E93" s="12"/>
      <c r="F93" s="22"/>
      <c r="G93" s="23"/>
      <c r="H93" s="24">
        <v>100</v>
      </c>
      <c r="I93" s="25"/>
      <c r="J93" s="26"/>
      <c r="K93" s="18"/>
      <c r="L93" s="12"/>
    </row>
    <row r="94" spans="1:12" ht="13.5" customHeight="1" x14ac:dyDescent="0.2">
      <c r="A94" s="19"/>
      <c r="B94" s="20"/>
      <c r="C94" s="34" t="s">
        <v>2051</v>
      </c>
      <c r="D94" s="11"/>
      <c r="E94" s="12"/>
      <c r="F94" s="22"/>
      <c r="G94" s="23"/>
      <c r="H94" s="174">
        <v>3000</v>
      </c>
      <c r="I94" s="25"/>
      <c r="J94" s="26">
        <v>1933.6400000000012</v>
      </c>
      <c r="K94" s="18"/>
      <c r="L94" s="12"/>
    </row>
    <row r="95" spans="1:12" ht="13.5" customHeight="1" x14ac:dyDescent="0.2">
      <c r="A95" s="19"/>
      <c r="B95" s="20"/>
      <c r="C95" s="34" t="s">
        <v>109</v>
      </c>
      <c r="D95" s="11" t="s">
        <v>19</v>
      </c>
      <c r="E95" s="12">
        <v>-18.29</v>
      </c>
      <c r="F95" s="22" t="s">
        <v>549</v>
      </c>
      <c r="G95" s="23">
        <v>2462.58</v>
      </c>
      <c r="H95" s="24"/>
      <c r="I95" s="25"/>
      <c r="J95" s="26"/>
      <c r="K95" s="18"/>
      <c r="L95" s="12"/>
    </row>
    <row r="96" spans="1:12" ht="13.5" customHeight="1" x14ac:dyDescent="0.2">
      <c r="A96" s="19"/>
      <c r="B96" s="20"/>
      <c r="C96" s="34" t="s">
        <v>2052</v>
      </c>
      <c r="D96" s="11" t="s">
        <v>2053</v>
      </c>
      <c r="E96" s="12">
        <v>-119.99</v>
      </c>
      <c r="F96" s="22" t="s">
        <v>549</v>
      </c>
      <c r="G96" s="23">
        <v>2342.59</v>
      </c>
      <c r="H96" s="24"/>
      <c r="I96" s="25"/>
      <c r="J96" s="26"/>
      <c r="K96" s="18"/>
      <c r="L96" s="12"/>
    </row>
    <row r="97" spans="1:12" ht="13.5" customHeight="1" x14ac:dyDescent="0.2">
      <c r="A97" s="19"/>
      <c r="B97" s="20"/>
      <c r="C97" s="34" t="s">
        <v>18</v>
      </c>
      <c r="D97" s="11" t="s">
        <v>2054</v>
      </c>
      <c r="E97" s="12">
        <v>-353.97</v>
      </c>
      <c r="F97" s="22" t="s">
        <v>549</v>
      </c>
      <c r="G97" s="23">
        <v>1988.62</v>
      </c>
      <c r="H97" s="24"/>
      <c r="I97" s="25"/>
      <c r="J97" s="26"/>
      <c r="K97" s="18"/>
      <c r="L97" s="12"/>
    </row>
    <row r="98" spans="1:12" ht="13.5" customHeight="1" x14ac:dyDescent="0.2">
      <c r="A98" s="19"/>
      <c r="B98" s="20"/>
      <c r="C98" s="34" t="s">
        <v>2055</v>
      </c>
      <c r="D98" s="11" t="s">
        <v>19</v>
      </c>
      <c r="E98" s="12">
        <v>-750</v>
      </c>
      <c r="F98" s="22" t="s">
        <v>549</v>
      </c>
      <c r="G98" s="23">
        <v>1238.6199999999999</v>
      </c>
      <c r="H98" s="24"/>
      <c r="I98" s="25"/>
      <c r="J98" s="26"/>
      <c r="K98" s="18"/>
      <c r="L98" s="12"/>
    </row>
    <row r="99" spans="1:12" ht="13.5" customHeight="1" x14ac:dyDescent="0.2">
      <c r="A99" s="19"/>
      <c r="B99" s="20"/>
      <c r="C99" s="34" t="s">
        <v>2056</v>
      </c>
      <c r="D99" s="11" t="s">
        <v>19</v>
      </c>
      <c r="E99" s="12">
        <v>-1000</v>
      </c>
      <c r="F99" s="22" t="s">
        <v>549</v>
      </c>
      <c r="G99" s="23">
        <v>238.62</v>
      </c>
      <c r="H99" s="24"/>
      <c r="I99" s="25"/>
      <c r="J99" s="26"/>
      <c r="K99" s="18"/>
      <c r="L99" s="12"/>
    </row>
    <row r="100" spans="1:12" ht="13.5" customHeight="1" x14ac:dyDescent="0.2">
      <c r="A100" s="19"/>
      <c r="B100" s="20"/>
      <c r="C100" s="34" t="s">
        <v>2051</v>
      </c>
      <c r="D100" s="11" t="s">
        <v>2057</v>
      </c>
      <c r="E100" s="12" t="s">
        <v>549</v>
      </c>
      <c r="F100" s="162">
        <v>2000</v>
      </c>
      <c r="G100" s="23">
        <v>2238.62</v>
      </c>
      <c r="H100" s="24"/>
      <c r="I100" s="25"/>
      <c r="J100" s="26"/>
      <c r="K100" s="18"/>
      <c r="L100" s="12"/>
    </row>
    <row r="101" spans="1:12" ht="13.5" customHeight="1" x14ac:dyDescent="0.2">
      <c r="A101" s="19"/>
      <c r="B101" s="20"/>
      <c r="C101" s="34" t="s">
        <v>2051</v>
      </c>
      <c r="D101" s="11" t="s">
        <v>2058</v>
      </c>
      <c r="E101" s="12" t="s">
        <v>549</v>
      </c>
      <c r="F101" s="162">
        <v>1000</v>
      </c>
      <c r="G101" s="23">
        <v>3238.62</v>
      </c>
      <c r="H101" s="24"/>
      <c r="I101" s="25"/>
      <c r="J101" s="26"/>
      <c r="K101" s="18"/>
      <c r="L101" s="12"/>
    </row>
    <row r="102" spans="1:12" ht="13.5" customHeight="1" x14ac:dyDescent="0.2">
      <c r="A102" s="19"/>
      <c r="B102" s="20"/>
      <c r="C102" s="34" t="s">
        <v>2059</v>
      </c>
      <c r="D102" s="11" t="s">
        <v>2060</v>
      </c>
      <c r="E102" s="12">
        <v>-700</v>
      </c>
      <c r="F102" s="22" t="s">
        <v>549</v>
      </c>
      <c r="G102" s="23">
        <v>2538.62</v>
      </c>
      <c r="H102" s="24"/>
      <c r="I102" s="25"/>
      <c r="J102" s="26"/>
      <c r="K102" s="18"/>
      <c r="L102" s="12"/>
    </row>
    <row r="103" spans="1:12" ht="13.5" customHeight="1" x14ac:dyDescent="0.2">
      <c r="A103" s="19">
        <v>43605</v>
      </c>
      <c r="B103" s="20"/>
      <c r="C103" s="34" t="s">
        <v>2061</v>
      </c>
      <c r="D103" s="11"/>
      <c r="E103" s="12"/>
      <c r="F103" s="22"/>
      <c r="G103" s="23"/>
      <c r="H103" s="24">
        <v>9</v>
      </c>
      <c r="I103" s="25"/>
      <c r="J103" s="26"/>
      <c r="K103" s="18"/>
      <c r="L103" s="12"/>
    </row>
    <row r="104" spans="1:12" ht="13.5" customHeight="1" x14ac:dyDescent="0.2">
      <c r="A104" s="19"/>
      <c r="B104" s="20"/>
      <c r="C104" s="34" t="s">
        <v>2062</v>
      </c>
      <c r="D104" s="11"/>
      <c r="E104" s="12"/>
      <c r="F104" s="22"/>
      <c r="G104" s="23"/>
      <c r="H104" s="24"/>
      <c r="I104" s="25">
        <v>80</v>
      </c>
      <c r="J104" s="26">
        <v>2004.6400000000012</v>
      </c>
      <c r="K104" s="18"/>
      <c r="L104" s="12"/>
    </row>
    <row r="105" spans="1:12" ht="13.5" customHeight="1" x14ac:dyDescent="0.2">
      <c r="A105" s="19"/>
      <c r="B105" s="20"/>
      <c r="C105" s="34" t="s">
        <v>2063</v>
      </c>
      <c r="D105" s="11" t="s">
        <v>474</v>
      </c>
      <c r="E105" s="12">
        <v>-1390</v>
      </c>
      <c r="F105" s="22" t="s">
        <v>549</v>
      </c>
      <c r="G105" s="23">
        <v>1148.6199999999999</v>
      </c>
      <c r="H105" s="24"/>
      <c r="I105" s="25"/>
      <c r="J105" s="26"/>
      <c r="K105" s="18"/>
      <c r="L105" s="12"/>
    </row>
    <row r="106" spans="1:12" ht="13.5" customHeight="1" x14ac:dyDescent="0.2">
      <c r="A106" s="19"/>
      <c r="B106" s="20"/>
      <c r="C106" s="34" t="s">
        <v>132</v>
      </c>
      <c r="D106" s="11" t="s">
        <v>2064</v>
      </c>
      <c r="E106" s="12">
        <v>-916.85</v>
      </c>
      <c r="F106" s="22" t="s">
        <v>549</v>
      </c>
      <c r="G106" s="23">
        <v>231.77</v>
      </c>
      <c r="H106" s="24"/>
      <c r="I106" s="25"/>
      <c r="J106" s="26"/>
      <c r="K106" s="18"/>
      <c r="L106" s="12"/>
    </row>
    <row r="107" spans="1:12" ht="13.5" customHeight="1" x14ac:dyDescent="0.2">
      <c r="A107" s="19"/>
      <c r="B107" s="20"/>
      <c r="C107" s="34" t="s">
        <v>2065</v>
      </c>
      <c r="D107" s="11" t="s">
        <v>2066</v>
      </c>
      <c r="E107" s="12">
        <v>-119.9</v>
      </c>
      <c r="F107" s="22" t="s">
        <v>549</v>
      </c>
      <c r="G107" s="23">
        <v>111.87</v>
      </c>
      <c r="H107" s="24"/>
      <c r="I107" s="25"/>
      <c r="J107" s="26"/>
      <c r="K107" s="18"/>
      <c r="L107" s="12"/>
    </row>
    <row r="108" spans="1:12" ht="13.5" customHeight="1" x14ac:dyDescent="0.2">
      <c r="A108" s="19">
        <v>43606</v>
      </c>
      <c r="B108" s="20"/>
      <c r="C108" s="34" t="s">
        <v>2067</v>
      </c>
      <c r="D108" s="11"/>
      <c r="E108" s="12"/>
      <c r="F108" s="22"/>
      <c r="G108" s="23"/>
      <c r="H108" s="24"/>
      <c r="I108" s="25">
        <v>190</v>
      </c>
      <c r="J108" s="26"/>
      <c r="K108" s="18"/>
      <c r="L108" s="12"/>
    </row>
    <row r="109" spans="1:12" ht="13.5" customHeight="1" x14ac:dyDescent="0.2">
      <c r="A109" s="19"/>
      <c r="B109" s="20"/>
      <c r="C109" s="34" t="s">
        <v>2068</v>
      </c>
      <c r="D109" s="11"/>
      <c r="E109" s="12"/>
      <c r="F109" s="22"/>
      <c r="G109" s="23"/>
      <c r="H109" s="24"/>
      <c r="I109" s="25">
        <v>525</v>
      </c>
      <c r="J109" s="26"/>
      <c r="K109" s="18"/>
      <c r="L109" s="12"/>
    </row>
    <row r="110" spans="1:12" ht="13.5" customHeight="1" x14ac:dyDescent="0.2">
      <c r="A110" s="19"/>
      <c r="B110" s="20"/>
      <c r="C110" s="34" t="s">
        <v>2069</v>
      </c>
      <c r="D110" s="11"/>
      <c r="E110" s="12"/>
      <c r="F110" s="22"/>
      <c r="G110" s="23"/>
      <c r="H110" s="24"/>
      <c r="I110" s="25">
        <v>8059.75</v>
      </c>
      <c r="J110" s="26"/>
      <c r="K110" s="18"/>
      <c r="L110" s="12"/>
    </row>
    <row r="111" spans="1:12" ht="13.5" customHeight="1" x14ac:dyDescent="0.2">
      <c r="A111" s="19"/>
      <c r="B111" s="20"/>
      <c r="C111" s="34" t="s">
        <v>2070</v>
      </c>
      <c r="D111" s="11"/>
      <c r="E111" s="12"/>
      <c r="F111" s="22"/>
      <c r="G111" s="23"/>
      <c r="H111" s="174">
        <v>8584.75</v>
      </c>
      <c r="I111" s="25"/>
      <c r="J111" s="26"/>
      <c r="K111" s="18"/>
      <c r="L111" s="12"/>
    </row>
    <row r="112" spans="1:12" ht="13.5" customHeight="1" x14ac:dyDescent="0.2">
      <c r="A112" s="19"/>
      <c r="B112" s="20"/>
      <c r="C112" s="34" t="s">
        <v>2071</v>
      </c>
      <c r="D112" s="11"/>
      <c r="E112" s="12"/>
      <c r="F112" s="22"/>
      <c r="G112" s="23"/>
      <c r="H112" s="24">
        <v>120</v>
      </c>
      <c r="I112" s="25"/>
      <c r="J112" s="26">
        <v>2074.6400000000012</v>
      </c>
      <c r="K112" s="18"/>
      <c r="L112" s="12"/>
    </row>
    <row r="113" spans="1:15" ht="13.5" customHeight="1" x14ac:dyDescent="0.2">
      <c r="A113" s="19" t="s">
        <v>2072</v>
      </c>
      <c r="B113" s="20"/>
      <c r="C113" s="36" t="s">
        <v>20</v>
      </c>
      <c r="D113" s="11" t="s">
        <v>19</v>
      </c>
      <c r="E113" s="12" t="s">
        <v>549</v>
      </c>
      <c r="F113" s="22">
        <v>0.02</v>
      </c>
      <c r="G113" s="23">
        <v>111.89</v>
      </c>
      <c r="H113" s="24"/>
      <c r="I113" s="25"/>
      <c r="J113" s="26"/>
      <c r="K113" s="18"/>
      <c r="L113" s="12"/>
    </row>
    <row r="114" spans="1:15" ht="13.5" customHeight="1" x14ac:dyDescent="0.2">
      <c r="A114" s="19">
        <v>43607</v>
      </c>
      <c r="B114" s="20"/>
      <c r="C114" s="34" t="s">
        <v>2073</v>
      </c>
      <c r="D114" s="11"/>
      <c r="E114" s="12"/>
      <c r="F114" s="528"/>
      <c r="G114" s="23"/>
      <c r="H114" s="267">
        <v>130</v>
      </c>
      <c r="I114" s="25"/>
      <c r="J114" s="26"/>
      <c r="K114" s="18"/>
      <c r="L114" s="12"/>
      <c r="O114" s="529"/>
    </row>
    <row r="115" spans="1:15" ht="13.5" customHeight="1" x14ac:dyDescent="0.2">
      <c r="A115" s="19"/>
      <c r="B115" s="20"/>
      <c r="C115" s="34" t="s">
        <v>2074</v>
      </c>
      <c r="D115" s="11"/>
      <c r="E115" s="12"/>
      <c r="F115" s="528"/>
      <c r="G115" s="23"/>
      <c r="H115" s="267">
        <v>70</v>
      </c>
      <c r="I115" s="25"/>
      <c r="J115" s="26"/>
      <c r="K115" s="18"/>
      <c r="L115" s="12"/>
      <c r="O115" s="529"/>
    </row>
    <row r="116" spans="1:15" ht="13.5" customHeight="1" x14ac:dyDescent="0.2">
      <c r="A116" s="19"/>
      <c r="B116" s="20"/>
      <c r="C116" s="34" t="s">
        <v>2075</v>
      </c>
      <c r="D116" s="11"/>
      <c r="E116" s="12"/>
      <c r="F116" s="528"/>
      <c r="G116" s="23"/>
      <c r="H116" s="267">
        <v>7</v>
      </c>
      <c r="I116" s="25"/>
      <c r="J116" s="26"/>
      <c r="K116" s="18"/>
      <c r="L116" s="12"/>
      <c r="O116" s="529"/>
    </row>
    <row r="117" spans="1:15" ht="13.5" customHeight="1" x14ac:dyDescent="0.2">
      <c r="A117" s="19"/>
      <c r="B117" s="20"/>
      <c r="C117" s="34" t="s">
        <v>2076</v>
      </c>
      <c r="D117" s="11"/>
      <c r="E117" s="12"/>
      <c r="F117" s="528"/>
      <c r="G117" s="23"/>
      <c r="H117" s="174">
        <v>1200</v>
      </c>
      <c r="I117" s="25"/>
      <c r="J117" s="26">
        <v>667.64000000000124</v>
      </c>
      <c r="K117" s="18"/>
      <c r="L117" s="12"/>
      <c r="O117" s="529"/>
    </row>
    <row r="118" spans="1:15" ht="13.5" customHeight="1" x14ac:dyDescent="0.2">
      <c r="A118" s="19"/>
      <c r="B118" s="20"/>
      <c r="C118" s="36" t="s">
        <v>127</v>
      </c>
      <c r="D118" s="11" t="s">
        <v>19</v>
      </c>
      <c r="E118" s="12">
        <v>-30.49</v>
      </c>
      <c r="F118" s="22" t="s">
        <v>549</v>
      </c>
      <c r="G118" s="23"/>
      <c r="H118" s="24"/>
      <c r="I118" s="25"/>
      <c r="J118" s="26"/>
      <c r="K118" s="18"/>
      <c r="L118" s="12"/>
    </row>
    <row r="119" spans="1:15" ht="13.5" customHeight="1" x14ac:dyDescent="0.2">
      <c r="A119" s="19"/>
      <c r="B119" s="20"/>
      <c r="C119" s="33" t="s">
        <v>736</v>
      </c>
      <c r="D119" s="11" t="s">
        <v>19</v>
      </c>
      <c r="E119" s="12">
        <v>-41.18</v>
      </c>
      <c r="F119" s="22" t="s">
        <v>549</v>
      </c>
      <c r="G119" s="23"/>
      <c r="H119" s="24"/>
      <c r="I119" s="25"/>
      <c r="J119" s="26"/>
      <c r="K119" s="18"/>
      <c r="L119" s="12"/>
    </row>
    <row r="120" spans="1:15" ht="13.5" customHeight="1" x14ac:dyDescent="0.2">
      <c r="A120" s="19"/>
      <c r="B120" s="20"/>
      <c r="C120" s="36" t="s">
        <v>129</v>
      </c>
      <c r="D120" s="11" t="s">
        <v>19</v>
      </c>
      <c r="E120" s="12">
        <v>-66.44</v>
      </c>
      <c r="F120" s="22" t="s">
        <v>549</v>
      </c>
      <c r="G120" s="23"/>
      <c r="H120" s="24"/>
      <c r="I120" s="25"/>
      <c r="J120" s="26"/>
      <c r="K120" s="18"/>
      <c r="L120" s="12"/>
    </row>
    <row r="121" spans="1:15" ht="13.5" customHeight="1" x14ac:dyDescent="0.2">
      <c r="A121" s="19"/>
      <c r="B121" s="20"/>
      <c r="C121" s="36" t="s">
        <v>130</v>
      </c>
      <c r="D121" s="11" t="s">
        <v>19</v>
      </c>
      <c r="E121" s="12">
        <v>-367.33</v>
      </c>
      <c r="F121" s="22" t="s">
        <v>549</v>
      </c>
      <c r="G121" s="23"/>
      <c r="H121" s="24"/>
      <c r="I121" s="25"/>
      <c r="J121" s="26"/>
      <c r="K121" s="18"/>
      <c r="L121" s="12"/>
    </row>
    <row r="122" spans="1:15" ht="13.5" customHeight="1" x14ac:dyDescent="0.2">
      <c r="A122" s="19"/>
      <c r="B122" s="20"/>
      <c r="C122" s="33" t="s">
        <v>737</v>
      </c>
      <c r="D122" s="11" t="s">
        <v>19</v>
      </c>
      <c r="E122" s="12">
        <v>-420.28</v>
      </c>
      <c r="F122" s="22" t="s">
        <v>549</v>
      </c>
      <c r="G122" s="23"/>
      <c r="H122" s="24"/>
      <c r="I122" s="25"/>
      <c r="J122" s="26"/>
      <c r="K122" s="18"/>
      <c r="L122" s="12"/>
    </row>
    <row r="123" spans="1:15" ht="13.5" customHeight="1" x14ac:dyDescent="0.2">
      <c r="A123" s="19"/>
      <c r="B123" s="20"/>
      <c r="C123" s="34" t="s">
        <v>2077</v>
      </c>
      <c r="D123" s="11" t="s">
        <v>2078</v>
      </c>
      <c r="E123" s="12">
        <v>-400</v>
      </c>
      <c r="F123" s="22" t="s">
        <v>549</v>
      </c>
      <c r="G123" s="23"/>
      <c r="H123" s="24"/>
      <c r="I123" s="25"/>
      <c r="J123" s="26"/>
      <c r="K123" s="18"/>
      <c r="L123" s="12"/>
    </row>
    <row r="124" spans="1:15" ht="13.5" customHeight="1" x14ac:dyDescent="0.2">
      <c r="A124" s="19"/>
      <c r="B124" s="20"/>
      <c r="C124" s="34" t="s">
        <v>2076</v>
      </c>
      <c r="D124" s="11" t="s">
        <v>2079</v>
      </c>
      <c r="E124" s="12" t="s">
        <v>549</v>
      </c>
      <c r="F124" s="162">
        <v>1200</v>
      </c>
      <c r="G124" s="23">
        <v>-13.83</v>
      </c>
      <c r="H124" s="24"/>
      <c r="I124" s="25"/>
      <c r="J124" s="26"/>
      <c r="K124" s="18"/>
      <c r="L124" s="12"/>
    </row>
    <row r="125" spans="1:15" ht="13.5" customHeight="1" x14ac:dyDescent="0.2">
      <c r="A125" s="19">
        <v>43608</v>
      </c>
      <c r="B125" s="20"/>
      <c r="C125" s="34" t="s">
        <v>1666</v>
      </c>
      <c r="D125" s="11"/>
      <c r="E125" s="12"/>
      <c r="F125" s="528"/>
      <c r="G125" s="23"/>
      <c r="H125" s="267">
        <v>56.08</v>
      </c>
      <c r="I125" s="25"/>
      <c r="J125" s="26"/>
      <c r="K125" s="18"/>
      <c r="L125" s="12"/>
      <c r="O125" s="529"/>
    </row>
    <row r="126" spans="1:15" ht="13.5" customHeight="1" x14ac:dyDescent="0.2">
      <c r="A126" s="19"/>
      <c r="B126" s="20"/>
      <c r="C126" s="34" t="s">
        <v>2080</v>
      </c>
      <c r="D126" s="11"/>
      <c r="E126" s="12"/>
      <c r="F126" s="528"/>
      <c r="G126" s="23"/>
      <c r="H126" s="267">
        <v>2</v>
      </c>
      <c r="I126" s="25"/>
      <c r="J126" s="26"/>
      <c r="K126" s="18"/>
      <c r="L126" s="12"/>
      <c r="O126" s="529"/>
    </row>
    <row r="127" spans="1:15" ht="13.5" customHeight="1" x14ac:dyDescent="0.2">
      <c r="A127" s="19"/>
      <c r="B127" s="20"/>
      <c r="C127" s="34" t="s">
        <v>1824</v>
      </c>
      <c r="D127" s="11"/>
      <c r="E127" s="12"/>
      <c r="F127" s="528"/>
      <c r="G127" s="23"/>
      <c r="H127" s="267">
        <v>11</v>
      </c>
      <c r="I127" s="25"/>
      <c r="J127" s="26"/>
      <c r="K127" s="18"/>
      <c r="L127" s="12"/>
      <c r="O127" s="529"/>
    </row>
    <row r="128" spans="1:15" ht="13.5" customHeight="1" x14ac:dyDescent="0.2">
      <c r="A128" s="19"/>
      <c r="B128" s="20"/>
      <c r="C128" s="34" t="s">
        <v>2081</v>
      </c>
      <c r="D128" s="11"/>
      <c r="E128" s="12"/>
      <c r="F128" s="528"/>
      <c r="G128" s="23"/>
      <c r="H128" s="267">
        <v>26.81</v>
      </c>
      <c r="I128" s="25"/>
      <c r="J128" s="26"/>
      <c r="K128" s="18"/>
      <c r="L128" s="12"/>
      <c r="O128" s="529"/>
    </row>
    <row r="129" spans="1:15" ht="13.5" customHeight="1" x14ac:dyDescent="0.2">
      <c r="A129" s="19"/>
      <c r="B129" s="20"/>
      <c r="C129" s="34" t="s">
        <v>2082</v>
      </c>
      <c r="D129" s="11"/>
      <c r="E129" s="12"/>
      <c r="F129" s="528"/>
      <c r="G129" s="23"/>
      <c r="H129" s="267">
        <v>11.8</v>
      </c>
      <c r="I129" s="25"/>
      <c r="J129" s="26"/>
      <c r="K129" s="18"/>
      <c r="L129" s="12"/>
      <c r="O129" s="529"/>
    </row>
    <row r="130" spans="1:15" ht="13.5" customHeight="1" x14ac:dyDescent="0.2">
      <c r="A130" s="19"/>
      <c r="B130" s="20"/>
      <c r="C130" s="34" t="s">
        <v>2083</v>
      </c>
      <c r="D130" s="11"/>
      <c r="E130" s="12"/>
      <c r="F130" s="528"/>
      <c r="G130" s="23"/>
      <c r="H130" s="267">
        <v>11.97</v>
      </c>
      <c r="I130" s="25"/>
      <c r="J130" s="26"/>
      <c r="K130" s="18"/>
      <c r="L130" s="12"/>
      <c r="O130" s="529"/>
    </row>
    <row r="131" spans="1:15" ht="13.5" customHeight="1" x14ac:dyDescent="0.2">
      <c r="A131" s="19"/>
      <c r="B131" s="20"/>
      <c r="C131" s="34" t="s">
        <v>2083</v>
      </c>
      <c r="D131" s="11"/>
      <c r="E131" s="12"/>
      <c r="F131" s="528"/>
      <c r="G131" s="23"/>
      <c r="H131" s="267">
        <v>6.99</v>
      </c>
      <c r="I131" s="25"/>
      <c r="J131" s="26"/>
      <c r="K131" s="18"/>
      <c r="L131" s="12"/>
      <c r="O131" s="529"/>
    </row>
    <row r="132" spans="1:15" ht="13.5" customHeight="1" x14ac:dyDescent="0.2">
      <c r="A132" s="19"/>
      <c r="B132" s="20"/>
      <c r="C132" s="34" t="s">
        <v>2084</v>
      </c>
      <c r="D132" s="11"/>
      <c r="E132" s="12"/>
      <c r="F132" s="528"/>
      <c r="G132" s="23"/>
      <c r="H132" s="267">
        <v>13.75</v>
      </c>
      <c r="I132" s="25"/>
      <c r="J132" s="26"/>
      <c r="K132" s="18"/>
      <c r="L132" s="12"/>
      <c r="O132" s="529"/>
    </row>
    <row r="133" spans="1:15" ht="13.5" customHeight="1" x14ac:dyDescent="0.2">
      <c r="A133" s="19"/>
      <c r="B133" s="20"/>
      <c r="C133" s="34" t="s">
        <v>1912</v>
      </c>
      <c r="D133" s="11"/>
      <c r="E133" s="12"/>
      <c r="F133" s="528"/>
      <c r="G133" s="23"/>
      <c r="H133" s="267">
        <v>2.95</v>
      </c>
      <c r="I133" s="25"/>
      <c r="J133" s="26"/>
      <c r="K133" s="18"/>
      <c r="L133" s="12"/>
      <c r="O133" s="529"/>
    </row>
    <row r="134" spans="1:15" ht="13.5" customHeight="1" x14ac:dyDescent="0.2">
      <c r="A134" s="19"/>
      <c r="B134" s="20"/>
      <c r="C134" s="34" t="s">
        <v>2085</v>
      </c>
      <c r="D134" s="11"/>
      <c r="E134" s="12"/>
      <c r="F134" s="528"/>
      <c r="G134" s="23"/>
      <c r="H134" s="267">
        <v>5</v>
      </c>
      <c r="I134" s="25"/>
      <c r="J134" s="26"/>
      <c r="K134" s="18"/>
      <c r="L134" s="12"/>
      <c r="O134" s="529"/>
    </row>
    <row r="135" spans="1:15" ht="13.5" customHeight="1" x14ac:dyDescent="0.2">
      <c r="A135" s="19"/>
      <c r="B135" s="20"/>
      <c r="C135" s="34" t="s">
        <v>2086</v>
      </c>
      <c r="D135" s="11"/>
      <c r="E135" s="12"/>
      <c r="F135" s="528"/>
      <c r="G135" s="23"/>
      <c r="H135" s="267">
        <v>30.78</v>
      </c>
      <c r="I135" s="25"/>
      <c r="J135" s="26"/>
      <c r="K135" s="18"/>
      <c r="L135" s="12"/>
      <c r="O135" s="529"/>
    </row>
    <row r="136" spans="1:15" ht="13.5" customHeight="1" x14ac:dyDescent="0.2">
      <c r="A136" s="19"/>
      <c r="B136" s="20"/>
      <c r="C136" s="34" t="s">
        <v>2087</v>
      </c>
      <c r="D136" s="11"/>
      <c r="E136" s="12"/>
      <c r="F136" s="528"/>
      <c r="G136" s="23"/>
      <c r="H136" s="267"/>
      <c r="I136" s="25">
        <v>6470</v>
      </c>
      <c r="J136" s="26"/>
      <c r="K136" s="18"/>
      <c r="L136" s="12"/>
      <c r="O136" s="529"/>
    </row>
    <row r="137" spans="1:15" ht="13.5" customHeight="1" x14ac:dyDescent="0.2">
      <c r="A137" s="19"/>
      <c r="B137" s="20"/>
      <c r="C137" s="34" t="s">
        <v>2088</v>
      </c>
      <c r="D137" s="11"/>
      <c r="E137" s="12"/>
      <c r="F137" s="528"/>
      <c r="G137" s="23"/>
      <c r="H137" s="174">
        <v>6470</v>
      </c>
      <c r="I137" s="25"/>
      <c r="J137" s="26">
        <v>488.51000000000113</v>
      </c>
      <c r="K137" s="18"/>
      <c r="L137" s="12"/>
      <c r="O137" s="529"/>
    </row>
    <row r="138" spans="1:15" ht="13.5" customHeight="1" x14ac:dyDescent="0.2">
      <c r="A138" s="19"/>
      <c r="B138" s="20"/>
      <c r="C138" s="34" t="s">
        <v>2088</v>
      </c>
      <c r="D138" s="11" t="s">
        <v>2089</v>
      </c>
      <c r="E138" s="12" t="s">
        <v>549</v>
      </c>
      <c r="F138" s="162">
        <v>6470</v>
      </c>
      <c r="G138" s="23">
        <v>6456.17</v>
      </c>
      <c r="H138" s="267"/>
      <c r="I138" s="25"/>
      <c r="J138" s="26"/>
      <c r="K138" s="18"/>
      <c r="L138" s="12"/>
      <c r="O138" s="529"/>
    </row>
    <row r="139" spans="1:15" ht="13.5" customHeight="1" x14ac:dyDescent="0.2">
      <c r="A139" s="19">
        <v>43609</v>
      </c>
      <c r="B139" s="20"/>
      <c r="C139" s="34" t="s">
        <v>2090</v>
      </c>
      <c r="D139" s="11"/>
      <c r="E139" s="12"/>
      <c r="F139" s="528"/>
      <c r="G139" s="23"/>
      <c r="H139" s="267"/>
      <c r="I139" s="418">
        <v>500</v>
      </c>
      <c r="J139" s="26"/>
      <c r="K139" s="18"/>
      <c r="L139" s="12"/>
      <c r="O139" s="529"/>
    </row>
    <row r="140" spans="1:15" ht="13.5" customHeight="1" x14ac:dyDescent="0.2">
      <c r="A140" s="19"/>
      <c r="B140" s="20"/>
      <c r="C140" s="34" t="s">
        <v>2091</v>
      </c>
      <c r="D140" s="11"/>
      <c r="E140" s="12"/>
      <c r="F140" s="528"/>
      <c r="G140" s="23"/>
      <c r="H140" s="267">
        <v>450</v>
      </c>
      <c r="I140" s="25"/>
      <c r="J140" s="26">
        <v>538.51000000000113</v>
      </c>
      <c r="K140" s="18"/>
      <c r="L140" s="12"/>
      <c r="O140" s="529"/>
    </row>
    <row r="141" spans="1:15" ht="13.5" customHeight="1" x14ac:dyDescent="0.2">
      <c r="A141" s="19"/>
      <c r="B141" s="20"/>
      <c r="C141" s="34" t="s">
        <v>86</v>
      </c>
      <c r="D141" s="11" t="s">
        <v>19</v>
      </c>
      <c r="E141" s="12">
        <v>-9.9</v>
      </c>
      <c r="F141" s="528" t="s">
        <v>549</v>
      </c>
      <c r="G141" s="23"/>
      <c r="H141" s="267"/>
      <c r="I141" s="25"/>
      <c r="J141" s="26"/>
      <c r="K141" s="18"/>
      <c r="L141" s="12"/>
      <c r="O141" s="529"/>
    </row>
    <row r="142" spans="1:15" ht="13.5" customHeight="1" x14ac:dyDescent="0.2">
      <c r="A142" s="19"/>
      <c r="B142" s="20"/>
      <c r="C142" s="34" t="s">
        <v>136</v>
      </c>
      <c r="D142" s="11" t="s">
        <v>19</v>
      </c>
      <c r="E142" s="12">
        <v>-45.9</v>
      </c>
      <c r="F142" s="528" t="s">
        <v>549</v>
      </c>
      <c r="G142" s="23"/>
      <c r="H142" s="267"/>
      <c r="I142" s="25"/>
      <c r="J142" s="26"/>
      <c r="K142" s="18"/>
      <c r="L142" s="12"/>
      <c r="O142" s="529"/>
    </row>
    <row r="143" spans="1:15" ht="13.5" customHeight="1" x14ac:dyDescent="0.2">
      <c r="A143" s="19"/>
      <c r="B143" s="20"/>
      <c r="C143" s="34" t="s">
        <v>2092</v>
      </c>
      <c r="D143" s="11" t="s">
        <v>965</v>
      </c>
      <c r="E143" s="12">
        <v>-44.53</v>
      </c>
      <c r="F143" s="528" t="s">
        <v>549</v>
      </c>
      <c r="G143" s="23"/>
      <c r="H143" s="267"/>
      <c r="I143" s="25"/>
      <c r="J143" s="26"/>
      <c r="K143" s="18"/>
      <c r="L143" s="12"/>
      <c r="O143" s="529"/>
    </row>
    <row r="144" spans="1:15" ht="13.5" customHeight="1" x14ac:dyDescent="0.2">
      <c r="A144" s="19"/>
      <c r="B144" s="20"/>
      <c r="C144" s="34" t="s">
        <v>2093</v>
      </c>
      <c r="D144" s="11" t="s">
        <v>461</v>
      </c>
      <c r="E144" s="12">
        <v>-44.16</v>
      </c>
      <c r="F144" s="528" t="s">
        <v>549</v>
      </c>
      <c r="G144" s="275">
        <v>6311.68</v>
      </c>
      <c r="H144" s="267"/>
      <c r="I144" s="25"/>
      <c r="J144" s="26"/>
      <c r="K144" s="18"/>
      <c r="L144" s="12"/>
      <c r="O144" s="529"/>
    </row>
    <row r="145" spans="1:15" ht="13.5" customHeight="1" x14ac:dyDescent="0.2">
      <c r="A145" s="19">
        <v>43613</v>
      </c>
      <c r="B145" s="20"/>
      <c r="C145" s="34" t="s">
        <v>2094</v>
      </c>
      <c r="D145" s="11"/>
      <c r="E145" s="12"/>
      <c r="F145" s="528"/>
      <c r="G145" s="23"/>
      <c r="H145" s="267"/>
      <c r="I145" s="25">
        <v>900</v>
      </c>
      <c r="J145" s="26"/>
      <c r="K145" s="18"/>
      <c r="L145" s="12"/>
      <c r="O145" s="529"/>
    </row>
    <row r="146" spans="1:15" ht="13.5" customHeight="1" x14ac:dyDescent="0.2">
      <c r="A146" s="19"/>
      <c r="B146" s="20"/>
      <c r="C146" s="34" t="s">
        <v>2095</v>
      </c>
      <c r="D146" s="11"/>
      <c r="E146" s="12"/>
      <c r="F146" s="528"/>
      <c r="G146" s="23"/>
      <c r="H146" s="267">
        <v>35.549999999999997</v>
      </c>
      <c r="I146" s="25"/>
      <c r="J146" s="26"/>
      <c r="K146" s="18"/>
      <c r="L146" s="12"/>
      <c r="O146" s="529"/>
    </row>
    <row r="147" spans="1:15" ht="13.5" customHeight="1" x14ac:dyDescent="0.2">
      <c r="A147" s="19"/>
      <c r="B147" s="20"/>
      <c r="C147" s="34" t="s">
        <v>2096</v>
      </c>
      <c r="D147" s="11"/>
      <c r="E147" s="12"/>
      <c r="F147" s="528"/>
      <c r="G147" s="23"/>
      <c r="H147" s="267">
        <v>4.5</v>
      </c>
      <c r="I147" s="25"/>
      <c r="J147" s="26"/>
      <c r="K147" s="18"/>
      <c r="L147" s="12"/>
      <c r="O147" s="529"/>
    </row>
    <row r="148" spans="1:15" ht="13.5" customHeight="1" x14ac:dyDescent="0.2">
      <c r="A148" s="19"/>
      <c r="B148" s="20"/>
      <c r="C148" s="34" t="s">
        <v>2097</v>
      </c>
      <c r="D148" s="11"/>
      <c r="E148" s="12"/>
      <c r="F148" s="528"/>
      <c r="G148" s="23"/>
      <c r="H148" s="267">
        <v>33</v>
      </c>
      <c r="I148" s="25"/>
      <c r="J148" s="26"/>
      <c r="K148" s="18"/>
      <c r="L148" s="12"/>
      <c r="O148" s="529"/>
    </row>
    <row r="149" spans="1:15" ht="13.5" customHeight="1" x14ac:dyDescent="0.2">
      <c r="A149" s="19"/>
      <c r="B149" s="20"/>
      <c r="C149" s="34" t="s">
        <v>2098</v>
      </c>
      <c r="D149" s="11"/>
      <c r="E149" s="12"/>
      <c r="F149" s="528"/>
      <c r="G149" s="23"/>
      <c r="H149" s="267">
        <v>22.5</v>
      </c>
      <c r="I149" s="25"/>
      <c r="J149" s="26"/>
      <c r="K149" s="18"/>
      <c r="L149" s="12"/>
      <c r="O149" s="529"/>
    </row>
    <row r="150" spans="1:15" ht="13.5" customHeight="1" x14ac:dyDescent="0.2">
      <c r="A150" s="19"/>
      <c r="B150" s="20"/>
      <c r="C150" s="34" t="s">
        <v>1834</v>
      </c>
      <c r="D150" s="11"/>
      <c r="E150" s="12"/>
      <c r="F150" s="528"/>
      <c r="G150" s="23"/>
      <c r="H150" s="267">
        <v>18</v>
      </c>
      <c r="I150" s="25"/>
      <c r="J150" s="26"/>
      <c r="K150" s="18"/>
      <c r="L150" s="12"/>
      <c r="O150" s="529"/>
    </row>
    <row r="151" spans="1:15" ht="13.5" customHeight="1" x14ac:dyDescent="0.2">
      <c r="A151" s="19"/>
      <c r="B151" s="20"/>
      <c r="C151" s="34" t="s">
        <v>2099</v>
      </c>
      <c r="D151" s="11"/>
      <c r="E151" s="12"/>
      <c r="F151" s="528"/>
      <c r="G151" s="23"/>
      <c r="H151" s="267">
        <v>47</v>
      </c>
      <c r="I151" s="25"/>
      <c r="J151" s="26"/>
      <c r="K151" s="18"/>
      <c r="L151" s="12"/>
      <c r="O151" s="529"/>
    </row>
    <row r="152" spans="1:15" ht="13.5" customHeight="1" x14ac:dyDescent="0.2">
      <c r="A152" s="19"/>
      <c r="B152" s="20"/>
      <c r="C152" s="34" t="s">
        <v>2100</v>
      </c>
      <c r="D152" s="11"/>
      <c r="E152" s="12"/>
      <c r="F152" s="528"/>
      <c r="G152" s="23"/>
      <c r="H152" s="267">
        <v>39</v>
      </c>
      <c r="I152" s="25"/>
      <c r="J152" s="26"/>
      <c r="K152" s="18"/>
      <c r="L152" s="12"/>
      <c r="O152" s="529"/>
    </row>
    <row r="153" spans="1:15" ht="13.5" customHeight="1" x14ac:dyDescent="0.2">
      <c r="A153" s="19"/>
      <c r="B153" s="20"/>
      <c r="C153" s="34" t="s">
        <v>2101</v>
      </c>
      <c r="D153" s="11"/>
      <c r="E153" s="12"/>
      <c r="F153" s="528"/>
      <c r="G153" s="23"/>
      <c r="H153" s="267">
        <v>200</v>
      </c>
      <c r="I153" s="25"/>
      <c r="J153" s="26">
        <v>1038.9600000000012</v>
      </c>
      <c r="K153" s="18"/>
      <c r="L153" s="12"/>
      <c r="O153" s="529"/>
    </row>
    <row r="154" spans="1:15" ht="13.5" customHeight="1" x14ac:dyDescent="0.2">
      <c r="A154" s="19">
        <v>43614</v>
      </c>
      <c r="B154" s="20"/>
      <c r="C154" s="34" t="s">
        <v>2102</v>
      </c>
      <c r="D154" s="11"/>
      <c r="E154" s="12"/>
      <c r="F154" s="528"/>
      <c r="G154" s="23"/>
      <c r="H154" s="267"/>
      <c r="I154" s="25">
        <v>1465</v>
      </c>
      <c r="J154" s="26">
        <v>2503.9600000000009</v>
      </c>
      <c r="K154" s="18"/>
      <c r="L154" s="12"/>
      <c r="O154" s="529"/>
    </row>
    <row r="155" spans="1:15" ht="13.5" customHeight="1" x14ac:dyDescent="0.2">
      <c r="A155" s="19">
        <v>43615</v>
      </c>
      <c r="B155" s="20"/>
      <c r="C155" s="34" t="s">
        <v>2103</v>
      </c>
      <c r="D155" s="11"/>
      <c r="E155" s="12"/>
      <c r="F155" s="528"/>
      <c r="G155" s="23"/>
      <c r="H155" s="267">
        <v>70</v>
      </c>
      <c r="I155" s="25"/>
      <c r="J155" s="26"/>
      <c r="K155" s="18"/>
      <c r="L155" s="12"/>
      <c r="O155" s="529"/>
    </row>
    <row r="156" spans="1:15" ht="13.5" customHeight="1" x14ac:dyDescent="0.2">
      <c r="A156" s="19"/>
      <c r="B156" s="20"/>
      <c r="C156" s="34" t="s">
        <v>2104</v>
      </c>
      <c r="D156" s="11"/>
      <c r="E156" s="12"/>
      <c r="F156" s="528"/>
      <c r="G156" s="23"/>
      <c r="H156" s="267">
        <v>250</v>
      </c>
      <c r="I156" s="25"/>
      <c r="J156" s="26"/>
      <c r="K156" s="18"/>
      <c r="L156" s="12"/>
      <c r="O156" s="529"/>
    </row>
    <row r="157" spans="1:15" ht="13.5" customHeight="1" x14ac:dyDescent="0.2">
      <c r="A157" s="19"/>
      <c r="B157" s="20"/>
      <c r="C157" s="34" t="s">
        <v>2105</v>
      </c>
      <c r="D157" s="11"/>
      <c r="E157" s="12"/>
      <c r="F157" s="528"/>
      <c r="G157" s="23"/>
      <c r="H157" s="267"/>
      <c r="I157" s="25">
        <v>256</v>
      </c>
      <c r="J157" s="26"/>
      <c r="K157" s="18"/>
      <c r="L157" s="12"/>
      <c r="O157" s="529"/>
    </row>
    <row r="158" spans="1:15" ht="13.5" customHeight="1" x14ac:dyDescent="0.2">
      <c r="A158" s="19"/>
      <c r="B158" s="20"/>
      <c r="C158" s="34" t="s">
        <v>2106</v>
      </c>
      <c r="D158" s="11"/>
      <c r="E158" s="12"/>
      <c r="F158" s="528"/>
      <c r="G158" s="23"/>
      <c r="H158" s="267">
        <v>375</v>
      </c>
      <c r="I158" s="25"/>
      <c r="J158" s="26">
        <v>2064.9600000000009</v>
      </c>
      <c r="K158" s="18"/>
      <c r="L158" s="12"/>
      <c r="O158" s="529"/>
    </row>
    <row r="159" spans="1:15" ht="13.5" customHeight="1" x14ac:dyDescent="0.2">
      <c r="A159" s="19">
        <v>43616</v>
      </c>
      <c r="B159" s="20"/>
      <c r="C159" s="34" t="s">
        <v>2107</v>
      </c>
      <c r="D159" s="11"/>
      <c r="E159" s="12"/>
      <c r="F159" s="528"/>
      <c r="G159" s="23"/>
      <c r="H159" s="267"/>
      <c r="I159" s="25">
        <v>1195.46</v>
      </c>
      <c r="J159" s="26"/>
      <c r="K159" s="18"/>
      <c r="L159" s="12"/>
      <c r="O159" s="529"/>
    </row>
    <row r="160" spans="1:15" ht="13.5" customHeight="1" x14ac:dyDescent="0.2">
      <c r="A160" s="19"/>
      <c r="B160" s="20"/>
      <c r="C160" s="34" t="s">
        <v>2108</v>
      </c>
      <c r="D160" s="11"/>
      <c r="E160" s="12"/>
      <c r="F160" s="528"/>
      <c r="G160" s="23"/>
      <c r="H160" s="267"/>
      <c r="I160" s="25">
        <v>150</v>
      </c>
      <c r="J160" s="26"/>
      <c r="K160" s="18"/>
      <c r="L160" s="12"/>
      <c r="O160" s="529"/>
    </row>
    <row r="161" spans="1:15" ht="13.5" customHeight="1" x14ac:dyDescent="0.2">
      <c r="A161" s="19"/>
      <c r="B161" s="20"/>
      <c r="C161" s="34" t="s">
        <v>2109</v>
      </c>
      <c r="D161" s="11"/>
      <c r="E161" s="12"/>
      <c r="F161" s="528"/>
      <c r="G161" s="23"/>
      <c r="H161" s="267">
        <v>450</v>
      </c>
      <c r="I161" s="25"/>
      <c r="J161" s="26"/>
      <c r="K161" s="18"/>
      <c r="L161" s="12"/>
      <c r="O161" s="529"/>
    </row>
    <row r="162" spans="1:15" ht="13.5" customHeight="1" x14ac:dyDescent="0.2">
      <c r="A162" s="19"/>
      <c r="B162" s="20"/>
      <c r="C162" s="34" t="s">
        <v>2110</v>
      </c>
      <c r="D162" s="11"/>
      <c r="E162" s="12"/>
      <c r="F162" s="528"/>
      <c r="G162" s="23"/>
      <c r="H162" s="267">
        <v>100</v>
      </c>
      <c r="I162" s="25"/>
      <c r="J162" s="276">
        <v>2860.42</v>
      </c>
      <c r="K162" s="124"/>
      <c r="L162" s="530"/>
      <c r="O162" s="529"/>
    </row>
    <row r="163" spans="1:15" ht="13.5" customHeight="1" thickBot="1" x14ac:dyDescent="0.25">
      <c r="A163" s="47"/>
      <c r="B163" s="48"/>
      <c r="C163" s="49"/>
      <c r="D163" s="50"/>
      <c r="E163" s="650">
        <f>SUM(E11:E162)</f>
        <v>-12292.279999999999</v>
      </c>
      <c r="F163" s="649">
        <f>SUM(F4:F5,F22,F113,)</f>
        <v>0.04</v>
      </c>
      <c r="G163" s="53"/>
      <c r="H163" s="648">
        <f>-SUM(H10:H14,H17:H29,H31:H53,H59:H93,H103,H112:H116,H125:H135,H140,H146:H162)</f>
        <v>-9451.5999999999985</v>
      </c>
      <c r="I163" s="649">
        <f>SUM(I6:I138,I145:I162)</f>
        <v>43334.749999999993</v>
      </c>
      <c r="J163" s="52"/>
      <c r="K163" s="18"/>
      <c r="L163" s="12"/>
      <c r="O163" s="40">
        <f>J162-2678.72</f>
        <v>181.70000000000027</v>
      </c>
    </row>
    <row r="164" spans="1:15" ht="13.5" customHeight="1" thickBot="1" x14ac:dyDescent="0.25">
      <c r="A164" s="2" t="s">
        <v>2</v>
      </c>
      <c r="B164" s="3"/>
      <c r="C164" s="3" t="s">
        <v>481</v>
      </c>
      <c r="D164" s="3" t="s">
        <v>4</v>
      </c>
      <c r="E164" s="3" t="s">
        <v>5</v>
      </c>
      <c r="F164" s="3" t="s">
        <v>6</v>
      </c>
      <c r="G164" s="5" t="s">
        <v>7</v>
      </c>
      <c r="H164" s="1415" t="s">
        <v>482</v>
      </c>
      <c r="I164" s="1416"/>
      <c r="J164" s="1417"/>
      <c r="K164" s="18"/>
    </row>
    <row r="165" spans="1:15" ht="13.5" customHeight="1" x14ac:dyDescent="0.2">
      <c r="A165" s="8">
        <v>43586</v>
      </c>
      <c r="B165" s="56"/>
      <c r="C165" s="10" t="s">
        <v>8</v>
      </c>
      <c r="D165" s="11">
        <v>0</v>
      </c>
      <c r="E165" s="51"/>
      <c r="F165" s="12"/>
      <c r="G165" s="178">
        <v>0</v>
      </c>
      <c r="H165" s="179"/>
      <c r="I165" s="57"/>
      <c r="J165" s="58">
        <v>3260.59</v>
      </c>
      <c r="K165" s="18"/>
      <c r="L165" s="51"/>
    </row>
    <row r="166" spans="1:15" ht="13.5" customHeight="1" x14ac:dyDescent="0.2">
      <c r="A166" s="180" t="s">
        <v>2111</v>
      </c>
      <c r="B166" s="56" t="s">
        <v>483</v>
      </c>
      <c r="C166" s="32" t="s">
        <v>199</v>
      </c>
      <c r="D166" s="11" t="s">
        <v>488</v>
      </c>
      <c r="E166" s="181">
        <v>-238.49</v>
      </c>
      <c r="F166" s="12"/>
      <c r="G166" s="182"/>
      <c r="H166" s="59"/>
      <c r="I166" s="60"/>
      <c r="J166" s="61">
        <v>3260.59</v>
      </c>
      <c r="K166" s="18"/>
      <c r="L166" s="30"/>
    </row>
    <row r="167" spans="1:15" ht="13.5" customHeight="1" x14ac:dyDescent="0.2">
      <c r="A167" s="180"/>
      <c r="B167" s="56"/>
      <c r="C167" s="32" t="s">
        <v>2112</v>
      </c>
      <c r="D167" s="11" t="s">
        <v>488</v>
      </c>
      <c r="E167" s="181">
        <v>-83.3</v>
      </c>
      <c r="F167" s="12"/>
      <c r="G167" s="182">
        <v>-321.79000000000002</v>
      </c>
      <c r="H167" s="59"/>
      <c r="I167" s="60"/>
      <c r="J167" s="61">
        <v>3260.59</v>
      </c>
      <c r="K167" s="18"/>
      <c r="L167" s="30"/>
    </row>
    <row r="168" spans="1:15" ht="13.5" customHeight="1" x14ac:dyDescent="0.2">
      <c r="A168" s="180"/>
      <c r="B168" s="56" t="s">
        <v>483</v>
      </c>
      <c r="C168" s="32" t="s">
        <v>173</v>
      </c>
      <c r="D168" s="11" t="s">
        <v>2113</v>
      </c>
      <c r="E168" s="181">
        <v>-854.04</v>
      </c>
      <c r="F168" s="12"/>
      <c r="G168" s="182"/>
      <c r="H168" s="59"/>
      <c r="I168" s="60"/>
      <c r="J168" s="61">
        <v>3260.59</v>
      </c>
      <c r="K168" s="18"/>
      <c r="L168" s="30"/>
    </row>
    <row r="169" spans="1:15" ht="13.5" customHeight="1" x14ac:dyDescent="0.2">
      <c r="A169" s="180"/>
      <c r="B169" s="56" t="s">
        <v>483</v>
      </c>
      <c r="C169" s="32" t="s">
        <v>172</v>
      </c>
      <c r="D169" s="11" t="s">
        <v>2114</v>
      </c>
      <c r="E169" s="181">
        <v>-608.67999999999995</v>
      </c>
      <c r="F169" s="12"/>
      <c r="G169" s="182"/>
      <c r="H169" s="59"/>
      <c r="I169" s="60"/>
      <c r="J169" s="61">
        <v>3260.59</v>
      </c>
      <c r="K169" s="18"/>
      <c r="L169" s="30"/>
    </row>
    <row r="170" spans="1:15" ht="13.5" customHeight="1" x14ac:dyDescent="0.2">
      <c r="A170" s="180"/>
      <c r="B170" s="56" t="s">
        <v>483</v>
      </c>
      <c r="C170" s="32" t="s">
        <v>174</v>
      </c>
      <c r="D170" s="11" t="s">
        <v>488</v>
      </c>
      <c r="E170" s="30"/>
      <c r="F170" s="183">
        <v>1784.51</v>
      </c>
      <c r="G170" s="182">
        <v>0</v>
      </c>
      <c r="H170" s="59">
        <v>1784.51</v>
      </c>
      <c r="I170" s="60"/>
      <c r="J170" s="61">
        <v>1476.0800000000002</v>
      </c>
      <c r="K170" s="18"/>
      <c r="L170" s="30"/>
    </row>
    <row r="171" spans="1:15" ht="13.5" customHeight="1" x14ac:dyDescent="0.2">
      <c r="A171" s="180" t="s">
        <v>2115</v>
      </c>
      <c r="B171" s="56" t="s">
        <v>483</v>
      </c>
      <c r="C171" s="32" t="s">
        <v>2116</v>
      </c>
      <c r="D171" s="11" t="s">
        <v>488</v>
      </c>
      <c r="E171" s="181">
        <v>-373.86</v>
      </c>
      <c r="F171" s="12"/>
      <c r="G171" s="182"/>
      <c r="H171" s="59"/>
      <c r="I171" s="60"/>
      <c r="J171" s="61">
        <v>1476.0800000000002</v>
      </c>
      <c r="K171" s="18"/>
      <c r="L171" s="30"/>
    </row>
    <row r="172" spans="1:15" ht="13.5" customHeight="1" x14ac:dyDescent="0.2">
      <c r="A172" s="180"/>
      <c r="B172" s="56" t="s">
        <v>483</v>
      </c>
      <c r="C172" s="32" t="s">
        <v>2117</v>
      </c>
      <c r="D172" s="11" t="s">
        <v>2118</v>
      </c>
      <c r="E172" s="181">
        <v>-231</v>
      </c>
      <c r="F172" s="12"/>
      <c r="G172" s="182"/>
      <c r="H172" s="59"/>
      <c r="I172" s="60"/>
      <c r="J172" s="61">
        <v>1476.0800000000002</v>
      </c>
      <c r="K172" s="18"/>
      <c r="L172" s="30"/>
    </row>
    <row r="173" spans="1:15" ht="13.5" customHeight="1" x14ac:dyDescent="0.2">
      <c r="A173" s="180"/>
      <c r="B173" s="56" t="s">
        <v>483</v>
      </c>
      <c r="C173" s="32" t="s">
        <v>174</v>
      </c>
      <c r="D173" s="11" t="s">
        <v>488</v>
      </c>
      <c r="E173" s="30"/>
      <c r="F173" s="181">
        <v>604.86</v>
      </c>
      <c r="G173" s="182">
        <v>0</v>
      </c>
      <c r="H173" s="59">
        <v>604.86</v>
      </c>
      <c r="I173" s="60"/>
      <c r="J173" s="61">
        <v>871.22000000000014</v>
      </c>
      <c r="K173" s="18"/>
      <c r="L173" s="30"/>
    </row>
    <row r="174" spans="1:15" ht="13.5" customHeight="1" x14ac:dyDescent="0.2">
      <c r="A174" s="180" t="s">
        <v>2119</v>
      </c>
      <c r="B174" s="56" t="s">
        <v>483</v>
      </c>
      <c r="C174" s="32" t="s">
        <v>2120</v>
      </c>
      <c r="D174" s="11" t="s">
        <v>2121</v>
      </c>
      <c r="E174" s="181">
        <v>-196.25</v>
      </c>
      <c r="F174" s="30"/>
      <c r="G174" s="182" t="s">
        <v>483</v>
      </c>
      <c r="H174" s="59"/>
      <c r="I174" s="60"/>
      <c r="J174" s="61">
        <v>871.22000000000014</v>
      </c>
      <c r="K174" s="18"/>
      <c r="L174" s="30"/>
    </row>
    <row r="175" spans="1:15" ht="13.5" customHeight="1" x14ac:dyDescent="0.2">
      <c r="A175" s="180"/>
      <c r="B175" s="56" t="s">
        <v>483</v>
      </c>
      <c r="C175" s="32" t="s">
        <v>174</v>
      </c>
      <c r="D175" s="11" t="s">
        <v>488</v>
      </c>
      <c r="E175" s="30"/>
      <c r="F175" s="181">
        <v>196.25</v>
      </c>
      <c r="G175" s="182">
        <v>0</v>
      </c>
      <c r="H175" s="59">
        <v>196.25</v>
      </c>
      <c r="I175" s="60"/>
      <c r="J175" s="61">
        <v>674.97000000000014</v>
      </c>
      <c r="K175" s="18"/>
      <c r="L175" s="30"/>
    </row>
    <row r="176" spans="1:15" ht="13.5" customHeight="1" x14ac:dyDescent="0.2">
      <c r="A176" s="180" t="s">
        <v>2122</v>
      </c>
      <c r="B176" s="56" t="s">
        <v>483</v>
      </c>
      <c r="C176" s="32" t="s">
        <v>180</v>
      </c>
      <c r="D176" s="11" t="s">
        <v>488</v>
      </c>
      <c r="E176" s="181">
        <v>-227.88</v>
      </c>
      <c r="F176" s="30"/>
      <c r="G176" s="182" t="s">
        <v>483</v>
      </c>
      <c r="H176" s="59"/>
      <c r="I176" s="60"/>
      <c r="J176" s="61">
        <v>674.97000000000014</v>
      </c>
      <c r="K176" s="18"/>
      <c r="L176" s="30"/>
    </row>
    <row r="177" spans="1:14" ht="13.5" customHeight="1" x14ac:dyDescent="0.2">
      <c r="A177" s="180"/>
      <c r="B177" s="56" t="s">
        <v>483</v>
      </c>
      <c r="C177" s="32" t="s">
        <v>177</v>
      </c>
      <c r="D177" s="11" t="s">
        <v>795</v>
      </c>
      <c r="E177" s="181">
        <v>-229.6</v>
      </c>
      <c r="F177" s="30"/>
      <c r="G177" s="182" t="s">
        <v>483</v>
      </c>
      <c r="H177" s="59"/>
      <c r="I177" s="60"/>
      <c r="J177" s="61">
        <v>674.97000000000014</v>
      </c>
      <c r="K177" s="18"/>
      <c r="L177" s="30"/>
    </row>
    <row r="178" spans="1:14" ht="13.5" customHeight="1" x14ac:dyDescent="0.2">
      <c r="A178" s="180"/>
      <c r="B178" s="56" t="s">
        <v>483</v>
      </c>
      <c r="C178" s="32" t="s">
        <v>174</v>
      </c>
      <c r="D178" s="11" t="s">
        <v>488</v>
      </c>
      <c r="E178" s="30"/>
      <c r="F178" s="181">
        <v>457.48</v>
      </c>
      <c r="G178" s="182">
        <v>0</v>
      </c>
      <c r="H178" s="59">
        <v>457.48</v>
      </c>
      <c r="I178" s="60"/>
      <c r="J178" s="61">
        <v>217.49000000000012</v>
      </c>
      <c r="K178" s="18"/>
      <c r="L178" s="30"/>
    </row>
    <row r="179" spans="1:14" ht="13.5" customHeight="1" x14ac:dyDescent="0.2">
      <c r="A179" s="180" t="s">
        <v>2123</v>
      </c>
      <c r="B179" s="56" t="s">
        <v>483</v>
      </c>
      <c r="C179" s="32" t="s">
        <v>2124</v>
      </c>
      <c r="D179" s="11" t="s">
        <v>488</v>
      </c>
      <c r="E179" s="30"/>
      <c r="F179" s="181">
        <v>4731.47</v>
      </c>
      <c r="G179" s="182" t="s">
        <v>483</v>
      </c>
      <c r="H179" s="59"/>
      <c r="I179" s="60"/>
      <c r="J179" s="61">
        <v>217.49000000000012</v>
      </c>
      <c r="K179" s="18"/>
      <c r="L179" s="30"/>
    </row>
    <row r="180" spans="1:14" ht="13.5" customHeight="1" x14ac:dyDescent="0.2">
      <c r="A180" s="180"/>
      <c r="B180" s="56" t="s">
        <v>483</v>
      </c>
      <c r="C180" s="32" t="s">
        <v>189</v>
      </c>
      <c r="D180" s="11" t="s">
        <v>488</v>
      </c>
      <c r="E180" s="181">
        <v>-4731.47</v>
      </c>
      <c r="F180" s="30"/>
      <c r="G180" s="182">
        <v>0</v>
      </c>
      <c r="H180" s="59"/>
      <c r="I180" s="60">
        <v>4731.47</v>
      </c>
      <c r="J180" s="61">
        <v>4948.96</v>
      </c>
      <c r="K180" s="18"/>
      <c r="L180" s="30"/>
      <c r="N180"/>
    </row>
    <row r="181" spans="1:14" ht="13.5" customHeight="1" x14ac:dyDescent="0.2">
      <c r="A181" s="180" t="s">
        <v>2125</v>
      </c>
      <c r="B181" s="56" t="s">
        <v>483</v>
      </c>
      <c r="C181" s="32" t="s">
        <v>2126</v>
      </c>
      <c r="D181" s="11" t="s">
        <v>2127</v>
      </c>
      <c r="E181" s="181">
        <v>-175.4</v>
      </c>
      <c r="F181" s="30"/>
      <c r="G181" s="182" t="s">
        <v>483</v>
      </c>
      <c r="H181" s="59"/>
      <c r="I181" s="60"/>
      <c r="J181" s="61">
        <v>4948.96</v>
      </c>
      <c r="K181" s="18"/>
      <c r="L181" s="30"/>
      <c r="N181"/>
    </row>
    <row r="182" spans="1:14" ht="13.5" customHeight="1" x14ac:dyDescent="0.2">
      <c r="A182" s="180"/>
      <c r="B182" s="56" t="s">
        <v>483</v>
      </c>
      <c r="C182" s="32" t="s">
        <v>174</v>
      </c>
      <c r="D182" s="11" t="s">
        <v>488</v>
      </c>
      <c r="E182" s="30"/>
      <c r="F182" s="181">
        <v>175.4</v>
      </c>
      <c r="G182" s="182">
        <v>0</v>
      </c>
      <c r="H182" s="59">
        <v>175.4</v>
      </c>
      <c r="I182" s="60"/>
      <c r="J182" s="61">
        <v>4773.5600000000004</v>
      </c>
      <c r="K182" s="18"/>
      <c r="L182" s="30"/>
      <c r="N182"/>
    </row>
    <row r="183" spans="1:14" ht="13.5" customHeight="1" x14ac:dyDescent="0.2">
      <c r="A183" s="180" t="s">
        <v>2128</v>
      </c>
      <c r="B183" s="56" t="s">
        <v>483</v>
      </c>
      <c r="C183" s="32" t="s">
        <v>2129</v>
      </c>
      <c r="D183" s="11" t="s">
        <v>2130</v>
      </c>
      <c r="E183" s="181">
        <v>-754</v>
      </c>
      <c r="F183" s="30"/>
      <c r="G183" s="182" t="s">
        <v>483</v>
      </c>
      <c r="H183" s="59"/>
      <c r="I183" s="60"/>
      <c r="J183" s="61">
        <v>4773.5600000000004</v>
      </c>
      <c r="K183" s="18"/>
      <c r="L183" s="30"/>
      <c r="N183"/>
    </row>
    <row r="184" spans="1:14" ht="13.5" customHeight="1" x14ac:dyDescent="0.2">
      <c r="A184" s="180"/>
      <c r="B184" s="56" t="s">
        <v>483</v>
      </c>
      <c r="C184" s="32" t="s">
        <v>174</v>
      </c>
      <c r="D184" s="11" t="s">
        <v>488</v>
      </c>
      <c r="E184" s="30"/>
      <c r="F184" s="181">
        <v>754</v>
      </c>
      <c r="G184" s="182">
        <v>0</v>
      </c>
      <c r="H184" s="59">
        <v>754</v>
      </c>
      <c r="I184" s="60"/>
      <c r="J184" s="61">
        <v>4019.5600000000004</v>
      </c>
      <c r="K184" s="18"/>
      <c r="L184" s="30"/>
      <c r="N184"/>
    </row>
    <row r="185" spans="1:14" ht="13.5" customHeight="1" x14ac:dyDescent="0.2">
      <c r="A185" s="180" t="s">
        <v>2131</v>
      </c>
      <c r="B185" s="56" t="s">
        <v>483</v>
      </c>
      <c r="C185" s="32" t="s">
        <v>2132</v>
      </c>
      <c r="D185" s="11" t="s">
        <v>2133</v>
      </c>
      <c r="E185" s="181">
        <v>-421.52</v>
      </c>
      <c r="F185" s="30"/>
      <c r="G185" s="182" t="s">
        <v>483</v>
      </c>
      <c r="H185" s="59"/>
      <c r="I185" s="60"/>
      <c r="J185" s="61">
        <v>4019.5600000000004</v>
      </c>
      <c r="K185" s="18"/>
      <c r="L185" s="30"/>
    </row>
    <row r="186" spans="1:14" ht="13.5" customHeight="1" x14ac:dyDescent="0.2">
      <c r="A186" s="180"/>
      <c r="B186" s="56" t="s">
        <v>483</v>
      </c>
      <c r="C186" s="32" t="s">
        <v>2134</v>
      </c>
      <c r="D186" s="11" t="s">
        <v>2135</v>
      </c>
      <c r="E186" s="181">
        <v>-793.85</v>
      </c>
      <c r="F186" s="30"/>
      <c r="G186" s="182" t="s">
        <v>483</v>
      </c>
      <c r="H186" s="59"/>
      <c r="I186" s="60"/>
      <c r="J186" s="61">
        <v>4019.5600000000004</v>
      </c>
      <c r="K186" s="18"/>
      <c r="L186" s="30"/>
    </row>
    <row r="187" spans="1:14" ht="13.5" customHeight="1" x14ac:dyDescent="0.2">
      <c r="A187" s="180"/>
      <c r="B187" s="56" t="s">
        <v>483</v>
      </c>
      <c r="C187" s="32" t="s">
        <v>174</v>
      </c>
      <c r="D187" s="11" t="s">
        <v>488</v>
      </c>
      <c r="E187" s="30"/>
      <c r="F187" s="181">
        <v>1215.3699999999999</v>
      </c>
      <c r="G187" s="182">
        <v>0</v>
      </c>
      <c r="H187" s="59">
        <v>1215.3699999999999</v>
      </c>
      <c r="I187" s="60"/>
      <c r="J187" s="61">
        <v>2804.1900000000005</v>
      </c>
      <c r="K187" s="18"/>
      <c r="L187" s="30"/>
    </row>
    <row r="188" spans="1:14" ht="13.5" customHeight="1" x14ac:dyDescent="0.2">
      <c r="A188" s="180" t="s">
        <v>2136</v>
      </c>
      <c r="B188" s="56" t="s">
        <v>483</v>
      </c>
      <c r="C188" s="32" t="s">
        <v>2137</v>
      </c>
      <c r="D188" s="11" t="s">
        <v>488</v>
      </c>
      <c r="E188" s="181">
        <v>-92.81</v>
      </c>
      <c r="F188" s="30"/>
      <c r="G188" s="182"/>
      <c r="H188" s="59"/>
      <c r="I188" s="60"/>
      <c r="J188" s="61">
        <v>2804.1900000000005</v>
      </c>
      <c r="K188" s="18"/>
      <c r="L188" s="30"/>
    </row>
    <row r="189" spans="1:14" ht="13.5" customHeight="1" x14ac:dyDescent="0.2">
      <c r="A189" s="180"/>
      <c r="B189" s="56" t="s">
        <v>483</v>
      </c>
      <c r="C189" s="32" t="s">
        <v>174</v>
      </c>
      <c r="D189" s="11" t="s">
        <v>488</v>
      </c>
      <c r="E189" s="30"/>
      <c r="F189" s="181">
        <v>92.81</v>
      </c>
      <c r="G189" s="182">
        <v>0</v>
      </c>
      <c r="H189" s="59">
        <v>92.81</v>
      </c>
      <c r="I189" s="60"/>
      <c r="J189" s="61">
        <v>2711.3800000000006</v>
      </c>
      <c r="K189" s="18"/>
      <c r="L189" s="30"/>
    </row>
    <row r="190" spans="1:14" ht="13.5" customHeight="1" x14ac:dyDescent="0.2">
      <c r="A190" s="180" t="s">
        <v>2138</v>
      </c>
      <c r="B190" s="56" t="s">
        <v>483</v>
      </c>
      <c r="C190" s="32" t="s">
        <v>198</v>
      </c>
      <c r="D190" s="11" t="s">
        <v>2139</v>
      </c>
      <c r="E190" s="181">
        <v>-1260.71</v>
      </c>
      <c r="F190" s="30"/>
      <c r="G190" s="182" t="s">
        <v>483</v>
      </c>
      <c r="H190" s="59"/>
      <c r="I190" s="60"/>
      <c r="J190" s="61">
        <v>2711.3800000000006</v>
      </c>
      <c r="K190" s="18"/>
      <c r="L190" s="30"/>
    </row>
    <row r="191" spans="1:14" ht="13.5" customHeight="1" x14ac:dyDescent="0.2">
      <c r="A191" s="180"/>
      <c r="B191" s="56" t="s">
        <v>483</v>
      </c>
      <c r="C191" s="32" t="s">
        <v>174</v>
      </c>
      <c r="D191" s="11" t="s">
        <v>488</v>
      </c>
      <c r="E191" s="30"/>
      <c r="F191" s="181">
        <v>1260.71</v>
      </c>
      <c r="G191" s="182">
        <v>0</v>
      </c>
      <c r="H191" s="59">
        <v>1260.71</v>
      </c>
      <c r="I191" s="60"/>
      <c r="J191" s="61">
        <v>1450.6700000000005</v>
      </c>
      <c r="K191" s="18"/>
      <c r="L191" s="30"/>
    </row>
    <row r="192" spans="1:14" ht="13.5" customHeight="1" x14ac:dyDescent="0.2">
      <c r="A192" s="180" t="s">
        <v>2140</v>
      </c>
      <c r="B192" s="56" t="s">
        <v>483</v>
      </c>
      <c r="C192" s="32" t="s">
        <v>86</v>
      </c>
      <c r="D192" s="11" t="s">
        <v>488</v>
      </c>
      <c r="E192" s="181">
        <v>-85</v>
      </c>
      <c r="F192" s="30"/>
      <c r="G192" s="182"/>
      <c r="H192" s="59"/>
      <c r="I192" s="60"/>
      <c r="J192" s="61">
        <v>1450.6700000000005</v>
      </c>
      <c r="K192" s="18"/>
      <c r="L192" s="30"/>
    </row>
    <row r="193" spans="1:12" ht="13.5" customHeight="1" x14ac:dyDescent="0.2">
      <c r="A193" s="180"/>
      <c r="B193" s="56" t="s">
        <v>483</v>
      </c>
      <c r="C193" s="32" t="s">
        <v>174</v>
      </c>
      <c r="D193" s="11" t="s">
        <v>488</v>
      </c>
      <c r="E193" s="30"/>
      <c r="F193" s="181">
        <v>85</v>
      </c>
      <c r="G193" s="182">
        <v>0</v>
      </c>
      <c r="H193" s="59">
        <v>85</v>
      </c>
      <c r="I193" s="60"/>
      <c r="J193" s="61">
        <v>1365.6700000000005</v>
      </c>
      <c r="K193" s="18"/>
      <c r="L193" s="30"/>
    </row>
    <row r="194" spans="1:12" ht="13.5" customHeight="1" x14ac:dyDescent="0.2">
      <c r="A194" s="180" t="s">
        <v>2141</v>
      </c>
      <c r="B194" s="56" t="s">
        <v>591</v>
      </c>
      <c r="C194" s="32" t="s">
        <v>2070</v>
      </c>
      <c r="D194" s="11" t="s">
        <v>2142</v>
      </c>
      <c r="E194" s="181"/>
      <c r="F194" s="165">
        <v>8584.75</v>
      </c>
      <c r="G194" s="182" t="s">
        <v>483</v>
      </c>
      <c r="H194" s="59"/>
      <c r="I194" s="60"/>
      <c r="J194" s="61">
        <v>1365.6700000000005</v>
      </c>
      <c r="K194" s="18"/>
      <c r="L194" s="30"/>
    </row>
    <row r="195" spans="1:12" ht="13.5" customHeight="1" x14ac:dyDescent="0.2">
      <c r="A195" s="180"/>
      <c r="B195" s="56" t="s">
        <v>483</v>
      </c>
      <c r="C195" s="32" t="s">
        <v>194</v>
      </c>
      <c r="D195" s="11" t="s">
        <v>488</v>
      </c>
      <c r="E195" s="181">
        <v>-84.54</v>
      </c>
      <c r="F195" s="30"/>
      <c r="G195" s="182" t="s">
        <v>483</v>
      </c>
      <c r="H195" s="59"/>
      <c r="I195" s="60"/>
      <c r="J195" s="61">
        <v>1365.6700000000005</v>
      </c>
      <c r="K195" s="18"/>
      <c r="L195" s="30"/>
    </row>
    <row r="196" spans="1:12" ht="13.5" customHeight="1" x14ac:dyDescent="0.2">
      <c r="A196" s="180"/>
      <c r="B196" s="56" t="s">
        <v>483</v>
      </c>
      <c r="C196" s="32" t="s">
        <v>195</v>
      </c>
      <c r="D196" s="11" t="s">
        <v>488</v>
      </c>
      <c r="E196" s="181">
        <v>-390.19</v>
      </c>
      <c r="F196" s="30"/>
      <c r="G196" s="182"/>
      <c r="H196" s="59"/>
      <c r="I196" s="60"/>
      <c r="J196" s="61">
        <v>1365.6700000000005</v>
      </c>
      <c r="K196" s="18"/>
      <c r="L196" s="30"/>
    </row>
    <row r="197" spans="1:12" ht="13.5" customHeight="1" x14ac:dyDescent="0.2">
      <c r="A197" s="180"/>
      <c r="B197" s="56" t="s">
        <v>483</v>
      </c>
      <c r="C197" s="32" t="s">
        <v>2143</v>
      </c>
      <c r="D197" s="11" t="s">
        <v>2144</v>
      </c>
      <c r="E197" s="181">
        <v>-100</v>
      </c>
      <c r="F197" s="30"/>
      <c r="G197" s="182" t="s">
        <v>483</v>
      </c>
      <c r="H197" s="59"/>
      <c r="I197" s="60"/>
      <c r="J197" s="61">
        <v>1365.6700000000005</v>
      </c>
      <c r="K197" s="18"/>
      <c r="L197" s="30"/>
    </row>
    <row r="198" spans="1:12" ht="13.5" customHeight="1" x14ac:dyDescent="0.2">
      <c r="A198" s="180"/>
      <c r="B198" s="56" t="s">
        <v>483</v>
      </c>
      <c r="C198" s="32" t="s">
        <v>174</v>
      </c>
      <c r="D198" s="11" t="s">
        <v>488</v>
      </c>
      <c r="E198" s="30"/>
      <c r="F198" s="181">
        <v>574.73</v>
      </c>
      <c r="G198" s="182">
        <v>8584.75</v>
      </c>
      <c r="H198" s="59">
        <v>574.73</v>
      </c>
      <c r="I198" s="60"/>
      <c r="J198" s="61">
        <v>790.94000000000051</v>
      </c>
      <c r="K198" s="18"/>
      <c r="L198" s="30"/>
    </row>
    <row r="199" spans="1:12" ht="13.5" customHeight="1" x14ac:dyDescent="0.2">
      <c r="A199" s="180" t="s">
        <v>2145</v>
      </c>
      <c r="B199" s="56" t="s">
        <v>483</v>
      </c>
      <c r="C199" s="32" t="s">
        <v>189</v>
      </c>
      <c r="D199" s="11" t="s">
        <v>488</v>
      </c>
      <c r="E199" s="181">
        <v>-8584.75</v>
      </c>
      <c r="F199" s="30"/>
      <c r="G199" s="182">
        <v>0</v>
      </c>
      <c r="H199" s="59"/>
      <c r="I199" s="60">
        <v>8584.75</v>
      </c>
      <c r="J199" s="61">
        <v>9375.69</v>
      </c>
      <c r="K199" s="18"/>
      <c r="L199" s="30"/>
    </row>
    <row r="200" spans="1:12" ht="13.5" customHeight="1" x14ac:dyDescent="0.2">
      <c r="A200" s="180" t="s">
        <v>2146</v>
      </c>
      <c r="B200" s="56" t="s">
        <v>483</v>
      </c>
      <c r="C200" s="32" t="s">
        <v>86</v>
      </c>
      <c r="D200" s="11" t="s">
        <v>488</v>
      </c>
      <c r="E200" s="181">
        <v>-12.5</v>
      </c>
      <c r="F200" s="30"/>
      <c r="G200" s="182" t="s">
        <v>483</v>
      </c>
      <c r="H200" s="59"/>
      <c r="I200" s="60"/>
      <c r="J200" s="61">
        <v>9375.69</v>
      </c>
      <c r="K200" s="18"/>
      <c r="L200" s="30"/>
    </row>
    <row r="201" spans="1:12" ht="13.5" customHeight="1" x14ac:dyDescent="0.2">
      <c r="A201" s="180"/>
      <c r="B201" s="56" t="s">
        <v>483</v>
      </c>
      <c r="C201" s="32" t="s">
        <v>174</v>
      </c>
      <c r="D201" s="11" t="s">
        <v>488</v>
      </c>
      <c r="E201" s="30"/>
      <c r="F201" s="181">
        <v>12.5</v>
      </c>
      <c r="G201" s="182">
        <v>0</v>
      </c>
      <c r="H201" s="59">
        <v>12.5</v>
      </c>
      <c r="I201" s="60"/>
      <c r="J201" s="61">
        <v>9363.19</v>
      </c>
      <c r="K201" s="18"/>
      <c r="L201" s="30"/>
    </row>
    <row r="202" spans="1:12" ht="13.5" customHeight="1" x14ac:dyDescent="0.2">
      <c r="A202" s="180" t="s">
        <v>2147</v>
      </c>
      <c r="B202" s="56" t="s">
        <v>483</v>
      </c>
      <c r="C202" s="32" t="s">
        <v>2148</v>
      </c>
      <c r="D202" s="11" t="s">
        <v>2149</v>
      </c>
      <c r="E202" s="181">
        <v>-90</v>
      </c>
      <c r="F202" s="30"/>
      <c r="G202" s="182" t="s">
        <v>483</v>
      </c>
      <c r="H202" s="59"/>
      <c r="I202" s="60"/>
      <c r="J202" s="61">
        <v>9363.19</v>
      </c>
      <c r="K202" s="18"/>
      <c r="L202" s="30"/>
    </row>
    <row r="203" spans="1:12" ht="13.5" customHeight="1" x14ac:dyDescent="0.2">
      <c r="A203" s="180"/>
      <c r="B203" s="56" t="s">
        <v>483</v>
      </c>
      <c r="C203" s="32" t="s">
        <v>174</v>
      </c>
      <c r="D203" s="11" t="s">
        <v>488</v>
      </c>
      <c r="E203" s="30"/>
      <c r="F203" s="181">
        <v>90</v>
      </c>
      <c r="G203" s="182">
        <v>0</v>
      </c>
      <c r="H203" s="59">
        <v>90</v>
      </c>
      <c r="I203" s="60"/>
      <c r="J203" s="61">
        <v>9273.19</v>
      </c>
      <c r="K203" s="18"/>
      <c r="L203" s="30"/>
    </row>
    <row r="204" spans="1:12" ht="13.5" customHeight="1" x14ac:dyDescent="0.2">
      <c r="A204" s="180" t="s">
        <v>2150</v>
      </c>
      <c r="B204" s="56" t="s">
        <v>483</v>
      </c>
      <c r="C204" s="32" t="s">
        <v>2151</v>
      </c>
      <c r="D204" s="11" t="s">
        <v>488</v>
      </c>
      <c r="E204" s="181">
        <v>-285.3</v>
      </c>
      <c r="F204" s="30"/>
      <c r="G204" s="182" t="s">
        <v>483</v>
      </c>
      <c r="H204" s="59"/>
      <c r="I204" s="60"/>
      <c r="J204" s="61">
        <v>9273.19</v>
      </c>
      <c r="K204" s="18"/>
      <c r="L204" s="30"/>
    </row>
    <row r="205" spans="1:12" ht="13.5" customHeight="1" x14ac:dyDescent="0.2">
      <c r="A205" s="180"/>
      <c r="B205" s="56" t="s">
        <v>483</v>
      </c>
      <c r="C205" s="32" t="s">
        <v>174</v>
      </c>
      <c r="D205" s="11" t="s">
        <v>488</v>
      </c>
      <c r="E205" s="30"/>
      <c r="F205" s="181">
        <v>285.3</v>
      </c>
      <c r="G205" s="182">
        <v>0</v>
      </c>
      <c r="H205" s="59">
        <v>285.3</v>
      </c>
      <c r="I205" s="60"/>
      <c r="J205" s="61">
        <v>8987.8900000000012</v>
      </c>
      <c r="K205" s="18"/>
      <c r="L205" s="30"/>
    </row>
    <row r="206" spans="1:12" ht="13.5" customHeight="1" x14ac:dyDescent="0.2">
      <c r="A206" s="180" t="s">
        <v>2152</v>
      </c>
      <c r="B206" s="56" t="s">
        <v>483</v>
      </c>
      <c r="C206" s="32" t="s">
        <v>813</v>
      </c>
      <c r="D206" s="11" t="s">
        <v>2153</v>
      </c>
      <c r="E206" s="181">
        <v>-75</v>
      </c>
      <c r="F206" s="30"/>
      <c r="G206" s="182" t="s">
        <v>483</v>
      </c>
      <c r="H206" s="59"/>
      <c r="I206" s="60"/>
      <c r="J206" s="61">
        <v>8987.8900000000012</v>
      </c>
      <c r="K206" s="18"/>
      <c r="L206" s="30"/>
    </row>
    <row r="207" spans="1:12" ht="13.5" customHeight="1" x14ac:dyDescent="0.2">
      <c r="A207" s="180"/>
      <c r="B207" s="56" t="s">
        <v>483</v>
      </c>
      <c r="C207" s="32" t="s">
        <v>174</v>
      </c>
      <c r="D207" s="11" t="s">
        <v>488</v>
      </c>
      <c r="E207" s="30"/>
      <c r="F207" s="181">
        <v>75</v>
      </c>
      <c r="G207" s="205">
        <v>0</v>
      </c>
      <c r="H207" s="59">
        <v>75</v>
      </c>
      <c r="I207" s="60"/>
      <c r="J207" s="61">
        <v>8912.8900000000012</v>
      </c>
      <c r="K207" s="18"/>
      <c r="L207" s="30"/>
    </row>
    <row r="208" spans="1:12" ht="13.5" customHeight="1" x14ac:dyDescent="0.2">
      <c r="A208" s="180"/>
      <c r="B208" s="56"/>
      <c r="C208" s="32" t="s">
        <v>20</v>
      </c>
      <c r="D208" s="11"/>
      <c r="E208" s="30"/>
      <c r="F208" s="30"/>
      <c r="G208" s="182"/>
      <c r="H208" s="59"/>
      <c r="I208" s="60">
        <v>0.40999999999803549</v>
      </c>
      <c r="J208" s="186">
        <v>8913.2999999999993</v>
      </c>
      <c r="K208" s="124"/>
      <c r="L208" s="30"/>
    </row>
    <row r="209" spans="1:15" s="64" customFormat="1" ht="13.5" customHeight="1" thickBot="1" x14ac:dyDescent="0.25">
      <c r="A209" s="184"/>
      <c r="B209" s="63"/>
      <c r="C209" s="63"/>
      <c r="D209" s="50"/>
      <c r="E209" s="650">
        <f>SUM(E166:E208)</f>
        <v>-20980.140000000003</v>
      </c>
      <c r="F209" s="651">
        <f>SUM(F170:F193,F198:F208)</f>
        <v>12395.39</v>
      </c>
      <c r="G209" s="53"/>
      <c r="H209" s="179"/>
      <c r="I209" s="57"/>
      <c r="J209" s="67"/>
      <c r="L209" s="51"/>
      <c r="O209" s="65"/>
    </row>
    <row r="210" spans="1:15" ht="13.5" customHeight="1" thickBot="1" x14ac:dyDescent="0.25">
      <c r="A210" s="2" t="s">
        <v>2</v>
      </c>
      <c r="B210" s="3"/>
      <c r="C210" s="3" t="s">
        <v>525</v>
      </c>
      <c r="D210" s="3" t="s">
        <v>4</v>
      </c>
      <c r="E210" s="3" t="s">
        <v>5</v>
      </c>
      <c r="F210" s="3" t="s">
        <v>6</v>
      </c>
      <c r="G210" s="5" t="s">
        <v>7</v>
      </c>
      <c r="H210" s="187"/>
      <c r="I210" s="188"/>
      <c r="J210" s="189"/>
    </row>
    <row r="211" spans="1:15" ht="13.5" customHeight="1" x14ac:dyDescent="0.2">
      <c r="A211" s="8">
        <v>43586</v>
      </c>
      <c r="B211" s="56"/>
      <c r="C211" s="10" t="s">
        <v>8</v>
      </c>
      <c r="D211" s="11"/>
      <c r="E211" s="51"/>
      <c r="F211" s="12"/>
      <c r="G211" s="178">
        <v>596.85999999999876</v>
      </c>
      <c r="H211" s="179"/>
      <c r="I211" s="57"/>
      <c r="J211" s="67"/>
      <c r="L211" s="51"/>
    </row>
    <row r="212" spans="1:15" customFormat="1" ht="13.5" customHeight="1" x14ac:dyDescent="0.2">
      <c r="A212" s="180">
        <v>43593</v>
      </c>
      <c r="B212" s="36"/>
      <c r="C212" s="32" t="s">
        <v>1390</v>
      </c>
      <c r="D212" s="42"/>
      <c r="E212" s="196"/>
      <c r="F212" s="199">
        <v>500</v>
      </c>
      <c r="G212" s="190">
        <v>1096.8599999999988</v>
      </c>
      <c r="H212" s="197"/>
      <c r="I212" s="57"/>
      <c r="J212" s="198"/>
      <c r="L212" s="196"/>
      <c r="O212" s="40"/>
    </row>
    <row r="213" spans="1:15" ht="13.5" customHeight="1" x14ac:dyDescent="0.2">
      <c r="A213" s="180"/>
      <c r="B213" s="56"/>
      <c r="C213" s="36" t="s">
        <v>815</v>
      </c>
      <c r="D213" s="11"/>
      <c r="E213" s="181">
        <v>888.22</v>
      </c>
      <c r="F213" s="12"/>
      <c r="G213" s="178">
        <v>208.63999999999874</v>
      </c>
      <c r="H213" s="59"/>
      <c r="I213" s="60"/>
      <c r="J213" s="61"/>
      <c r="L213" s="30"/>
    </row>
    <row r="214" spans="1:15" ht="13.5" customHeight="1" thickBot="1" x14ac:dyDescent="0.25">
      <c r="A214" s="180"/>
      <c r="B214" s="56"/>
      <c r="C214" s="32"/>
      <c r="D214" s="11"/>
      <c r="E214" s="30"/>
      <c r="F214" s="12"/>
      <c r="G214" s="182"/>
      <c r="H214" s="59"/>
      <c r="I214" s="60"/>
      <c r="J214" s="61"/>
      <c r="L214" s="30"/>
    </row>
    <row r="215" spans="1:15" ht="13.5" customHeight="1" thickBot="1" x14ac:dyDescent="0.25">
      <c r="A215" s="2" t="s">
        <v>2</v>
      </c>
      <c r="B215" s="3"/>
      <c r="C215" s="3" t="s">
        <v>534</v>
      </c>
      <c r="D215" s="191" t="s">
        <v>4</v>
      </c>
      <c r="E215" s="3" t="s">
        <v>5</v>
      </c>
      <c r="F215" s="3" t="s">
        <v>6</v>
      </c>
      <c r="G215" s="5" t="s">
        <v>7</v>
      </c>
      <c r="H215" s="187"/>
      <c r="I215" s="188"/>
      <c r="J215" s="189"/>
      <c r="L215" s="30"/>
    </row>
    <row r="216" spans="1:15" ht="13.5" customHeight="1" x14ac:dyDescent="0.2">
      <c r="A216" s="8">
        <v>42370</v>
      </c>
      <c r="B216" s="36"/>
      <c r="C216" s="10" t="s">
        <v>8</v>
      </c>
      <c r="D216" s="195"/>
      <c r="E216" s="196"/>
      <c r="F216" s="43"/>
      <c r="G216" s="178">
        <v>0</v>
      </c>
      <c r="H216" s="59"/>
      <c r="I216" s="60"/>
      <c r="J216" s="61"/>
      <c r="L216" s="30"/>
    </row>
    <row r="217" spans="1:15" ht="13.5" customHeight="1" x14ac:dyDescent="0.2">
      <c r="A217" s="180">
        <v>43284</v>
      </c>
      <c r="B217" s="32"/>
      <c r="C217" s="32" t="s">
        <v>535</v>
      </c>
      <c r="D217" s="195"/>
      <c r="E217" s="196"/>
      <c r="F217" s="199">
        <v>500</v>
      </c>
      <c r="G217" s="190">
        <v>500</v>
      </c>
      <c r="H217" s="59"/>
      <c r="I217" s="60"/>
      <c r="J217" s="61"/>
      <c r="L217" s="30"/>
    </row>
    <row r="218" spans="1:15" ht="13.5" customHeight="1" x14ac:dyDescent="0.2">
      <c r="A218" s="180">
        <v>43346</v>
      </c>
      <c r="B218" s="36"/>
      <c r="C218" s="32" t="s">
        <v>535</v>
      </c>
      <c r="D218" s="195"/>
      <c r="E218" s="200"/>
      <c r="F218" s="199">
        <v>3000</v>
      </c>
      <c r="G218" s="190">
        <v>3500</v>
      </c>
      <c r="H218" s="59"/>
      <c r="I218" s="60"/>
      <c r="J218" s="61"/>
      <c r="L218" s="30"/>
    </row>
    <row r="219" spans="1:15" ht="13.5" customHeight="1" x14ac:dyDescent="0.2">
      <c r="A219" s="180">
        <v>43374</v>
      </c>
      <c r="B219" s="36"/>
      <c r="C219" s="32" t="s">
        <v>535</v>
      </c>
      <c r="D219" s="195"/>
      <c r="E219" s="200"/>
      <c r="F219" s="199">
        <v>2000</v>
      </c>
      <c r="G219" s="190">
        <v>5500</v>
      </c>
      <c r="H219" s="59"/>
      <c r="I219" s="60"/>
      <c r="J219" s="61"/>
      <c r="L219" s="30"/>
    </row>
    <row r="220" spans="1:15" ht="13.5" customHeight="1" x14ac:dyDescent="0.2">
      <c r="A220" s="180">
        <v>43409</v>
      </c>
      <c r="B220" s="36"/>
      <c r="C220" s="32" t="s">
        <v>535</v>
      </c>
      <c r="D220" s="195"/>
      <c r="E220" s="200"/>
      <c r="F220" s="199">
        <v>1000</v>
      </c>
      <c r="G220" s="190">
        <v>6500</v>
      </c>
      <c r="H220" s="59"/>
      <c r="I220" s="60"/>
      <c r="J220" s="61"/>
      <c r="L220" s="30"/>
    </row>
    <row r="221" spans="1:15" ht="13.5" customHeight="1" x14ac:dyDescent="0.2">
      <c r="A221" s="180">
        <v>43439</v>
      </c>
      <c r="B221" s="36"/>
      <c r="C221" s="32" t="s">
        <v>535</v>
      </c>
      <c r="D221" s="195"/>
      <c r="E221" s="200"/>
      <c r="F221" s="199">
        <v>500</v>
      </c>
      <c r="G221" s="190">
        <v>7000</v>
      </c>
      <c r="H221" s="59"/>
      <c r="I221" s="60"/>
      <c r="J221" s="61"/>
      <c r="L221" s="30"/>
    </row>
    <row r="222" spans="1:15" ht="13.5" customHeight="1" x14ac:dyDescent="0.2">
      <c r="A222" s="180">
        <v>43469</v>
      </c>
      <c r="B222" s="36"/>
      <c r="C222" s="32" t="s">
        <v>1390</v>
      </c>
      <c r="D222" s="195"/>
      <c r="E222" s="200"/>
      <c r="F222" s="199">
        <v>1500</v>
      </c>
      <c r="G222" s="190">
        <v>8500</v>
      </c>
      <c r="H222" s="59"/>
      <c r="I222" s="60"/>
      <c r="J222" s="61"/>
      <c r="L222" s="30"/>
    </row>
    <row r="223" spans="1:15" ht="13.5" customHeight="1" x14ac:dyDescent="0.2">
      <c r="A223" s="184">
        <v>43475</v>
      </c>
      <c r="B223" s="63"/>
      <c r="C223" s="32" t="s">
        <v>1391</v>
      </c>
      <c r="D223" s="50"/>
      <c r="E223" s="51"/>
      <c r="F223" s="183">
        <v>5000</v>
      </c>
      <c r="G223" s="190">
        <v>13500</v>
      </c>
      <c r="H223" s="59"/>
      <c r="I223" s="60"/>
      <c r="J223" s="61"/>
      <c r="L223" s="30"/>
    </row>
    <row r="224" spans="1:15" ht="13.5" customHeight="1" x14ac:dyDescent="0.2">
      <c r="A224" s="184">
        <v>43482</v>
      </c>
      <c r="B224" s="63"/>
      <c r="C224" s="32" t="s">
        <v>1391</v>
      </c>
      <c r="D224" s="50"/>
      <c r="E224" s="51"/>
      <c r="F224" s="183">
        <v>5000</v>
      </c>
      <c r="G224" s="190">
        <v>18500</v>
      </c>
      <c r="H224" s="59"/>
      <c r="I224" s="60"/>
      <c r="J224" s="61"/>
      <c r="L224" s="30"/>
    </row>
    <row r="225" spans="1:12" ht="13.5" customHeight="1" x14ac:dyDescent="0.2">
      <c r="A225" s="184">
        <v>43500</v>
      </c>
      <c r="B225" s="63"/>
      <c r="C225" s="32" t="s">
        <v>1391</v>
      </c>
      <c r="D225" s="50"/>
      <c r="E225" s="51"/>
      <c r="F225" s="183">
        <v>3000</v>
      </c>
      <c r="G225" s="190">
        <v>21500</v>
      </c>
      <c r="H225" s="59"/>
      <c r="I225" s="60"/>
      <c r="J225" s="61"/>
      <c r="L225" s="30"/>
    </row>
    <row r="226" spans="1:12" ht="13.5" customHeight="1" x14ac:dyDescent="0.2">
      <c r="A226" s="184">
        <v>43501</v>
      </c>
      <c r="B226" s="63"/>
      <c r="C226" s="32" t="s">
        <v>1391</v>
      </c>
      <c r="D226" s="50"/>
      <c r="E226" s="51"/>
      <c r="F226" s="183">
        <v>4000</v>
      </c>
      <c r="G226" s="190">
        <v>25500</v>
      </c>
      <c r="H226" s="59"/>
      <c r="I226" s="60"/>
      <c r="J226" s="61"/>
      <c r="L226" s="30"/>
    </row>
    <row r="227" spans="1:12" ht="13.5" customHeight="1" x14ac:dyDescent="0.2">
      <c r="A227" s="184">
        <v>43503</v>
      </c>
      <c r="B227" s="63"/>
      <c r="C227" s="32" t="s">
        <v>1391</v>
      </c>
      <c r="D227" s="50"/>
      <c r="E227" s="51"/>
      <c r="F227" s="183">
        <v>2000</v>
      </c>
      <c r="G227" s="190">
        <v>27500</v>
      </c>
      <c r="H227" s="59"/>
      <c r="I227" s="60"/>
      <c r="J227" s="61"/>
      <c r="L227" s="30"/>
    </row>
    <row r="228" spans="1:12" ht="13.5" customHeight="1" x14ac:dyDescent="0.2">
      <c r="A228" s="184">
        <v>43504</v>
      </c>
      <c r="B228" s="63"/>
      <c r="C228" s="32" t="s">
        <v>1390</v>
      </c>
      <c r="D228" s="50"/>
      <c r="E228" s="51"/>
      <c r="F228" s="183">
        <v>1500</v>
      </c>
      <c r="G228" s="190">
        <v>29000</v>
      </c>
      <c r="H228" s="59"/>
      <c r="I228" s="60"/>
      <c r="J228" s="61"/>
      <c r="L228" s="30"/>
    </row>
    <row r="229" spans="1:12" ht="13.5" customHeight="1" x14ac:dyDescent="0.2">
      <c r="A229" s="184">
        <v>43522</v>
      </c>
      <c r="B229" s="63"/>
      <c r="C229" s="32" t="s">
        <v>1544</v>
      </c>
      <c r="D229" s="50"/>
      <c r="E229" s="181">
        <v>5000</v>
      </c>
      <c r="F229" s="12"/>
      <c r="G229" s="190">
        <v>24000</v>
      </c>
      <c r="H229" s="59"/>
      <c r="I229" s="60"/>
      <c r="J229" s="61"/>
      <c r="L229" s="30"/>
    </row>
    <row r="230" spans="1:12" ht="13.5" customHeight="1" x14ac:dyDescent="0.2">
      <c r="A230" s="180">
        <v>43531</v>
      </c>
      <c r="B230" s="63"/>
      <c r="C230" s="32" t="s">
        <v>1390</v>
      </c>
      <c r="D230" s="50"/>
      <c r="E230" s="51"/>
      <c r="F230" s="183">
        <v>3000</v>
      </c>
      <c r="G230" s="190">
        <v>27000</v>
      </c>
      <c r="H230" s="59"/>
      <c r="I230" s="60"/>
      <c r="J230" s="61"/>
      <c r="L230" s="30"/>
    </row>
    <row r="231" spans="1:12" ht="13.5" customHeight="1" x14ac:dyDescent="0.2">
      <c r="A231" s="180">
        <v>43536</v>
      </c>
      <c r="B231" s="56"/>
      <c r="C231" s="32" t="s">
        <v>1391</v>
      </c>
      <c r="D231" s="11"/>
      <c r="E231" s="30"/>
      <c r="F231" s="183">
        <v>3000</v>
      </c>
      <c r="G231" s="190">
        <v>30000</v>
      </c>
      <c r="H231" s="59"/>
      <c r="I231" s="60"/>
      <c r="J231" s="61"/>
      <c r="L231" s="30"/>
    </row>
    <row r="232" spans="1:12" ht="13.5" customHeight="1" x14ac:dyDescent="0.2">
      <c r="A232" s="180">
        <v>43560</v>
      </c>
      <c r="B232" s="36"/>
      <c r="C232" s="32" t="s">
        <v>1390</v>
      </c>
      <c r="D232" s="50"/>
      <c r="E232" s="51"/>
      <c r="F232" s="183">
        <v>2000</v>
      </c>
      <c r="G232" s="190">
        <v>32000</v>
      </c>
      <c r="H232" s="59"/>
      <c r="I232" s="60"/>
      <c r="J232" s="61"/>
      <c r="L232" s="30"/>
    </row>
    <row r="233" spans="1:12" ht="13.5" customHeight="1" x14ac:dyDescent="0.2">
      <c r="A233" s="184">
        <v>43565</v>
      </c>
      <c r="B233" s="63"/>
      <c r="C233" s="32" t="s">
        <v>1390</v>
      </c>
      <c r="D233" s="50"/>
      <c r="E233" s="51"/>
      <c r="F233" s="183">
        <v>8000</v>
      </c>
      <c r="G233" s="190">
        <v>40000</v>
      </c>
      <c r="H233" s="59"/>
      <c r="I233" s="60"/>
      <c r="J233" s="61"/>
      <c r="L233" s="30"/>
    </row>
    <row r="234" spans="1:12" ht="13.5" customHeight="1" x14ac:dyDescent="0.2">
      <c r="A234" s="184">
        <v>43571</v>
      </c>
      <c r="B234" s="63"/>
      <c r="C234" s="32" t="s">
        <v>1544</v>
      </c>
      <c r="D234" s="50"/>
      <c r="E234" s="181">
        <v>4000</v>
      </c>
      <c r="F234" s="13"/>
      <c r="G234" s="190">
        <v>36000</v>
      </c>
      <c r="H234" s="59"/>
      <c r="I234" s="60"/>
      <c r="J234" s="61"/>
      <c r="L234" s="30"/>
    </row>
    <row r="235" spans="1:12" ht="13.5" customHeight="1" x14ac:dyDescent="0.2">
      <c r="A235" s="184">
        <v>43580</v>
      </c>
      <c r="B235" s="63"/>
      <c r="C235" s="32" t="s">
        <v>1544</v>
      </c>
      <c r="D235" s="50"/>
      <c r="E235" s="181">
        <v>2000</v>
      </c>
      <c r="F235" s="13"/>
      <c r="G235" s="190">
        <v>34000</v>
      </c>
      <c r="H235" s="59"/>
      <c r="I235" s="60"/>
      <c r="J235" s="61"/>
      <c r="L235" s="30"/>
    </row>
    <row r="236" spans="1:12" ht="13.5" customHeight="1" x14ac:dyDescent="0.2">
      <c r="A236" s="180">
        <v>43593</v>
      </c>
      <c r="B236" s="36"/>
      <c r="C236" s="32" t="s">
        <v>1390</v>
      </c>
      <c r="D236" s="42"/>
      <c r="E236" s="196"/>
      <c r="F236" s="199">
        <v>500</v>
      </c>
      <c r="G236" s="178">
        <v>34500</v>
      </c>
      <c r="H236" s="59"/>
      <c r="I236" s="60"/>
      <c r="J236" s="61"/>
      <c r="L236" s="30"/>
    </row>
    <row r="237" spans="1:12" ht="13.5" customHeight="1" thickBot="1" x14ac:dyDescent="0.25">
      <c r="A237" s="180"/>
      <c r="B237" s="56"/>
      <c r="C237" s="56"/>
      <c r="D237" s="11"/>
      <c r="E237" s="30"/>
      <c r="F237" s="12"/>
      <c r="G237" s="182"/>
      <c r="H237" s="59"/>
      <c r="I237" s="60"/>
      <c r="J237" s="61"/>
      <c r="L237" s="30"/>
    </row>
    <row r="238" spans="1:12" ht="13.5" customHeight="1" thickBot="1" x14ac:dyDescent="0.25">
      <c r="A238" s="2" t="s">
        <v>2</v>
      </c>
      <c r="B238" s="3"/>
      <c r="C238" s="3" t="s">
        <v>536</v>
      </c>
      <c r="D238" s="3"/>
      <c r="E238" s="3"/>
      <c r="F238" s="3"/>
      <c r="G238" s="5" t="s">
        <v>7</v>
      </c>
      <c r="H238" s="6" t="s">
        <v>5</v>
      </c>
      <c r="I238" s="4" t="s">
        <v>6</v>
      </c>
      <c r="J238" s="7" t="s">
        <v>7</v>
      </c>
    </row>
    <row r="239" spans="1:12" ht="13.5" customHeight="1" x14ac:dyDescent="0.2">
      <c r="A239" s="8">
        <v>43586</v>
      </c>
      <c r="B239" s="70"/>
      <c r="C239" s="10" t="s">
        <v>537</v>
      </c>
      <c r="D239" s="125"/>
      <c r="E239" s="67"/>
      <c r="F239" s="67"/>
      <c r="G239" s="178"/>
      <c r="H239" s="179"/>
      <c r="I239" s="57"/>
      <c r="J239" s="58">
        <v>2766.99</v>
      </c>
      <c r="L239" s="18"/>
    </row>
    <row r="240" spans="1:12" ht="13.5" customHeight="1" x14ac:dyDescent="0.2">
      <c r="A240" s="171">
        <v>43588</v>
      </c>
      <c r="B240" s="46"/>
      <c r="C240" s="34" t="s">
        <v>1981</v>
      </c>
      <c r="D240" s="229"/>
      <c r="E240" s="69"/>
      <c r="F240" s="69"/>
      <c r="G240" s="203"/>
      <c r="H240" s="68"/>
      <c r="I240" s="73">
        <v>4000</v>
      </c>
      <c r="J240" s="69">
        <v>6766.99</v>
      </c>
      <c r="L240" s="18"/>
    </row>
    <row r="241" spans="1:13" ht="13.5" customHeight="1" x14ac:dyDescent="0.2">
      <c r="A241" s="171">
        <v>43594</v>
      </c>
      <c r="B241" s="46"/>
      <c r="C241" s="34" t="s">
        <v>2154</v>
      </c>
      <c r="D241" s="229"/>
      <c r="E241" s="69"/>
      <c r="F241" s="69"/>
      <c r="G241" s="203"/>
      <c r="H241" s="68"/>
      <c r="I241" s="68">
        <v>5075</v>
      </c>
      <c r="J241" s="69">
        <v>11841.99</v>
      </c>
      <c r="K241" s="18"/>
      <c r="L241" s="18"/>
      <c r="M241" s="18"/>
    </row>
    <row r="242" spans="1:13" ht="13.5" customHeight="1" x14ac:dyDescent="0.2">
      <c r="A242" s="171"/>
      <c r="B242" s="46"/>
      <c r="C242" s="36" t="s">
        <v>1553</v>
      </c>
      <c r="D242" s="229"/>
      <c r="E242" s="69"/>
      <c r="F242" s="69"/>
      <c r="G242" s="203"/>
      <c r="H242" s="68">
        <v>5000</v>
      </c>
      <c r="I242" s="68"/>
      <c r="J242" s="69">
        <v>6841.99</v>
      </c>
      <c r="K242" s="18"/>
      <c r="L242" s="18"/>
      <c r="M242" s="18"/>
    </row>
    <row r="243" spans="1:13" ht="13.5" customHeight="1" x14ac:dyDescent="0.2">
      <c r="A243" s="180"/>
      <c r="B243" s="46"/>
      <c r="C243" s="34" t="s">
        <v>2155</v>
      </c>
      <c r="D243" s="229"/>
      <c r="E243" s="69"/>
      <c r="F243" s="69"/>
      <c r="G243" s="203"/>
      <c r="H243" s="68">
        <v>18</v>
      </c>
      <c r="I243" s="71"/>
      <c r="J243" s="69">
        <v>6823.99</v>
      </c>
      <c r="L243" s="18"/>
    </row>
    <row r="244" spans="1:13" ht="13.5" customHeight="1" x14ac:dyDescent="0.2">
      <c r="A244" s="180"/>
      <c r="B244" s="46"/>
      <c r="C244" s="34" t="s">
        <v>2156</v>
      </c>
      <c r="D244" s="230"/>
      <c r="E244" s="61"/>
      <c r="F244" s="61"/>
      <c r="G244" s="205"/>
      <c r="H244" s="59">
        <v>1.5</v>
      </c>
      <c r="I244" s="71"/>
      <c r="J244" s="69">
        <v>6822.49</v>
      </c>
      <c r="L244" s="18"/>
    </row>
    <row r="245" spans="1:13" ht="13.5" customHeight="1" x14ac:dyDescent="0.2">
      <c r="A245" s="180"/>
      <c r="B245" s="46"/>
      <c r="C245" s="34" t="s">
        <v>1981</v>
      </c>
      <c r="D245" s="230"/>
      <c r="E245" s="61"/>
      <c r="F245" s="61"/>
      <c r="G245" s="205"/>
      <c r="H245" s="59"/>
      <c r="I245" s="73">
        <v>1000</v>
      </c>
      <c r="J245" s="69">
        <v>7822.49</v>
      </c>
      <c r="L245" s="18"/>
    </row>
    <row r="246" spans="1:13" ht="13.5" customHeight="1" x14ac:dyDescent="0.2">
      <c r="A246" s="180">
        <v>43600</v>
      </c>
      <c r="B246" s="46"/>
      <c r="C246" s="138" t="s">
        <v>2024</v>
      </c>
      <c r="D246" s="230"/>
      <c r="E246" s="61"/>
      <c r="F246" s="61"/>
      <c r="G246" s="205"/>
      <c r="H246" s="531">
        <v>2000</v>
      </c>
      <c r="I246" s="71"/>
      <c r="J246" s="69">
        <v>5822.49</v>
      </c>
      <c r="L246" s="18"/>
    </row>
    <row r="247" spans="1:13" ht="13.5" customHeight="1" x14ac:dyDescent="0.2">
      <c r="A247" s="180"/>
      <c r="B247" s="46"/>
      <c r="C247" s="34" t="s">
        <v>1981</v>
      </c>
      <c r="D247" s="230"/>
      <c r="E247" s="61"/>
      <c r="F247" s="61"/>
      <c r="G247" s="205"/>
      <c r="H247" s="59"/>
      <c r="I247" s="73">
        <v>5000</v>
      </c>
      <c r="J247" s="69">
        <v>10822.49</v>
      </c>
      <c r="L247" s="18"/>
    </row>
    <row r="248" spans="1:13" ht="13.5" customHeight="1" x14ac:dyDescent="0.2">
      <c r="A248" s="180">
        <v>43601</v>
      </c>
      <c r="B248" s="46"/>
      <c r="C248" s="34" t="s">
        <v>2157</v>
      </c>
      <c r="D248" s="229"/>
      <c r="E248" s="69"/>
      <c r="F248" s="69"/>
      <c r="G248" s="203"/>
      <c r="H248" s="68">
        <v>7</v>
      </c>
      <c r="I248" s="71"/>
      <c r="J248" s="69">
        <v>10815.49</v>
      </c>
      <c r="L248" s="18"/>
    </row>
    <row r="249" spans="1:13" ht="13.5" customHeight="1" x14ac:dyDescent="0.2">
      <c r="A249" s="180">
        <v>43607</v>
      </c>
      <c r="B249" s="9"/>
      <c r="C249" s="34" t="s">
        <v>2158</v>
      </c>
      <c r="D249" s="230"/>
      <c r="E249" s="61"/>
      <c r="F249" s="61"/>
      <c r="G249" s="205"/>
      <c r="H249" s="59">
        <v>200</v>
      </c>
      <c r="I249" s="71"/>
      <c r="J249" s="69">
        <v>10615.49</v>
      </c>
      <c r="L249" s="18"/>
    </row>
    <row r="250" spans="1:13" ht="13.5" customHeight="1" x14ac:dyDescent="0.2">
      <c r="A250" s="180">
        <v>43608</v>
      </c>
      <c r="B250" s="46"/>
      <c r="C250" s="34" t="s">
        <v>2159</v>
      </c>
      <c r="D250" s="229"/>
      <c r="E250" s="69"/>
      <c r="F250" s="69"/>
      <c r="G250" s="203"/>
      <c r="H250" s="68">
        <v>65.94</v>
      </c>
      <c r="I250" s="71"/>
      <c r="J250" s="69">
        <v>10549.55</v>
      </c>
      <c r="L250" s="18"/>
    </row>
    <row r="251" spans="1:13" ht="13.5" customHeight="1" x14ac:dyDescent="0.2">
      <c r="A251" s="180"/>
      <c r="B251" s="46"/>
      <c r="C251" s="34" t="s">
        <v>2160</v>
      </c>
      <c r="D251" s="229"/>
      <c r="E251" s="69"/>
      <c r="F251" s="69"/>
      <c r="G251" s="203"/>
      <c r="H251" s="68">
        <v>65.94</v>
      </c>
      <c r="I251" s="71"/>
      <c r="J251" s="69">
        <v>10483.609999999999</v>
      </c>
      <c r="L251" s="18"/>
    </row>
    <row r="252" spans="1:13" ht="13.5" customHeight="1" x14ac:dyDescent="0.2">
      <c r="A252" s="180"/>
      <c r="B252" s="46"/>
      <c r="C252" s="34" t="s">
        <v>2161</v>
      </c>
      <c r="D252" s="229"/>
      <c r="E252" s="69"/>
      <c r="F252" s="69"/>
      <c r="G252" s="203"/>
      <c r="H252" s="68">
        <v>2000</v>
      </c>
      <c r="I252" s="71"/>
      <c r="J252" s="69">
        <v>8483.6099999999988</v>
      </c>
      <c r="L252" s="18"/>
    </row>
    <row r="253" spans="1:13" ht="13.5" customHeight="1" x14ac:dyDescent="0.2">
      <c r="A253" s="19">
        <v>43609</v>
      </c>
      <c r="B253" s="20"/>
      <c r="C253" s="34" t="s">
        <v>2090</v>
      </c>
      <c r="D253" s="229"/>
      <c r="E253" s="69"/>
      <c r="F253" s="69"/>
      <c r="G253" s="203"/>
      <c r="H253" s="412">
        <v>500</v>
      </c>
      <c r="I253" s="68"/>
      <c r="J253" s="69">
        <v>7983.6099999999988</v>
      </c>
      <c r="K253" s="18"/>
      <c r="L253" s="18"/>
      <c r="M253" s="18"/>
    </row>
    <row r="254" spans="1:13" ht="13.5" customHeight="1" x14ac:dyDescent="0.2">
      <c r="A254" s="171"/>
      <c r="B254" s="46"/>
      <c r="C254" s="34" t="s">
        <v>2162</v>
      </c>
      <c r="D254" s="229"/>
      <c r="E254" s="69"/>
      <c r="F254" s="69"/>
      <c r="G254" s="203"/>
      <c r="H254" s="68">
        <v>250</v>
      </c>
      <c r="I254" s="68"/>
      <c r="J254" s="69">
        <v>7733.6099999999988</v>
      </c>
      <c r="K254" s="18"/>
      <c r="L254" s="18"/>
      <c r="M254" s="18"/>
    </row>
    <row r="255" spans="1:13" ht="13.5" customHeight="1" x14ac:dyDescent="0.2">
      <c r="A255" s="171"/>
      <c r="B255" s="46"/>
      <c r="C255" s="34" t="s">
        <v>2162</v>
      </c>
      <c r="D255" s="229"/>
      <c r="E255" s="69"/>
      <c r="F255" s="69"/>
      <c r="G255" s="203"/>
      <c r="H255" s="68">
        <v>14</v>
      </c>
      <c r="I255" s="68"/>
      <c r="J255" s="69">
        <v>7719.6099999999988</v>
      </c>
      <c r="K255" s="18"/>
      <c r="L255" s="18"/>
      <c r="M255" s="18"/>
    </row>
    <row r="256" spans="1:13" ht="13.5" customHeight="1" x14ac:dyDescent="0.2">
      <c r="A256" s="171">
        <v>43613</v>
      </c>
      <c r="B256" s="46"/>
      <c r="C256" s="34" t="s">
        <v>2163</v>
      </c>
      <c r="D256" s="229"/>
      <c r="E256" s="69"/>
      <c r="F256" s="69"/>
      <c r="G256" s="203"/>
      <c r="H256" s="68">
        <v>450</v>
      </c>
      <c r="I256" s="68"/>
      <c r="J256" s="69">
        <v>7269.6099999999988</v>
      </c>
      <c r="K256" s="18"/>
      <c r="L256" s="18"/>
      <c r="M256" s="18"/>
    </row>
    <row r="257" spans="1:16" ht="13.5" customHeight="1" x14ac:dyDescent="0.2">
      <c r="A257" s="171">
        <v>43615</v>
      </c>
      <c r="B257" s="46"/>
      <c r="C257" s="34" t="s">
        <v>2164</v>
      </c>
      <c r="D257" s="229"/>
      <c r="E257" s="69"/>
      <c r="F257" s="69"/>
      <c r="G257" s="203"/>
      <c r="H257" s="68">
        <v>2</v>
      </c>
      <c r="I257" s="68"/>
      <c r="J257" s="69">
        <v>7267.6099999999988</v>
      </c>
      <c r="K257" s="18"/>
      <c r="L257" s="18"/>
      <c r="M257" s="18"/>
    </row>
    <row r="258" spans="1:16" ht="13.5" customHeight="1" x14ac:dyDescent="0.2">
      <c r="A258" s="171"/>
      <c r="B258" s="46"/>
      <c r="C258" s="34" t="s">
        <v>2165</v>
      </c>
      <c r="D258" s="229"/>
      <c r="E258" s="69"/>
      <c r="F258" s="69"/>
      <c r="G258" s="203"/>
      <c r="H258" s="68">
        <v>55</v>
      </c>
      <c r="I258" s="68"/>
      <c r="J258" s="186">
        <v>7212.6099999999988</v>
      </c>
      <c r="K258" s="18"/>
      <c r="L258" s="124"/>
      <c r="M258" s="18"/>
    </row>
    <row r="259" spans="1:16" ht="13.5" customHeight="1" thickBot="1" x14ac:dyDescent="0.25">
      <c r="A259" s="207"/>
      <c r="B259" s="207"/>
      <c r="C259" s="208"/>
      <c r="D259" s="208"/>
      <c r="E259" s="208"/>
      <c r="F259" s="208"/>
      <c r="G259" s="210"/>
      <c r="H259" s="652">
        <f>-SUM(H242:H245,H248:H252,H254:H258)</f>
        <v>-8129.3799999999992</v>
      </c>
      <c r="I259" s="652">
        <f>SUM(I241)</f>
        <v>5075</v>
      </c>
      <c r="J259" s="212"/>
    </row>
    <row r="260" spans="1:16" ht="13.5" customHeight="1" thickBot="1" x14ac:dyDescent="0.25">
      <c r="A260" s="213"/>
      <c r="B260" s="214"/>
      <c r="C260" s="215" t="s">
        <v>539</v>
      </c>
      <c r="D260" s="216"/>
      <c r="E260" s="187"/>
      <c r="F260" s="187"/>
      <c r="G260" s="217" t="s">
        <v>7</v>
      </c>
      <c r="H260" s="187"/>
      <c r="I260" s="187"/>
      <c r="J260" s="189"/>
    </row>
    <row r="261" spans="1:16" ht="13.5" customHeight="1" x14ac:dyDescent="0.2">
      <c r="A261" s="74" t="s">
        <v>540</v>
      </c>
      <c r="B261" s="74"/>
      <c r="C261" s="218" t="s">
        <v>541</v>
      </c>
      <c r="D261" s="219"/>
      <c r="E261" s="220"/>
      <c r="F261" s="220"/>
      <c r="G261" s="75">
        <v>0</v>
      </c>
      <c r="H261" s="220"/>
      <c r="I261" s="220"/>
      <c r="J261" s="220"/>
      <c r="O261" s="1"/>
    </row>
    <row r="262" spans="1:16" ht="13.5" customHeight="1" x14ac:dyDescent="0.2">
      <c r="A262" s="221" t="s">
        <v>540</v>
      </c>
      <c r="B262" s="70"/>
      <c r="C262" s="63" t="s">
        <v>542</v>
      </c>
      <c r="D262" s="50"/>
      <c r="E262" s="13"/>
      <c r="F262" s="13"/>
      <c r="G262" s="75">
        <v>8913.2999999999993</v>
      </c>
      <c r="H262" s="13"/>
      <c r="I262" s="13"/>
      <c r="J262" s="13"/>
      <c r="L262" s="30">
        <f>SUM(G3,G165,J239,J3)</f>
        <v>6432.9300000000021</v>
      </c>
      <c r="M262" t="s">
        <v>8082</v>
      </c>
      <c r="O262"/>
    </row>
    <row r="263" spans="1:16" ht="13.5" customHeight="1" x14ac:dyDescent="0.2">
      <c r="A263" s="70"/>
      <c r="B263" s="70"/>
      <c r="C263" s="222" t="s">
        <v>543</v>
      </c>
      <c r="D263" s="50"/>
      <c r="E263" s="13"/>
      <c r="F263" s="13"/>
      <c r="G263" s="14">
        <v>8913.2999999999993</v>
      </c>
      <c r="H263" s="13"/>
      <c r="I263" s="13"/>
      <c r="J263" s="13"/>
      <c r="L263" s="1159"/>
      <c r="O263"/>
    </row>
    <row r="264" spans="1:16" ht="13.5" customHeight="1" x14ac:dyDescent="0.2">
      <c r="A264" s="70"/>
      <c r="B264" s="70"/>
      <c r="C264" s="63"/>
      <c r="D264" s="50"/>
      <c r="E264" s="13"/>
      <c r="F264" s="13"/>
      <c r="G264" s="14"/>
      <c r="H264" s="13"/>
      <c r="I264" s="13"/>
      <c r="J264" s="13"/>
      <c r="L264" s="30">
        <f>SUM(J258,G207,G144,J162)</f>
        <v>16384.71</v>
      </c>
      <c r="M264" t="s">
        <v>8083</v>
      </c>
      <c r="O264" s="1"/>
    </row>
    <row r="265" spans="1:16" ht="13.5" customHeight="1" x14ac:dyDescent="0.2">
      <c r="A265" s="70"/>
      <c r="B265" s="70"/>
      <c r="C265" s="222" t="s">
        <v>544</v>
      </c>
      <c r="D265" s="50"/>
      <c r="E265" s="13"/>
      <c r="F265" s="13"/>
      <c r="G265" s="14">
        <v>16384.71</v>
      </c>
      <c r="H265" s="13"/>
      <c r="I265" s="13"/>
      <c r="J265" s="13"/>
      <c r="L265" s="1159"/>
      <c r="O265" s="1"/>
    </row>
    <row r="266" spans="1:16" ht="13.5" customHeight="1" x14ac:dyDescent="0.2">
      <c r="A266" s="70"/>
      <c r="B266" s="70"/>
      <c r="C266" s="63"/>
      <c r="D266" s="50"/>
      <c r="E266" s="13"/>
      <c r="F266" s="13"/>
      <c r="G266" s="75"/>
      <c r="H266" s="13"/>
      <c r="I266" s="13"/>
      <c r="J266" s="13"/>
      <c r="L266" s="30">
        <f>SUM(I259,H259,F209,E209,I163,H163,F163,E163,)</f>
        <v>9951.7799999999916</v>
      </c>
      <c r="M266" t="s">
        <v>1800</v>
      </c>
      <c r="O266" s="1"/>
    </row>
    <row r="267" spans="1:16" ht="13.5" customHeight="1" x14ac:dyDescent="0.2">
      <c r="A267" s="76"/>
      <c r="B267" s="76"/>
      <c r="C267" s="222" t="s">
        <v>545</v>
      </c>
      <c r="D267" s="78"/>
      <c r="E267" s="78"/>
      <c r="F267" s="78"/>
      <c r="G267" s="14">
        <v>23597.32</v>
      </c>
      <c r="H267" s="77"/>
      <c r="I267" s="77"/>
      <c r="J267" s="13"/>
      <c r="L267" s="1159"/>
      <c r="O267" s="1"/>
    </row>
    <row r="268" spans="1:16" ht="13.5" customHeight="1" x14ac:dyDescent="0.2">
      <c r="A268" s="76"/>
      <c r="B268" s="76"/>
      <c r="C268" s="78"/>
      <c r="D268" s="78"/>
      <c r="E268" s="78"/>
      <c r="F268" s="78"/>
      <c r="G268" s="75"/>
      <c r="H268" s="77"/>
      <c r="I268" s="77"/>
      <c r="J268" s="13"/>
      <c r="L268" s="1159"/>
      <c r="O268" s="1"/>
    </row>
    <row r="269" spans="1:16" ht="13.5" customHeight="1" x14ac:dyDescent="0.2">
      <c r="A269" s="70"/>
      <c r="B269" s="70"/>
      <c r="C269" s="63"/>
      <c r="D269" s="50"/>
      <c r="E269" s="13"/>
      <c r="F269" s="13"/>
      <c r="G269" s="75"/>
      <c r="H269" s="13"/>
      <c r="I269" s="13"/>
      <c r="J269" s="13"/>
      <c r="L269" s="1159"/>
      <c r="O269" s="1"/>
    </row>
    <row r="270" spans="1:16" ht="13.5" customHeight="1" x14ac:dyDescent="0.2">
      <c r="A270" s="79"/>
      <c r="B270" s="70"/>
      <c r="C270" s="63"/>
      <c r="D270" s="50"/>
      <c r="E270" s="13"/>
      <c r="F270" s="13"/>
      <c r="G270" s="75"/>
      <c r="H270" s="13"/>
      <c r="I270" s="13"/>
      <c r="J270" s="13"/>
      <c r="L270" s="615">
        <f>L262+L266-L264</f>
        <v>0</v>
      </c>
      <c r="M270" t="s">
        <v>8084</v>
      </c>
      <c r="O270" s="1"/>
      <c r="P270" s="18"/>
    </row>
    <row r="271" spans="1:16" ht="13.5" customHeight="1" x14ac:dyDescent="0.2">
      <c r="A271" s="79"/>
      <c r="B271" s="79"/>
      <c r="C271" s="63"/>
      <c r="D271" s="78"/>
      <c r="E271" s="13"/>
      <c r="F271" s="13"/>
      <c r="G271" s="75"/>
      <c r="H271" s="77"/>
      <c r="I271" s="77"/>
      <c r="J271" s="13"/>
      <c r="O271" s="1"/>
    </row>
    <row r="272" spans="1:16" ht="13.5" customHeight="1" x14ac:dyDescent="0.2">
      <c r="A272" s="79"/>
      <c r="B272" s="79"/>
      <c r="C272" s="78"/>
      <c r="D272" s="78"/>
      <c r="E272" s="78"/>
      <c r="F272" s="78"/>
      <c r="G272" s="75"/>
      <c r="H272" s="77"/>
      <c r="I272" s="77"/>
      <c r="J272" s="13"/>
    </row>
    <row r="273" spans="1:10" ht="13.5" customHeight="1" x14ac:dyDescent="0.2">
      <c r="A273" s="79"/>
      <c r="B273" s="79"/>
      <c r="C273" s="78"/>
      <c r="D273" s="78"/>
      <c r="E273" s="78"/>
      <c r="F273" s="78"/>
      <c r="G273" s="75"/>
      <c r="H273" s="77"/>
      <c r="I273" s="77"/>
      <c r="J273" s="13"/>
    </row>
    <row r="274" spans="1:10" ht="13.5" customHeight="1" x14ac:dyDescent="0.2">
      <c r="A274" s="79"/>
      <c r="B274" s="79"/>
      <c r="C274" s="78"/>
      <c r="D274" s="78"/>
      <c r="E274" s="13"/>
      <c r="F274" s="13"/>
      <c r="G274" s="75"/>
      <c r="H274" s="77"/>
      <c r="I274" s="77"/>
      <c r="J274" s="13"/>
    </row>
    <row r="275" spans="1:10" ht="13.5" customHeight="1" x14ac:dyDescent="0.2">
      <c r="A275" s="74"/>
      <c r="B275" s="80"/>
      <c r="C275" s="81"/>
      <c r="D275" s="50"/>
      <c r="E275" s="13"/>
      <c r="F275" s="13"/>
      <c r="G275" s="75"/>
      <c r="H275" s="13"/>
      <c r="I275" s="13"/>
      <c r="J275" s="13"/>
    </row>
    <row r="276" spans="1:10" ht="13.5" customHeight="1" x14ac:dyDescent="0.2">
      <c r="A276" s="79"/>
      <c r="B276" s="79"/>
      <c r="C276" s="78"/>
      <c r="D276" s="78"/>
      <c r="E276" s="13"/>
      <c r="F276" s="13"/>
      <c r="G276" s="75"/>
      <c r="H276" s="77"/>
      <c r="I276" s="77"/>
      <c r="J276" s="13"/>
    </row>
    <row r="277" spans="1:10" ht="13.5" customHeight="1" x14ac:dyDescent="0.2">
      <c r="A277" s="79"/>
      <c r="B277" s="79"/>
      <c r="C277" s="78"/>
      <c r="D277" s="78"/>
      <c r="E277" s="13"/>
      <c r="F277" s="13"/>
      <c r="G277" s="75"/>
      <c r="H277" s="77"/>
      <c r="I277" s="77"/>
      <c r="J277" s="13"/>
    </row>
    <row r="278" spans="1:10" ht="13.5" customHeight="1" x14ac:dyDescent="0.2">
      <c r="A278" s="79"/>
      <c r="B278" s="79"/>
      <c r="C278" s="78"/>
      <c r="D278" s="78"/>
      <c r="E278" s="78"/>
      <c r="F278" s="78"/>
      <c r="G278" s="75"/>
      <c r="H278" s="77"/>
      <c r="I278" s="77"/>
      <c r="J278" s="13"/>
    </row>
    <row r="279" spans="1:10" ht="13.5" customHeight="1" x14ac:dyDescent="0.2">
      <c r="A279" s="79"/>
      <c r="B279" s="79"/>
      <c r="C279" s="78"/>
      <c r="D279" s="78"/>
      <c r="E279" s="78"/>
      <c r="F279" s="78"/>
      <c r="G279" s="75"/>
      <c r="H279" s="77"/>
      <c r="I279" s="77"/>
      <c r="J279" s="13"/>
    </row>
    <row r="280" spans="1:10" ht="13.5" customHeight="1" x14ac:dyDescent="0.2">
      <c r="A280" s="79"/>
      <c r="B280" s="79"/>
      <c r="C280" s="78"/>
      <c r="D280" s="78"/>
      <c r="E280" s="78"/>
      <c r="F280" s="78"/>
      <c r="G280" s="75"/>
      <c r="H280" s="77"/>
      <c r="I280" s="77"/>
      <c r="J280" s="13"/>
    </row>
    <row r="281" spans="1:10" ht="13.5" customHeight="1" x14ac:dyDescent="0.2">
      <c r="A281" s="79"/>
      <c r="B281" s="79"/>
      <c r="C281" s="78"/>
      <c r="D281" s="78"/>
      <c r="E281" s="78"/>
      <c r="F281" s="78"/>
      <c r="G281" s="75"/>
      <c r="H281" s="77"/>
      <c r="I281" s="77"/>
      <c r="J281" s="13"/>
    </row>
    <row r="282" spans="1:10" ht="13.5" customHeight="1" x14ac:dyDescent="0.2">
      <c r="A282" s="79"/>
      <c r="B282" s="79"/>
      <c r="C282" s="78"/>
      <c r="D282" s="78"/>
      <c r="E282" s="78"/>
      <c r="F282" s="78"/>
      <c r="G282" s="75"/>
      <c r="H282" s="77"/>
      <c r="I282" s="77"/>
      <c r="J282" s="13"/>
    </row>
    <row r="283" spans="1:10" ht="13.5" customHeight="1" x14ac:dyDescent="0.2">
      <c r="A283" s="79"/>
      <c r="B283" s="79"/>
      <c r="C283" s="78"/>
      <c r="D283" s="78"/>
      <c r="E283" s="78"/>
      <c r="F283" s="78"/>
      <c r="G283" s="14"/>
      <c r="H283" s="77"/>
      <c r="I283" s="77"/>
      <c r="J283" s="130"/>
    </row>
    <row r="284" spans="1:10" ht="13.5" customHeight="1" x14ac:dyDescent="0.2">
      <c r="A284" s="70"/>
      <c r="B284" s="70"/>
      <c r="C284" s="63"/>
      <c r="D284" s="50"/>
      <c r="E284" s="13"/>
      <c r="F284" s="13"/>
      <c r="G284" s="75"/>
      <c r="H284" s="82"/>
      <c r="I284" s="13"/>
      <c r="J284" s="13"/>
    </row>
    <row r="285" spans="1:10" ht="13.5" customHeight="1" x14ac:dyDescent="0.2">
      <c r="A285" s="70"/>
      <c r="B285" s="70"/>
      <c r="C285" s="63"/>
      <c r="D285" s="50"/>
      <c r="E285" s="13"/>
      <c r="F285" s="13"/>
      <c r="G285" s="75"/>
      <c r="H285" s="82"/>
      <c r="I285" s="13"/>
      <c r="J285" s="13"/>
    </row>
    <row r="286" spans="1:10" ht="13.5" customHeight="1" x14ac:dyDescent="0.2">
      <c r="A286" s="70"/>
      <c r="B286" s="70"/>
      <c r="C286" s="63"/>
      <c r="D286" s="50"/>
      <c r="E286" s="13"/>
      <c r="F286" s="13"/>
      <c r="G286" s="75"/>
      <c r="H286" s="82"/>
      <c r="I286" s="13"/>
      <c r="J286" s="13"/>
    </row>
    <row r="287" spans="1:10" ht="13.5" customHeight="1" x14ac:dyDescent="0.2">
      <c r="A287" s="70"/>
      <c r="B287" s="70"/>
      <c r="C287" s="63"/>
      <c r="D287" s="50"/>
      <c r="E287" s="13"/>
      <c r="F287" s="13"/>
      <c r="G287" s="75"/>
      <c r="H287" s="82"/>
      <c r="I287" s="13"/>
      <c r="J287" s="13"/>
    </row>
    <row r="288" spans="1:10" ht="13.5" customHeight="1" x14ac:dyDescent="0.2">
      <c r="A288" s="70"/>
      <c r="B288" s="70"/>
      <c r="C288" s="63"/>
      <c r="D288" s="50"/>
      <c r="E288" s="13"/>
      <c r="F288" s="13"/>
      <c r="G288" s="75"/>
      <c r="H288" s="82"/>
      <c r="I288" s="13"/>
      <c r="J288" s="13"/>
    </row>
    <row r="289" spans="1:10" ht="13.5" customHeight="1" x14ac:dyDescent="0.2">
      <c r="A289" s="70"/>
      <c r="B289" s="70"/>
      <c r="C289" s="63"/>
      <c r="D289" s="50"/>
      <c r="E289" s="13"/>
      <c r="F289" s="13"/>
      <c r="G289" s="75"/>
      <c r="H289" s="82"/>
      <c r="I289" s="13"/>
      <c r="J289" s="13"/>
    </row>
    <row r="290" spans="1:10" ht="13.5" customHeight="1" x14ac:dyDescent="0.2">
      <c r="A290" s="70"/>
      <c r="B290" s="70"/>
      <c r="C290" s="63"/>
      <c r="D290" s="50"/>
      <c r="E290" s="13"/>
      <c r="F290" s="13"/>
      <c r="G290" s="75"/>
      <c r="H290" s="82"/>
      <c r="I290" s="13"/>
      <c r="J290" s="13"/>
    </row>
    <row r="291" spans="1:10" ht="13.5" customHeight="1" x14ac:dyDescent="0.2">
      <c r="A291" s="70"/>
      <c r="B291" s="70"/>
      <c r="C291" s="63"/>
      <c r="D291" s="50"/>
      <c r="E291" s="13"/>
      <c r="F291" s="13"/>
      <c r="G291" s="75"/>
      <c r="H291" s="82"/>
      <c r="I291" s="13"/>
      <c r="J291" s="13"/>
    </row>
    <row r="292" spans="1:10" ht="13.5" customHeight="1" x14ac:dyDescent="0.2">
      <c r="A292" s="70"/>
      <c r="B292" s="70"/>
      <c r="C292" s="63"/>
      <c r="D292" s="50"/>
      <c r="E292" s="13"/>
      <c r="F292" s="13"/>
      <c r="G292" s="75"/>
      <c r="H292" s="82"/>
      <c r="I292" s="13"/>
      <c r="J292" s="13"/>
    </row>
    <row r="293" spans="1:10" ht="13.5" customHeight="1" x14ac:dyDescent="0.2">
      <c r="A293" s="70"/>
      <c r="B293" s="70"/>
      <c r="C293" s="63"/>
      <c r="D293" s="50"/>
      <c r="E293" s="13"/>
      <c r="F293" s="13"/>
      <c r="G293" s="75"/>
      <c r="H293" s="82"/>
      <c r="I293" s="13"/>
      <c r="J293" s="13"/>
    </row>
    <row r="294" spans="1:10" ht="13.5" customHeight="1" x14ac:dyDescent="0.2">
      <c r="A294" s="70"/>
      <c r="B294" s="70"/>
      <c r="C294" s="63"/>
      <c r="D294" s="50"/>
      <c r="E294" s="13"/>
      <c r="F294" s="13"/>
      <c r="G294" s="75"/>
      <c r="H294" s="82"/>
      <c r="I294" s="13"/>
      <c r="J294" s="13"/>
    </row>
    <row r="295" spans="1:10" ht="13.5" customHeight="1" x14ac:dyDescent="0.2">
      <c r="A295" s="70"/>
      <c r="B295" s="70"/>
      <c r="C295" s="63"/>
      <c r="D295" s="50"/>
      <c r="E295" s="13"/>
      <c r="F295" s="13"/>
      <c r="G295" s="75"/>
      <c r="H295" s="82"/>
      <c r="I295" s="13"/>
      <c r="J295" s="13"/>
    </row>
    <row r="296" spans="1:10" ht="13.5" customHeight="1" x14ac:dyDescent="0.2">
      <c r="A296" s="70"/>
      <c r="B296" s="70"/>
      <c r="C296" s="63"/>
      <c r="D296" s="50"/>
      <c r="E296" s="13"/>
      <c r="F296" s="13"/>
      <c r="G296" s="75"/>
      <c r="H296" s="82"/>
      <c r="I296" s="13"/>
      <c r="J296" s="13"/>
    </row>
    <row r="297" spans="1:10" ht="13.5" customHeight="1" x14ac:dyDescent="0.2">
      <c r="A297" s="70"/>
      <c r="B297" s="70"/>
      <c r="C297" s="63"/>
      <c r="D297" s="50"/>
      <c r="E297" s="13"/>
      <c r="F297" s="13"/>
      <c r="G297" s="75"/>
      <c r="H297" s="82"/>
      <c r="I297" s="13"/>
      <c r="J297" s="13"/>
    </row>
    <row r="298" spans="1:10" ht="13.5" customHeight="1" x14ac:dyDescent="0.2">
      <c r="A298" s="70"/>
      <c r="B298" s="70"/>
      <c r="C298" s="63"/>
      <c r="D298" s="50"/>
      <c r="E298" s="13"/>
      <c r="F298" s="13"/>
      <c r="G298" s="75"/>
      <c r="H298" s="82"/>
      <c r="I298" s="13"/>
      <c r="J298" s="13"/>
    </row>
    <row r="299" spans="1:10" ht="13.5" customHeight="1" x14ac:dyDescent="0.2">
      <c r="A299" s="70"/>
      <c r="B299" s="70"/>
      <c r="C299" s="63"/>
      <c r="D299" s="50"/>
      <c r="E299" s="13"/>
      <c r="F299" s="13"/>
      <c r="G299" s="75"/>
      <c r="H299" s="82"/>
      <c r="I299" s="13"/>
      <c r="J299" s="13"/>
    </row>
    <row r="300" spans="1:10" ht="13.5" customHeight="1" x14ac:dyDescent="0.2">
      <c r="A300" s="70"/>
      <c r="B300" s="70"/>
      <c r="C300" s="63"/>
      <c r="D300" s="50"/>
      <c r="E300" s="13"/>
      <c r="F300" s="13"/>
      <c r="G300" s="75"/>
      <c r="H300" s="82"/>
      <c r="I300" s="13"/>
      <c r="J300" s="13"/>
    </row>
    <row r="301" spans="1:10" ht="13.5" customHeight="1" x14ac:dyDescent="0.2">
      <c r="A301" s="70"/>
      <c r="B301" s="70"/>
      <c r="C301" s="63"/>
      <c r="D301" s="50"/>
      <c r="E301" s="13"/>
      <c r="F301" s="13"/>
      <c r="G301" s="75"/>
      <c r="H301" s="82"/>
      <c r="I301" s="13"/>
      <c r="J301" s="13"/>
    </row>
    <row r="302" spans="1:10" ht="13.5" customHeight="1" x14ac:dyDescent="0.2">
      <c r="A302" s="70"/>
      <c r="B302" s="70"/>
      <c r="C302" s="63"/>
      <c r="D302" s="50"/>
      <c r="E302" s="13"/>
      <c r="F302" s="13"/>
      <c r="G302" s="75"/>
      <c r="H302" s="82"/>
      <c r="I302" s="13"/>
      <c r="J302" s="13"/>
    </row>
    <row r="303" spans="1:10" ht="13.5" customHeight="1" x14ac:dyDescent="0.2">
      <c r="A303" s="70"/>
      <c r="B303" s="70"/>
      <c r="C303" s="63"/>
      <c r="D303" s="50"/>
      <c r="E303" s="13"/>
      <c r="F303" s="13"/>
      <c r="G303" s="75"/>
      <c r="H303" s="82"/>
      <c r="I303" s="13"/>
      <c r="J303" s="13"/>
    </row>
    <row r="304" spans="1:10" ht="13.5" customHeight="1" x14ac:dyDescent="0.2">
      <c r="A304" s="70"/>
      <c r="B304" s="70"/>
      <c r="C304" s="63"/>
      <c r="D304" s="50"/>
      <c r="E304" s="13"/>
      <c r="F304" s="13"/>
      <c r="G304" s="75"/>
      <c r="H304" s="82"/>
      <c r="I304" s="13"/>
      <c r="J304" s="13"/>
    </row>
    <row r="305" spans="1:10" ht="13.5" customHeight="1" x14ac:dyDescent="0.2">
      <c r="A305" s="70"/>
      <c r="B305" s="70"/>
      <c r="C305" s="63"/>
      <c r="D305" s="50"/>
      <c r="E305" s="13"/>
      <c r="F305" s="13"/>
      <c r="G305" s="75"/>
      <c r="H305" s="82"/>
      <c r="I305" s="13"/>
      <c r="J305" s="13"/>
    </row>
    <row r="306" spans="1:10" ht="13.5" customHeight="1" x14ac:dyDescent="0.2">
      <c r="A306" s="70"/>
      <c r="B306" s="70"/>
      <c r="C306" s="63"/>
      <c r="D306" s="50"/>
      <c r="E306" s="13"/>
      <c r="F306" s="13"/>
      <c r="G306" s="75"/>
      <c r="H306" s="82"/>
      <c r="I306" s="13"/>
      <c r="J306" s="13"/>
    </row>
    <row r="307" spans="1:10" ht="13.5" customHeight="1" x14ac:dyDescent="0.2">
      <c r="A307" s="70"/>
      <c r="B307" s="70"/>
      <c r="C307" s="63"/>
      <c r="D307" s="50"/>
      <c r="E307" s="13"/>
      <c r="F307" s="13"/>
      <c r="G307" s="75"/>
      <c r="H307" s="82"/>
      <c r="I307" s="13"/>
      <c r="J307" s="13"/>
    </row>
    <row r="308" spans="1:10" ht="13.5" customHeight="1" x14ac:dyDescent="0.2">
      <c r="A308" s="70"/>
      <c r="B308" s="70"/>
      <c r="C308" s="63"/>
      <c r="D308" s="50"/>
      <c r="E308" s="13"/>
      <c r="F308" s="13"/>
      <c r="G308" s="75"/>
      <c r="H308" s="82"/>
      <c r="I308" s="13"/>
      <c r="J308" s="13"/>
    </row>
    <row r="309" spans="1:10" ht="13.5" customHeight="1" x14ac:dyDescent="0.2">
      <c r="A309" s="70"/>
      <c r="B309" s="70"/>
      <c r="C309" s="63"/>
      <c r="D309" s="50"/>
      <c r="E309" s="13"/>
      <c r="F309" s="13"/>
      <c r="G309" s="75"/>
      <c r="H309" s="82"/>
      <c r="I309" s="13"/>
      <c r="J309" s="13"/>
    </row>
    <row r="310" spans="1:10" ht="13.5" customHeight="1" x14ac:dyDescent="0.2">
      <c r="A310" s="70"/>
      <c r="B310" s="70"/>
      <c r="C310" s="63"/>
      <c r="D310" s="50"/>
      <c r="E310" s="13"/>
      <c r="F310" s="13"/>
      <c r="G310" s="75"/>
      <c r="H310" s="82"/>
      <c r="I310" s="13"/>
      <c r="J310" s="13"/>
    </row>
    <row r="311" spans="1:10" ht="13.5" customHeight="1" x14ac:dyDescent="0.2">
      <c r="A311" s="70"/>
      <c r="B311" s="70"/>
      <c r="C311" s="63"/>
      <c r="D311" s="50"/>
      <c r="E311" s="13"/>
      <c r="F311" s="13"/>
      <c r="G311" s="75"/>
      <c r="H311" s="82"/>
      <c r="I311" s="13"/>
      <c r="J311" s="13"/>
    </row>
    <row r="312" spans="1:10" ht="13.5" customHeight="1" x14ac:dyDescent="0.2">
      <c r="A312" s="70"/>
      <c r="B312" s="70"/>
      <c r="C312" s="63"/>
      <c r="D312" s="50"/>
      <c r="E312" s="13"/>
      <c r="F312" s="13"/>
      <c r="G312" s="75"/>
      <c r="H312" s="82"/>
      <c r="I312" s="13"/>
      <c r="J312" s="13"/>
    </row>
    <row r="313" spans="1:10" ht="13.5" customHeight="1" x14ac:dyDescent="0.2">
      <c r="A313" s="70"/>
      <c r="B313" s="70"/>
      <c r="C313" s="63"/>
      <c r="D313" s="50"/>
      <c r="E313" s="13"/>
      <c r="F313" s="13"/>
      <c r="G313" s="75"/>
      <c r="H313" s="82"/>
      <c r="I313" s="13"/>
      <c r="J313" s="13"/>
    </row>
    <row r="314" spans="1:10" ht="13.5" customHeight="1" x14ac:dyDescent="0.2">
      <c r="A314" s="70"/>
      <c r="B314" s="70"/>
      <c r="C314" s="63"/>
      <c r="D314" s="50"/>
      <c r="E314" s="13"/>
      <c r="F314" s="13"/>
      <c r="G314" s="75"/>
      <c r="H314" s="82"/>
      <c r="I314" s="13"/>
      <c r="J314" s="13"/>
    </row>
    <row r="315" spans="1:10" ht="13.5" customHeight="1" x14ac:dyDescent="0.2">
      <c r="A315" s="70"/>
      <c r="B315" s="70"/>
      <c r="C315" s="63"/>
      <c r="D315" s="50"/>
      <c r="E315" s="13"/>
      <c r="F315" s="13"/>
      <c r="G315" s="75"/>
      <c r="H315" s="82"/>
      <c r="I315" s="13"/>
      <c r="J315" s="13"/>
    </row>
    <row r="316" spans="1:10" ht="13.5" customHeight="1" x14ac:dyDescent="0.2">
      <c r="A316" s="70"/>
      <c r="B316" s="70"/>
      <c r="C316" s="63"/>
      <c r="D316" s="50"/>
      <c r="E316" s="13"/>
      <c r="F316" s="13"/>
      <c r="G316" s="75"/>
      <c r="H316" s="82"/>
      <c r="I316" s="13"/>
      <c r="J316" s="13"/>
    </row>
    <row r="317" spans="1:10" ht="13.5" customHeight="1" x14ac:dyDescent="0.2">
      <c r="A317" s="70"/>
      <c r="B317" s="70"/>
      <c r="C317" s="63"/>
      <c r="D317" s="50"/>
      <c r="E317" s="13"/>
      <c r="F317" s="13"/>
      <c r="G317" s="75"/>
      <c r="H317" s="82"/>
      <c r="I317" s="13"/>
      <c r="J317" s="13"/>
    </row>
    <row r="318" spans="1:10" ht="13.5" customHeight="1" x14ac:dyDescent="0.2">
      <c r="A318" s="70"/>
      <c r="B318" s="70"/>
      <c r="C318" s="63"/>
      <c r="D318" s="50"/>
      <c r="E318" s="13"/>
      <c r="F318" s="13"/>
      <c r="G318" s="75"/>
      <c r="H318" s="82"/>
      <c r="I318" s="13"/>
      <c r="J318" s="13"/>
    </row>
    <row r="319" spans="1:10" ht="13.5" customHeight="1" x14ac:dyDescent="0.2">
      <c r="A319" s="70"/>
      <c r="B319" s="70"/>
      <c r="C319" s="63"/>
      <c r="D319" s="50"/>
      <c r="E319" s="13"/>
      <c r="F319" s="13"/>
      <c r="G319" s="75"/>
      <c r="H319" s="82"/>
      <c r="I319" s="13"/>
      <c r="J319" s="13"/>
    </row>
    <row r="320" spans="1:10" ht="13.5" customHeight="1" x14ac:dyDescent="0.2">
      <c r="A320" s="70"/>
      <c r="B320" s="70"/>
      <c r="C320" s="63"/>
      <c r="D320" s="50"/>
      <c r="E320" s="13"/>
      <c r="F320" s="13"/>
      <c r="G320" s="75"/>
      <c r="H320" s="82"/>
      <c r="I320" s="13"/>
      <c r="J320" s="13"/>
    </row>
    <row r="321" spans="1:10" ht="13.5" customHeight="1" x14ac:dyDescent="0.2">
      <c r="A321" s="70"/>
      <c r="B321" s="70"/>
      <c r="C321" s="63"/>
      <c r="D321" s="50"/>
      <c r="E321" s="13"/>
      <c r="F321" s="13"/>
      <c r="G321" s="75"/>
      <c r="H321" s="82"/>
      <c r="I321" s="13"/>
      <c r="J321" s="13"/>
    </row>
    <row r="322" spans="1:10" ht="13.5" customHeight="1" x14ac:dyDescent="0.2">
      <c r="A322" s="70"/>
      <c r="B322" s="70"/>
      <c r="C322" s="63"/>
      <c r="D322" s="50"/>
      <c r="E322" s="13"/>
      <c r="F322" s="13"/>
      <c r="G322" s="75"/>
      <c r="H322" s="82"/>
      <c r="I322" s="13"/>
      <c r="J322" s="13"/>
    </row>
    <row r="323" spans="1:10" ht="13.5" customHeight="1" x14ac:dyDescent="0.2">
      <c r="A323" s="70"/>
      <c r="B323" s="70"/>
      <c r="C323" s="63"/>
      <c r="D323" s="50"/>
      <c r="E323" s="13"/>
      <c r="F323" s="13"/>
      <c r="G323" s="75"/>
      <c r="H323" s="82"/>
      <c r="I323" s="13"/>
      <c r="J323" s="13"/>
    </row>
    <row r="324" spans="1:10" ht="13.5" customHeight="1" x14ac:dyDescent="0.2">
      <c r="A324" s="70"/>
      <c r="B324" s="70"/>
      <c r="C324" s="63"/>
      <c r="D324" s="50"/>
      <c r="E324" s="13"/>
      <c r="F324" s="13"/>
      <c r="G324" s="75"/>
      <c r="H324" s="83"/>
      <c r="I324" s="13"/>
      <c r="J324" s="13"/>
    </row>
    <row r="325" spans="1:10" ht="13.5" customHeight="1" x14ac:dyDescent="0.2">
      <c r="A325" s="70"/>
      <c r="B325" s="70"/>
      <c r="C325" s="63"/>
      <c r="D325" s="50"/>
      <c r="E325" s="13"/>
      <c r="F325" s="13"/>
      <c r="G325" s="75"/>
      <c r="H325" s="83"/>
      <c r="I325" s="13"/>
      <c r="J325" s="13"/>
    </row>
    <row r="326" spans="1:10" ht="13.5" customHeight="1" x14ac:dyDescent="0.2">
      <c r="A326" s="131"/>
      <c r="B326" s="70"/>
      <c r="C326" s="64"/>
      <c r="D326" s="50"/>
      <c r="E326" s="13"/>
      <c r="F326" s="13"/>
      <c r="G326" s="75"/>
      <c r="H326" s="84"/>
      <c r="I326" s="13"/>
      <c r="J326" s="13"/>
    </row>
    <row r="327" spans="1:10" ht="13.5" customHeight="1" x14ac:dyDescent="0.2">
      <c r="A327" s="70"/>
      <c r="B327" s="70"/>
      <c r="C327" s="63"/>
      <c r="D327" s="50"/>
      <c r="E327" s="13"/>
      <c r="F327" s="13"/>
      <c r="G327" s="75"/>
      <c r="H327" s="83"/>
      <c r="I327" s="13"/>
      <c r="J327" s="13"/>
    </row>
    <row r="328" spans="1:10" ht="13.5" customHeight="1" x14ac:dyDescent="0.2">
      <c r="A328" s="70"/>
      <c r="B328" s="70"/>
      <c r="C328" s="63"/>
      <c r="D328" s="50"/>
      <c r="E328" s="13"/>
      <c r="F328" s="13"/>
      <c r="G328" s="75"/>
      <c r="H328" s="83"/>
      <c r="I328" s="13"/>
      <c r="J328" s="13"/>
    </row>
    <row r="329" spans="1:10" ht="13.5" customHeight="1" x14ac:dyDescent="0.2">
      <c r="A329" s="131"/>
      <c r="B329" s="70"/>
      <c r="C329" s="85"/>
      <c r="D329" s="50"/>
      <c r="E329" s="13"/>
      <c r="F329" s="13"/>
      <c r="G329" s="75"/>
      <c r="H329" s="83"/>
      <c r="I329" s="13"/>
      <c r="J329" s="13"/>
    </row>
    <row r="330" spans="1:10" ht="13.5" customHeight="1" x14ac:dyDescent="0.2">
      <c r="A330" s="131"/>
      <c r="B330" s="70"/>
      <c r="C330" s="63"/>
      <c r="D330" s="50"/>
      <c r="E330" s="13"/>
      <c r="F330" s="13"/>
      <c r="G330" s="75"/>
      <c r="H330" s="83"/>
      <c r="I330" s="13"/>
      <c r="J330" s="13"/>
    </row>
    <row r="331" spans="1:10" ht="13.5" customHeight="1" x14ac:dyDescent="0.2">
      <c r="A331" s="131"/>
      <c r="B331" s="70"/>
      <c r="C331" s="63"/>
      <c r="D331" s="50"/>
      <c r="E331" s="13"/>
      <c r="F331" s="13"/>
      <c r="G331" s="75"/>
      <c r="H331" s="84"/>
      <c r="I331" s="13"/>
      <c r="J331" s="13"/>
    </row>
    <row r="332" spans="1:10" ht="13.5" customHeight="1" x14ac:dyDescent="0.2">
      <c r="A332" s="131"/>
      <c r="B332" s="70"/>
      <c r="C332" s="64"/>
      <c r="D332" s="50"/>
      <c r="E332" s="13"/>
      <c r="F332" s="13"/>
      <c r="G332" s="75"/>
      <c r="H332" s="83"/>
      <c r="I332" s="13"/>
      <c r="J332" s="13"/>
    </row>
    <row r="333" spans="1:10" ht="13.5" customHeight="1" x14ac:dyDescent="0.2">
      <c r="A333" s="70"/>
      <c r="B333" s="70"/>
      <c r="C333" s="63"/>
      <c r="D333" s="50"/>
      <c r="E333" s="13"/>
      <c r="F333" s="13"/>
      <c r="G333" s="75"/>
      <c r="H333" s="83"/>
      <c r="I333" s="13"/>
      <c r="J333" s="13"/>
    </row>
    <row r="334" spans="1:10" ht="13.5" customHeight="1" x14ac:dyDescent="0.2">
      <c r="A334" s="131"/>
      <c r="B334" s="70"/>
      <c r="C334" s="63"/>
      <c r="D334" s="50"/>
      <c r="E334" s="13"/>
      <c r="F334" s="13"/>
      <c r="G334" s="75"/>
      <c r="H334" s="84"/>
      <c r="I334" s="13"/>
      <c r="J334" s="13"/>
    </row>
    <row r="335" spans="1:10" ht="13.5" customHeight="1" x14ac:dyDescent="0.2">
      <c r="A335" s="131"/>
      <c r="B335" s="70"/>
      <c r="C335" s="64"/>
      <c r="D335" s="50"/>
      <c r="E335" s="13"/>
      <c r="F335" s="13"/>
      <c r="G335" s="75"/>
      <c r="H335" s="84"/>
      <c r="I335" s="13"/>
      <c r="J335" s="13"/>
    </row>
    <row r="336" spans="1:10" ht="13.5" customHeight="1" x14ac:dyDescent="0.2">
      <c r="A336" s="70"/>
      <c r="B336" s="70"/>
      <c r="C336" s="63"/>
      <c r="D336" s="50"/>
      <c r="E336" s="13"/>
      <c r="F336" s="13"/>
      <c r="G336" s="75"/>
      <c r="H336" s="83"/>
      <c r="I336" s="13"/>
      <c r="J336" s="13"/>
    </row>
    <row r="337" spans="1:10" ht="13.5" customHeight="1" x14ac:dyDescent="0.2">
      <c r="A337" s="131"/>
      <c r="B337" s="70"/>
      <c r="C337" s="63"/>
      <c r="D337" s="50"/>
      <c r="E337" s="13"/>
      <c r="F337" s="13"/>
      <c r="G337" s="75"/>
      <c r="H337" s="84"/>
      <c r="I337" s="13"/>
      <c r="J337" s="13"/>
    </row>
    <row r="338" spans="1:10" ht="13.5" customHeight="1" x14ac:dyDescent="0.2">
      <c r="A338" s="131"/>
      <c r="B338" s="70"/>
      <c r="C338" s="64"/>
      <c r="D338" s="50"/>
      <c r="E338" s="13"/>
      <c r="F338" s="13"/>
      <c r="G338" s="75"/>
      <c r="H338" s="84"/>
      <c r="I338" s="13"/>
      <c r="J338" s="13"/>
    </row>
    <row r="339" spans="1:10" ht="13.5" customHeight="1" x14ac:dyDescent="0.2">
      <c r="A339" s="70"/>
      <c r="B339" s="70"/>
      <c r="C339" s="63"/>
      <c r="D339" s="50"/>
      <c r="E339" s="13"/>
      <c r="F339" s="13"/>
      <c r="G339" s="75"/>
      <c r="H339" s="83"/>
      <c r="I339" s="13"/>
      <c r="J339" s="13"/>
    </row>
    <row r="340" spans="1:10" ht="13.5" customHeight="1" x14ac:dyDescent="0.2">
      <c r="A340" s="70"/>
      <c r="B340" s="70"/>
      <c r="C340" s="63"/>
      <c r="D340" s="50"/>
      <c r="E340" s="13"/>
      <c r="F340" s="13"/>
      <c r="G340" s="75"/>
      <c r="H340" s="83"/>
      <c r="I340" s="13"/>
      <c r="J340" s="13"/>
    </row>
    <row r="341" spans="1:10" ht="13.5" customHeight="1" x14ac:dyDescent="0.2">
      <c r="A341" s="70"/>
      <c r="B341" s="70"/>
      <c r="C341" s="63"/>
      <c r="D341" s="50"/>
      <c r="E341" s="13"/>
      <c r="F341" s="13"/>
      <c r="G341" s="75"/>
      <c r="H341" s="82"/>
      <c r="I341" s="13"/>
      <c r="J341" s="13"/>
    </row>
    <row r="342" spans="1:10" ht="13.5" customHeight="1" x14ac:dyDescent="0.2">
      <c r="A342" s="131"/>
      <c r="B342" s="70"/>
      <c r="C342" s="86"/>
      <c r="D342" s="50"/>
      <c r="E342" s="13"/>
      <c r="F342" s="13"/>
      <c r="G342" s="75"/>
      <c r="H342" s="82"/>
      <c r="I342" s="13"/>
      <c r="J342" s="13"/>
    </row>
    <row r="343" spans="1:10" ht="13.5" customHeight="1" x14ac:dyDescent="0.2">
      <c r="A343" s="131"/>
      <c r="B343" s="70"/>
      <c r="C343" s="85"/>
      <c r="D343" s="50"/>
      <c r="E343" s="13"/>
      <c r="F343" s="13"/>
      <c r="G343" s="75"/>
      <c r="H343" s="82"/>
      <c r="I343" s="13"/>
      <c r="J343" s="13"/>
    </row>
    <row r="344" spans="1:10" ht="13.5" customHeight="1" x14ac:dyDescent="0.2">
      <c r="A344" s="131"/>
      <c r="B344" s="70"/>
      <c r="C344" s="87"/>
      <c r="D344" s="50"/>
      <c r="E344" s="13"/>
      <c r="F344" s="13"/>
      <c r="G344" s="75"/>
      <c r="H344" s="82"/>
      <c r="I344" s="13"/>
      <c r="J344" s="13"/>
    </row>
    <row r="345" spans="1:10" ht="13.5" customHeight="1" x14ac:dyDescent="0.2">
      <c r="A345" s="131"/>
      <c r="B345" s="70"/>
      <c r="C345" s="88"/>
      <c r="D345" s="50"/>
      <c r="E345" s="13"/>
      <c r="F345" s="13"/>
      <c r="G345" s="75"/>
      <c r="H345" s="82"/>
      <c r="I345" s="13"/>
      <c r="J345" s="13"/>
    </row>
    <row r="346" spans="1:10" ht="13.5" customHeight="1" x14ac:dyDescent="0.2">
      <c r="A346" s="91"/>
      <c r="B346" s="9"/>
      <c r="C346" s="56"/>
      <c r="D346" s="11"/>
      <c r="E346" s="12"/>
      <c r="F346" s="12"/>
      <c r="G346" s="23"/>
      <c r="H346" s="89"/>
      <c r="I346" s="12"/>
      <c r="J346" s="13"/>
    </row>
    <row r="347" spans="1:10" ht="13.5" customHeight="1" x14ac:dyDescent="0.2">
      <c r="A347" s="9"/>
      <c r="B347" s="9"/>
      <c r="C347" s="56"/>
      <c r="D347" s="11"/>
      <c r="E347" s="12"/>
      <c r="F347" s="12"/>
      <c r="G347" s="23"/>
      <c r="H347" s="90"/>
      <c r="I347" s="12"/>
      <c r="J347" s="13"/>
    </row>
    <row r="348" spans="1:10" ht="13.5" customHeight="1" x14ac:dyDescent="0.2">
      <c r="A348" s="9"/>
      <c r="B348" s="9"/>
      <c r="C348" s="56"/>
      <c r="D348" s="11"/>
      <c r="E348" s="12"/>
      <c r="F348" s="12"/>
      <c r="G348" s="23"/>
      <c r="H348" s="89"/>
      <c r="I348" s="12"/>
      <c r="J348" s="13"/>
    </row>
    <row r="349" spans="1:10" ht="13.5" customHeight="1" x14ac:dyDescent="0.2">
      <c r="A349" s="91"/>
      <c r="B349" s="9"/>
      <c r="D349" s="11"/>
      <c r="E349" s="12"/>
      <c r="F349" s="12"/>
      <c r="G349" s="23"/>
      <c r="H349" s="89"/>
      <c r="I349" s="12"/>
      <c r="J349" s="13"/>
    </row>
    <row r="350" spans="1:10" ht="13.5" customHeight="1" x14ac:dyDescent="0.2">
      <c r="A350" s="9"/>
      <c r="B350" s="9"/>
      <c r="C350" s="56"/>
      <c r="D350" s="11"/>
      <c r="E350" s="12"/>
      <c r="F350" s="12"/>
      <c r="G350" s="23"/>
      <c r="H350" s="90"/>
      <c r="I350" s="12"/>
      <c r="J350" s="13"/>
    </row>
    <row r="351" spans="1:10" ht="13.5" customHeight="1" x14ac:dyDescent="0.2">
      <c r="A351" s="9"/>
      <c r="B351" s="9"/>
      <c r="C351" s="56"/>
      <c r="D351" s="11"/>
      <c r="E351" s="12"/>
      <c r="F351" s="12"/>
      <c r="G351" s="23"/>
      <c r="H351" s="90"/>
      <c r="I351" s="12"/>
      <c r="J351" s="13"/>
    </row>
    <row r="352" spans="1:10" ht="13.5" customHeight="1" x14ac:dyDescent="0.2">
      <c r="A352" s="9"/>
      <c r="B352" s="9"/>
      <c r="C352" s="56"/>
      <c r="D352" s="11"/>
      <c r="E352" s="12"/>
      <c r="F352" s="12"/>
      <c r="G352" s="23"/>
      <c r="H352" s="90"/>
      <c r="I352" s="12"/>
      <c r="J352" s="13"/>
    </row>
    <row r="353" spans="1:10" ht="13.5" customHeight="1" x14ac:dyDescent="0.2">
      <c r="A353" s="91"/>
      <c r="B353" s="9"/>
      <c r="C353" s="27"/>
      <c r="D353" s="11"/>
      <c r="E353" s="12"/>
      <c r="F353" s="12"/>
      <c r="G353" s="23"/>
      <c r="H353" s="92"/>
      <c r="I353" s="12"/>
      <c r="J353" s="13"/>
    </row>
    <row r="354" spans="1:10" ht="13.5" customHeight="1" x14ac:dyDescent="0.2">
      <c r="A354" s="91"/>
      <c r="B354" s="9"/>
      <c r="C354" s="27"/>
      <c r="D354" s="11"/>
      <c r="E354" s="12"/>
      <c r="F354" s="12"/>
      <c r="G354" s="23"/>
      <c r="H354" s="90"/>
      <c r="I354" s="12"/>
      <c r="J354" s="13"/>
    </row>
    <row r="355" spans="1:10" ht="13.5" customHeight="1" x14ac:dyDescent="0.2">
      <c r="A355" s="91"/>
      <c r="B355" s="9"/>
      <c r="D355" s="11"/>
      <c r="E355" s="12"/>
      <c r="F355" s="12"/>
      <c r="G355" s="23"/>
      <c r="H355" s="92"/>
      <c r="I355" s="12"/>
      <c r="J355" s="13"/>
    </row>
    <row r="356" spans="1:10" ht="13.5" customHeight="1" x14ac:dyDescent="0.2">
      <c r="A356" s="9"/>
      <c r="B356" s="9"/>
      <c r="C356" s="56"/>
      <c r="D356" s="11"/>
      <c r="E356" s="12"/>
      <c r="F356" s="12"/>
      <c r="G356" s="23"/>
      <c r="H356" s="89"/>
      <c r="I356" s="12"/>
      <c r="J356" s="13"/>
    </row>
    <row r="357" spans="1:10" ht="13.5" customHeight="1" x14ac:dyDescent="0.2">
      <c r="A357" s="9"/>
      <c r="B357" s="9"/>
      <c r="C357" s="56"/>
      <c r="D357" s="11"/>
      <c r="E357" s="12"/>
      <c r="F357" s="12"/>
      <c r="G357" s="23"/>
      <c r="H357" s="89"/>
      <c r="I357" s="12"/>
      <c r="J357" s="13"/>
    </row>
    <row r="358" spans="1:10" ht="13.5" customHeight="1" x14ac:dyDescent="0.2">
      <c r="A358" s="9"/>
      <c r="B358" s="9"/>
      <c r="C358" s="56"/>
      <c r="D358" s="11"/>
      <c r="E358" s="12"/>
      <c r="F358" s="12"/>
      <c r="G358" s="23"/>
      <c r="H358" s="89"/>
      <c r="I358" s="12"/>
      <c r="J358" s="13"/>
    </row>
    <row r="359" spans="1:10" ht="13.5" customHeight="1" x14ac:dyDescent="0.2">
      <c r="A359" s="9"/>
      <c r="B359" s="9"/>
      <c r="C359" s="56"/>
      <c r="D359" s="11"/>
      <c r="E359" s="12"/>
      <c r="F359" s="12"/>
      <c r="G359" s="23"/>
      <c r="H359" s="89"/>
      <c r="I359" s="12"/>
      <c r="J359" s="13"/>
    </row>
    <row r="360" spans="1:10" x14ac:dyDescent="0.2">
      <c r="A360" s="132"/>
      <c r="B360" s="93"/>
      <c r="C360" s="94"/>
      <c r="D360" s="27"/>
      <c r="E360" s="27"/>
      <c r="F360" s="27"/>
      <c r="G360" s="27"/>
      <c r="H360" s="95"/>
      <c r="I360" s="30"/>
      <c r="J360" s="51"/>
    </row>
  </sheetData>
  <mergeCells count="4">
    <mergeCell ref="A1:C1"/>
    <mergeCell ref="D1:G1"/>
    <mergeCell ref="H1:J1"/>
    <mergeCell ref="H164:J164"/>
  </mergeCells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390"/>
  <sheetViews>
    <sheetView topLeftCell="A46" zoomScale="90" zoomScaleNormal="90" workbookViewId="0">
      <selection activeCell="B71" sqref="B71"/>
    </sheetView>
  </sheetViews>
  <sheetFormatPr defaultColWidth="9" defaultRowHeight="12.75" x14ac:dyDescent="0.2"/>
  <cols>
    <col min="1" max="1" width="13.875" style="1" customWidth="1"/>
    <col min="2" max="2" width="107.75" style="1" bestFit="1" customWidth="1"/>
    <col min="3" max="3" width="10.75" style="18" customWidth="1"/>
    <col min="4" max="4" width="11.375" style="18" customWidth="1"/>
    <col min="5" max="5" width="9" style="1"/>
    <col min="6" max="6" width="11.5" style="1" customWidth="1"/>
    <col min="7" max="7" width="10.875" style="40" bestFit="1" customWidth="1"/>
    <col min="8" max="8" width="10.75" style="1" bestFit="1" customWidth="1"/>
    <col min="9" max="9" width="9" style="1"/>
    <col min="10" max="10" width="11.75" style="1" customWidth="1"/>
    <col min="11" max="16384" width="9" style="1"/>
  </cols>
  <sheetData>
    <row r="1" spans="1:10" x14ac:dyDescent="0.2">
      <c r="F1" s="97" t="s">
        <v>218</v>
      </c>
      <c r="G1" s="97" t="s">
        <v>219</v>
      </c>
      <c r="H1" s="97" t="s">
        <v>220</v>
      </c>
      <c r="I1" s="97" t="s">
        <v>221</v>
      </c>
      <c r="J1" s="97" t="s">
        <v>222</v>
      </c>
    </row>
    <row r="2" spans="1:10" ht="15" x14ac:dyDescent="0.2">
      <c r="A2" s="126" t="s">
        <v>240</v>
      </c>
      <c r="B2" s="34" t="s">
        <v>2087</v>
      </c>
      <c r="C2" s="24"/>
      <c r="D2" s="25">
        <v>6470</v>
      </c>
      <c r="F2" s="25">
        <v>6470</v>
      </c>
      <c r="G2" s="25"/>
      <c r="H2" s="402"/>
      <c r="I2" s="402"/>
      <c r="J2" s="104">
        <f>F2-G2-H2-I2</f>
        <v>6470</v>
      </c>
    </row>
    <row r="3" spans="1:10" ht="15" x14ac:dyDescent="0.2">
      <c r="A3" s="126" t="s">
        <v>240</v>
      </c>
      <c r="B3" s="34" t="s">
        <v>2019</v>
      </c>
      <c r="C3" s="24"/>
      <c r="D3" s="25">
        <v>728.33</v>
      </c>
      <c r="F3" s="25">
        <v>815.96</v>
      </c>
      <c r="G3" s="25">
        <v>69</v>
      </c>
      <c r="H3" s="402"/>
      <c r="I3" s="402">
        <v>18.63</v>
      </c>
      <c r="J3" s="104">
        <f>F3-G3-H3-I3</f>
        <v>728.33</v>
      </c>
    </row>
    <row r="4" spans="1:10" ht="15" x14ac:dyDescent="0.2">
      <c r="A4" s="126" t="s">
        <v>240</v>
      </c>
      <c r="B4" s="34" t="s">
        <v>2004</v>
      </c>
      <c r="C4" s="24"/>
      <c r="D4" s="25">
        <v>1050</v>
      </c>
      <c r="F4" s="25">
        <v>1218.05</v>
      </c>
      <c r="G4" s="25">
        <v>90</v>
      </c>
      <c r="H4" s="402">
        <v>50</v>
      </c>
      <c r="I4" s="402">
        <v>28.05</v>
      </c>
      <c r="J4" s="104">
        <f t="shared" ref="J4:J19" si="0">F4-G4-H4-I4</f>
        <v>1050</v>
      </c>
    </row>
    <row r="5" spans="1:10" ht="15" x14ac:dyDescent="0.2">
      <c r="A5" s="126" t="s">
        <v>240</v>
      </c>
      <c r="B5" s="34" t="s">
        <v>2107</v>
      </c>
      <c r="C5" s="24"/>
      <c r="D5" s="25">
        <v>1050</v>
      </c>
      <c r="F5" s="25">
        <v>1195.46</v>
      </c>
      <c r="G5" s="25">
        <v>90</v>
      </c>
      <c r="H5" s="402">
        <v>27.41</v>
      </c>
      <c r="I5" s="402">
        <v>28.05</v>
      </c>
      <c r="J5" s="104">
        <f t="shared" si="0"/>
        <v>1050</v>
      </c>
    </row>
    <row r="6" spans="1:10" ht="15" x14ac:dyDescent="0.2">
      <c r="A6" s="126" t="s">
        <v>240</v>
      </c>
      <c r="B6" s="34" t="s">
        <v>1977</v>
      </c>
      <c r="C6" s="24"/>
      <c r="D6" s="25">
        <v>1196.1400000000001</v>
      </c>
      <c r="F6" s="25">
        <v>1286.1400000000001</v>
      </c>
      <c r="G6" s="25">
        <v>90</v>
      </c>
      <c r="H6" s="402"/>
      <c r="I6" s="402"/>
      <c r="J6" s="104">
        <f t="shared" si="0"/>
        <v>1196.1400000000001</v>
      </c>
    </row>
    <row r="7" spans="1:10" ht="15" x14ac:dyDescent="0.2">
      <c r="A7" s="126" t="s">
        <v>240</v>
      </c>
      <c r="B7" s="34" t="s">
        <v>2015</v>
      </c>
      <c r="C7" s="24"/>
      <c r="D7" s="25">
        <v>476</v>
      </c>
      <c r="F7" s="25">
        <v>538.72</v>
      </c>
      <c r="G7" s="25">
        <v>42</v>
      </c>
      <c r="H7" s="402"/>
      <c r="I7" s="402">
        <v>20.72</v>
      </c>
      <c r="J7" s="104">
        <f>F7-G7-H7-I7</f>
        <v>476</v>
      </c>
    </row>
    <row r="8" spans="1:10" ht="15" x14ac:dyDescent="0.2">
      <c r="A8" s="126" t="s">
        <v>240</v>
      </c>
      <c r="B8" s="34" t="s">
        <v>2037</v>
      </c>
      <c r="C8" s="24"/>
      <c r="D8" s="25">
        <v>1200</v>
      </c>
      <c r="F8" s="25">
        <v>1318.28</v>
      </c>
      <c r="G8" s="25">
        <v>90</v>
      </c>
      <c r="H8" s="403"/>
      <c r="I8" s="403">
        <v>28.28</v>
      </c>
      <c r="J8" s="104">
        <f>F8-G8-H8-I8</f>
        <v>1200</v>
      </c>
    </row>
    <row r="9" spans="1:10" ht="15" x14ac:dyDescent="0.2">
      <c r="A9" s="126" t="s">
        <v>240</v>
      </c>
      <c r="B9" s="34" t="s">
        <v>1991</v>
      </c>
      <c r="C9" s="24"/>
      <c r="D9" s="25">
        <v>1400</v>
      </c>
      <c r="F9" s="25">
        <v>1513.58</v>
      </c>
      <c r="G9" s="25">
        <v>90</v>
      </c>
      <c r="H9" s="403"/>
      <c r="I9" s="403">
        <v>23.58</v>
      </c>
      <c r="J9" s="104">
        <f t="shared" si="0"/>
        <v>1400</v>
      </c>
    </row>
    <row r="10" spans="1:10" ht="15" x14ac:dyDescent="0.2">
      <c r="A10" s="126" t="s">
        <v>240</v>
      </c>
      <c r="B10" s="36" t="s">
        <v>1982</v>
      </c>
      <c r="C10" s="24"/>
      <c r="D10" s="25">
        <v>1400</v>
      </c>
      <c r="F10" s="25">
        <v>1659.87</v>
      </c>
      <c r="G10" s="25">
        <v>90</v>
      </c>
      <c r="H10" s="403"/>
      <c r="I10" s="403">
        <v>169.87</v>
      </c>
      <c r="J10" s="104">
        <f t="shared" si="0"/>
        <v>1400</v>
      </c>
    </row>
    <row r="11" spans="1:10" ht="13.5" customHeight="1" x14ac:dyDescent="0.2">
      <c r="A11" s="126" t="s">
        <v>240</v>
      </c>
      <c r="B11" s="21" t="s">
        <v>10</v>
      </c>
      <c r="C11" s="24"/>
      <c r="D11" s="25">
        <f>G20</f>
        <v>651</v>
      </c>
      <c r="F11" s="25">
        <v>0</v>
      </c>
      <c r="G11" s="25"/>
      <c r="H11" s="403"/>
      <c r="I11" s="403"/>
      <c r="J11" s="104">
        <f t="shared" si="0"/>
        <v>0</v>
      </c>
    </row>
    <row r="12" spans="1:10" ht="15" x14ac:dyDescent="0.2">
      <c r="A12" s="126" t="s">
        <v>240</v>
      </c>
      <c r="B12" s="56" t="s">
        <v>9</v>
      </c>
      <c r="C12" s="24"/>
      <c r="D12" s="25">
        <v>900</v>
      </c>
      <c r="F12" s="25">
        <v>0</v>
      </c>
      <c r="G12" s="25"/>
      <c r="H12" s="403"/>
      <c r="I12" s="403"/>
      <c r="J12" s="104">
        <f t="shared" si="0"/>
        <v>0</v>
      </c>
    </row>
    <row r="13" spans="1:10" ht="15" x14ac:dyDescent="0.2">
      <c r="A13" s="126" t="s">
        <v>240</v>
      </c>
      <c r="B13" s="34" t="s">
        <v>1984</v>
      </c>
      <c r="C13" s="24"/>
      <c r="D13" s="25">
        <v>1500</v>
      </c>
      <c r="F13" s="25">
        <v>1500</v>
      </c>
      <c r="G13" s="25"/>
      <c r="H13" s="403"/>
      <c r="I13" s="403"/>
      <c r="J13" s="104">
        <f t="shared" si="0"/>
        <v>1500</v>
      </c>
    </row>
    <row r="14" spans="1:10" ht="15" x14ac:dyDescent="0.2">
      <c r="A14" s="126" t="s">
        <v>240</v>
      </c>
      <c r="B14" s="34" t="s">
        <v>1974</v>
      </c>
      <c r="C14" s="24"/>
      <c r="D14" s="25">
        <v>1500</v>
      </c>
      <c r="F14" s="25">
        <v>1519.07</v>
      </c>
      <c r="G14" s="25"/>
      <c r="H14" s="403"/>
      <c r="I14" s="403">
        <v>19.07</v>
      </c>
      <c r="J14" s="104">
        <f>F14-G14-H14-I14</f>
        <v>1500</v>
      </c>
    </row>
    <row r="15" spans="1:10" ht="15" x14ac:dyDescent="0.2">
      <c r="A15" s="126" t="s">
        <v>240</v>
      </c>
      <c r="B15" s="34" t="s">
        <v>1994</v>
      </c>
      <c r="C15" s="24"/>
      <c r="D15" s="25">
        <v>2139.86</v>
      </c>
      <c r="F15" s="25">
        <v>2322.86</v>
      </c>
      <c r="G15" s="25"/>
      <c r="H15" s="403"/>
      <c r="I15" s="403">
        <v>183</v>
      </c>
      <c r="J15" s="104">
        <f t="shared" si="0"/>
        <v>2139.86</v>
      </c>
    </row>
    <row r="16" spans="1:10" ht="15" x14ac:dyDescent="0.2">
      <c r="A16" s="126" t="s">
        <v>240</v>
      </c>
      <c r="B16" s="34" t="s">
        <v>2011</v>
      </c>
      <c r="C16" s="24"/>
      <c r="D16" s="25">
        <v>3500</v>
      </c>
      <c r="F16" s="25">
        <v>3590.73</v>
      </c>
      <c r="G16" s="25"/>
      <c r="H16" s="403"/>
      <c r="I16" s="403">
        <v>90.73</v>
      </c>
      <c r="J16" s="104">
        <f>F16-G16-H16-I16</f>
        <v>3500</v>
      </c>
    </row>
    <row r="17" spans="1:10" ht="15" x14ac:dyDescent="0.2">
      <c r="A17" s="126" t="s">
        <v>240</v>
      </c>
      <c r="B17" s="21" t="s">
        <v>2020</v>
      </c>
      <c r="C17" s="24"/>
      <c r="D17" s="25">
        <v>2105.2800000000002</v>
      </c>
      <c r="F17" s="25">
        <v>2105.2800000000002</v>
      </c>
      <c r="G17" s="25"/>
      <c r="H17" s="403"/>
      <c r="I17" s="403"/>
      <c r="J17" s="104">
        <f>F17-G17-H17-I17</f>
        <v>2105.2800000000002</v>
      </c>
    </row>
    <row r="18" spans="1:10" ht="15" x14ac:dyDescent="0.2">
      <c r="A18" s="126" t="s">
        <v>240</v>
      </c>
      <c r="B18" s="34" t="s">
        <v>2154</v>
      </c>
      <c r="C18" s="24"/>
      <c r="D18" s="25">
        <v>5075</v>
      </c>
      <c r="F18" s="25">
        <v>5075</v>
      </c>
      <c r="G18" s="25"/>
      <c r="H18" s="403"/>
      <c r="I18" s="403"/>
      <c r="J18" s="104">
        <f t="shared" si="0"/>
        <v>5075</v>
      </c>
    </row>
    <row r="19" spans="1:10" ht="15" x14ac:dyDescent="0.2">
      <c r="A19" s="126" t="s">
        <v>240</v>
      </c>
      <c r="B19" s="36" t="s">
        <v>2102</v>
      </c>
      <c r="C19" s="24"/>
      <c r="D19" s="25">
        <v>1465</v>
      </c>
      <c r="F19" s="25">
        <v>1465</v>
      </c>
      <c r="G19" s="25"/>
      <c r="H19" s="403"/>
      <c r="I19" s="403"/>
      <c r="J19" s="104">
        <f t="shared" si="0"/>
        <v>1465</v>
      </c>
    </row>
    <row r="20" spans="1:10" ht="15" x14ac:dyDescent="0.2">
      <c r="A20" s="126" t="s">
        <v>240</v>
      </c>
      <c r="B20" s="34" t="s">
        <v>2010</v>
      </c>
      <c r="C20" s="24"/>
      <c r="D20" s="538">
        <v>185</v>
      </c>
      <c r="F20" s="399"/>
      <c r="G20" s="107">
        <f>SUM(G2:G19)</f>
        <v>651</v>
      </c>
      <c r="H20" s="107">
        <f>SUM(H2:H19)</f>
        <v>77.41</v>
      </c>
      <c r="I20" s="107">
        <f>SUM(I2:I19)</f>
        <v>609.98</v>
      </c>
      <c r="J20" s="107">
        <f>SUM(J2:J19)</f>
        <v>32255.61</v>
      </c>
    </row>
    <row r="21" spans="1:10" ht="15" x14ac:dyDescent="0.2">
      <c r="A21" s="126" t="s">
        <v>240</v>
      </c>
      <c r="B21" s="34" t="s">
        <v>2067</v>
      </c>
      <c r="C21" s="24"/>
      <c r="D21" s="538">
        <v>190</v>
      </c>
    </row>
    <row r="22" spans="1:10" ht="15" x14ac:dyDescent="0.2">
      <c r="A22" s="126" t="s">
        <v>240</v>
      </c>
      <c r="B22" s="34" t="s">
        <v>2005</v>
      </c>
      <c r="C22" s="24"/>
      <c r="D22" s="538">
        <v>150</v>
      </c>
    </row>
    <row r="23" spans="1:10" ht="13.5" customHeight="1" x14ac:dyDescent="0.2">
      <c r="A23" s="126" t="s">
        <v>240</v>
      </c>
      <c r="B23" s="34" t="s">
        <v>2108</v>
      </c>
      <c r="C23" s="24"/>
      <c r="D23" s="538">
        <v>150</v>
      </c>
      <c r="G23" s="529"/>
    </row>
    <row r="24" spans="1:10" ht="13.5" customHeight="1" x14ac:dyDescent="0.2">
      <c r="A24" s="126" t="s">
        <v>240</v>
      </c>
      <c r="B24" s="34" t="s">
        <v>2105</v>
      </c>
      <c r="C24" s="24"/>
      <c r="D24" s="538">
        <v>256</v>
      </c>
    </row>
    <row r="25" spans="1:10" ht="13.5" customHeight="1" x14ac:dyDescent="0.2">
      <c r="A25" s="126" t="s">
        <v>240</v>
      </c>
      <c r="B25" s="34" t="s">
        <v>1976</v>
      </c>
      <c r="C25" s="24"/>
      <c r="D25" s="538">
        <v>200</v>
      </c>
    </row>
    <row r="26" spans="1:10" ht="15" x14ac:dyDescent="0.2">
      <c r="A26" s="126" t="s">
        <v>240</v>
      </c>
      <c r="B26" s="34" t="s">
        <v>2062</v>
      </c>
      <c r="C26" s="24"/>
      <c r="D26" s="538">
        <v>80</v>
      </c>
    </row>
    <row r="27" spans="1:10" ht="13.5" customHeight="1" x14ac:dyDescent="0.2">
      <c r="A27" s="126" t="s">
        <v>240</v>
      </c>
      <c r="B27" s="34" t="s">
        <v>1975</v>
      </c>
      <c r="C27" s="24"/>
      <c r="D27" s="538">
        <v>220</v>
      </c>
      <c r="G27" s="529"/>
    </row>
    <row r="28" spans="1:10" ht="13.5" customHeight="1" x14ac:dyDescent="0.2">
      <c r="A28" s="126" t="s">
        <v>240</v>
      </c>
      <c r="B28" s="34" t="s">
        <v>1792</v>
      </c>
      <c r="C28" s="24"/>
      <c r="D28" s="538">
        <f>I20</f>
        <v>609.98</v>
      </c>
      <c r="E28" s="658">
        <f>SUM(D20:D27)</f>
        <v>1431</v>
      </c>
      <c r="G28" s="529"/>
    </row>
    <row r="29" spans="1:10" ht="13.5" customHeight="1" x14ac:dyDescent="0.2">
      <c r="A29" s="126"/>
      <c r="B29" s="21"/>
      <c r="C29" s="24"/>
      <c r="D29" s="659">
        <f>SUM(D2:D28)</f>
        <v>35847.590000000004</v>
      </c>
    </row>
    <row r="30" spans="1:10" ht="13.5" customHeight="1" x14ac:dyDescent="0.2">
      <c r="A30" s="126"/>
      <c r="B30" s="21"/>
      <c r="C30" s="24"/>
      <c r="D30" s="25"/>
    </row>
    <row r="31" spans="1:10" ht="13.5" customHeight="1" x14ac:dyDescent="0.2">
      <c r="A31" s="126" t="s">
        <v>240</v>
      </c>
      <c r="B31" s="34" t="s">
        <v>2094</v>
      </c>
      <c r="C31" s="24"/>
      <c r="D31" s="25">
        <v>900</v>
      </c>
      <c r="F31" s="60">
        <v>900</v>
      </c>
      <c r="G31" s="60"/>
      <c r="H31" s="402"/>
      <c r="I31" s="402"/>
      <c r="J31" s="618">
        <f>F31-G31-H31-I31</f>
        <v>900</v>
      </c>
    </row>
    <row r="32" spans="1:10" ht="13.5" customHeight="1" x14ac:dyDescent="0.2">
      <c r="A32" s="126" t="s">
        <v>240</v>
      </c>
      <c r="B32" s="34" t="s">
        <v>1990</v>
      </c>
      <c r="C32" s="24"/>
      <c r="D32" s="25">
        <v>900</v>
      </c>
      <c r="F32" s="25">
        <v>900</v>
      </c>
      <c r="G32" s="25"/>
      <c r="H32" s="402"/>
      <c r="I32" s="402"/>
      <c r="J32" s="104">
        <f>F32-G32-H32-I32</f>
        <v>900</v>
      </c>
    </row>
    <row r="33" spans="1:10" ht="13.5" customHeight="1" x14ac:dyDescent="0.2">
      <c r="A33" s="126" t="s">
        <v>240</v>
      </c>
      <c r="B33" s="34" t="s">
        <v>2069</v>
      </c>
      <c r="C33" s="24"/>
      <c r="D33" s="25">
        <v>7750</v>
      </c>
      <c r="F33" s="25">
        <v>8059.75</v>
      </c>
      <c r="G33" s="25"/>
      <c r="H33" s="402"/>
      <c r="I33" s="402">
        <v>309.75</v>
      </c>
      <c r="J33" s="104">
        <f>F33-G33-H33-I33</f>
        <v>7750</v>
      </c>
    </row>
    <row r="34" spans="1:10" ht="13.5" customHeight="1" x14ac:dyDescent="0.2">
      <c r="A34" s="126" t="s">
        <v>240</v>
      </c>
      <c r="B34" s="34" t="s">
        <v>2068</v>
      </c>
      <c r="C34" s="24"/>
      <c r="D34" s="25">
        <v>525</v>
      </c>
      <c r="F34" s="25">
        <v>525</v>
      </c>
      <c r="G34" s="25"/>
      <c r="H34" s="402"/>
      <c r="I34" s="402"/>
      <c r="J34" s="104">
        <f>F34-G34-H34-I34</f>
        <v>525</v>
      </c>
    </row>
    <row r="35" spans="1:10" ht="13.5" customHeight="1" x14ac:dyDescent="0.2">
      <c r="A35" s="126" t="s">
        <v>240</v>
      </c>
      <c r="B35" s="138" t="s">
        <v>2124</v>
      </c>
      <c r="C35" s="24"/>
      <c r="D35" s="25">
        <v>4731.47</v>
      </c>
      <c r="F35" s="25">
        <v>4731.47</v>
      </c>
      <c r="G35" s="25"/>
      <c r="H35" s="402"/>
      <c r="I35" s="402"/>
      <c r="J35" s="104">
        <f>F35-G35-H35-I35</f>
        <v>4731.47</v>
      </c>
    </row>
    <row r="36" spans="1:10" ht="13.5" customHeight="1" x14ac:dyDescent="0.2">
      <c r="A36" s="126"/>
      <c r="B36" s="138" t="s">
        <v>3542</v>
      </c>
      <c r="C36" s="24"/>
      <c r="D36" s="25">
        <f>I37</f>
        <v>309.75</v>
      </c>
      <c r="F36" s="25"/>
      <c r="G36" s="25"/>
      <c r="H36" s="402"/>
      <c r="I36" s="402"/>
      <c r="J36" s="104"/>
    </row>
    <row r="37" spans="1:10" ht="13.5" customHeight="1" x14ac:dyDescent="0.2">
      <c r="A37" s="126"/>
      <c r="B37" s="138"/>
      <c r="C37" s="24"/>
      <c r="D37" s="660">
        <f>SUM(D31:D36)</f>
        <v>15116.220000000001</v>
      </c>
      <c r="F37" s="655">
        <f>SUM(F31:F35)</f>
        <v>15116.220000000001</v>
      </c>
      <c r="G37" s="655">
        <f>SUM(G31:G35)</f>
        <v>0</v>
      </c>
      <c r="H37" s="655">
        <f>SUM(H31:H35)</f>
        <v>0</v>
      </c>
      <c r="I37" s="655">
        <f>SUM(I31:I35)</f>
        <v>309.75</v>
      </c>
      <c r="J37" s="655">
        <f>SUM(J31:J35)</f>
        <v>14806.470000000001</v>
      </c>
    </row>
    <row r="38" spans="1:10" ht="13.5" customHeight="1" x14ac:dyDescent="0.2">
      <c r="A38" s="126"/>
      <c r="B38" s="138"/>
      <c r="C38" s="24"/>
      <c r="D38" s="25"/>
      <c r="G38" s="529"/>
    </row>
    <row r="39" spans="1:10" ht="13.5" customHeight="1" x14ac:dyDescent="0.2">
      <c r="A39" s="126" t="s">
        <v>241</v>
      </c>
      <c r="B39" s="138" t="s">
        <v>189</v>
      </c>
      <c r="C39" s="110">
        <v>8584.75</v>
      </c>
      <c r="D39" s="25"/>
    </row>
    <row r="40" spans="1:10" ht="13.5" customHeight="1" x14ac:dyDescent="0.2">
      <c r="A40" s="126" t="s">
        <v>241</v>
      </c>
      <c r="B40" s="138" t="s">
        <v>189</v>
      </c>
      <c r="C40" s="110">
        <v>4731.47</v>
      </c>
      <c r="D40" s="25"/>
      <c r="F40"/>
    </row>
    <row r="41" spans="1:10" ht="13.5" customHeight="1" x14ac:dyDescent="0.2">
      <c r="A41" s="126" t="s">
        <v>241</v>
      </c>
      <c r="B41" s="138" t="s">
        <v>174</v>
      </c>
      <c r="C41" s="24">
        <v>-12.5</v>
      </c>
      <c r="D41" s="25"/>
    </row>
    <row r="42" spans="1:10" ht="13.5" customHeight="1" x14ac:dyDescent="0.2">
      <c r="A42" s="126" t="s">
        <v>241</v>
      </c>
      <c r="B42" s="138" t="s">
        <v>174</v>
      </c>
      <c r="C42" s="24">
        <v>-75</v>
      </c>
      <c r="D42" s="25"/>
    </row>
    <row r="43" spans="1:10" ht="13.5" customHeight="1" x14ac:dyDescent="0.2">
      <c r="A43" s="126" t="s">
        <v>241</v>
      </c>
      <c r="B43" s="138" t="s">
        <v>174</v>
      </c>
      <c r="C43" s="24">
        <v>-85</v>
      </c>
      <c r="D43" s="25"/>
    </row>
    <row r="44" spans="1:10" ht="13.5" customHeight="1" x14ac:dyDescent="0.2">
      <c r="A44" s="126" t="s">
        <v>241</v>
      </c>
      <c r="B44" s="138" t="s">
        <v>174</v>
      </c>
      <c r="C44" s="24">
        <v>-90</v>
      </c>
      <c r="D44" s="25"/>
    </row>
    <row r="45" spans="1:10" ht="13.5" customHeight="1" x14ac:dyDescent="0.2">
      <c r="A45" s="126" t="s">
        <v>241</v>
      </c>
      <c r="B45" s="138" t="s">
        <v>174</v>
      </c>
      <c r="C45" s="24">
        <v>-92.81</v>
      </c>
      <c r="D45" s="25"/>
      <c r="G45" s="529"/>
    </row>
    <row r="46" spans="1:10" ht="13.5" customHeight="1" x14ac:dyDescent="0.2">
      <c r="A46" s="126" t="s">
        <v>241</v>
      </c>
      <c r="B46" s="138" t="s">
        <v>174</v>
      </c>
      <c r="C46" s="24">
        <v>-175.4</v>
      </c>
      <c r="D46" s="25"/>
      <c r="F46"/>
    </row>
    <row r="47" spans="1:10" ht="13.5" customHeight="1" x14ac:dyDescent="0.2">
      <c r="A47" s="126" t="s">
        <v>241</v>
      </c>
      <c r="B47" s="138" t="s">
        <v>174</v>
      </c>
      <c r="C47" s="24">
        <v>-196.25</v>
      </c>
      <c r="D47" s="25"/>
    </row>
    <row r="48" spans="1:10" ht="13.5" customHeight="1" x14ac:dyDescent="0.2">
      <c r="A48" s="126" t="s">
        <v>241</v>
      </c>
      <c r="B48" s="138" t="s">
        <v>174</v>
      </c>
      <c r="C48" s="24">
        <v>-285.3</v>
      </c>
      <c r="D48" s="25"/>
    </row>
    <row r="49" spans="1:6" ht="13.5" customHeight="1" x14ac:dyDescent="0.2">
      <c r="A49" s="126" t="s">
        <v>241</v>
      </c>
      <c r="B49" s="138" t="s">
        <v>174</v>
      </c>
      <c r="C49" s="24">
        <v>-457.48</v>
      </c>
      <c r="D49" s="25"/>
    </row>
    <row r="50" spans="1:6" ht="13.5" customHeight="1" x14ac:dyDescent="0.2">
      <c r="A50" s="126" t="s">
        <v>241</v>
      </c>
      <c r="B50" s="138" t="s">
        <v>174</v>
      </c>
      <c r="C50" s="24">
        <v>-574.73</v>
      </c>
      <c r="D50" s="25"/>
    </row>
    <row r="51" spans="1:6" ht="13.5" customHeight="1" x14ac:dyDescent="0.2">
      <c r="A51" s="126" t="s">
        <v>241</v>
      </c>
      <c r="B51" s="138" t="s">
        <v>174</v>
      </c>
      <c r="C51" s="24">
        <v>-604.86</v>
      </c>
      <c r="D51" s="25"/>
    </row>
    <row r="52" spans="1:6" ht="13.5" customHeight="1" x14ac:dyDescent="0.2">
      <c r="A52" s="126" t="s">
        <v>241</v>
      </c>
      <c r="B52" s="138" t="s">
        <v>174</v>
      </c>
      <c r="C52" s="24">
        <v>-754</v>
      </c>
      <c r="D52" s="25"/>
      <c r="F52"/>
    </row>
    <row r="53" spans="1:6" ht="13.5" customHeight="1" x14ac:dyDescent="0.2">
      <c r="A53" s="126" t="s">
        <v>241</v>
      </c>
      <c r="B53" s="138" t="s">
        <v>174</v>
      </c>
      <c r="C53" s="24">
        <v>-1215.3699999999999</v>
      </c>
      <c r="D53" s="25"/>
    </row>
    <row r="54" spans="1:6" ht="13.5" customHeight="1" x14ac:dyDescent="0.2">
      <c r="A54" s="126" t="s">
        <v>241</v>
      </c>
      <c r="B54" s="138" t="s">
        <v>174</v>
      </c>
      <c r="C54" s="24">
        <v>-1260.71</v>
      </c>
      <c r="D54" s="25"/>
    </row>
    <row r="55" spans="1:6" ht="13.5" customHeight="1" x14ac:dyDescent="0.2">
      <c r="A55" s="126" t="s">
        <v>241</v>
      </c>
      <c r="B55" s="138" t="s">
        <v>174</v>
      </c>
      <c r="C55" s="24">
        <v>-1784.51</v>
      </c>
      <c r="D55" s="25"/>
    </row>
    <row r="56" spans="1:6" ht="13.5" customHeight="1" x14ac:dyDescent="0.2">
      <c r="A56" s="126"/>
      <c r="B56" s="138"/>
      <c r="C56" s="661">
        <f>SUM(C39:C55)</f>
        <v>5652.3000000000038</v>
      </c>
      <c r="D56" s="25"/>
    </row>
    <row r="57" spans="1:6" ht="13.5" customHeight="1" x14ac:dyDescent="0.2">
      <c r="A57" s="126"/>
      <c r="B57" s="138"/>
      <c r="C57" s="24"/>
      <c r="D57" s="25"/>
    </row>
    <row r="58" spans="1:6" ht="13.5" customHeight="1" x14ac:dyDescent="0.2">
      <c r="A58" s="126" t="s">
        <v>224</v>
      </c>
      <c r="B58" s="34" t="s">
        <v>62</v>
      </c>
      <c r="C58" s="110">
        <v>520.74</v>
      </c>
      <c r="D58" s="25"/>
    </row>
    <row r="59" spans="1:6" ht="13.5" customHeight="1" x14ac:dyDescent="0.2">
      <c r="A59" s="126" t="s">
        <v>224</v>
      </c>
      <c r="B59" s="34" t="s">
        <v>68</v>
      </c>
      <c r="C59" s="110">
        <v>129.9</v>
      </c>
      <c r="D59" s="25"/>
    </row>
    <row r="60" spans="1:6" ht="13.5" customHeight="1" x14ac:dyDescent="0.2">
      <c r="A60" s="126" t="s">
        <v>224</v>
      </c>
      <c r="B60" s="138" t="s">
        <v>1597</v>
      </c>
      <c r="C60" s="110">
        <v>0.28000000000000003</v>
      </c>
      <c r="D60" s="25"/>
    </row>
    <row r="61" spans="1:6" ht="13.5" customHeight="1" x14ac:dyDescent="0.2">
      <c r="A61" s="126" t="s">
        <v>224</v>
      </c>
      <c r="B61" s="32" t="s">
        <v>199</v>
      </c>
      <c r="C61" s="110">
        <v>238.49</v>
      </c>
      <c r="D61" s="25"/>
    </row>
    <row r="62" spans="1:6" ht="13.5" customHeight="1" x14ac:dyDescent="0.2">
      <c r="A62" s="126" t="s">
        <v>224</v>
      </c>
      <c r="B62" s="34" t="s">
        <v>1598</v>
      </c>
      <c r="C62" s="110">
        <v>7.15</v>
      </c>
      <c r="D62" s="25"/>
    </row>
    <row r="63" spans="1:6" ht="13.5" customHeight="1" x14ac:dyDescent="0.2">
      <c r="A63" s="126" t="s">
        <v>224</v>
      </c>
      <c r="B63" s="34" t="s">
        <v>1796</v>
      </c>
      <c r="C63" s="110">
        <f>D66</f>
        <v>450</v>
      </c>
      <c r="D63" s="25"/>
    </row>
    <row r="64" spans="1:6" ht="13.5" customHeight="1" x14ac:dyDescent="0.2">
      <c r="A64" s="126"/>
      <c r="B64" s="34"/>
      <c r="C64" s="662">
        <f>SUM(C58:C63)</f>
        <v>1346.56</v>
      </c>
      <c r="D64" s="25"/>
    </row>
    <row r="65" spans="1:9" ht="13.5" customHeight="1" x14ac:dyDescent="0.2">
      <c r="A65" s="126"/>
      <c r="B65" s="34"/>
      <c r="C65" s="110"/>
      <c r="D65" s="25"/>
    </row>
    <row r="66" spans="1:9" ht="13.5" customHeight="1" x14ac:dyDescent="0.2">
      <c r="A66" s="126" t="s">
        <v>224</v>
      </c>
      <c r="B66" s="34" t="s">
        <v>2033</v>
      </c>
      <c r="C66" s="24">
        <v>300</v>
      </c>
      <c r="D66" s="25">
        <f>SUM(C66:C67)-D67</f>
        <v>450</v>
      </c>
      <c r="G66" s="529"/>
    </row>
    <row r="67" spans="1:9" ht="13.5" customHeight="1" x14ac:dyDescent="0.2">
      <c r="A67" s="126" t="s">
        <v>224</v>
      </c>
      <c r="B67" s="34" t="s">
        <v>2106</v>
      </c>
      <c r="C67" s="267">
        <v>375</v>
      </c>
      <c r="D67" s="25">
        <f t="array" ref="D67">SUM(C66:C67/3)</f>
        <v>225</v>
      </c>
    </row>
    <row r="68" spans="1:9" ht="13.5" customHeight="1" x14ac:dyDescent="0.2">
      <c r="A68" s="126"/>
      <c r="B68" s="138"/>
      <c r="C68" s="110"/>
      <c r="D68" s="25"/>
    </row>
    <row r="69" spans="1:9" ht="13.5" customHeight="1" x14ac:dyDescent="0.2">
      <c r="A69" s="126"/>
      <c r="B69" s="138"/>
      <c r="C69" s="110"/>
      <c r="D69" s="25"/>
    </row>
    <row r="70" spans="1:9" ht="13.5" customHeight="1" x14ac:dyDescent="0.2">
      <c r="A70" s="40" t="s">
        <v>225</v>
      </c>
      <c r="B70" s="138" t="s">
        <v>2129</v>
      </c>
      <c r="C70" s="662">
        <v>754</v>
      </c>
      <c r="D70" s="25"/>
      <c r="F70"/>
      <c r="G70" s="529"/>
    </row>
    <row r="71" spans="1:9" ht="13.5" customHeight="1" x14ac:dyDescent="0.2">
      <c r="A71" s="40"/>
      <c r="B71" s="138"/>
      <c r="C71" s="110"/>
      <c r="D71" s="25"/>
      <c r="F71"/>
      <c r="G71" s="529"/>
    </row>
    <row r="72" spans="1:9" ht="13.5" customHeight="1" x14ac:dyDescent="0.2">
      <c r="A72" s="40"/>
      <c r="B72" s="138"/>
      <c r="C72" s="110"/>
      <c r="D72" s="25"/>
      <c r="F72"/>
      <c r="G72" s="529"/>
    </row>
    <row r="73" spans="1:9" ht="13.5" customHeight="1" x14ac:dyDescent="0.2">
      <c r="A73" s="126" t="s">
        <v>242</v>
      </c>
      <c r="B73" s="138" t="s">
        <v>3543</v>
      </c>
      <c r="C73" s="110">
        <v>-77.41</v>
      </c>
      <c r="D73" s="25"/>
      <c r="F73"/>
      <c r="G73" s="529"/>
    </row>
    <row r="74" spans="1:9" ht="13.5" customHeight="1" x14ac:dyDescent="0.2">
      <c r="A74" s="126" t="s">
        <v>242</v>
      </c>
      <c r="B74" s="34" t="s">
        <v>2055</v>
      </c>
      <c r="C74" s="110">
        <v>750</v>
      </c>
      <c r="D74" s="25"/>
    </row>
    <row r="75" spans="1:9" ht="13.5" customHeight="1" x14ac:dyDescent="0.2">
      <c r="A75" s="126" t="s">
        <v>242</v>
      </c>
      <c r="B75" s="21" t="s">
        <v>2012</v>
      </c>
      <c r="C75" s="24">
        <v>-3000</v>
      </c>
      <c r="D75" s="25"/>
    </row>
    <row r="76" spans="1:9" ht="13.5" customHeight="1" x14ac:dyDescent="0.2">
      <c r="A76" s="126" t="s">
        <v>242</v>
      </c>
      <c r="B76" s="34" t="s">
        <v>127</v>
      </c>
      <c r="C76" s="110">
        <v>30.49</v>
      </c>
      <c r="D76" s="25"/>
    </row>
    <row r="77" spans="1:9" ht="13.5" customHeight="1" x14ac:dyDescent="0.2">
      <c r="A77" s="126" t="s">
        <v>242</v>
      </c>
      <c r="B77" s="237" t="s">
        <v>736</v>
      </c>
      <c r="C77" s="110">
        <v>41.18</v>
      </c>
      <c r="D77" s="25"/>
    </row>
    <row r="78" spans="1:9" ht="13.5" customHeight="1" x14ac:dyDescent="0.2">
      <c r="A78" s="126" t="s">
        <v>242</v>
      </c>
      <c r="B78" s="34" t="s">
        <v>109</v>
      </c>
      <c r="C78" s="110">
        <v>18.29</v>
      </c>
      <c r="D78" s="25"/>
    </row>
    <row r="79" spans="1:9" ht="13.5" customHeight="1" x14ac:dyDescent="0.2">
      <c r="A79" s="126" t="s">
        <v>242</v>
      </c>
      <c r="B79" s="34" t="s">
        <v>129</v>
      </c>
      <c r="C79" s="110">
        <v>66.44</v>
      </c>
      <c r="D79" s="25"/>
    </row>
    <row r="80" spans="1:9" ht="13.5" customHeight="1" x14ac:dyDescent="0.2">
      <c r="A80" s="126" t="s">
        <v>242</v>
      </c>
      <c r="B80" s="237" t="s">
        <v>737</v>
      </c>
      <c r="C80" s="110">
        <v>420.28</v>
      </c>
      <c r="D80" s="25"/>
      <c r="H80" s="40"/>
      <c r="I80" s="40"/>
    </row>
    <row r="81" spans="1:8" ht="13.5" customHeight="1" x14ac:dyDescent="0.2">
      <c r="A81" s="126" t="s">
        <v>242</v>
      </c>
      <c r="B81" s="34" t="s">
        <v>2162</v>
      </c>
      <c r="C81" s="113">
        <v>14</v>
      </c>
      <c r="D81" s="428"/>
    </row>
    <row r="82" spans="1:8" ht="13.5" customHeight="1" x14ac:dyDescent="0.2">
      <c r="A82" s="126" t="s">
        <v>242</v>
      </c>
      <c r="B82" s="34" t="s">
        <v>2162</v>
      </c>
      <c r="C82" s="113">
        <v>250</v>
      </c>
      <c r="D82" s="428"/>
    </row>
    <row r="83" spans="1:8" ht="13.5" customHeight="1" x14ac:dyDescent="0.2">
      <c r="A83" s="126" t="s">
        <v>242</v>
      </c>
      <c r="B83" s="34" t="s">
        <v>2165</v>
      </c>
      <c r="C83" s="113">
        <v>55</v>
      </c>
      <c r="D83" s="428"/>
    </row>
    <row r="84" spans="1:8" ht="13.5" customHeight="1" x14ac:dyDescent="0.2">
      <c r="A84" s="126" t="s">
        <v>242</v>
      </c>
      <c r="B84" s="34" t="s">
        <v>87</v>
      </c>
      <c r="C84" s="110">
        <v>35.74</v>
      </c>
      <c r="D84" s="25"/>
    </row>
    <row r="85" spans="1:8" ht="13.5" customHeight="1" x14ac:dyDescent="0.2">
      <c r="A85" s="126" t="s">
        <v>242</v>
      </c>
      <c r="B85" s="34" t="s">
        <v>2157</v>
      </c>
      <c r="C85" s="113">
        <v>7</v>
      </c>
      <c r="D85" s="25"/>
    </row>
    <row r="86" spans="1:8" ht="13.5" customHeight="1" x14ac:dyDescent="0.2">
      <c r="A86" s="126" t="s">
        <v>242</v>
      </c>
      <c r="B86" s="34" t="s">
        <v>2075</v>
      </c>
      <c r="C86" s="267">
        <v>7</v>
      </c>
      <c r="D86" s="25"/>
    </row>
    <row r="87" spans="1:8" ht="13.5" customHeight="1" x14ac:dyDescent="0.2">
      <c r="A87" s="126" t="s">
        <v>242</v>
      </c>
      <c r="B87" s="34" t="s">
        <v>1988</v>
      </c>
      <c r="C87" s="24">
        <v>18.05</v>
      </c>
      <c r="D87" s="25"/>
    </row>
    <row r="88" spans="1:8" ht="13.5" customHeight="1" x14ac:dyDescent="0.2">
      <c r="A88" s="126" t="s">
        <v>242</v>
      </c>
      <c r="B88" s="34" t="s">
        <v>2158</v>
      </c>
      <c r="C88" s="110">
        <v>200</v>
      </c>
      <c r="D88" s="25"/>
      <c r="F88" s="663" t="s">
        <v>242</v>
      </c>
      <c r="G88" s="32" t="s">
        <v>813</v>
      </c>
      <c r="H88" s="61">
        <v>75</v>
      </c>
    </row>
    <row r="89" spans="1:8" ht="13.5" customHeight="1" x14ac:dyDescent="0.2">
      <c r="A89" s="126" t="s">
        <v>242</v>
      </c>
      <c r="B89" s="34" t="s">
        <v>2077</v>
      </c>
      <c r="C89" s="110">
        <v>400</v>
      </c>
      <c r="D89" s="25"/>
    </row>
    <row r="90" spans="1:8" ht="13.5" customHeight="1" x14ac:dyDescent="0.2">
      <c r="A90" s="126" t="s">
        <v>242</v>
      </c>
      <c r="B90" s="34" t="s">
        <v>1983</v>
      </c>
      <c r="C90" s="24">
        <v>14.2</v>
      </c>
      <c r="D90" s="25"/>
    </row>
    <row r="91" spans="1:8" ht="13.5" customHeight="1" x14ac:dyDescent="0.2">
      <c r="A91" s="126" t="s">
        <v>242</v>
      </c>
      <c r="B91" s="34" t="s">
        <v>624</v>
      </c>
      <c r="C91" s="24">
        <f>SUM(H88/2)</f>
        <v>37.5</v>
      </c>
      <c r="D91" s="25"/>
    </row>
    <row r="92" spans="1:8" ht="13.5" customHeight="1" x14ac:dyDescent="0.2">
      <c r="A92" s="126"/>
      <c r="B92" s="34"/>
      <c r="C92" s="661">
        <f>SUM(C73:C91)</f>
        <v>-712.24000000000024</v>
      </c>
      <c r="D92" s="25"/>
      <c r="G92" s="529"/>
    </row>
    <row r="93" spans="1:8" ht="13.5" customHeight="1" x14ac:dyDescent="0.2">
      <c r="A93" s="126"/>
      <c r="B93" s="34"/>
      <c r="C93" s="24"/>
      <c r="D93" s="25"/>
    </row>
    <row r="94" spans="1:8" ht="13.5" customHeight="1" x14ac:dyDescent="0.2">
      <c r="A94" s="126" t="s">
        <v>242</v>
      </c>
      <c r="B94" s="34" t="s">
        <v>2083</v>
      </c>
      <c r="C94" s="267">
        <v>6.99</v>
      </c>
      <c r="D94" s="25"/>
    </row>
    <row r="95" spans="1:8" ht="13.5" customHeight="1" x14ac:dyDescent="0.2">
      <c r="A95" s="126" t="s">
        <v>242</v>
      </c>
      <c r="B95" s="34" t="s">
        <v>2083</v>
      </c>
      <c r="C95" s="267">
        <v>11.97</v>
      </c>
      <c r="D95" s="25"/>
      <c r="G95" s="529"/>
    </row>
    <row r="96" spans="1:8" ht="13.5" customHeight="1" x14ac:dyDescent="0.2">
      <c r="A96" s="126" t="s">
        <v>242</v>
      </c>
      <c r="B96" s="34" t="s">
        <v>2104</v>
      </c>
      <c r="C96" s="267">
        <v>250</v>
      </c>
      <c r="D96" s="25"/>
      <c r="G96" s="529"/>
    </row>
    <row r="97" spans="1:7" ht="13.5" customHeight="1" x14ac:dyDescent="0.2">
      <c r="A97" s="126" t="s">
        <v>242</v>
      </c>
      <c r="B97" s="34" t="s">
        <v>2021</v>
      </c>
      <c r="C97" s="24">
        <v>99.98</v>
      </c>
      <c r="D97" s="25"/>
    </row>
    <row r="98" spans="1:7" ht="13.5" customHeight="1" x14ac:dyDescent="0.2">
      <c r="A98" s="126" t="s">
        <v>242</v>
      </c>
      <c r="B98" s="138" t="s">
        <v>180</v>
      </c>
      <c r="C98" s="110">
        <v>227.88</v>
      </c>
      <c r="D98" s="25"/>
    </row>
    <row r="99" spans="1:7" ht="13.5" customHeight="1" x14ac:dyDescent="0.2">
      <c r="A99" s="126" t="s">
        <v>242</v>
      </c>
      <c r="B99" s="34" t="s">
        <v>2003</v>
      </c>
      <c r="C99" s="24">
        <v>22</v>
      </c>
      <c r="D99" s="25"/>
    </row>
    <row r="100" spans="1:7" ht="13.5" customHeight="1" x14ac:dyDescent="0.2">
      <c r="A100" s="126" t="s">
        <v>242</v>
      </c>
      <c r="B100" s="34" t="s">
        <v>2032</v>
      </c>
      <c r="C100" s="24">
        <v>14.2</v>
      </c>
      <c r="D100" s="25"/>
    </row>
    <row r="101" spans="1:7" ht="13.5" customHeight="1" x14ac:dyDescent="0.2">
      <c r="A101" s="126" t="s">
        <v>242</v>
      </c>
      <c r="B101" s="34" t="s">
        <v>625</v>
      </c>
      <c r="C101" s="24">
        <f>C91</f>
        <v>37.5</v>
      </c>
      <c r="D101" s="25"/>
    </row>
    <row r="102" spans="1:7" ht="13.5" customHeight="1" x14ac:dyDescent="0.2">
      <c r="A102" s="126"/>
      <c r="B102" s="34"/>
      <c r="C102" s="661">
        <f>SUM(C94:C101)</f>
        <v>670.52</v>
      </c>
      <c r="D102" s="25"/>
    </row>
    <row r="103" spans="1:7" ht="13.5" customHeight="1" x14ac:dyDescent="0.2">
      <c r="A103" s="126"/>
      <c r="B103" s="34"/>
      <c r="C103" s="24"/>
      <c r="D103" s="25"/>
    </row>
    <row r="104" spans="1:7" ht="13.5" customHeight="1" x14ac:dyDescent="0.2">
      <c r="A104" s="126" t="s">
        <v>243</v>
      </c>
      <c r="B104" s="34" t="s">
        <v>1795</v>
      </c>
      <c r="C104" s="24">
        <f>D67</f>
        <v>225</v>
      </c>
      <c r="D104" s="25"/>
    </row>
    <row r="105" spans="1:7" ht="13.5" customHeight="1" x14ac:dyDescent="0.2">
      <c r="A105" s="126" t="s">
        <v>243</v>
      </c>
      <c r="B105" s="34" t="s">
        <v>9</v>
      </c>
      <c r="C105" s="24">
        <v>900</v>
      </c>
      <c r="D105" s="25"/>
    </row>
    <row r="106" spans="1:7" ht="13.5" customHeight="1" x14ac:dyDescent="0.2">
      <c r="A106" s="126" t="s">
        <v>243</v>
      </c>
      <c r="B106" s="34" t="s">
        <v>1989</v>
      </c>
      <c r="C106" s="24">
        <v>650</v>
      </c>
      <c r="D106" s="25"/>
      <c r="G106" s="529"/>
    </row>
    <row r="107" spans="1:7" ht="13.5" customHeight="1" x14ac:dyDescent="0.2">
      <c r="A107" s="126" t="s">
        <v>243</v>
      </c>
      <c r="B107" s="34" t="s">
        <v>2156</v>
      </c>
      <c r="C107" s="110">
        <v>1.5</v>
      </c>
      <c r="D107" s="25"/>
      <c r="G107" s="529"/>
    </row>
    <row r="108" spans="1:7" ht="13.5" customHeight="1" x14ac:dyDescent="0.2">
      <c r="A108" s="126" t="s">
        <v>243</v>
      </c>
      <c r="B108" s="34" t="s">
        <v>2164</v>
      </c>
      <c r="C108" s="113">
        <v>2</v>
      </c>
      <c r="D108" s="428"/>
    </row>
    <row r="109" spans="1:7" ht="13.5" customHeight="1" x14ac:dyDescent="0.2">
      <c r="A109" s="126" t="s">
        <v>243</v>
      </c>
      <c r="B109" s="34" t="s">
        <v>2163</v>
      </c>
      <c r="C109" s="113">
        <v>450</v>
      </c>
      <c r="D109" s="428"/>
    </row>
    <row r="110" spans="1:7" ht="13.5" customHeight="1" x14ac:dyDescent="0.2">
      <c r="A110" s="126" t="s">
        <v>243</v>
      </c>
      <c r="B110" s="34" t="s">
        <v>1979</v>
      </c>
      <c r="C110" s="110">
        <v>122.76</v>
      </c>
      <c r="D110" s="25"/>
    </row>
    <row r="111" spans="1:7" ht="13.5" customHeight="1" x14ac:dyDescent="0.2">
      <c r="A111" s="126" t="s">
        <v>243</v>
      </c>
      <c r="B111" s="34" t="s">
        <v>2065</v>
      </c>
      <c r="C111" s="110">
        <v>119.9</v>
      </c>
      <c r="D111" s="25"/>
    </row>
    <row r="112" spans="1:7" ht="13.5" customHeight="1" x14ac:dyDescent="0.2">
      <c r="A112" s="126" t="s">
        <v>243</v>
      </c>
      <c r="B112" s="34" t="s">
        <v>1992</v>
      </c>
      <c r="C112" s="24">
        <v>837</v>
      </c>
      <c r="D112" s="25"/>
    </row>
    <row r="113" spans="1:7" ht="13.5" customHeight="1" x14ac:dyDescent="0.2">
      <c r="A113" s="126" t="s">
        <v>243</v>
      </c>
      <c r="B113" s="34" t="s">
        <v>1993</v>
      </c>
      <c r="C113" s="24">
        <v>2677.35</v>
      </c>
      <c r="D113" s="25"/>
    </row>
    <row r="114" spans="1:7" ht="13.5" customHeight="1" x14ac:dyDescent="0.2">
      <c r="A114" s="126" t="s">
        <v>243</v>
      </c>
      <c r="B114" s="34" t="s">
        <v>2160</v>
      </c>
      <c r="C114" s="113">
        <v>65.94</v>
      </c>
      <c r="D114" s="25"/>
    </row>
    <row r="115" spans="1:7" ht="13.5" customHeight="1" x14ac:dyDescent="0.2">
      <c r="A115" s="126" t="s">
        <v>243</v>
      </c>
      <c r="B115" s="138" t="s">
        <v>2143</v>
      </c>
      <c r="C115" s="110">
        <v>100</v>
      </c>
      <c r="D115" s="25"/>
    </row>
    <row r="116" spans="1:7" ht="13.5" customHeight="1" x14ac:dyDescent="0.2">
      <c r="A116" s="126" t="s">
        <v>243</v>
      </c>
      <c r="B116" s="237" t="s">
        <v>81</v>
      </c>
      <c r="C116" s="110">
        <v>49.9</v>
      </c>
      <c r="D116" s="25"/>
      <c r="G116" s="529"/>
    </row>
    <row r="117" spans="1:7" ht="13.5" customHeight="1" x14ac:dyDescent="0.2">
      <c r="A117" s="126" t="s">
        <v>243</v>
      </c>
      <c r="B117" s="34" t="s">
        <v>673</v>
      </c>
      <c r="C117" s="110">
        <v>99.98</v>
      </c>
      <c r="D117" s="25"/>
    </row>
    <row r="118" spans="1:7" ht="13.5" customHeight="1" x14ac:dyDescent="0.2">
      <c r="A118" s="126" t="s">
        <v>243</v>
      </c>
      <c r="B118" s="21" t="s">
        <v>113</v>
      </c>
      <c r="C118" s="110">
        <v>267</v>
      </c>
      <c r="D118" s="25"/>
    </row>
    <row r="119" spans="1:7" ht="13.5" customHeight="1" x14ac:dyDescent="0.2">
      <c r="A119" s="126" t="s">
        <v>243</v>
      </c>
      <c r="B119" s="34" t="s">
        <v>2110</v>
      </c>
      <c r="C119" s="267">
        <v>100</v>
      </c>
      <c r="D119" s="25"/>
    </row>
    <row r="120" spans="1:7" ht="13.5" customHeight="1" x14ac:dyDescent="0.2">
      <c r="A120" s="126" t="s">
        <v>243</v>
      </c>
      <c r="B120" s="34" t="s">
        <v>2031</v>
      </c>
      <c r="C120" s="24">
        <v>7.48</v>
      </c>
      <c r="D120" s="25"/>
      <c r="G120" s="529"/>
    </row>
    <row r="121" spans="1:7" ht="13.5" customHeight="1" x14ac:dyDescent="0.2">
      <c r="A121" s="126" t="s">
        <v>243</v>
      </c>
      <c r="B121" s="34" t="s">
        <v>2029</v>
      </c>
      <c r="C121" s="24">
        <v>35</v>
      </c>
      <c r="D121" s="25"/>
    </row>
    <row r="122" spans="1:7" ht="13.5" customHeight="1" x14ac:dyDescent="0.2">
      <c r="A122" s="126" t="s">
        <v>243</v>
      </c>
      <c r="B122" s="36" t="s">
        <v>2002</v>
      </c>
      <c r="C122" s="24">
        <v>21.98</v>
      </c>
      <c r="D122" s="25"/>
    </row>
    <row r="123" spans="1:7" ht="13.5" customHeight="1" x14ac:dyDescent="0.2">
      <c r="A123" s="126" t="s">
        <v>243</v>
      </c>
      <c r="B123" s="34" t="s">
        <v>2081</v>
      </c>
      <c r="C123" s="267">
        <v>26.81</v>
      </c>
      <c r="D123" s="25"/>
    </row>
    <row r="124" spans="1:7" ht="13.5" customHeight="1" x14ac:dyDescent="0.2">
      <c r="A124" s="126" t="s">
        <v>243</v>
      </c>
      <c r="B124" s="34" t="s">
        <v>2042</v>
      </c>
      <c r="C124" s="24">
        <v>16.11</v>
      </c>
      <c r="D124" s="25"/>
    </row>
    <row r="125" spans="1:7" ht="13.5" customHeight="1" x14ac:dyDescent="0.2">
      <c r="A125" s="126" t="s">
        <v>243</v>
      </c>
      <c r="B125" s="34" t="s">
        <v>2030</v>
      </c>
      <c r="C125" s="24">
        <v>12.3</v>
      </c>
      <c r="D125" s="25"/>
    </row>
    <row r="126" spans="1:7" ht="13.5" customHeight="1" x14ac:dyDescent="0.2">
      <c r="A126" s="126" t="s">
        <v>243</v>
      </c>
      <c r="B126" s="36" t="s">
        <v>2046</v>
      </c>
      <c r="C126" s="24">
        <v>6.91</v>
      </c>
      <c r="D126" s="25"/>
      <c r="G126" s="529"/>
    </row>
    <row r="127" spans="1:7" ht="13.5" customHeight="1" x14ac:dyDescent="0.2">
      <c r="A127" s="126" t="s">
        <v>243</v>
      </c>
      <c r="B127" s="36" t="s">
        <v>2050</v>
      </c>
      <c r="C127" s="24">
        <v>100</v>
      </c>
      <c r="D127" s="25"/>
      <c r="G127" s="529"/>
    </row>
    <row r="128" spans="1:7" ht="13.5" customHeight="1" x14ac:dyDescent="0.2">
      <c r="A128" s="126" t="s">
        <v>243</v>
      </c>
      <c r="B128" s="36" t="s">
        <v>1834</v>
      </c>
      <c r="C128" s="267">
        <v>18</v>
      </c>
      <c r="D128" s="25"/>
      <c r="G128" s="529"/>
    </row>
    <row r="129" spans="1:7" ht="13.5" customHeight="1" x14ac:dyDescent="0.2">
      <c r="A129" s="126" t="s">
        <v>243</v>
      </c>
      <c r="B129" s="36" t="s">
        <v>1834</v>
      </c>
      <c r="C129" s="24">
        <v>22.8</v>
      </c>
      <c r="D129" s="25"/>
      <c r="G129" s="529"/>
    </row>
    <row r="130" spans="1:7" ht="13.5" customHeight="1" x14ac:dyDescent="0.2">
      <c r="A130" s="126" t="s">
        <v>243</v>
      </c>
      <c r="B130" s="36" t="s">
        <v>1834</v>
      </c>
      <c r="C130" s="24">
        <v>23.4</v>
      </c>
      <c r="D130" s="25"/>
    </row>
    <row r="131" spans="1:7" ht="13.5" customHeight="1" x14ac:dyDescent="0.2">
      <c r="A131" s="126" t="s">
        <v>243</v>
      </c>
      <c r="B131" s="34" t="s">
        <v>1834</v>
      </c>
      <c r="C131" s="24">
        <v>39.6</v>
      </c>
      <c r="D131" s="25"/>
    </row>
    <row r="132" spans="1:7" ht="13.5" customHeight="1" x14ac:dyDescent="0.2">
      <c r="A132" s="126" t="s">
        <v>243</v>
      </c>
      <c r="B132" s="34" t="s">
        <v>1666</v>
      </c>
      <c r="C132" s="267">
        <v>56.08</v>
      </c>
      <c r="D132" s="25"/>
    </row>
    <row r="133" spans="1:7" ht="13.5" customHeight="1" x14ac:dyDescent="0.2">
      <c r="A133" s="126"/>
      <c r="B133" s="34"/>
      <c r="C133" s="661">
        <f>SUM(C104:C132)</f>
        <v>7054.7999999999984</v>
      </c>
      <c r="D133" s="25">
        <f>SUM(C133/2)</f>
        <v>3527.3999999999992</v>
      </c>
    </row>
    <row r="134" spans="1:7" ht="13.5" customHeight="1" x14ac:dyDescent="0.2">
      <c r="A134" s="126"/>
      <c r="B134" s="34"/>
      <c r="C134" s="267"/>
      <c r="D134" s="25"/>
    </row>
    <row r="135" spans="1:7" ht="13.5" customHeight="1" x14ac:dyDescent="0.2">
      <c r="A135" s="40" t="s">
        <v>230</v>
      </c>
      <c r="B135" s="138" t="s">
        <v>177</v>
      </c>
      <c r="C135" s="110">
        <v>229.6</v>
      </c>
      <c r="D135" s="25">
        <f>SUM(C137*D144)</f>
        <v>46.434435377150415</v>
      </c>
      <c r="E135" s="1" t="s">
        <v>1793</v>
      </c>
    </row>
    <row r="136" spans="1:7" ht="13.5" customHeight="1" x14ac:dyDescent="0.2">
      <c r="A136" s="40" t="s">
        <v>230</v>
      </c>
      <c r="B136" s="138" t="s">
        <v>2137</v>
      </c>
      <c r="C136" s="110">
        <v>92.81</v>
      </c>
      <c r="D136" s="25">
        <f>SUM(C137-D135)</f>
        <v>275.97556462284956</v>
      </c>
      <c r="E136" s="1" t="s">
        <v>3540</v>
      </c>
    </row>
    <row r="137" spans="1:7" ht="13.5" customHeight="1" x14ac:dyDescent="0.2">
      <c r="A137" s="40"/>
      <c r="B137" s="138"/>
      <c r="C137" s="662">
        <f>SUM(C135:C136)</f>
        <v>322.40999999999997</v>
      </c>
      <c r="D137" s="25"/>
    </row>
    <row r="138" spans="1:7" ht="13.5" customHeight="1" x14ac:dyDescent="0.2">
      <c r="A138" s="40"/>
      <c r="B138" s="138"/>
      <c r="C138" s="110"/>
      <c r="D138" s="25"/>
    </row>
    <row r="139" spans="1:7" ht="13.5" customHeight="1" x14ac:dyDescent="0.2">
      <c r="A139" s="40" t="s">
        <v>231</v>
      </c>
      <c r="B139" s="138" t="s">
        <v>198</v>
      </c>
      <c r="C139" s="662">
        <v>1260.71</v>
      </c>
      <c r="D139" s="25">
        <f>SUM(C139*D144)</f>
        <v>181.57115791795323</v>
      </c>
      <c r="E139" s="1" t="s">
        <v>1793</v>
      </c>
    </row>
    <row r="140" spans="1:7" ht="13.5" customHeight="1" x14ac:dyDescent="0.2">
      <c r="A140" s="40"/>
      <c r="B140" s="138"/>
      <c r="C140" s="110"/>
      <c r="D140" s="25">
        <f>SUM(C139-D139)</f>
        <v>1079.1388420820467</v>
      </c>
      <c r="E140" t="s">
        <v>1794</v>
      </c>
    </row>
    <row r="141" spans="1:7" ht="13.5" customHeight="1" x14ac:dyDescent="0.2">
      <c r="A141" s="40" t="s">
        <v>417</v>
      </c>
      <c r="B141" s="138" t="s">
        <v>624</v>
      </c>
      <c r="C141" s="662">
        <f t="array" ref="C141">SUM(H145:H146/2)</f>
        <v>731.3599999999999</v>
      </c>
      <c r="D141" s="25"/>
    </row>
    <row r="142" spans="1:7" ht="13.5" customHeight="1" x14ac:dyDescent="0.2">
      <c r="A142" s="40"/>
      <c r="B142" s="138"/>
      <c r="C142" s="110"/>
      <c r="D142" s="25"/>
    </row>
    <row r="143" spans="1:7" ht="13.5" customHeight="1" x14ac:dyDescent="0.2">
      <c r="A143" s="40"/>
      <c r="B143" s="138"/>
      <c r="C143" s="110"/>
      <c r="D143" s="25"/>
      <c r="G143" s="529"/>
    </row>
    <row r="144" spans="1:7" ht="13.5" customHeight="1" x14ac:dyDescent="0.2">
      <c r="A144" s="126" t="s">
        <v>417</v>
      </c>
      <c r="B144" s="138" t="s">
        <v>2134</v>
      </c>
      <c r="C144" s="110">
        <v>793.85</v>
      </c>
      <c r="D144" s="441">
        <f>SUM(C141/(C141+C159))</f>
        <v>0.14402293780326422</v>
      </c>
    </row>
    <row r="145" spans="1:8" ht="13.5" customHeight="1" x14ac:dyDescent="0.2">
      <c r="A145" s="126" t="s">
        <v>417</v>
      </c>
      <c r="B145" s="138" t="s">
        <v>2132</v>
      </c>
      <c r="C145" s="110">
        <v>421.52</v>
      </c>
      <c r="D145" s="25"/>
      <c r="F145" s="663" t="s">
        <v>417</v>
      </c>
      <c r="G145" s="32" t="s">
        <v>173</v>
      </c>
      <c r="H145" s="61">
        <v>854.04</v>
      </c>
    </row>
    <row r="146" spans="1:8" ht="13.5" customHeight="1" x14ac:dyDescent="0.2">
      <c r="A146" s="126" t="s">
        <v>417</v>
      </c>
      <c r="B146" s="34" t="s">
        <v>2096</v>
      </c>
      <c r="C146" s="267">
        <v>4.5</v>
      </c>
      <c r="D146" s="25"/>
      <c r="F146" s="663" t="s">
        <v>417</v>
      </c>
      <c r="G146" s="32" t="s">
        <v>172</v>
      </c>
      <c r="H146" s="61">
        <v>608.67999999999995</v>
      </c>
    </row>
    <row r="147" spans="1:8" ht="13.5" customHeight="1" x14ac:dyDescent="0.2">
      <c r="A147" s="126" t="s">
        <v>417</v>
      </c>
      <c r="B147" s="34" t="s">
        <v>2001</v>
      </c>
      <c r="C147" s="24">
        <v>8.98</v>
      </c>
      <c r="D147" s="25"/>
    </row>
    <row r="148" spans="1:8" ht="13.5" customHeight="1" x14ac:dyDescent="0.2">
      <c r="A148" s="126" t="s">
        <v>417</v>
      </c>
      <c r="B148" s="34" t="s">
        <v>2095</v>
      </c>
      <c r="C148" s="267">
        <v>35.549999999999997</v>
      </c>
      <c r="D148" s="25"/>
    </row>
    <row r="149" spans="1:8" ht="13.5" customHeight="1" x14ac:dyDescent="0.2">
      <c r="A149" s="126" t="s">
        <v>417</v>
      </c>
      <c r="B149" s="34" t="s">
        <v>1978</v>
      </c>
      <c r="C149" s="24">
        <v>15.96</v>
      </c>
      <c r="D149" s="25"/>
    </row>
    <row r="150" spans="1:8" ht="13.5" customHeight="1" x14ac:dyDescent="0.2">
      <c r="A150" s="126" t="s">
        <v>417</v>
      </c>
      <c r="B150" s="34" t="s">
        <v>2103</v>
      </c>
      <c r="C150" s="267">
        <v>70</v>
      </c>
      <c r="D150" s="25"/>
    </row>
    <row r="151" spans="1:8" ht="13.5" customHeight="1" x14ac:dyDescent="0.2">
      <c r="A151" s="126" t="s">
        <v>417</v>
      </c>
      <c r="B151" s="34" t="s">
        <v>2073</v>
      </c>
      <c r="C151" s="267">
        <v>130</v>
      </c>
      <c r="D151" s="25"/>
    </row>
    <row r="152" spans="1:8" ht="13.5" customHeight="1" x14ac:dyDescent="0.2">
      <c r="A152" s="126" t="s">
        <v>417</v>
      </c>
      <c r="B152" s="34" t="s">
        <v>2101</v>
      </c>
      <c r="C152" s="267">
        <v>200</v>
      </c>
      <c r="D152" s="25"/>
    </row>
    <row r="153" spans="1:8" ht="13.5" customHeight="1" x14ac:dyDescent="0.2">
      <c r="A153" s="126" t="s">
        <v>417</v>
      </c>
      <c r="B153" s="34" t="s">
        <v>2091</v>
      </c>
      <c r="C153" s="267">
        <v>450</v>
      </c>
      <c r="D153" s="25"/>
    </row>
    <row r="154" spans="1:8" ht="13.5" customHeight="1" x14ac:dyDescent="0.2">
      <c r="A154" s="126" t="s">
        <v>417</v>
      </c>
      <c r="B154" s="34" t="s">
        <v>1995</v>
      </c>
      <c r="C154" s="24">
        <v>360</v>
      </c>
      <c r="D154" s="25"/>
      <c r="G154" s="529"/>
    </row>
    <row r="155" spans="1:8" ht="13.5" customHeight="1" x14ac:dyDescent="0.2">
      <c r="A155" s="126" t="s">
        <v>417</v>
      </c>
      <c r="B155" s="34" t="s">
        <v>1980</v>
      </c>
      <c r="C155" s="24">
        <v>360</v>
      </c>
      <c r="D155" s="25"/>
      <c r="G155" s="529"/>
    </row>
    <row r="156" spans="1:8" ht="13.5" customHeight="1" x14ac:dyDescent="0.2">
      <c r="A156" s="126" t="s">
        <v>417</v>
      </c>
      <c r="B156" s="34" t="s">
        <v>2109</v>
      </c>
      <c r="C156" s="267">
        <v>450</v>
      </c>
      <c r="D156" s="25"/>
    </row>
    <row r="157" spans="1:8" ht="13.5" customHeight="1" x14ac:dyDescent="0.2">
      <c r="A157" s="126" t="s">
        <v>417</v>
      </c>
      <c r="B157" s="34" t="s">
        <v>2049</v>
      </c>
      <c r="C157" s="24">
        <v>315</v>
      </c>
      <c r="D157" s="25"/>
    </row>
    <row r="158" spans="1:8" ht="13.5" customHeight="1" x14ac:dyDescent="0.2">
      <c r="A158" s="126" t="s">
        <v>417</v>
      </c>
      <c r="B158" s="34" t="s">
        <v>625</v>
      </c>
      <c r="C158" s="267">
        <f>C141</f>
        <v>731.3599999999999</v>
      </c>
      <c r="D158" s="25"/>
    </row>
    <row r="159" spans="1:8" ht="13.5" customHeight="1" x14ac:dyDescent="0.2">
      <c r="A159" s="126"/>
      <c r="B159" s="34"/>
      <c r="C159" s="661">
        <f>SUM(C144:C158)</f>
        <v>4346.7199999999993</v>
      </c>
      <c r="D159" s="25"/>
    </row>
    <row r="160" spans="1:8" ht="13.5" customHeight="1" x14ac:dyDescent="0.2">
      <c r="A160" s="126"/>
      <c r="B160" s="34"/>
      <c r="C160" s="24"/>
      <c r="D160" s="25"/>
    </row>
    <row r="161" spans="1:9" ht="13.5" customHeight="1" x14ac:dyDescent="0.2">
      <c r="A161" s="126" t="s">
        <v>245</v>
      </c>
      <c r="B161" s="34" t="s">
        <v>2043</v>
      </c>
      <c r="C161" s="24">
        <v>6</v>
      </c>
      <c r="D161" s="25"/>
    </row>
    <row r="162" spans="1:9" ht="13.5" customHeight="1" x14ac:dyDescent="0.2">
      <c r="A162" s="126" t="s">
        <v>245</v>
      </c>
      <c r="B162" s="34" t="s">
        <v>2007</v>
      </c>
      <c r="C162" s="24">
        <v>600</v>
      </c>
      <c r="D162" s="25"/>
    </row>
    <row r="163" spans="1:9" ht="13.5" customHeight="1" x14ac:dyDescent="0.2">
      <c r="A163" s="126" t="s">
        <v>245</v>
      </c>
      <c r="B163" s="34" t="s">
        <v>2080</v>
      </c>
      <c r="C163" s="267">
        <v>2</v>
      </c>
      <c r="D163" s="25"/>
      <c r="G163" s="529"/>
      <c r="H163" s="64"/>
      <c r="I163" s="64"/>
    </row>
    <row r="164" spans="1:9" ht="13.5" customHeight="1" x14ac:dyDescent="0.2">
      <c r="A164" s="126" t="s">
        <v>245</v>
      </c>
      <c r="B164" s="34" t="s">
        <v>2048</v>
      </c>
      <c r="C164" s="24">
        <v>31.97</v>
      </c>
      <c r="D164" s="25"/>
    </row>
    <row r="165" spans="1:9" ht="13.5" customHeight="1" x14ac:dyDescent="0.2">
      <c r="A165" s="126" t="s">
        <v>245</v>
      </c>
      <c r="B165" s="34" t="s">
        <v>2044</v>
      </c>
      <c r="C165" s="24">
        <v>9.99</v>
      </c>
      <c r="D165" s="25"/>
    </row>
    <row r="166" spans="1:9" ht="13.5" customHeight="1" x14ac:dyDescent="0.2">
      <c r="A166" s="126" t="s">
        <v>245</v>
      </c>
      <c r="B166" s="34" t="s">
        <v>2040</v>
      </c>
      <c r="C166" s="24">
        <v>15</v>
      </c>
      <c r="D166" s="25"/>
      <c r="H166" s="40"/>
      <c r="I166" s="40"/>
    </row>
    <row r="167" spans="1:9" ht="13.5" customHeight="1" x14ac:dyDescent="0.2">
      <c r="A167" s="126" t="s">
        <v>245</v>
      </c>
      <c r="B167" s="34" t="s">
        <v>2098</v>
      </c>
      <c r="C167" s="267">
        <v>22.5</v>
      </c>
      <c r="D167" s="25"/>
      <c r="G167" s="529"/>
    </row>
    <row r="168" spans="1:9" ht="13.5" customHeight="1" x14ac:dyDescent="0.2">
      <c r="A168" s="126" t="s">
        <v>245</v>
      </c>
      <c r="B168" s="34" t="s">
        <v>2041</v>
      </c>
      <c r="C168" s="24">
        <v>8</v>
      </c>
      <c r="D168" s="25"/>
      <c r="G168" s="529"/>
    </row>
    <row r="169" spans="1:9" ht="13.5" customHeight="1" x14ac:dyDescent="0.2">
      <c r="A169" s="126" t="s">
        <v>245</v>
      </c>
      <c r="B169" s="34" t="s">
        <v>2045</v>
      </c>
      <c r="C169" s="24">
        <v>17.2</v>
      </c>
      <c r="D169" s="25"/>
    </row>
    <row r="170" spans="1:9" ht="13.5" customHeight="1" x14ac:dyDescent="0.2">
      <c r="A170" s="126" t="s">
        <v>245</v>
      </c>
      <c r="B170" s="34" t="s">
        <v>2047</v>
      </c>
      <c r="C170" s="24">
        <v>7.1</v>
      </c>
      <c r="D170" s="25"/>
    </row>
    <row r="171" spans="1:9" ht="13.5" customHeight="1" x14ac:dyDescent="0.2">
      <c r="A171" s="126" t="s">
        <v>245</v>
      </c>
      <c r="B171" s="34" t="s">
        <v>1997</v>
      </c>
      <c r="C171" s="24">
        <v>10</v>
      </c>
      <c r="D171" s="25"/>
    </row>
    <row r="172" spans="1:9" ht="13.5" customHeight="1" x14ac:dyDescent="0.2">
      <c r="A172" s="126" t="s">
        <v>245</v>
      </c>
      <c r="B172" s="34" t="s">
        <v>1998</v>
      </c>
      <c r="C172" s="24">
        <v>4.4000000000000004</v>
      </c>
      <c r="D172" s="25"/>
    </row>
    <row r="173" spans="1:9" ht="13.5" customHeight="1" x14ac:dyDescent="0.2">
      <c r="A173" s="126" t="s">
        <v>245</v>
      </c>
      <c r="B173" s="138" t="s">
        <v>2116</v>
      </c>
      <c r="C173" s="110">
        <v>373.86</v>
      </c>
      <c r="D173" s="25"/>
    </row>
    <row r="174" spans="1:9" ht="13.5" customHeight="1" x14ac:dyDescent="0.2">
      <c r="A174" s="126" t="s">
        <v>245</v>
      </c>
      <c r="B174" s="34" t="s">
        <v>2155</v>
      </c>
      <c r="C174" s="113">
        <v>18</v>
      </c>
      <c r="D174" s="25"/>
      <c r="F174" s="126" t="s">
        <v>245</v>
      </c>
      <c r="G174" s="34" t="s">
        <v>2006</v>
      </c>
      <c r="H174" s="24">
        <v>36.71</v>
      </c>
    </row>
    <row r="175" spans="1:9" ht="13.5" customHeight="1" x14ac:dyDescent="0.2">
      <c r="A175" s="126" t="s">
        <v>245</v>
      </c>
      <c r="B175" s="34" t="s">
        <v>624</v>
      </c>
      <c r="C175" s="113">
        <f t="array" ref="C175">SUM(H174:H176/2)</f>
        <v>259.13</v>
      </c>
      <c r="D175" s="25"/>
      <c r="F175" s="126" t="s">
        <v>245</v>
      </c>
      <c r="G175" s="138" t="s">
        <v>2120</v>
      </c>
      <c r="H175" s="657">
        <v>196.25</v>
      </c>
    </row>
    <row r="176" spans="1:9" ht="13.5" customHeight="1" x14ac:dyDescent="0.2">
      <c r="A176" s="126"/>
      <c r="B176" s="34"/>
      <c r="C176" s="662">
        <f>SUM(C161:C175)</f>
        <v>1385.15</v>
      </c>
      <c r="D176" s="25"/>
      <c r="F176" s="126" t="s">
        <v>245</v>
      </c>
      <c r="G176" s="32" t="s">
        <v>2151</v>
      </c>
      <c r="H176" s="59">
        <v>285.3</v>
      </c>
    </row>
    <row r="177" spans="1:7" ht="13.5" customHeight="1" x14ac:dyDescent="0.2">
      <c r="A177" s="126"/>
      <c r="B177" s="34"/>
      <c r="C177" s="113"/>
      <c r="D177" s="25"/>
    </row>
    <row r="178" spans="1:7" ht="13.5" customHeight="1" x14ac:dyDescent="0.2">
      <c r="A178" s="126" t="s">
        <v>245</v>
      </c>
      <c r="B178" s="36" t="s">
        <v>2082</v>
      </c>
      <c r="C178" s="549">
        <v>11.8</v>
      </c>
      <c r="D178" s="60"/>
    </row>
    <row r="179" spans="1:7" ht="13.5" customHeight="1" x14ac:dyDescent="0.2">
      <c r="A179" s="126" t="s">
        <v>245</v>
      </c>
      <c r="B179" s="36" t="s">
        <v>2097</v>
      </c>
      <c r="C179" s="549">
        <v>33</v>
      </c>
      <c r="D179" s="60"/>
    </row>
    <row r="180" spans="1:7" ht="13.5" customHeight="1" x14ac:dyDescent="0.2">
      <c r="A180" s="126" t="s">
        <v>245</v>
      </c>
      <c r="B180" s="36" t="s">
        <v>1912</v>
      </c>
      <c r="C180" s="549">
        <v>2.95</v>
      </c>
      <c r="D180" s="60"/>
    </row>
    <row r="181" spans="1:7" ht="13.5" customHeight="1" x14ac:dyDescent="0.2">
      <c r="A181" s="126" t="s">
        <v>245</v>
      </c>
      <c r="B181" s="36" t="s">
        <v>2085</v>
      </c>
      <c r="C181" s="549">
        <v>5</v>
      </c>
      <c r="D181" s="60"/>
    </row>
    <row r="182" spans="1:7" ht="13.5" customHeight="1" x14ac:dyDescent="0.2">
      <c r="A182" s="126" t="s">
        <v>245</v>
      </c>
      <c r="B182" s="36" t="s">
        <v>2086</v>
      </c>
      <c r="C182" s="549">
        <v>30.78</v>
      </c>
      <c r="D182" s="60"/>
    </row>
    <row r="183" spans="1:7" ht="13.5" customHeight="1" x14ac:dyDescent="0.2">
      <c r="A183" s="126" t="s">
        <v>245</v>
      </c>
      <c r="B183" s="36" t="s">
        <v>2084</v>
      </c>
      <c r="C183" s="549">
        <v>13.75</v>
      </c>
      <c r="D183" s="60"/>
    </row>
    <row r="184" spans="1:7" ht="13.5" customHeight="1" x14ac:dyDescent="0.2">
      <c r="A184" s="126" t="s">
        <v>245</v>
      </c>
      <c r="B184" s="36" t="s">
        <v>1996</v>
      </c>
      <c r="C184" s="119">
        <v>30</v>
      </c>
      <c r="D184" s="60"/>
    </row>
    <row r="185" spans="1:7" ht="13.5" customHeight="1" x14ac:dyDescent="0.2">
      <c r="A185" s="126" t="s">
        <v>245</v>
      </c>
      <c r="B185" s="36" t="s">
        <v>1999</v>
      </c>
      <c r="C185" s="119">
        <v>3.25</v>
      </c>
      <c r="D185" s="60"/>
    </row>
    <row r="186" spans="1:7" ht="13.5" customHeight="1" x14ac:dyDescent="0.2">
      <c r="A186" s="126" t="s">
        <v>245</v>
      </c>
      <c r="B186" s="36" t="s">
        <v>2061</v>
      </c>
      <c r="C186" s="119">
        <v>9</v>
      </c>
      <c r="D186" s="60"/>
      <c r="G186" s="529"/>
    </row>
    <row r="187" spans="1:7" ht="13.5" customHeight="1" x14ac:dyDescent="0.2">
      <c r="A187" s="126" t="s">
        <v>245</v>
      </c>
      <c r="B187" s="36" t="s">
        <v>2000</v>
      </c>
      <c r="C187" s="119">
        <v>15</v>
      </c>
      <c r="D187" s="60"/>
    </row>
    <row r="188" spans="1:7" ht="13.5" customHeight="1" x14ac:dyDescent="0.2">
      <c r="A188" s="126" t="s">
        <v>245</v>
      </c>
      <c r="B188" s="36" t="s">
        <v>1824</v>
      </c>
      <c r="C188" s="549">
        <v>11</v>
      </c>
      <c r="D188" s="60"/>
      <c r="G188" s="529"/>
    </row>
    <row r="189" spans="1:7" ht="13.5" customHeight="1" x14ac:dyDescent="0.2">
      <c r="A189" s="126" t="s">
        <v>245</v>
      </c>
      <c r="B189" s="36" t="s">
        <v>2038</v>
      </c>
      <c r="C189" s="119">
        <v>50</v>
      </c>
      <c r="D189" s="60"/>
      <c r="G189" s="529"/>
    </row>
    <row r="190" spans="1:7" ht="13.5" customHeight="1" x14ac:dyDescent="0.2">
      <c r="A190" s="126" t="s">
        <v>245</v>
      </c>
      <c r="B190" s="36" t="s">
        <v>2039</v>
      </c>
      <c r="C190" s="119">
        <v>19</v>
      </c>
      <c r="D190" s="60"/>
    </row>
    <row r="191" spans="1:7" ht="13.5" customHeight="1" x14ac:dyDescent="0.2">
      <c r="A191" s="126" t="s">
        <v>245</v>
      </c>
      <c r="B191" s="36" t="s">
        <v>2100</v>
      </c>
      <c r="C191" s="549">
        <v>39</v>
      </c>
      <c r="D191" s="60"/>
      <c r="G191" s="529"/>
    </row>
    <row r="192" spans="1:7" ht="13.5" customHeight="1" x14ac:dyDescent="0.2">
      <c r="A192" s="126" t="s">
        <v>245</v>
      </c>
      <c r="B192" s="36" t="s">
        <v>2099</v>
      </c>
      <c r="C192" s="549">
        <v>47</v>
      </c>
      <c r="D192" s="60"/>
    </row>
    <row r="193" spans="1:7" ht="13.5" customHeight="1" x14ac:dyDescent="0.2">
      <c r="A193" s="126" t="s">
        <v>245</v>
      </c>
      <c r="B193" s="32" t="s">
        <v>2126</v>
      </c>
      <c r="C193" s="59">
        <v>175.4</v>
      </c>
      <c r="D193" s="60"/>
      <c r="F193"/>
      <c r="G193" s="529"/>
    </row>
    <row r="194" spans="1:7" ht="13.5" customHeight="1" x14ac:dyDescent="0.2">
      <c r="A194" s="126" t="s">
        <v>245</v>
      </c>
      <c r="B194" s="32" t="s">
        <v>2112</v>
      </c>
      <c r="C194" s="59">
        <v>83.3</v>
      </c>
      <c r="D194" s="60"/>
      <c r="F194"/>
      <c r="G194" s="529"/>
    </row>
    <row r="195" spans="1:7" ht="13.5" customHeight="1" x14ac:dyDescent="0.2">
      <c r="A195" s="126" t="s">
        <v>245</v>
      </c>
      <c r="B195" s="36" t="s">
        <v>2074</v>
      </c>
      <c r="C195" s="549">
        <v>70</v>
      </c>
      <c r="D195" s="60"/>
    </row>
    <row r="196" spans="1:7" ht="13.5" customHeight="1" x14ac:dyDescent="0.2">
      <c r="A196" s="126" t="s">
        <v>245</v>
      </c>
      <c r="B196" s="32" t="s">
        <v>2117</v>
      </c>
      <c r="C196" s="59">
        <v>231</v>
      </c>
      <c r="D196" s="60"/>
    </row>
    <row r="197" spans="1:7" ht="13.5" customHeight="1" x14ac:dyDescent="0.2">
      <c r="A197" s="126" t="s">
        <v>245</v>
      </c>
      <c r="B197" s="32" t="s">
        <v>625</v>
      </c>
      <c r="C197" s="59">
        <f>C175</f>
        <v>259.13</v>
      </c>
      <c r="D197" s="60"/>
    </row>
    <row r="198" spans="1:7" ht="13.5" customHeight="1" x14ac:dyDescent="0.2">
      <c r="A198" s="126"/>
      <c r="B198" s="32"/>
      <c r="C198" s="664">
        <f>SUM(C178:C197)</f>
        <v>1139.3599999999999</v>
      </c>
      <c r="D198" s="60"/>
    </row>
    <row r="199" spans="1:7" ht="13.5" customHeight="1" x14ac:dyDescent="0.2">
      <c r="A199" s="126"/>
      <c r="B199" s="32"/>
      <c r="C199" s="59"/>
      <c r="D199" s="60"/>
    </row>
    <row r="200" spans="1:7" ht="13.5" customHeight="1" x14ac:dyDescent="0.2">
      <c r="A200" s="126" t="s">
        <v>246</v>
      </c>
      <c r="B200" s="32" t="s">
        <v>195</v>
      </c>
      <c r="C200" s="59">
        <v>390.19</v>
      </c>
      <c r="D200" s="60"/>
    </row>
    <row r="201" spans="1:7" ht="13.5" customHeight="1" x14ac:dyDescent="0.2">
      <c r="A201" s="126" t="s">
        <v>246</v>
      </c>
      <c r="B201" s="32" t="s">
        <v>194</v>
      </c>
      <c r="C201" s="59">
        <v>84.54</v>
      </c>
      <c r="D201" s="60"/>
    </row>
    <row r="202" spans="1:7" ht="13.5" customHeight="1" x14ac:dyDescent="0.2">
      <c r="A202" s="126"/>
      <c r="B202" s="32"/>
      <c r="C202" s="664">
        <f>SUM(C200:C201)</f>
        <v>474.73</v>
      </c>
      <c r="D202" s="60"/>
    </row>
    <row r="203" spans="1:7" ht="13.5" customHeight="1" x14ac:dyDescent="0.2">
      <c r="A203" s="126"/>
      <c r="B203" s="32"/>
      <c r="C203" s="59"/>
      <c r="D203" s="60"/>
    </row>
    <row r="204" spans="1:7" ht="13.5" customHeight="1" x14ac:dyDescent="0.2">
      <c r="A204" s="126" t="s">
        <v>248</v>
      </c>
      <c r="B204" s="36" t="s">
        <v>132</v>
      </c>
      <c r="C204" s="59">
        <v>916.85</v>
      </c>
      <c r="D204" s="60"/>
      <c r="G204" s="529"/>
    </row>
    <row r="205" spans="1:7" ht="13.5" customHeight="1" x14ac:dyDescent="0.2">
      <c r="A205" s="126" t="s">
        <v>248</v>
      </c>
      <c r="B205" s="36" t="s">
        <v>130</v>
      </c>
      <c r="C205" s="59">
        <v>367.33</v>
      </c>
      <c r="D205" s="60"/>
    </row>
    <row r="206" spans="1:7" ht="13.5" customHeight="1" x14ac:dyDescent="0.2">
      <c r="A206" s="126" t="s">
        <v>248</v>
      </c>
      <c r="B206" s="36" t="s">
        <v>53</v>
      </c>
      <c r="C206" s="59">
        <v>532.21</v>
      </c>
      <c r="D206" s="60"/>
    </row>
    <row r="207" spans="1:7" ht="13.5" customHeight="1" x14ac:dyDescent="0.2">
      <c r="A207" s="126" t="s">
        <v>248</v>
      </c>
      <c r="B207" s="36" t="s">
        <v>55</v>
      </c>
      <c r="C207" s="59">
        <v>400</v>
      </c>
      <c r="D207" s="60"/>
    </row>
    <row r="208" spans="1:7" ht="13.5" customHeight="1" x14ac:dyDescent="0.2">
      <c r="A208" s="126" t="s">
        <v>248</v>
      </c>
      <c r="B208" s="36" t="s">
        <v>2034</v>
      </c>
      <c r="C208" s="59">
        <v>110</v>
      </c>
      <c r="D208" s="60"/>
    </row>
    <row r="209" spans="1:9" ht="13.5" customHeight="1" x14ac:dyDescent="0.2">
      <c r="A209" s="126" t="s">
        <v>248</v>
      </c>
      <c r="B209" s="36" t="s">
        <v>136</v>
      </c>
      <c r="C209" s="59">
        <v>45.9</v>
      </c>
      <c r="D209" s="60"/>
    </row>
    <row r="210" spans="1:9" ht="13.5" customHeight="1" x14ac:dyDescent="0.2">
      <c r="A210" s="126" t="s">
        <v>248</v>
      </c>
      <c r="B210" s="36" t="s">
        <v>1985</v>
      </c>
      <c r="C210" s="59">
        <v>450</v>
      </c>
      <c r="D210" s="60"/>
    </row>
    <row r="211" spans="1:9" ht="13.5" customHeight="1" x14ac:dyDescent="0.2">
      <c r="A211" s="126" t="s">
        <v>248</v>
      </c>
      <c r="B211" s="36" t="s">
        <v>2093</v>
      </c>
      <c r="C211" s="59">
        <v>44.16</v>
      </c>
      <c r="D211" s="60"/>
    </row>
    <row r="212" spans="1:9" ht="13.5" customHeight="1" x14ac:dyDescent="0.2">
      <c r="A212" s="126" t="s">
        <v>248</v>
      </c>
      <c r="B212" s="36" t="s">
        <v>82</v>
      </c>
      <c r="C212" s="59">
        <v>934.04</v>
      </c>
      <c r="D212" s="60"/>
      <c r="H212" s="40"/>
    </row>
    <row r="213" spans="1:9" ht="13.5" customHeight="1" x14ac:dyDescent="0.2">
      <c r="A213" s="126" t="s">
        <v>248</v>
      </c>
      <c r="B213" s="36" t="s">
        <v>18</v>
      </c>
      <c r="C213" s="59">
        <v>353.97</v>
      </c>
      <c r="D213" s="60"/>
      <c r="H213" s="40"/>
    </row>
    <row r="214" spans="1:9" ht="13.5" customHeight="1" x14ac:dyDescent="0.2">
      <c r="A214" s="126" t="s">
        <v>248</v>
      </c>
      <c r="B214" s="36" t="s">
        <v>114</v>
      </c>
      <c r="C214" s="59">
        <v>222.23</v>
      </c>
      <c r="D214" s="60"/>
      <c r="H214" s="40"/>
    </row>
    <row r="215" spans="1:9" ht="13.5" customHeight="1" x14ac:dyDescent="0.2">
      <c r="A215" s="126" t="s">
        <v>248</v>
      </c>
      <c r="B215" s="36" t="s">
        <v>2028</v>
      </c>
      <c r="C215" s="59">
        <v>7.16</v>
      </c>
      <c r="D215" s="60"/>
      <c r="H215" s="40"/>
      <c r="I215" s="40"/>
    </row>
    <row r="216" spans="1:9" ht="13.5" customHeight="1" x14ac:dyDescent="0.2">
      <c r="A216" s="126" t="s">
        <v>248</v>
      </c>
      <c r="B216" s="36" t="s">
        <v>2027</v>
      </c>
      <c r="C216" s="59">
        <v>323.33999999999997</v>
      </c>
      <c r="D216" s="60"/>
      <c r="I216" s="40"/>
    </row>
    <row r="217" spans="1:9" s="40" customFormat="1" ht="13.5" customHeight="1" x14ac:dyDescent="0.2">
      <c r="A217" s="126" t="s">
        <v>248</v>
      </c>
      <c r="B217" s="36" t="s">
        <v>2013</v>
      </c>
      <c r="C217" s="59">
        <v>930</v>
      </c>
      <c r="D217" s="60"/>
      <c r="E217" s="1"/>
      <c r="F217" s="1"/>
    </row>
    <row r="218" spans="1:9" s="40" customFormat="1" ht="13.5" customHeight="1" x14ac:dyDescent="0.2">
      <c r="A218" s="126"/>
      <c r="B218" s="36"/>
      <c r="C218" s="664">
        <f>SUM(C204:C217)</f>
        <v>5637.19</v>
      </c>
      <c r="D218" s="60"/>
      <c r="E218" s="1"/>
      <c r="F218" s="1"/>
    </row>
    <row r="219" spans="1:9" s="40" customFormat="1" ht="13.5" customHeight="1" x14ac:dyDescent="0.2">
      <c r="A219" s="126"/>
      <c r="B219" s="36"/>
      <c r="C219" s="59"/>
      <c r="D219" s="60"/>
      <c r="E219" s="1"/>
      <c r="F219" s="1"/>
      <c r="I219" s="1"/>
    </row>
    <row r="220" spans="1:9" s="40" customFormat="1" ht="13.5" customHeight="1" x14ac:dyDescent="0.2">
      <c r="A220" s="126" t="s">
        <v>248</v>
      </c>
      <c r="B220" s="36" t="s">
        <v>1553</v>
      </c>
      <c r="C220" s="68">
        <v>5000</v>
      </c>
      <c r="D220" s="69"/>
      <c r="E220" s="1"/>
      <c r="F220" s="1"/>
    </row>
    <row r="221" spans="1:9" s="40" customFormat="1" ht="13.5" customHeight="1" x14ac:dyDescent="0.2">
      <c r="A221" s="126" t="s">
        <v>248</v>
      </c>
      <c r="B221" s="36" t="s">
        <v>2161</v>
      </c>
      <c r="C221" s="68">
        <v>2000</v>
      </c>
      <c r="D221" s="60"/>
      <c r="E221" s="1"/>
      <c r="F221" s="1"/>
    </row>
    <row r="222" spans="1:9" s="40" customFormat="1" ht="13.5" customHeight="1" x14ac:dyDescent="0.2">
      <c r="A222" s="126" t="s">
        <v>248</v>
      </c>
      <c r="B222" s="36" t="s">
        <v>2035</v>
      </c>
      <c r="C222" s="59">
        <v>30.32</v>
      </c>
      <c r="D222" s="60"/>
      <c r="E222" s="1"/>
      <c r="F222" s="1"/>
    </row>
    <row r="223" spans="1:9" s="40" customFormat="1" ht="13.5" customHeight="1" x14ac:dyDescent="0.2">
      <c r="A223" s="126" t="s">
        <v>248</v>
      </c>
      <c r="B223" s="36" t="s">
        <v>2036</v>
      </c>
      <c r="C223" s="59">
        <v>207.42</v>
      </c>
      <c r="D223" s="60"/>
      <c r="E223" s="1"/>
      <c r="F223" s="1"/>
    </row>
    <row r="224" spans="1:9" s="40" customFormat="1" ht="13.5" customHeight="1" x14ac:dyDescent="0.2">
      <c r="A224" s="126" t="s">
        <v>248</v>
      </c>
      <c r="B224" s="36" t="s">
        <v>2092</v>
      </c>
      <c r="C224" s="59">
        <v>44.53</v>
      </c>
      <c r="D224" s="60"/>
      <c r="E224" s="1"/>
      <c r="F224" s="1"/>
    </row>
    <row r="225" spans="1:9" s="40" customFormat="1" ht="13.5" customHeight="1" x14ac:dyDescent="0.2">
      <c r="A225" s="126" t="s">
        <v>248</v>
      </c>
      <c r="B225" s="36" t="s">
        <v>2052</v>
      </c>
      <c r="C225" s="59">
        <v>119.99</v>
      </c>
      <c r="D225" s="60"/>
      <c r="E225" s="1"/>
      <c r="F225" s="1"/>
    </row>
    <row r="226" spans="1:9" s="40" customFormat="1" ht="13.5" customHeight="1" x14ac:dyDescent="0.2">
      <c r="A226" s="126"/>
      <c r="B226" s="36"/>
      <c r="C226" s="664">
        <f>SUM(C220:C225)</f>
        <v>7402.2599999999993</v>
      </c>
      <c r="D226" s="60"/>
      <c r="E226" s="1"/>
      <c r="F226" s="1"/>
      <c r="H226" s="1"/>
    </row>
    <row r="227" spans="1:9" s="40" customFormat="1" ht="13.5" customHeight="1" x14ac:dyDescent="0.2">
      <c r="A227" s="126"/>
      <c r="B227" s="36"/>
      <c r="C227" s="123"/>
      <c r="D227" s="60"/>
      <c r="E227" s="1"/>
      <c r="F227" s="1"/>
      <c r="H227" s="1"/>
    </row>
    <row r="228" spans="1:9" s="40" customFormat="1" ht="13.5" customHeight="1" x14ac:dyDescent="0.2">
      <c r="A228" s="126" t="s">
        <v>249</v>
      </c>
      <c r="B228" s="36" t="s">
        <v>625</v>
      </c>
      <c r="C228" s="664">
        <f t="array" ref="C228">SUM(H230:H231/2)</f>
        <v>740</v>
      </c>
      <c r="D228" s="60"/>
      <c r="E228" s="1"/>
      <c r="F228" s="1"/>
      <c r="H228" s="1"/>
    </row>
    <row r="229" spans="1:9" s="40" customFormat="1" ht="13.5" customHeight="1" x14ac:dyDescent="0.2">
      <c r="A229" s="126"/>
      <c r="B229" s="36"/>
      <c r="C229" s="59"/>
      <c r="D229" s="60"/>
      <c r="E229" s="1"/>
      <c r="F229" s="1"/>
      <c r="H229" s="1"/>
    </row>
    <row r="230" spans="1:9" s="40" customFormat="1" ht="13.5" customHeight="1" x14ac:dyDescent="0.2">
      <c r="A230" s="126" t="s">
        <v>249</v>
      </c>
      <c r="B230" s="36" t="s">
        <v>2056</v>
      </c>
      <c r="C230" s="59">
        <v>1000</v>
      </c>
      <c r="D230" s="60"/>
      <c r="E230" s="1"/>
      <c r="F230" s="126" t="s">
        <v>249</v>
      </c>
      <c r="G230" s="36" t="s">
        <v>2063</v>
      </c>
      <c r="H230" s="59">
        <v>1390</v>
      </c>
    </row>
    <row r="231" spans="1:9" s="40" customFormat="1" ht="13.5" customHeight="1" x14ac:dyDescent="0.2">
      <c r="A231" s="126" t="s">
        <v>249</v>
      </c>
      <c r="B231" s="34" t="s">
        <v>2071</v>
      </c>
      <c r="C231" s="119">
        <v>120</v>
      </c>
      <c r="D231" s="71"/>
      <c r="E231" s="1"/>
      <c r="F231" s="126" t="s">
        <v>249</v>
      </c>
      <c r="G231" s="138" t="s">
        <v>2148</v>
      </c>
      <c r="H231" s="59">
        <v>90</v>
      </c>
      <c r="I231" s="1"/>
    </row>
    <row r="232" spans="1:9" s="40" customFormat="1" ht="13.5" customHeight="1" x14ac:dyDescent="0.2">
      <c r="A232" s="126" t="s">
        <v>249</v>
      </c>
      <c r="B232" s="138" t="s">
        <v>624</v>
      </c>
      <c r="C232" s="59">
        <f>C228</f>
        <v>740</v>
      </c>
      <c r="D232" s="71"/>
      <c r="E232" s="1"/>
      <c r="F232" s="1"/>
      <c r="H232" s="1"/>
      <c r="I232" s="1"/>
    </row>
    <row r="233" spans="1:9" s="40" customFormat="1" ht="13.5" customHeight="1" x14ac:dyDescent="0.2">
      <c r="A233" s="126"/>
      <c r="B233" s="138"/>
      <c r="C233" s="664">
        <f>SUM(C230:C232)</f>
        <v>1860</v>
      </c>
      <c r="D233" s="71"/>
      <c r="E233" s="1"/>
      <c r="F233" s="1"/>
      <c r="H233" s="1"/>
      <c r="I233" s="1"/>
    </row>
    <row r="234" spans="1:9" s="40" customFormat="1" ht="13.5" customHeight="1" x14ac:dyDescent="0.2">
      <c r="A234" s="126"/>
      <c r="B234" s="138"/>
      <c r="C234" s="59"/>
      <c r="D234" s="71"/>
      <c r="E234" s="1"/>
      <c r="F234" s="1"/>
      <c r="H234" s="1"/>
      <c r="I234" s="1"/>
    </row>
    <row r="235" spans="1:9" s="40" customFormat="1" ht="13.5" customHeight="1" x14ac:dyDescent="0.2">
      <c r="A235" s="126" t="s">
        <v>250</v>
      </c>
      <c r="B235" s="34" t="s">
        <v>20</v>
      </c>
      <c r="C235" s="119">
        <v>0.02</v>
      </c>
      <c r="D235" s="71"/>
      <c r="E235" s="1"/>
      <c r="F235" s="1"/>
      <c r="H235" s="1"/>
      <c r="I235" s="1"/>
    </row>
    <row r="236" spans="1:9" s="40" customFormat="1" ht="13.5" customHeight="1" x14ac:dyDescent="0.2">
      <c r="A236" s="126" t="s">
        <v>250</v>
      </c>
      <c r="B236" s="34" t="s">
        <v>20</v>
      </c>
      <c r="C236" s="119">
        <v>0.02</v>
      </c>
      <c r="D236" s="71"/>
      <c r="E236" s="1"/>
      <c r="F236" s="1"/>
      <c r="H236" s="1"/>
      <c r="I236" s="1"/>
    </row>
    <row r="237" spans="1:9" s="40" customFormat="1" ht="13.5" customHeight="1" x14ac:dyDescent="0.2">
      <c r="A237" s="126" t="s">
        <v>250</v>
      </c>
      <c r="B237" s="138" t="s">
        <v>86</v>
      </c>
      <c r="C237" s="59">
        <v>85</v>
      </c>
      <c r="D237" s="71"/>
      <c r="E237" s="1"/>
      <c r="F237" s="1"/>
      <c r="H237" s="1"/>
      <c r="I237" s="1"/>
    </row>
    <row r="238" spans="1:9" s="40" customFormat="1" ht="13.5" customHeight="1" x14ac:dyDescent="0.2">
      <c r="A238" s="126" t="s">
        <v>250</v>
      </c>
      <c r="B238" s="34" t="s">
        <v>86</v>
      </c>
      <c r="C238" s="59">
        <v>72.900000000000006</v>
      </c>
      <c r="D238" s="71"/>
      <c r="E238" s="1"/>
      <c r="F238" s="1"/>
      <c r="H238" s="1"/>
      <c r="I238" s="1"/>
    </row>
    <row r="239" spans="1:9" s="40" customFormat="1" ht="13.5" customHeight="1" x14ac:dyDescent="0.2">
      <c r="A239" s="126" t="s">
        <v>250</v>
      </c>
      <c r="B239" s="138" t="s">
        <v>86</v>
      </c>
      <c r="C239" s="59">
        <v>12.5</v>
      </c>
      <c r="D239" s="71"/>
      <c r="E239" s="1"/>
      <c r="F239" s="1"/>
      <c r="I239" s="1"/>
    </row>
    <row r="240" spans="1:9" s="40" customFormat="1" ht="13.5" customHeight="1" x14ac:dyDescent="0.2">
      <c r="A240" s="126" t="s">
        <v>250</v>
      </c>
      <c r="B240" s="34" t="s">
        <v>86</v>
      </c>
      <c r="C240" s="59">
        <v>9.9</v>
      </c>
      <c r="D240" s="71"/>
      <c r="E240" s="1"/>
      <c r="F240" s="1"/>
      <c r="H240" s="1"/>
      <c r="I240" s="1"/>
    </row>
    <row r="241" spans="1:9" ht="13.5" customHeight="1" x14ac:dyDescent="0.2">
      <c r="A241" s="126"/>
      <c r="B241" s="34"/>
      <c r="C241" s="664">
        <f>SUM(C235:C240)</f>
        <v>180.34</v>
      </c>
      <c r="D241" s="71">
        <f>SUM(C241/2)</f>
        <v>90.17</v>
      </c>
    </row>
    <row r="242" spans="1:9" ht="13.5" customHeight="1" x14ac:dyDescent="0.2">
      <c r="A242" s="126"/>
      <c r="B242" s="34"/>
      <c r="C242" s="59"/>
      <c r="D242" s="71"/>
      <c r="I242" s="40"/>
    </row>
    <row r="243" spans="1:9" ht="13.5" customHeight="1" x14ac:dyDescent="0.2">
      <c r="A243" s="126" t="s">
        <v>421</v>
      </c>
      <c r="B243" s="34" t="s">
        <v>2059</v>
      </c>
      <c r="C243" s="59">
        <v>700</v>
      </c>
      <c r="D243" s="71"/>
    </row>
    <row r="244" spans="1:9" ht="13.5" customHeight="1" x14ac:dyDescent="0.2">
      <c r="A244" s="126" t="s">
        <v>421</v>
      </c>
      <c r="B244" s="34" t="s">
        <v>2159</v>
      </c>
      <c r="C244" s="68">
        <v>65.94</v>
      </c>
      <c r="D244" s="71"/>
    </row>
    <row r="245" spans="1:9" ht="13.5" customHeight="1" x14ac:dyDescent="0.2">
      <c r="B245" s="49"/>
      <c r="C245" s="666">
        <f>SUM(C243:C244)</f>
        <v>765.94</v>
      </c>
      <c r="D245" s="656"/>
      <c r="F245" s="665">
        <f>SUM(C245,C241,C233,C228,C226,C218,C202,C198,C176,C159,C141,C139,C137,C133,C102,C92,C70,C64,C56,)-SUM(D37,D29)</f>
        <v>-9951.7000000000044</v>
      </c>
    </row>
    <row r="246" spans="1:9" ht="13.5" customHeight="1" x14ac:dyDescent="0.2">
      <c r="B246" s="357"/>
      <c r="C246" s="68"/>
      <c r="D246" s="122"/>
      <c r="H246" s="40"/>
    </row>
    <row r="247" spans="1:9" ht="13.5" customHeight="1" x14ac:dyDescent="0.2">
      <c r="B247" s="208"/>
      <c r="C247" s="652"/>
      <c r="D247" s="652"/>
    </row>
    <row r="248" spans="1:9" ht="13.5" customHeight="1" x14ac:dyDescent="0.2">
      <c r="B248" s="78"/>
      <c r="C248" s="77"/>
      <c r="D248" s="77"/>
      <c r="F248" s="64"/>
      <c r="H248" s="40"/>
    </row>
    <row r="249" spans="1:9" ht="13.5" customHeight="1" x14ac:dyDescent="0.2">
      <c r="B249" s="63"/>
      <c r="C249" s="13"/>
      <c r="D249" s="13"/>
      <c r="I249" s="40"/>
    </row>
    <row r="250" spans="1:9" ht="13.5" customHeight="1" x14ac:dyDescent="0.2">
      <c r="B250" s="63"/>
      <c r="C250" s="13"/>
      <c r="D250" s="13"/>
    </row>
    <row r="251" spans="1:9" ht="13.5" customHeight="1" x14ac:dyDescent="0.2">
      <c r="B251" s="63"/>
      <c r="C251" s="77"/>
      <c r="D251" s="77"/>
      <c r="E251" s="64"/>
      <c r="G251" s="529"/>
      <c r="I251" s="40"/>
    </row>
    <row r="252" spans="1:9" ht="13.5" customHeight="1" x14ac:dyDescent="0.2">
      <c r="B252" s="78"/>
      <c r="C252" s="77"/>
      <c r="D252" s="77"/>
      <c r="G252" s="529"/>
    </row>
    <row r="253" spans="1:9" ht="13.5" customHeight="1" x14ac:dyDescent="0.2">
      <c r="B253" s="78"/>
      <c r="C253" s="77"/>
      <c r="D253" s="77"/>
      <c r="G253" s="529"/>
    </row>
    <row r="254" spans="1:9" ht="13.5" customHeight="1" x14ac:dyDescent="0.2">
      <c r="B254" s="78"/>
      <c r="C254" s="77"/>
      <c r="D254" s="77"/>
    </row>
    <row r="255" spans="1:9" ht="13.5" customHeight="1" x14ac:dyDescent="0.2">
      <c r="B255" s="81"/>
      <c r="C255" s="13"/>
      <c r="D255" s="13"/>
    </row>
    <row r="256" spans="1:9" ht="13.5" customHeight="1" x14ac:dyDescent="0.2">
      <c r="B256" s="78"/>
      <c r="C256" s="77"/>
      <c r="D256" s="77"/>
    </row>
    <row r="257" spans="1:9" ht="13.5" customHeight="1" x14ac:dyDescent="0.2">
      <c r="B257" s="78"/>
      <c r="C257" s="77"/>
      <c r="D257" s="77"/>
      <c r="G257" s="529"/>
    </row>
    <row r="258" spans="1:9" s="64" customFormat="1" ht="13.5" customHeight="1" x14ac:dyDescent="0.2">
      <c r="A258" s="1"/>
      <c r="B258" s="78"/>
      <c r="C258" s="77"/>
      <c r="D258" s="77"/>
      <c r="E258" s="18"/>
      <c r="F258" s="1"/>
      <c r="G258" s="529"/>
      <c r="H258" s="1"/>
      <c r="I258" s="1"/>
    </row>
    <row r="259" spans="1:9" ht="13.5" customHeight="1" x14ac:dyDescent="0.2">
      <c r="B259" s="78"/>
      <c r="C259" s="77"/>
      <c r="D259" s="77"/>
      <c r="E259" s="18"/>
    </row>
    <row r="260" spans="1:9" ht="13.5" customHeight="1" x14ac:dyDescent="0.2">
      <c r="B260" s="78"/>
      <c r="C260" s="77"/>
      <c r="D260" s="77"/>
    </row>
    <row r="261" spans="1:9" ht="13.5" customHeight="1" x14ac:dyDescent="0.2">
      <c r="B261" s="78"/>
      <c r="C261" s="77"/>
      <c r="D261" s="77"/>
      <c r="G261" s="529"/>
    </row>
    <row r="262" spans="1:9" ht="13.5" customHeight="1" x14ac:dyDescent="0.2">
      <c r="B262" s="78"/>
      <c r="C262" s="77"/>
      <c r="D262" s="77"/>
      <c r="G262" s="529"/>
    </row>
    <row r="263" spans="1:9" ht="13.5" customHeight="1" x14ac:dyDescent="0.2">
      <c r="B263" s="78"/>
      <c r="C263" s="77"/>
      <c r="D263" s="77"/>
      <c r="G263" s="529"/>
    </row>
    <row r="264" spans="1:9" ht="13.5" customHeight="1" x14ac:dyDescent="0.2">
      <c r="B264" s="63"/>
      <c r="C264" s="82"/>
      <c r="D264" s="13"/>
    </row>
    <row r="265" spans="1:9" ht="13.5" customHeight="1" x14ac:dyDescent="0.2">
      <c r="B265" s="63"/>
      <c r="C265" s="82"/>
      <c r="D265" s="13"/>
    </row>
    <row r="266" spans="1:9" ht="13.5" customHeight="1" x14ac:dyDescent="0.2">
      <c r="B266" s="63"/>
      <c r="C266" s="82"/>
      <c r="D266" s="13"/>
    </row>
    <row r="267" spans="1:9" ht="13.5" customHeight="1" x14ac:dyDescent="0.2">
      <c r="B267" s="63"/>
      <c r="C267" s="82"/>
      <c r="D267" s="13"/>
    </row>
    <row r="268" spans="1:9" ht="13.5" customHeight="1" x14ac:dyDescent="0.2">
      <c r="B268" s="63"/>
      <c r="C268" s="82"/>
      <c r="D268" s="13"/>
    </row>
    <row r="269" spans="1:9" ht="13.5" customHeight="1" x14ac:dyDescent="0.2">
      <c r="B269" s="63"/>
      <c r="C269" s="82"/>
      <c r="D269" s="13"/>
      <c r="G269" s="65"/>
    </row>
    <row r="270" spans="1:9" ht="13.5" customHeight="1" x14ac:dyDescent="0.2">
      <c r="B270" s="63"/>
      <c r="C270" s="82"/>
      <c r="D270" s="13"/>
      <c r="E270" s="18"/>
    </row>
    <row r="271" spans="1:9" ht="13.5" customHeight="1" x14ac:dyDescent="0.2">
      <c r="B271" s="63"/>
      <c r="C271" s="82"/>
      <c r="D271" s="13"/>
      <c r="E271" s="18"/>
    </row>
    <row r="272" spans="1:9" ht="13.5" customHeight="1" x14ac:dyDescent="0.2">
      <c r="B272" s="63"/>
      <c r="C272" s="82"/>
      <c r="D272" s="13"/>
      <c r="E272" s="18"/>
    </row>
    <row r="273" spans="2:5" ht="18" customHeight="1" x14ac:dyDescent="0.2">
      <c r="B273" s="63"/>
      <c r="C273" s="82"/>
      <c r="D273" s="13"/>
      <c r="E273" s="18"/>
    </row>
    <row r="274" spans="2:5" ht="13.5" customHeight="1" x14ac:dyDescent="0.2">
      <c r="B274" s="63"/>
      <c r="C274" s="82"/>
      <c r="D274" s="13"/>
      <c r="E274" s="18"/>
    </row>
    <row r="275" spans="2:5" ht="13.5" customHeight="1" x14ac:dyDescent="0.2">
      <c r="B275" s="63"/>
      <c r="C275" s="82"/>
      <c r="D275" s="13"/>
      <c r="E275" s="18"/>
    </row>
    <row r="276" spans="2:5" ht="13.5" customHeight="1" x14ac:dyDescent="0.2">
      <c r="B276" s="63"/>
      <c r="C276" s="82"/>
      <c r="D276" s="13"/>
    </row>
    <row r="277" spans="2:5" ht="13.5" customHeight="1" x14ac:dyDescent="0.2">
      <c r="B277" s="63"/>
      <c r="C277" s="82"/>
      <c r="D277" s="13"/>
    </row>
    <row r="278" spans="2:5" ht="13.5" customHeight="1" x14ac:dyDescent="0.2">
      <c r="B278" s="63"/>
      <c r="C278" s="82"/>
      <c r="D278" s="13"/>
    </row>
    <row r="279" spans="2:5" ht="13.5" customHeight="1" x14ac:dyDescent="0.2">
      <c r="B279" s="63"/>
      <c r="C279" s="82"/>
      <c r="D279" s="13"/>
    </row>
    <row r="280" spans="2:5" ht="13.5" customHeight="1" x14ac:dyDescent="0.2">
      <c r="B280" s="63"/>
      <c r="C280" s="82"/>
      <c r="D280" s="13"/>
    </row>
    <row r="281" spans="2:5" ht="13.5" customHeight="1" x14ac:dyDescent="0.2">
      <c r="B281" s="63"/>
      <c r="C281" s="82"/>
      <c r="D281" s="13"/>
    </row>
    <row r="282" spans="2:5" ht="13.5" customHeight="1" x14ac:dyDescent="0.2">
      <c r="B282" s="63"/>
      <c r="C282" s="82"/>
      <c r="D282" s="13"/>
    </row>
    <row r="283" spans="2:5" ht="13.5" customHeight="1" x14ac:dyDescent="0.2">
      <c r="B283" s="63"/>
      <c r="C283" s="82"/>
      <c r="D283" s="13"/>
    </row>
    <row r="284" spans="2:5" ht="13.5" customHeight="1" x14ac:dyDescent="0.2">
      <c r="B284" s="63"/>
      <c r="C284" s="82"/>
      <c r="D284" s="13"/>
    </row>
    <row r="285" spans="2:5" ht="13.5" customHeight="1" x14ac:dyDescent="0.2">
      <c r="B285" s="63"/>
      <c r="C285" s="82"/>
      <c r="D285" s="13"/>
    </row>
    <row r="286" spans="2:5" ht="13.5" customHeight="1" x14ac:dyDescent="0.2">
      <c r="B286" s="63"/>
      <c r="C286" s="82"/>
      <c r="D286" s="13"/>
    </row>
    <row r="287" spans="2:5" ht="13.5" customHeight="1" x14ac:dyDescent="0.2">
      <c r="B287" s="63"/>
      <c r="C287" s="82"/>
      <c r="D287" s="13"/>
    </row>
    <row r="288" spans="2:5" ht="13.5" customHeight="1" x14ac:dyDescent="0.2">
      <c r="B288" s="63"/>
      <c r="C288" s="82"/>
      <c r="D288" s="13"/>
    </row>
    <row r="289" spans="2:4" ht="13.5" customHeight="1" x14ac:dyDescent="0.2">
      <c r="B289" s="63"/>
      <c r="C289" s="82"/>
      <c r="D289" s="13"/>
    </row>
    <row r="290" spans="2:4" ht="13.5" customHeight="1" x14ac:dyDescent="0.2">
      <c r="B290" s="63"/>
      <c r="C290" s="82"/>
      <c r="D290" s="13"/>
    </row>
    <row r="291" spans="2:4" ht="13.5" customHeight="1" x14ac:dyDescent="0.2">
      <c r="B291" s="63"/>
      <c r="C291" s="82"/>
      <c r="D291" s="13"/>
    </row>
    <row r="292" spans="2:4" ht="13.5" customHeight="1" x14ac:dyDescent="0.2">
      <c r="B292" s="63"/>
      <c r="C292" s="82"/>
      <c r="D292" s="13"/>
    </row>
    <row r="293" spans="2:4" ht="13.5" customHeight="1" x14ac:dyDescent="0.2">
      <c r="B293" s="63"/>
      <c r="C293" s="82"/>
      <c r="D293" s="13"/>
    </row>
    <row r="294" spans="2:4" ht="13.5" customHeight="1" x14ac:dyDescent="0.2">
      <c r="B294" s="63"/>
      <c r="C294" s="82"/>
      <c r="D294" s="13"/>
    </row>
    <row r="295" spans="2:4" ht="13.5" customHeight="1" x14ac:dyDescent="0.2">
      <c r="B295" s="63"/>
      <c r="C295" s="82"/>
      <c r="D295" s="13"/>
    </row>
    <row r="296" spans="2:4" ht="13.5" customHeight="1" x14ac:dyDescent="0.2">
      <c r="B296" s="63"/>
      <c r="C296" s="82"/>
      <c r="D296" s="13"/>
    </row>
    <row r="297" spans="2:4" ht="13.5" customHeight="1" x14ac:dyDescent="0.2">
      <c r="B297" s="63"/>
      <c r="C297" s="82"/>
      <c r="D297" s="13"/>
    </row>
    <row r="298" spans="2:4" ht="13.5" customHeight="1" x14ac:dyDescent="0.2">
      <c r="B298" s="63"/>
      <c r="C298" s="82"/>
      <c r="D298" s="13"/>
    </row>
    <row r="299" spans="2:4" ht="13.5" customHeight="1" x14ac:dyDescent="0.2">
      <c r="B299" s="63"/>
      <c r="C299" s="82"/>
      <c r="D299" s="13"/>
    </row>
    <row r="300" spans="2:4" ht="13.5" customHeight="1" x14ac:dyDescent="0.2">
      <c r="B300" s="63"/>
      <c r="C300" s="82"/>
      <c r="D300" s="13"/>
    </row>
    <row r="301" spans="2:4" ht="13.5" customHeight="1" x14ac:dyDescent="0.2">
      <c r="B301" s="63"/>
      <c r="C301" s="82"/>
      <c r="D301" s="13"/>
    </row>
    <row r="302" spans="2:4" ht="13.5" customHeight="1" x14ac:dyDescent="0.2">
      <c r="B302" s="63"/>
      <c r="C302" s="82"/>
      <c r="D302" s="13"/>
    </row>
    <row r="303" spans="2:4" ht="13.5" customHeight="1" x14ac:dyDescent="0.2">
      <c r="B303" s="63"/>
      <c r="C303" s="82"/>
      <c r="D303" s="13"/>
    </row>
    <row r="304" spans="2:4" ht="13.5" customHeight="1" x14ac:dyDescent="0.2">
      <c r="B304" s="63"/>
      <c r="C304" s="83"/>
      <c r="D304" s="13"/>
    </row>
    <row r="305" spans="2:4" ht="13.5" customHeight="1" x14ac:dyDescent="0.2">
      <c r="B305" s="63"/>
      <c r="C305" s="83"/>
      <c r="D305" s="13"/>
    </row>
    <row r="306" spans="2:4" ht="13.5" customHeight="1" x14ac:dyDescent="0.2">
      <c r="B306" s="64"/>
      <c r="C306" s="84"/>
      <c r="D306" s="13"/>
    </row>
    <row r="307" spans="2:4" ht="13.5" customHeight="1" x14ac:dyDescent="0.2">
      <c r="B307" s="63"/>
      <c r="C307" s="83"/>
      <c r="D307" s="13"/>
    </row>
    <row r="308" spans="2:4" ht="13.5" customHeight="1" x14ac:dyDescent="0.2">
      <c r="B308" s="63"/>
      <c r="C308" s="83"/>
      <c r="D308" s="13"/>
    </row>
    <row r="309" spans="2:4" ht="13.5" customHeight="1" x14ac:dyDescent="0.2">
      <c r="B309" s="85"/>
      <c r="C309" s="83"/>
      <c r="D309" s="13"/>
    </row>
    <row r="310" spans="2:4" ht="13.5" customHeight="1" x14ac:dyDescent="0.2">
      <c r="B310" s="63"/>
      <c r="C310" s="83"/>
      <c r="D310" s="13"/>
    </row>
    <row r="311" spans="2:4" ht="13.5" customHeight="1" x14ac:dyDescent="0.2">
      <c r="B311" s="63"/>
      <c r="C311" s="84"/>
      <c r="D311" s="13"/>
    </row>
    <row r="312" spans="2:4" ht="13.5" customHeight="1" x14ac:dyDescent="0.2">
      <c r="B312" s="64"/>
      <c r="C312" s="83"/>
      <c r="D312" s="13"/>
    </row>
    <row r="313" spans="2:4" ht="13.5" customHeight="1" x14ac:dyDescent="0.2">
      <c r="B313" s="63"/>
      <c r="C313" s="83"/>
      <c r="D313" s="13"/>
    </row>
    <row r="314" spans="2:4" ht="13.5" customHeight="1" x14ac:dyDescent="0.2">
      <c r="B314" s="63"/>
      <c r="C314" s="84"/>
      <c r="D314" s="13"/>
    </row>
    <row r="315" spans="2:4" ht="13.5" customHeight="1" x14ac:dyDescent="0.2">
      <c r="B315" s="64"/>
      <c r="C315" s="84"/>
      <c r="D315" s="13"/>
    </row>
    <row r="316" spans="2:4" ht="13.5" customHeight="1" x14ac:dyDescent="0.2">
      <c r="B316" s="63"/>
      <c r="C316" s="83"/>
      <c r="D316" s="13"/>
    </row>
    <row r="317" spans="2:4" ht="13.5" customHeight="1" x14ac:dyDescent="0.2">
      <c r="B317" s="63"/>
      <c r="C317" s="84"/>
      <c r="D317" s="13"/>
    </row>
    <row r="318" spans="2:4" ht="13.5" customHeight="1" x14ac:dyDescent="0.2">
      <c r="B318" s="64"/>
      <c r="C318" s="84"/>
      <c r="D318" s="13"/>
    </row>
    <row r="319" spans="2:4" ht="13.5" customHeight="1" x14ac:dyDescent="0.2">
      <c r="B319" s="63"/>
      <c r="C319" s="83"/>
      <c r="D319" s="13"/>
    </row>
    <row r="320" spans="2:4" ht="13.5" customHeight="1" x14ac:dyDescent="0.2">
      <c r="B320" s="63"/>
      <c r="C320" s="83"/>
      <c r="D320" s="13"/>
    </row>
    <row r="321" spans="2:4" ht="13.5" customHeight="1" x14ac:dyDescent="0.2">
      <c r="B321" s="63"/>
      <c r="C321" s="82"/>
      <c r="D321" s="13"/>
    </row>
    <row r="322" spans="2:4" ht="13.5" customHeight="1" x14ac:dyDescent="0.2">
      <c r="B322" s="86"/>
      <c r="C322" s="82"/>
      <c r="D322" s="13"/>
    </row>
    <row r="323" spans="2:4" ht="13.5" customHeight="1" x14ac:dyDescent="0.2">
      <c r="B323" s="85"/>
      <c r="C323" s="82"/>
      <c r="D323" s="13"/>
    </row>
    <row r="324" spans="2:4" ht="13.5" customHeight="1" x14ac:dyDescent="0.2">
      <c r="B324" s="87"/>
      <c r="C324" s="82"/>
      <c r="D324" s="13"/>
    </row>
    <row r="325" spans="2:4" ht="13.5" customHeight="1" x14ac:dyDescent="0.2">
      <c r="B325" s="88"/>
      <c r="C325" s="82"/>
      <c r="D325" s="13"/>
    </row>
    <row r="326" spans="2:4" ht="13.5" customHeight="1" x14ac:dyDescent="0.2">
      <c r="B326" s="56"/>
      <c r="C326" s="89"/>
      <c r="D326" s="12"/>
    </row>
    <row r="327" spans="2:4" ht="13.5" customHeight="1" x14ac:dyDescent="0.2">
      <c r="B327" s="56"/>
      <c r="C327" s="90"/>
      <c r="D327" s="12"/>
    </row>
    <row r="328" spans="2:4" ht="13.5" customHeight="1" x14ac:dyDescent="0.2">
      <c r="B328" s="56"/>
      <c r="C328" s="89"/>
      <c r="D328" s="12"/>
    </row>
    <row r="329" spans="2:4" ht="13.5" customHeight="1" x14ac:dyDescent="0.2">
      <c r="C329" s="89"/>
      <c r="D329" s="12"/>
    </row>
    <row r="330" spans="2:4" ht="13.5" customHeight="1" x14ac:dyDescent="0.2">
      <c r="B330" s="56"/>
      <c r="C330" s="90"/>
      <c r="D330" s="12"/>
    </row>
    <row r="331" spans="2:4" ht="13.5" customHeight="1" x14ac:dyDescent="0.2">
      <c r="B331" s="56"/>
      <c r="C331" s="90"/>
      <c r="D331" s="12"/>
    </row>
    <row r="332" spans="2:4" ht="13.5" customHeight="1" x14ac:dyDescent="0.2">
      <c r="B332" s="56"/>
      <c r="C332" s="90"/>
      <c r="D332" s="12"/>
    </row>
    <row r="333" spans="2:4" ht="13.5" customHeight="1" x14ac:dyDescent="0.2">
      <c r="B333" s="27"/>
      <c r="C333" s="92"/>
      <c r="D333" s="12"/>
    </row>
    <row r="334" spans="2:4" ht="13.5" customHeight="1" x14ac:dyDescent="0.2">
      <c r="B334" s="27"/>
      <c r="C334" s="90"/>
      <c r="D334" s="12"/>
    </row>
    <row r="335" spans="2:4" ht="13.5" customHeight="1" x14ac:dyDescent="0.2">
      <c r="C335" s="92"/>
      <c r="D335" s="12"/>
    </row>
    <row r="336" spans="2:4" ht="13.5" customHeight="1" x14ac:dyDescent="0.2">
      <c r="B336" s="56"/>
      <c r="C336" s="89"/>
      <c r="D336" s="12"/>
    </row>
    <row r="337" spans="2:4" ht="13.5" customHeight="1" x14ac:dyDescent="0.2">
      <c r="B337" s="56"/>
      <c r="C337" s="89"/>
      <c r="D337" s="12"/>
    </row>
    <row r="338" spans="2:4" ht="13.5" customHeight="1" x14ac:dyDescent="0.2">
      <c r="B338" s="56"/>
      <c r="C338" s="89"/>
      <c r="D338" s="12"/>
    </row>
    <row r="339" spans="2:4" ht="13.5" customHeight="1" x14ac:dyDescent="0.2">
      <c r="B339" s="56"/>
      <c r="C339" s="89"/>
      <c r="D339" s="12"/>
    </row>
    <row r="340" spans="2:4" ht="13.5" customHeight="1" x14ac:dyDescent="0.2">
      <c r="B340" s="94"/>
      <c r="C340" s="95"/>
      <c r="D340" s="30"/>
    </row>
    <row r="341" spans="2:4" ht="13.5" customHeight="1" x14ac:dyDescent="0.2"/>
    <row r="342" spans="2:4" ht="13.5" customHeight="1" x14ac:dyDescent="0.2"/>
    <row r="343" spans="2:4" ht="13.5" customHeight="1" x14ac:dyDescent="0.2"/>
    <row r="344" spans="2:4" ht="13.5" customHeight="1" x14ac:dyDescent="0.2"/>
    <row r="345" spans="2:4" ht="13.5" customHeight="1" x14ac:dyDescent="0.2"/>
    <row r="346" spans="2:4" ht="13.5" customHeight="1" x14ac:dyDescent="0.2"/>
    <row r="347" spans="2:4" ht="13.5" customHeight="1" x14ac:dyDescent="0.2"/>
    <row r="348" spans="2:4" ht="13.5" customHeight="1" x14ac:dyDescent="0.2"/>
    <row r="349" spans="2:4" ht="13.5" customHeight="1" x14ac:dyDescent="0.2"/>
    <row r="350" spans="2:4" ht="13.5" customHeight="1" x14ac:dyDescent="0.2"/>
    <row r="351" spans="2:4" ht="13.5" customHeight="1" x14ac:dyDescent="0.2"/>
    <row r="352" spans="2:4" ht="13.5" customHeight="1" x14ac:dyDescent="0.2"/>
    <row r="353" ht="13.5" customHeight="1" x14ac:dyDescent="0.2"/>
    <row r="354" ht="13.5" customHeight="1" x14ac:dyDescent="0.2"/>
    <row r="355" ht="13.5" customHeight="1" x14ac:dyDescent="0.2"/>
    <row r="356" ht="13.5" customHeight="1" x14ac:dyDescent="0.2"/>
    <row r="357" ht="13.5" customHeight="1" x14ac:dyDescent="0.2"/>
    <row r="358" ht="13.5" customHeight="1" x14ac:dyDescent="0.2"/>
    <row r="359" ht="13.5" customHeight="1" x14ac:dyDescent="0.2"/>
    <row r="360" ht="13.5" customHeight="1" x14ac:dyDescent="0.2"/>
    <row r="361" ht="13.5" customHeight="1" x14ac:dyDescent="0.2"/>
    <row r="362" ht="13.5" customHeight="1" x14ac:dyDescent="0.2"/>
    <row r="363" ht="13.5" customHeight="1" x14ac:dyDescent="0.2"/>
    <row r="364" ht="13.5" customHeight="1" x14ac:dyDescent="0.2"/>
    <row r="365" ht="13.5" customHeight="1" x14ac:dyDescent="0.2"/>
    <row r="366" ht="13.5" customHeight="1" x14ac:dyDescent="0.2"/>
    <row r="367" ht="13.5" customHeight="1" x14ac:dyDescent="0.2"/>
    <row r="368" ht="13.5" customHeight="1" x14ac:dyDescent="0.2"/>
    <row r="369" ht="13.5" customHeight="1" x14ac:dyDescent="0.2"/>
    <row r="370" ht="13.5" customHeight="1" x14ac:dyDescent="0.2"/>
    <row r="371" ht="13.5" customHeight="1" x14ac:dyDescent="0.2"/>
    <row r="372" ht="13.5" customHeight="1" x14ac:dyDescent="0.2"/>
    <row r="373" ht="13.5" customHeight="1" x14ac:dyDescent="0.2"/>
    <row r="374" ht="13.5" customHeight="1" x14ac:dyDescent="0.2"/>
    <row r="375" ht="13.5" customHeight="1" x14ac:dyDescent="0.2"/>
    <row r="376" ht="13.5" customHeight="1" x14ac:dyDescent="0.2"/>
    <row r="377" ht="13.5" customHeight="1" x14ac:dyDescent="0.2"/>
    <row r="378" ht="13.5" customHeight="1" x14ac:dyDescent="0.2"/>
    <row r="379" ht="13.5" customHeight="1" x14ac:dyDescent="0.2"/>
    <row r="380" ht="13.5" customHeight="1" x14ac:dyDescent="0.2"/>
    <row r="381" ht="13.5" customHeight="1" x14ac:dyDescent="0.2"/>
    <row r="382" ht="13.5" customHeight="1" x14ac:dyDescent="0.2"/>
    <row r="383" ht="13.5" customHeight="1" x14ac:dyDescent="0.2"/>
    <row r="384" ht="13.5" customHeight="1" x14ac:dyDescent="0.2"/>
    <row r="385" ht="13.5" customHeight="1" x14ac:dyDescent="0.2"/>
    <row r="386" ht="13.5" customHeight="1" x14ac:dyDescent="0.2"/>
    <row r="387" ht="13.5" customHeight="1" x14ac:dyDescent="0.2"/>
    <row r="388" ht="13.5" customHeight="1" x14ac:dyDescent="0.2"/>
    <row r="389" ht="13.5" customHeight="1" x14ac:dyDescent="0.2"/>
    <row r="390" ht="13.5" customHeight="1" x14ac:dyDescent="0.2"/>
  </sheetData>
  <sortState xmlns:xlrd2="http://schemas.microsoft.com/office/spreadsheetml/2017/richdata2" ref="A2:I390">
    <sortCondition ref="A2:A390"/>
    <sortCondition ref="B2:B390"/>
  </sortState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O363"/>
  <sheetViews>
    <sheetView topLeftCell="D258" zoomScale="80" zoomScaleNormal="80" workbookViewId="0">
      <selection activeCell="L264" sqref="L264:N273"/>
    </sheetView>
  </sheetViews>
  <sheetFormatPr defaultColWidth="9" defaultRowHeight="12.75" x14ac:dyDescent="0.2"/>
  <cols>
    <col min="1" max="1" width="14" style="1" customWidth="1"/>
    <col min="2" max="2" width="1.875" style="1" customWidth="1"/>
    <col min="3" max="3" width="95.875" style="1" customWidth="1"/>
    <col min="4" max="4" width="12" style="1" customWidth="1"/>
    <col min="5" max="5" width="12.375" style="1" customWidth="1"/>
    <col min="6" max="6" width="10.75" style="1" customWidth="1"/>
    <col min="7" max="7" width="11.875" style="1" customWidth="1"/>
    <col min="8" max="9" width="10.75" style="18" customWidth="1"/>
    <col min="10" max="10" width="10.875" style="66" customWidth="1"/>
    <col min="11" max="11" width="9" style="1"/>
    <col min="12" max="12" width="10.375" style="1" customWidth="1"/>
    <col min="13" max="14" width="9" style="1"/>
    <col min="15" max="15" width="10.875" style="40" bestFit="1" customWidth="1"/>
    <col min="16" max="16384" width="9" style="1"/>
  </cols>
  <sheetData>
    <row r="1" spans="1:12" ht="13.5" customHeight="1" thickBot="1" x14ac:dyDescent="0.25">
      <c r="A1" s="1407" t="s">
        <v>2166</v>
      </c>
      <c r="B1" s="1407"/>
      <c r="C1" s="1408"/>
      <c r="D1" s="1409" t="s">
        <v>0</v>
      </c>
      <c r="E1" s="1410"/>
      <c r="F1" s="1410"/>
      <c r="G1" s="1411"/>
      <c r="H1" s="1412" t="s">
        <v>1</v>
      </c>
      <c r="I1" s="1413"/>
      <c r="J1" s="1414"/>
    </row>
    <row r="2" spans="1:12" ht="13.5" customHeight="1" thickBot="1" x14ac:dyDescent="0.25">
      <c r="A2" s="2" t="s">
        <v>2</v>
      </c>
      <c r="B2" s="3"/>
      <c r="C2" s="3" t="s">
        <v>3</v>
      </c>
      <c r="D2" s="3" t="s">
        <v>4</v>
      </c>
      <c r="E2" s="3" t="s">
        <v>5</v>
      </c>
      <c r="F2" s="3" t="s">
        <v>6</v>
      </c>
      <c r="G2" s="5" t="s">
        <v>7</v>
      </c>
      <c r="H2" s="6" t="s">
        <v>5</v>
      </c>
      <c r="I2" s="4" t="s">
        <v>6</v>
      </c>
      <c r="J2" s="7" t="s">
        <v>7</v>
      </c>
    </row>
    <row r="3" spans="1:12" ht="13.5" customHeight="1" x14ac:dyDescent="0.2">
      <c r="A3" s="8">
        <v>43617</v>
      </c>
      <c r="B3" s="9"/>
      <c r="C3" s="10" t="s">
        <v>8</v>
      </c>
      <c r="D3" s="11"/>
      <c r="E3" s="12"/>
      <c r="F3" s="13"/>
      <c r="G3" s="14">
        <v>6311.68</v>
      </c>
      <c r="H3" s="15"/>
      <c r="I3" s="16"/>
      <c r="J3" s="17">
        <v>2860.420000000001</v>
      </c>
      <c r="K3" s="18"/>
      <c r="L3" s="12"/>
    </row>
    <row r="4" spans="1:12" ht="13.5" customHeight="1" x14ac:dyDescent="0.2">
      <c r="A4" s="19"/>
      <c r="B4" s="20"/>
      <c r="C4" s="21" t="s">
        <v>9</v>
      </c>
      <c r="D4" s="11"/>
      <c r="E4" s="12"/>
      <c r="F4" s="22">
        <v>0</v>
      </c>
      <c r="G4" s="23"/>
      <c r="H4" s="24"/>
      <c r="I4" s="25"/>
      <c r="J4" s="26"/>
      <c r="K4" s="18"/>
      <c r="L4" s="12"/>
    </row>
    <row r="5" spans="1:12" ht="13.5" customHeight="1" x14ac:dyDescent="0.2">
      <c r="A5" s="19"/>
      <c r="B5" s="20"/>
      <c r="C5" s="21" t="s">
        <v>10</v>
      </c>
      <c r="D5" s="11"/>
      <c r="E5" s="12"/>
      <c r="F5" s="22">
        <v>0</v>
      </c>
      <c r="G5" s="23"/>
      <c r="H5" s="24"/>
      <c r="I5" s="25"/>
      <c r="J5" s="26"/>
      <c r="K5" s="18"/>
      <c r="L5" s="12"/>
    </row>
    <row r="6" spans="1:12" ht="13.5" customHeight="1" x14ac:dyDescent="0.2">
      <c r="A6" s="19">
        <v>43619</v>
      </c>
      <c r="B6" s="46"/>
      <c r="C6" s="34" t="s">
        <v>2167</v>
      </c>
      <c r="D6" s="42"/>
      <c r="E6" s="43"/>
      <c r="F6" s="43"/>
      <c r="G6" s="23"/>
      <c r="H6" s="24"/>
      <c r="I6" s="25">
        <v>220</v>
      </c>
      <c r="J6" s="26">
        <v>3080.420000000001</v>
      </c>
      <c r="K6" s="18"/>
      <c r="L6" s="12"/>
    </row>
    <row r="7" spans="1:12" ht="13.5" customHeight="1" x14ac:dyDescent="0.2">
      <c r="A7" s="19"/>
      <c r="B7" s="20"/>
      <c r="C7" s="34" t="s">
        <v>2168</v>
      </c>
      <c r="D7" s="11" t="s">
        <v>2169</v>
      </c>
      <c r="E7" s="12">
        <v>-2240</v>
      </c>
      <c r="F7" s="22" t="s">
        <v>549</v>
      </c>
      <c r="G7" s="23"/>
      <c r="H7" s="24"/>
      <c r="I7" s="25"/>
      <c r="J7" s="26"/>
      <c r="K7" s="18"/>
      <c r="L7" s="12"/>
    </row>
    <row r="8" spans="1:12" ht="13.5" customHeight="1" x14ac:dyDescent="0.2">
      <c r="A8" s="19"/>
      <c r="B8" s="20"/>
      <c r="C8" s="32" t="s">
        <v>1597</v>
      </c>
      <c r="D8" s="11" t="s">
        <v>19</v>
      </c>
      <c r="E8" s="12">
        <v>-1.24</v>
      </c>
      <c r="F8" s="22" t="s">
        <v>549</v>
      </c>
      <c r="G8" s="23"/>
      <c r="H8" s="24"/>
      <c r="I8" s="25"/>
      <c r="J8" s="26"/>
      <c r="K8" s="18"/>
      <c r="L8" s="12"/>
    </row>
    <row r="9" spans="1:12" ht="13.5" customHeight="1" x14ac:dyDescent="0.2">
      <c r="A9" s="19"/>
      <c r="B9" s="20"/>
      <c r="C9" s="36" t="s">
        <v>1598</v>
      </c>
      <c r="D9" s="11" t="s">
        <v>19</v>
      </c>
      <c r="E9" s="12">
        <v>-16.670000000000002</v>
      </c>
      <c r="F9" s="22" t="s">
        <v>549</v>
      </c>
      <c r="G9" s="23"/>
      <c r="H9" s="24"/>
      <c r="I9" s="25"/>
      <c r="J9" s="26"/>
      <c r="K9" s="18"/>
      <c r="L9" s="12"/>
    </row>
    <row r="10" spans="1:12" ht="13.5" customHeight="1" x14ac:dyDescent="0.2">
      <c r="A10" s="19"/>
      <c r="B10" s="20"/>
      <c r="C10" s="34" t="s">
        <v>20</v>
      </c>
      <c r="D10" s="11" t="s">
        <v>19</v>
      </c>
      <c r="E10" s="12">
        <v>-82.69</v>
      </c>
      <c r="F10" s="22" t="s">
        <v>549</v>
      </c>
      <c r="G10" s="23"/>
      <c r="H10" s="24"/>
      <c r="I10" s="25"/>
      <c r="J10" s="26"/>
      <c r="K10" s="18"/>
      <c r="L10" s="12"/>
    </row>
    <row r="11" spans="1:12" ht="13.5" customHeight="1" x14ac:dyDescent="0.2">
      <c r="A11" s="19"/>
      <c r="B11" s="20"/>
      <c r="C11" s="36" t="s">
        <v>20</v>
      </c>
      <c r="D11" s="11" t="s">
        <v>19</v>
      </c>
      <c r="E11" s="12" t="s">
        <v>549</v>
      </c>
      <c r="F11" s="22">
        <v>0.06</v>
      </c>
      <c r="G11" s="23">
        <v>3971.14</v>
      </c>
      <c r="H11" s="24"/>
      <c r="I11" s="25"/>
      <c r="J11" s="26"/>
      <c r="K11" s="18"/>
      <c r="L11" s="12"/>
    </row>
    <row r="12" spans="1:12" ht="13.5" customHeight="1" x14ac:dyDescent="0.2">
      <c r="A12" s="19">
        <v>43620</v>
      </c>
      <c r="B12" s="20"/>
      <c r="C12" s="34" t="s">
        <v>2170</v>
      </c>
      <c r="D12" s="11"/>
      <c r="E12" s="12"/>
      <c r="F12" s="22"/>
      <c r="G12" s="23"/>
      <c r="H12" s="24"/>
      <c r="I12" s="25">
        <v>1100</v>
      </c>
      <c r="J12" s="26"/>
      <c r="K12" s="18"/>
      <c r="L12" s="12"/>
    </row>
    <row r="13" spans="1:12" ht="13.5" customHeight="1" x14ac:dyDescent="0.2">
      <c r="A13" s="19"/>
      <c r="B13" s="20"/>
      <c r="C13" s="34" t="s">
        <v>2171</v>
      </c>
      <c r="D13" s="11"/>
      <c r="E13" s="12"/>
      <c r="F13" s="22"/>
      <c r="G13" s="23"/>
      <c r="H13" s="24">
        <v>180</v>
      </c>
      <c r="I13" s="25"/>
      <c r="J13" s="26"/>
      <c r="K13" s="18"/>
      <c r="L13" s="12"/>
    </row>
    <row r="14" spans="1:12" ht="13.5" customHeight="1" x14ac:dyDescent="0.2">
      <c r="A14" s="19"/>
      <c r="B14" s="20"/>
      <c r="C14" s="34" t="s">
        <v>2172</v>
      </c>
      <c r="D14" s="11"/>
      <c r="E14" s="12"/>
      <c r="F14" s="22"/>
      <c r="G14" s="23"/>
      <c r="H14" s="24">
        <v>1500</v>
      </c>
      <c r="I14" s="25"/>
      <c r="J14" s="26">
        <v>2500.420000000001</v>
      </c>
      <c r="K14" s="18"/>
      <c r="L14" s="12"/>
    </row>
    <row r="15" spans="1:12" ht="13.5" customHeight="1" x14ac:dyDescent="0.2">
      <c r="A15" s="19">
        <v>43621</v>
      </c>
      <c r="B15" s="20"/>
      <c r="C15" s="34" t="s">
        <v>2173</v>
      </c>
      <c r="D15" s="11"/>
      <c r="E15" s="12"/>
      <c r="F15" s="22"/>
      <c r="G15" s="23"/>
      <c r="H15" s="24"/>
      <c r="I15" s="25">
        <v>733.33</v>
      </c>
      <c r="J15" s="26"/>
      <c r="K15" s="18"/>
      <c r="L15" s="12"/>
    </row>
    <row r="16" spans="1:12" ht="13.5" customHeight="1" x14ac:dyDescent="0.2">
      <c r="A16" s="19"/>
      <c r="B16" s="20"/>
      <c r="C16" s="34" t="s">
        <v>2174</v>
      </c>
      <c r="D16" s="11"/>
      <c r="E16" s="12"/>
      <c r="F16" s="22"/>
      <c r="G16" s="23"/>
      <c r="H16" s="24"/>
      <c r="I16" s="25">
        <v>1500</v>
      </c>
      <c r="J16" s="26"/>
      <c r="K16" s="18"/>
      <c r="L16" s="12"/>
    </row>
    <row r="17" spans="1:12" ht="13.5" customHeight="1" x14ac:dyDescent="0.2">
      <c r="A17" s="19"/>
      <c r="B17" s="20"/>
      <c r="C17" s="34" t="s">
        <v>2175</v>
      </c>
      <c r="D17" s="11"/>
      <c r="E17" s="12"/>
      <c r="F17" s="22"/>
      <c r="G17" s="23"/>
      <c r="H17" s="24">
        <v>86.95</v>
      </c>
      <c r="I17" s="25"/>
      <c r="J17" s="26"/>
      <c r="K17" s="18"/>
      <c r="L17" s="12"/>
    </row>
    <row r="18" spans="1:12" ht="13.5" customHeight="1" x14ac:dyDescent="0.2">
      <c r="A18" s="19"/>
      <c r="B18" s="20"/>
      <c r="C18" s="34" t="s">
        <v>2176</v>
      </c>
      <c r="D18" s="11"/>
      <c r="E18" s="12"/>
      <c r="F18" s="22"/>
      <c r="G18" s="23"/>
      <c r="H18" s="24">
        <v>800</v>
      </c>
      <c r="I18" s="25"/>
      <c r="J18" s="26">
        <v>3846.8000000000011</v>
      </c>
      <c r="K18" s="18"/>
      <c r="L18" s="12"/>
    </row>
    <row r="19" spans="1:12" ht="13.5" customHeight="1" x14ac:dyDescent="0.2">
      <c r="A19" s="19"/>
      <c r="B19" s="20"/>
      <c r="C19" s="34" t="s">
        <v>2177</v>
      </c>
      <c r="D19" s="11" t="s">
        <v>2053</v>
      </c>
      <c r="E19" s="12">
        <v>-71.19</v>
      </c>
      <c r="F19" s="22" t="s">
        <v>549</v>
      </c>
      <c r="G19" s="23"/>
      <c r="H19" s="24"/>
      <c r="I19" s="25"/>
      <c r="J19" s="26"/>
      <c r="K19" s="18"/>
      <c r="L19" s="12"/>
    </row>
    <row r="20" spans="1:12" ht="13.5" customHeight="1" x14ac:dyDescent="0.2">
      <c r="A20" s="19"/>
      <c r="B20" s="20"/>
      <c r="C20" s="34" t="s">
        <v>53</v>
      </c>
      <c r="D20" s="11" t="s">
        <v>472</v>
      </c>
      <c r="E20" s="12">
        <v>-532.21</v>
      </c>
      <c r="F20" s="22" t="s">
        <v>549</v>
      </c>
      <c r="G20" s="23"/>
      <c r="H20" s="24"/>
      <c r="I20" s="25"/>
      <c r="J20" s="26"/>
      <c r="K20" s="18"/>
      <c r="L20" s="12"/>
    </row>
    <row r="21" spans="1:12" ht="13.5" customHeight="1" x14ac:dyDescent="0.2">
      <c r="A21" s="19"/>
      <c r="B21" s="20"/>
      <c r="C21" s="36" t="s">
        <v>20</v>
      </c>
      <c r="D21" s="11" t="s">
        <v>19</v>
      </c>
      <c r="E21" s="12" t="s">
        <v>549</v>
      </c>
      <c r="F21" s="22">
        <v>0.02</v>
      </c>
      <c r="G21" s="23">
        <v>3367.76</v>
      </c>
      <c r="H21" s="24"/>
      <c r="I21" s="25"/>
      <c r="J21" s="26"/>
      <c r="K21" s="18"/>
      <c r="L21" s="12"/>
    </row>
    <row r="22" spans="1:12" ht="13.5" customHeight="1" x14ac:dyDescent="0.2">
      <c r="A22" s="19">
        <v>43622</v>
      </c>
      <c r="B22" s="20"/>
      <c r="C22" s="34" t="s">
        <v>2178</v>
      </c>
      <c r="D22" s="11"/>
      <c r="E22" s="12"/>
      <c r="F22" s="22"/>
      <c r="G22" s="23"/>
      <c r="H22" s="24"/>
      <c r="I22" s="25">
        <v>200</v>
      </c>
      <c r="J22" s="26"/>
      <c r="K22" s="18"/>
      <c r="L22" s="12"/>
    </row>
    <row r="23" spans="1:12" ht="13.5" customHeight="1" x14ac:dyDescent="0.2">
      <c r="A23" s="19"/>
      <c r="B23" s="20"/>
      <c r="C23" s="34" t="s">
        <v>2179</v>
      </c>
      <c r="D23" s="11"/>
      <c r="E23" s="12"/>
      <c r="F23" s="22"/>
      <c r="G23" s="23"/>
      <c r="H23" s="24"/>
      <c r="I23" s="25">
        <v>258.3</v>
      </c>
      <c r="J23" s="26"/>
      <c r="K23" s="18"/>
      <c r="L23" s="12"/>
    </row>
    <row r="24" spans="1:12" ht="13.5" customHeight="1" x14ac:dyDescent="0.2">
      <c r="A24" s="19"/>
      <c r="B24" s="20"/>
      <c r="C24" s="34" t="s">
        <v>2180</v>
      </c>
      <c r="D24" s="11"/>
      <c r="E24" s="12"/>
      <c r="F24" s="22"/>
      <c r="G24" s="23"/>
      <c r="H24" s="24"/>
      <c r="I24" s="25">
        <v>21</v>
      </c>
      <c r="J24" s="26"/>
      <c r="K24" s="18"/>
      <c r="L24" s="12"/>
    </row>
    <row r="25" spans="1:12" ht="13.5" customHeight="1" x14ac:dyDescent="0.2">
      <c r="A25" s="19"/>
      <c r="B25" s="20"/>
      <c r="C25" s="34" t="s">
        <v>2181</v>
      </c>
      <c r="D25" s="11"/>
      <c r="E25" s="12"/>
      <c r="F25" s="22"/>
      <c r="G25" s="23"/>
      <c r="H25" s="24">
        <v>14</v>
      </c>
      <c r="I25" s="25"/>
      <c r="J25" s="26"/>
      <c r="K25" s="18"/>
      <c r="L25" s="12"/>
    </row>
    <row r="26" spans="1:12" ht="13.5" customHeight="1" x14ac:dyDescent="0.2">
      <c r="A26" s="19"/>
      <c r="B26" s="20"/>
      <c r="C26" s="34" t="s">
        <v>2182</v>
      </c>
      <c r="D26" s="11"/>
      <c r="E26" s="12"/>
      <c r="F26" s="22"/>
      <c r="G26" s="23"/>
      <c r="H26" s="24">
        <v>1690</v>
      </c>
      <c r="I26" s="25"/>
      <c r="J26" s="26">
        <v>2622.1000000000013</v>
      </c>
      <c r="K26" s="18"/>
      <c r="L26" s="12"/>
    </row>
    <row r="27" spans="1:12" ht="13.5" customHeight="1" x14ac:dyDescent="0.2">
      <c r="A27" s="19"/>
      <c r="B27" s="20"/>
      <c r="C27" s="34" t="s">
        <v>55</v>
      </c>
      <c r="D27" s="11" t="s">
        <v>19</v>
      </c>
      <c r="E27" s="12">
        <v>-400</v>
      </c>
      <c r="F27" s="22" t="s">
        <v>549</v>
      </c>
      <c r="G27" s="23"/>
      <c r="H27" s="24"/>
      <c r="I27" s="25"/>
      <c r="J27" s="26"/>
      <c r="K27" s="18"/>
      <c r="L27" s="12"/>
    </row>
    <row r="28" spans="1:12" ht="13.5" customHeight="1" x14ac:dyDescent="0.2">
      <c r="A28" s="19"/>
      <c r="B28" s="20"/>
      <c r="C28" s="36" t="s">
        <v>20</v>
      </c>
      <c r="D28" s="11" t="s">
        <v>19</v>
      </c>
      <c r="E28" s="12" t="s">
        <v>549</v>
      </c>
      <c r="F28" s="22">
        <v>0.02</v>
      </c>
      <c r="G28" s="23">
        <v>2967.78</v>
      </c>
      <c r="H28" s="24"/>
      <c r="I28" s="25"/>
      <c r="J28" s="39"/>
      <c r="K28" s="18"/>
      <c r="L28" s="12"/>
    </row>
    <row r="29" spans="1:12" ht="13.5" customHeight="1" x14ac:dyDescent="0.2">
      <c r="A29" s="19">
        <v>43623</v>
      </c>
      <c r="B29" s="20"/>
      <c r="C29" s="34" t="s">
        <v>2183</v>
      </c>
      <c r="D29" s="11"/>
      <c r="E29" s="12"/>
      <c r="F29" s="22"/>
      <c r="G29" s="23"/>
      <c r="H29" s="24">
        <v>500</v>
      </c>
      <c r="I29" s="25"/>
      <c r="J29" s="26"/>
      <c r="K29" s="18"/>
      <c r="L29" s="12"/>
    </row>
    <row r="30" spans="1:12" ht="13.5" customHeight="1" x14ac:dyDescent="0.2">
      <c r="A30" s="19"/>
      <c r="B30" s="20"/>
      <c r="C30" s="34" t="s">
        <v>1887</v>
      </c>
      <c r="D30" s="11"/>
      <c r="E30" s="12"/>
      <c r="F30" s="22"/>
      <c r="G30" s="23"/>
      <c r="H30" s="24">
        <v>70</v>
      </c>
      <c r="I30" s="25"/>
      <c r="J30" s="26"/>
      <c r="K30" s="18"/>
      <c r="L30" s="12"/>
    </row>
    <row r="31" spans="1:12" ht="13.5" customHeight="1" x14ac:dyDescent="0.2">
      <c r="A31" s="19"/>
      <c r="B31" s="20"/>
      <c r="C31" s="34" t="s">
        <v>2184</v>
      </c>
      <c r="D31" s="11"/>
      <c r="E31" s="12"/>
      <c r="F31" s="22"/>
      <c r="G31" s="23"/>
      <c r="H31" s="24"/>
      <c r="I31" s="25">
        <v>21</v>
      </c>
      <c r="J31" s="26"/>
      <c r="K31" s="18"/>
      <c r="L31" s="12"/>
    </row>
    <row r="32" spans="1:12" ht="13.5" customHeight="1" x14ac:dyDescent="0.2">
      <c r="A32" s="19"/>
      <c r="B32" s="20"/>
      <c r="C32" s="34" t="s">
        <v>2185</v>
      </c>
      <c r="D32" s="11"/>
      <c r="E32" s="12"/>
      <c r="F32" s="22"/>
      <c r="G32" s="23"/>
      <c r="H32" s="44">
        <v>1000</v>
      </c>
      <c r="I32" s="25"/>
      <c r="J32" s="26">
        <v>1073.1000000000013</v>
      </c>
      <c r="K32" s="18"/>
      <c r="L32" s="12"/>
    </row>
    <row r="33" spans="1:12" ht="13.5" customHeight="1" x14ac:dyDescent="0.2">
      <c r="A33" s="19"/>
      <c r="B33" s="20"/>
      <c r="C33" s="34" t="s">
        <v>2186</v>
      </c>
      <c r="D33" s="11" t="s">
        <v>2187</v>
      </c>
      <c r="E33" s="12">
        <v>-85.96</v>
      </c>
      <c r="F33" s="22" t="s">
        <v>549</v>
      </c>
      <c r="G33" s="23"/>
      <c r="H33" s="24"/>
      <c r="I33" s="25"/>
      <c r="J33" s="26"/>
      <c r="K33" s="18"/>
      <c r="L33" s="12"/>
    </row>
    <row r="34" spans="1:12" ht="13.5" customHeight="1" x14ac:dyDescent="0.2">
      <c r="A34" s="19"/>
      <c r="B34" s="20"/>
      <c r="C34" s="34" t="s">
        <v>2188</v>
      </c>
      <c r="D34" s="11" t="s">
        <v>2189</v>
      </c>
      <c r="E34" s="12">
        <v>-450</v>
      </c>
      <c r="F34" s="22" t="s">
        <v>549</v>
      </c>
      <c r="G34" s="23"/>
      <c r="H34" s="24"/>
      <c r="I34" s="25"/>
      <c r="J34" s="26"/>
      <c r="K34" s="18"/>
      <c r="L34" s="12"/>
    </row>
    <row r="35" spans="1:12" ht="13.5" customHeight="1" x14ac:dyDescent="0.2">
      <c r="A35" s="19"/>
      <c r="B35" s="20"/>
      <c r="C35" s="36" t="s">
        <v>20</v>
      </c>
      <c r="D35" s="11"/>
      <c r="E35" s="12"/>
      <c r="F35" s="22">
        <v>0.03</v>
      </c>
      <c r="G35" s="23">
        <v>2431.85</v>
      </c>
      <c r="H35" s="24"/>
      <c r="I35" s="25"/>
      <c r="J35" s="26"/>
      <c r="K35" s="18"/>
      <c r="L35" s="12"/>
    </row>
    <row r="36" spans="1:12" ht="13.5" customHeight="1" x14ac:dyDescent="0.2">
      <c r="A36" s="19">
        <v>43626</v>
      </c>
      <c r="B36" s="20"/>
      <c r="C36" s="34" t="s">
        <v>2190</v>
      </c>
      <c r="D36" s="11"/>
      <c r="E36" s="12"/>
      <c r="F36" s="22"/>
      <c r="G36" s="23"/>
      <c r="H36" s="24">
        <v>2</v>
      </c>
      <c r="I36" s="25"/>
      <c r="J36" s="26"/>
      <c r="K36" s="18"/>
      <c r="L36" s="12"/>
    </row>
    <row r="37" spans="1:12" ht="13.5" customHeight="1" x14ac:dyDescent="0.2">
      <c r="A37" s="19"/>
      <c r="B37" s="20"/>
      <c r="C37" s="34" t="s">
        <v>2191</v>
      </c>
      <c r="D37" s="11"/>
      <c r="E37" s="12"/>
      <c r="F37" s="22"/>
      <c r="G37" s="23"/>
      <c r="H37" s="24">
        <v>46.29</v>
      </c>
      <c r="I37" s="25"/>
      <c r="J37" s="26"/>
      <c r="K37" s="18"/>
      <c r="L37" s="12"/>
    </row>
    <row r="38" spans="1:12" ht="13.5" customHeight="1" x14ac:dyDescent="0.2">
      <c r="A38" s="19"/>
      <c r="B38" s="20"/>
      <c r="C38" s="34" t="s">
        <v>1834</v>
      </c>
      <c r="D38" s="11"/>
      <c r="E38" s="12"/>
      <c r="F38" s="22"/>
      <c r="G38" s="23"/>
      <c r="H38" s="24">
        <v>34</v>
      </c>
      <c r="I38" s="25"/>
      <c r="J38" s="26"/>
      <c r="K38" s="18"/>
      <c r="L38" s="12"/>
    </row>
    <row r="39" spans="1:12" ht="13.5" customHeight="1" x14ac:dyDescent="0.2">
      <c r="A39" s="19"/>
      <c r="B39" s="20"/>
      <c r="C39" s="34" t="s">
        <v>2192</v>
      </c>
      <c r="D39" s="11"/>
      <c r="E39" s="12"/>
      <c r="F39" s="22"/>
      <c r="G39" s="23"/>
      <c r="H39" s="24">
        <v>7.76</v>
      </c>
      <c r="I39" s="25"/>
      <c r="J39" s="26"/>
      <c r="K39" s="18"/>
      <c r="L39" s="12"/>
    </row>
    <row r="40" spans="1:12" ht="13.5" customHeight="1" x14ac:dyDescent="0.2">
      <c r="A40" s="19"/>
      <c r="B40" s="20"/>
      <c r="C40" s="34" t="s">
        <v>2193</v>
      </c>
      <c r="D40" s="11"/>
      <c r="E40" s="12"/>
      <c r="F40" s="22"/>
      <c r="G40" s="23"/>
      <c r="H40" s="24">
        <v>42</v>
      </c>
      <c r="I40" s="25"/>
      <c r="J40" s="26"/>
      <c r="K40" s="18"/>
      <c r="L40" s="12"/>
    </row>
    <row r="41" spans="1:12" ht="13.5" customHeight="1" x14ac:dyDescent="0.2">
      <c r="A41" s="19"/>
      <c r="B41" s="20"/>
      <c r="C41" s="34" t="s">
        <v>1652</v>
      </c>
      <c r="D41" s="11"/>
      <c r="E41" s="12"/>
      <c r="F41" s="22"/>
      <c r="G41" s="23"/>
      <c r="H41" s="24">
        <v>1.3</v>
      </c>
      <c r="I41" s="25"/>
      <c r="J41" s="26"/>
      <c r="K41" s="18"/>
      <c r="L41" s="12"/>
    </row>
    <row r="42" spans="1:12" ht="13.5" customHeight="1" x14ac:dyDescent="0.2">
      <c r="A42" s="19"/>
      <c r="B42" s="20"/>
      <c r="C42" s="34" t="s">
        <v>2194</v>
      </c>
      <c r="D42" s="11"/>
      <c r="E42" s="12"/>
      <c r="F42" s="22"/>
      <c r="G42" s="23"/>
      <c r="H42" s="24">
        <v>42.3</v>
      </c>
      <c r="I42" s="25"/>
      <c r="J42" s="26"/>
      <c r="K42" s="18"/>
      <c r="L42" s="12"/>
    </row>
    <row r="43" spans="1:12" ht="13.5" customHeight="1" x14ac:dyDescent="0.2">
      <c r="A43" s="19"/>
      <c r="B43" s="20"/>
      <c r="C43" s="34" t="s">
        <v>2195</v>
      </c>
      <c r="D43" s="11"/>
      <c r="E43" s="12"/>
      <c r="F43" s="22"/>
      <c r="G43" s="23"/>
      <c r="H43" s="24">
        <v>3.5</v>
      </c>
      <c r="I43" s="25"/>
      <c r="J43" s="26"/>
      <c r="K43" s="18"/>
      <c r="L43" s="12"/>
    </row>
    <row r="44" spans="1:12" ht="13.5" customHeight="1" x14ac:dyDescent="0.2">
      <c r="A44" s="19"/>
      <c r="B44" s="20"/>
      <c r="C44" s="34" t="s">
        <v>2196</v>
      </c>
      <c r="D44" s="11"/>
      <c r="E44" s="12"/>
      <c r="F44" s="22"/>
      <c r="G44" s="23"/>
      <c r="H44" s="24">
        <v>1.7</v>
      </c>
      <c r="I44" s="25"/>
      <c r="J44" s="26"/>
      <c r="K44" s="18"/>
      <c r="L44" s="12"/>
    </row>
    <row r="45" spans="1:12" ht="13.5" customHeight="1" x14ac:dyDescent="0.2">
      <c r="A45" s="19"/>
      <c r="B45" s="20"/>
      <c r="C45" s="34" t="s">
        <v>2197</v>
      </c>
      <c r="D45" s="11"/>
      <c r="E45" s="12"/>
      <c r="F45" s="22"/>
      <c r="G45" s="23"/>
      <c r="H45" s="24">
        <v>20</v>
      </c>
      <c r="I45" s="25"/>
      <c r="J45" s="26"/>
      <c r="K45" s="18"/>
      <c r="L45" s="12"/>
    </row>
    <row r="46" spans="1:12" ht="13.5" customHeight="1" x14ac:dyDescent="0.2">
      <c r="A46" s="19"/>
      <c r="B46" s="20"/>
      <c r="C46" s="34" t="s">
        <v>2198</v>
      </c>
      <c r="D46" s="11"/>
      <c r="E46" s="12"/>
      <c r="F46" s="22"/>
      <c r="G46" s="23"/>
      <c r="H46" s="24">
        <v>5</v>
      </c>
      <c r="I46" s="25"/>
      <c r="J46" s="26"/>
      <c r="K46" s="18"/>
      <c r="L46" s="12"/>
    </row>
    <row r="47" spans="1:12" ht="13.5" customHeight="1" x14ac:dyDescent="0.2">
      <c r="A47" s="19"/>
      <c r="B47" s="20"/>
      <c r="C47" s="34" t="s">
        <v>2199</v>
      </c>
      <c r="D47" s="11"/>
      <c r="E47" s="12"/>
      <c r="F47" s="22"/>
      <c r="G47" s="23"/>
      <c r="H47" s="24">
        <v>37.32</v>
      </c>
      <c r="I47" s="25"/>
      <c r="J47" s="26"/>
      <c r="K47" s="18"/>
      <c r="L47" s="12"/>
    </row>
    <row r="48" spans="1:12" ht="13.5" customHeight="1" x14ac:dyDescent="0.2">
      <c r="A48" s="19"/>
      <c r="B48" s="20"/>
      <c r="C48" s="34" t="s">
        <v>2200</v>
      </c>
      <c r="D48" s="11"/>
      <c r="E48" s="12"/>
      <c r="F48" s="22"/>
      <c r="G48" s="23"/>
      <c r="H48" s="24">
        <v>9.9700000000000006</v>
      </c>
      <c r="I48" s="25"/>
      <c r="J48" s="26"/>
      <c r="K48" s="18"/>
      <c r="L48" s="12"/>
    </row>
    <row r="49" spans="1:12" ht="13.5" customHeight="1" x14ac:dyDescent="0.2">
      <c r="A49" s="19"/>
      <c r="B49" s="20"/>
      <c r="C49" s="34" t="s">
        <v>2201</v>
      </c>
      <c r="D49" s="11"/>
      <c r="E49" s="12"/>
      <c r="F49" s="22"/>
      <c r="G49" s="23"/>
      <c r="H49" s="24">
        <v>12.48</v>
      </c>
      <c r="I49" s="25"/>
      <c r="J49" s="26"/>
      <c r="K49" s="18"/>
      <c r="L49" s="12"/>
    </row>
    <row r="50" spans="1:12" ht="13.5" customHeight="1" x14ac:dyDescent="0.2">
      <c r="A50" s="19"/>
      <c r="B50" s="20"/>
      <c r="C50" s="34" t="s">
        <v>1834</v>
      </c>
      <c r="D50" s="11"/>
      <c r="E50" s="12"/>
      <c r="F50" s="22"/>
      <c r="G50" s="23"/>
      <c r="H50" s="24">
        <v>18</v>
      </c>
      <c r="I50" s="25"/>
      <c r="J50" s="26"/>
      <c r="K50" s="18"/>
      <c r="L50" s="12"/>
    </row>
    <row r="51" spans="1:12" ht="13.5" customHeight="1" x14ac:dyDescent="0.2">
      <c r="A51" s="19"/>
      <c r="B51" s="20"/>
      <c r="C51" s="34" t="s">
        <v>2202</v>
      </c>
      <c r="D51" s="11"/>
      <c r="E51" s="12"/>
      <c r="F51" s="22"/>
      <c r="G51" s="23"/>
      <c r="H51" s="24">
        <v>6.48</v>
      </c>
      <c r="I51" s="25"/>
      <c r="J51" s="26"/>
      <c r="K51" s="18"/>
      <c r="L51" s="12"/>
    </row>
    <row r="52" spans="1:12" ht="13.5" customHeight="1" x14ac:dyDescent="0.2">
      <c r="A52" s="19"/>
      <c r="B52" s="20"/>
      <c r="C52" s="34" t="s">
        <v>2203</v>
      </c>
      <c r="D52" s="11"/>
      <c r="E52" s="12"/>
      <c r="F52" s="22"/>
      <c r="G52" s="23"/>
      <c r="H52" s="24">
        <v>40</v>
      </c>
      <c r="I52" s="25"/>
      <c r="J52" s="127"/>
      <c r="K52" s="18"/>
      <c r="L52" s="12"/>
    </row>
    <row r="53" spans="1:12" ht="13.5" customHeight="1" x14ac:dyDescent="0.2">
      <c r="A53" s="19"/>
      <c r="B53" s="20"/>
      <c r="C53" s="34" t="s">
        <v>2204</v>
      </c>
      <c r="D53" s="11"/>
      <c r="E53" s="12"/>
      <c r="F53" s="22"/>
      <c r="G53" s="23"/>
      <c r="H53" s="24"/>
      <c r="I53" s="25">
        <v>1490</v>
      </c>
      <c r="J53" s="26"/>
      <c r="K53" s="18"/>
      <c r="L53" s="12"/>
    </row>
    <row r="54" spans="1:12" ht="13.5" customHeight="1" x14ac:dyDescent="0.2">
      <c r="A54" s="19"/>
      <c r="B54" s="20"/>
      <c r="C54" s="34" t="s">
        <v>2205</v>
      </c>
      <c r="D54" s="11"/>
      <c r="E54" s="12"/>
      <c r="F54" s="22"/>
      <c r="G54" s="23"/>
      <c r="H54" s="24"/>
      <c r="I54" s="25">
        <v>1513.58</v>
      </c>
      <c r="J54" s="26"/>
      <c r="K54" s="18"/>
      <c r="L54" s="12"/>
    </row>
    <row r="55" spans="1:12" ht="13.5" customHeight="1" x14ac:dyDescent="0.2">
      <c r="A55" s="19"/>
      <c r="B55" s="20"/>
      <c r="C55" s="34" t="s">
        <v>2206</v>
      </c>
      <c r="D55" s="11"/>
      <c r="E55" s="12"/>
      <c r="F55" s="22"/>
      <c r="G55" s="23"/>
      <c r="H55" s="44">
        <v>3000</v>
      </c>
      <c r="I55" s="25"/>
      <c r="J55" s="39">
        <v>746.58000000000129</v>
      </c>
      <c r="K55" s="18"/>
      <c r="L55" s="12"/>
    </row>
    <row r="56" spans="1:12" ht="13.5" customHeight="1" x14ac:dyDescent="0.2">
      <c r="A56" s="19"/>
      <c r="B56" s="20"/>
      <c r="C56" s="34" t="s">
        <v>62</v>
      </c>
      <c r="D56" s="11" t="s">
        <v>19</v>
      </c>
      <c r="E56" s="12">
        <v>-502.23</v>
      </c>
      <c r="F56" s="22" t="s">
        <v>549</v>
      </c>
      <c r="G56" s="23"/>
      <c r="H56" s="24"/>
      <c r="I56" s="25"/>
      <c r="J56" s="26"/>
      <c r="K56" s="18"/>
      <c r="L56" s="12"/>
    </row>
    <row r="57" spans="1:12" ht="13.5" customHeight="1" x14ac:dyDescent="0.2">
      <c r="A57" s="19"/>
      <c r="B57" s="20"/>
      <c r="C57" s="34" t="s">
        <v>82</v>
      </c>
      <c r="D57" s="11" t="s">
        <v>2207</v>
      </c>
      <c r="E57" s="12">
        <v>-811.99</v>
      </c>
      <c r="F57" s="22" t="s">
        <v>549</v>
      </c>
      <c r="G57" s="23"/>
      <c r="H57" s="24"/>
      <c r="I57" s="25"/>
      <c r="J57" s="26"/>
      <c r="K57" s="18"/>
      <c r="L57" s="12"/>
    </row>
    <row r="58" spans="1:12" ht="13.5" customHeight="1" x14ac:dyDescent="0.2">
      <c r="A58" s="19"/>
      <c r="B58" s="20"/>
      <c r="C58" s="34" t="s">
        <v>68</v>
      </c>
      <c r="D58" s="11" t="s">
        <v>1853</v>
      </c>
      <c r="E58" s="12">
        <v>-129.9</v>
      </c>
      <c r="F58" s="22" t="s">
        <v>549</v>
      </c>
      <c r="G58" s="23"/>
      <c r="H58" s="24"/>
      <c r="I58" s="25"/>
      <c r="J58" s="26"/>
      <c r="K58" s="18"/>
      <c r="L58" s="12"/>
    </row>
    <row r="59" spans="1:12" ht="13.5" customHeight="1" x14ac:dyDescent="0.2">
      <c r="A59" s="19"/>
      <c r="B59" s="20"/>
      <c r="C59" s="34" t="s">
        <v>2208</v>
      </c>
      <c r="D59" s="11" t="s">
        <v>653</v>
      </c>
      <c r="E59" s="12">
        <v>-467</v>
      </c>
      <c r="F59" s="22" t="s">
        <v>549</v>
      </c>
      <c r="G59" s="23"/>
      <c r="H59" s="24"/>
      <c r="I59" s="25"/>
      <c r="J59" s="39"/>
      <c r="K59" s="18"/>
      <c r="L59" s="12"/>
    </row>
    <row r="60" spans="1:12" ht="13.5" customHeight="1" x14ac:dyDescent="0.2">
      <c r="A60" s="19"/>
      <c r="B60" s="20"/>
      <c r="C60" s="36" t="s">
        <v>20</v>
      </c>
      <c r="D60" s="11" t="s">
        <v>19</v>
      </c>
      <c r="E60" s="12" t="s">
        <v>549</v>
      </c>
      <c r="F60" s="22">
        <v>0.13</v>
      </c>
      <c r="G60" s="23">
        <v>520.86</v>
      </c>
      <c r="H60" s="24"/>
      <c r="I60" s="25"/>
      <c r="J60" s="26"/>
      <c r="K60" s="18"/>
      <c r="L60" s="12"/>
    </row>
    <row r="61" spans="1:12" ht="13.5" customHeight="1" x14ac:dyDescent="0.2">
      <c r="A61" s="19">
        <v>43627</v>
      </c>
      <c r="B61" s="20"/>
      <c r="C61" s="34" t="s">
        <v>2209</v>
      </c>
      <c r="D61" s="11"/>
      <c r="E61" s="12"/>
      <c r="F61" s="22"/>
      <c r="G61" s="23"/>
      <c r="H61" s="24"/>
      <c r="I61" s="25">
        <v>3590.73</v>
      </c>
      <c r="J61" s="26"/>
      <c r="K61" s="18"/>
      <c r="L61" s="12"/>
    </row>
    <row r="62" spans="1:12" ht="13.5" customHeight="1" x14ac:dyDescent="0.2">
      <c r="A62" s="19"/>
      <c r="B62" s="20"/>
      <c r="C62" s="21" t="s">
        <v>2210</v>
      </c>
      <c r="D62" s="11"/>
      <c r="E62" s="12"/>
      <c r="F62" s="22"/>
      <c r="G62" s="23"/>
      <c r="H62" s="24"/>
      <c r="I62" s="25">
        <v>1518.28</v>
      </c>
      <c r="J62" s="26"/>
      <c r="K62" s="18"/>
      <c r="L62" s="12"/>
    </row>
    <row r="63" spans="1:12" ht="13.5" customHeight="1" x14ac:dyDescent="0.2">
      <c r="A63" s="19"/>
      <c r="B63" s="20"/>
      <c r="C63" s="34" t="s">
        <v>2211</v>
      </c>
      <c r="D63" s="11"/>
      <c r="E63" s="12"/>
      <c r="F63" s="22"/>
      <c r="G63" s="23"/>
      <c r="H63" s="24"/>
      <c r="I63" s="25">
        <v>80</v>
      </c>
      <c r="J63" s="26">
        <v>5935.5900000000011</v>
      </c>
      <c r="K63" s="18"/>
      <c r="L63" s="12"/>
    </row>
    <row r="64" spans="1:12" ht="13.5" customHeight="1" x14ac:dyDescent="0.2">
      <c r="A64" s="19"/>
      <c r="B64" s="20"/>
      <c r="C64" s="34" t="s">
        <v>2212</v>
      </c>
      <c r="D64" s="11" t="s">
        <v>2213</v>
      </c>
      <c r="E64" s="12">
        <v>-340</v>
      </c>
      <c r="F64" s="22" t="s">
        <v>549</v>
      </c>
      <c r="G64" s="23"/>
      <c r="H64" s="24"/>
      <c r="I64" s="25"/>
      <c r="J64" s="26"/>
      <c r="K64" s="18"/>
      <c r="L64" s="12"/>
    </row>
    <row r="65" spans="1:15" ht="13.5" customHeight="1" x14ac:dyDescent="0.2">
      <c r="A65" s="19"/>
      <c r="B65" s="20"/>
      <c r="C65" s="34" t="s">
        <v>2214</v>
      </c>
      <c r="D65" s="11" t="s">
        <v>2215</v>
      </c>
      <c r="E65" s="12">
        <v>-930</v>
      </c>
      <c r="F65" s="22" t="s">
        <v>549</v>
      </c>
      <c r="G65" s="23"/>
      <c r="H65" s="24"/>
      <c r="I65" s="25"/>
      <c r="J65" s="26"/>
      <c r="K65" s="18"/>
      <c r="L65" s="12"/>
    </row>
    <row r="66" spans="1:15" ht="13.5" customHeight="1" x14ac:dyDescent="0.2">
      <c r="A66" s="19"/>
      <c r="B66" s="20"/>
      <c r="C66" s="36" t="s">
        <v>20</v>
      </c>
      <c r="D66" s="11" t="s">
        <v>19</v>
      </c>
      <c r="E66" s="12" t="s">
        <v>549</v>
      </c>
      <c r="F66" s="22">
        <v>0.05</v>
      </c>
      <c r="G66" s="23">
        <v>-749.09</v>
      </c>
      <c r="H66" s="24"/>
      <c r="I66" s="25"/>
      <c r="J66" s="26"/>
      <c r="K66" s="18"/>
      <c r="L66" s="12"/>
    </row>
    <row r="67" spans="1:15" ht="13.5" customHeight="1" x14ac:dyDescent="0.2">
      <c r="A67" s="19" t="s">
        <v>2216</v>
      </c>
      <c r="B67" s="20"/>
      <c r="C67" s="34" t="s">
        <v>87</v>
      </c>
      <c r="D67" s="11" t="s">
        <v>19</v>
      </c>
      <c r="E67" s="12">
        <v>-37.93</v>
      </c>
      <c r="F67" s="22" t="s">
        <v>549</v>
      </c>
      <c r="G67" s="23">
        <v>-787.02</v>
      </c>
      <c r="H67" s="24"/>
      <c r="I67" s="25"/>
      <c r="J67" s="26"/>
      <c r="K67" s="18"/>
      <c r="L67" s="12"/>
    </row>
    <row r="68" spans="1:15" ht="13.5" customHeight="1" x14ac:dyDescent="0.2">
      <c r="A68" s="19">
        <v>43629</v>
      </c>
      <c r="B68" s="20"/>
      <c r="C68" s="34" t="s">
        <v>2217</v>
      </c>
      <c r="D68" s="11"/>
      <c r="E68" s="12"/>
      <c r="F68" s="22"/>
      <c r="G68" s="23"/>
      <c r="H68" s="24">
        <v>300</v>
      </c>
      <c r="I68" s="25"/>
      <c r="J68" s="39"/>
      <c r="K68" s="18"/>
      <c r="L68" s="12"/>
    </row>
    <row r="69" spans="1:15" ht="13.5" customHeight="1" x14ac:dyDescent="0.2">
      <c r="A69" s="19"/>
      <c r="B69" s="20"/>
      <c r="C69" s="34" t="s">
        <v>2050</v>
      </c>
      <c r="D69" s="11"/>
      <c r="E69" s="12"/>
      <c r="F69" s="22"/>
      <c r="G69" s="23"/>
      <c r="H69" s="24">
        <v>300</v>
      </c>
      <c r="I69" s="25"/>
      <c r="J69" s="26"/>
      <c r="K69" s="18"/>
      <c r="L69" s="12"/>
    </row>
    <row r="70" spans="1:15" ht="13.5" customHeight="1" x14ac:dyDescent="0.2">
      <c r="A70" s="19"/>
      <c r="B70" s="20"/>
      <c r="C70" s="34" t="s">
        <v>1981</v>
      </c>
      <c r="D70" s="11"/>
      <c r="E70" s="12"/>
      <c r="F70" s="22"/>
      <c r="G70" s="23"/>
      <c r="H70" s="44">
        <v>4000</v>
      </c>
      <c r="I70" s="25"/>
      <c r="J70" s="26"/>
      <c r="K70" s="18"/>
      <c r="L70" s="12"/>
    </row>
    <row r="71" spans="1:15" ht="13.5" customHeight="1" x14ac:dyDescent="0.2">
      <c r="A71" s="19"/>
      <c r="B71" s="20"/>
      <c r="C71" s="34" t="s">
        <v>2218</v>
      </c>
      <c r="D71" s="11"/>
      <c r="E71" s="12"/>
      <c r="F71" s="22"/>
      <c r="G71" s="23"/>
      <c r="H71" s="24">
        <v>10.73</v>
      </c>
      <c r="I71" s="25"/>
      <c r="J71" s="26">
        <v>1324.860000000001</v>
      </c>
      <c r="K71" s="18"/>
      <c r="L71" s="12"/>
    </row>
    <row r="72" spans="1:15" ht="13.5" customHeight="1" x14ac:dyDescent="0.2">
      <c r="A72" s="19"/>
      <c r="B72" s="20"/>
      <c r="C72" s="34" t="s">
        <v>2219</v>
      </c>
      <c r="D72" s="11"/>
      <c r="E72" s="12"/>
      <c r="F72" s="409">
        <v>2500</v>
      </c>
      <c r="G72" s="23">
        <v>1712.98</v>
      </c>
      <c r="H72" s="24"/>
      <c r="I72" s="25"/>
      <c r="J72" s="26"/>
      <c r="K72" s="18"/>
      <c r="L72" s="12"/>
    </row>
    <row r="73" spans="1:15" ht="13.5" customHeight="1" x14ac:dyDescent="0.2">
      <c r="A73" s="19">
        <v>43630</v>
      </c>
      <c r="B73" s="20"/>
      <c r="C73" s="34" t="s">
        <v>2220</v>
      </c>
      <c r="D73" s="11"/>
      <c r="E73" s="12"/>
      <c r="F73" s="528"/>
      <c r="G73" s="23"/>
      <c r="H73" s="267"/>
      <c r="I73" s="25">
        <v>190</v>
      </c>
      <c r="J73" s="26"/>
      <c r="K73" s="18"/>
      <c r="L73" s="12"/>
      <c r="O73" s="529"/>
    </row>
    <row r="74" spans="1:15" ht="13.5" customHeight="1" x14ac:dyDescent="0.2">
      <c r="A74" s="19"/>
      <c r="B74" s="20"/>
      <c r="C74" s="34" t="s">
        <v>2221</v>
      </c>
      <c r="D74" s="11"/>
      <c r="E74" s="12"/>
      <c r="F74" s="528"/>
      <c r="G74" s="23"/>
      <c r="H74" s="267"/>
      <c r="I74" s="25">
        <v>2105.2800000000002</v>
      </c>
      <c r="J74" s="26"/>
      <c r="K74" s="18"/>
      <c r="L74" s="12"/>
      <c r="O74" s="529"/>
    </row>
    <row r="75" spans="1:15" ht="13.5" customHeight="1" x14ac:dyDescent="0.2">
      <c r="A75" s="19"/>
      <c r="B75" s="20"/>
      <c r="C75" s="34" t="s">
        <v>2222</v>
      </c>
      <c r="D75" s="11"/>
      <c r="E75" s="12"/>
      <c r="F75" s="528"/>
      <c r="G75" s="23"/>
      <c r="H75" s="267">
        <v>300</v>
      </c>
      <c r="I75" s="25"/>
      <c r="J75" s="26">
        <v>3320.1400000000012</v>
      </c>
      <c r="K75" s="18"/>
      <c r="L75" s="12"/>
      <c r="O75" s="529"/>
    </row>
    <row r="76" spans="1:15" ht="13.5" customHeight="1" x14ac:dyDescent="0.2">
      <c r="A76" s="19"/>
      <c r="B76" s="20"/>
      <c r="C76" s="34" t="s">
        <v>2223</v>
      </c>
      <c r="D76" s="11" t="s">
        <v>2207</v>
      </c>
      <c r="E76" s="12">
        <v>-750</v>
      </c>
      <c r="F76" s="528"/>
      <c r="G76" s="23"/>
      <c r="H76" s="267"/>
      <c r="I76" s="25"/>
      <c r="J76" s="26"/>
      <c r="K76" s="18"/>
      <c r="L76" s="12"/>
      <c r="O76" s="529"/>
    </row>
    <row r="77" spans="1:15" ht="13.5" customHeight="1" x14ac:dyDescent="0.2">
      <c r="A77" s="19"/>
      <c r="B77" s="20"/>
      <c r="C77" s="21" t="s">
        <v>113</v>
      </c>
      <c r="D77" s="11" t="s">
        <v>2224</v>
      </c>
      <c r="E77" s="12">
        <v>-267</v>
      </c>
      <c r="F77" s="528"/>
      <c r="G77" s="23"/>
      <c r="H77" s="267"/>
      <c r="I77" s="25"/>
      <c r="J77" s="26"/>
      <c r="K77" s="18"/>
      <c r="L77" s="12"/>
      <c r="O77" s="529"/>
    </row>
    <row r="78" spans="1:15" ht="13.5" customHeight="1" x14ac:dyDescent="0.2">
      <c r="A78" s="19"/>
      <c r="B78" s="20"/>
      <c r="C78" s="36" t="s">
        <v>20</v>
      </c>
      <c r="D78" s="11" t="s">
        <v>19</v>
      </c>
      <c r="E78" s="12" t="s">
        <v>549</v>
      </c>
      <c r="F78" s="528">
        <v>0.01</v>
      </c>
      <c r="G78" s="23">
        <v>695.99</v>
      </c>
      <c r="H78" s="267"/>
      <c r="I78" s="25"/>
      <c r="J78" s="26"/>
      <c r="K78" s="18"/>
      <c r="L78" s="12"/>
      <c r="O78" s="529"/>
    </row>
    <row r="79" spans="1:15" ht="13.5" customHeight="1" x14ac:dyDescent="0.2">
      <c r="A79" s="19">
        <v>43633</v>
      </c>
      <c r="B79" s="20"/>
      <c r="C79" s="34" t="s">
        <v>2225</v>
      </c>
      <c r="D79" s="11"/>
      <c r="E79" s="12"/>
      <c r="F79" s="528"/>
      <c r="G79" s="23"/>
      <c r="H79" s="267"/>
      <c r="I79" s="25">
        <v>525</v>
      </c>
      <c r="J79" s="26"/>
      <c r="K79" s="18"/>
      <c r="L79" s="12"/>
      <c r="O79" s="529"/>
    </row>
    <row r="80" spans="1:15" ht="13.5" customHeight="1" x14ac:dyDescent="0.2">
      <c r="A80" s="19"/>
      <c r="B80" s="20"/>
      <c r="C80" s="34" t="s">
        <v>2226</v>
      </c>
      <c r="D80" s="11"/>
      <c r="E80" s="12"/>
      <c r="F80" s="528"/>
      <c r="G80" s="23"/>
      <c r="H80" s="267"/>
      <c r="I80" s="25">
        <v>8059.75</v>
      </c>
      <c r="J80" s="26"/>
      <c r="K80" s="18"/>
      <c r="L80" s="12"/>
      <c r="O80" s="529"/>
    </row>
    <row r="81" spans="1:15" ht="13.5" customHeight="1" x14ac:dyDescent="0.2">
      <c r="A81" s="19"/>
      <c r="B81" s="20"/>
      <c r="C81" s="34" t="s">
        <v>2227</v>
      </c>
      <c r="D81" s="11"/>
      <c r="E81" s="12"/>
      <c r="F81" s="528"/>
      <c r="G81" s="23"/>
      <c r="H81" s="267"/>
      <c r="I81" s="25">
        <v>5195.88</v>
      </c>
      <c r="J81" s="26"/>
      <c r="K81" s="18"/>
      <c r="L81" s="12"/>
      <c r="O81" s="529"/>
    </row>
    <row r="82" spans="1:15" ht="13.5" customHeight="1" x14ac:dyDescent="0.2">
      <c r="A82" s="19"/>
      <c r="B82" s="20"/>
      <c r="C82" s="34" t="s">
        <v>2228</v>
      </c>
      <c r="D82" s="11"/>
      <c r="E82" s="12"/>
      <c r="F82" s="528"/>
      <c r="G82" s="23"/>
      <c r="H82" s="174">
        <v>8584.75</v>
      </c>
      <c r="I82" s="25"/>
      <c r="J82" s="26"/>
      <c r="K82" s="18"/>
      <c r="L82" s="12"/>
      <c r="O82" s="529"/>
    </row>
    <row r="83" spans="1:15" ht="13.5" customHeight="1" x14ac:dyDescent="0.2">
      <c r="A83" s="19"/>
      <c r="B83" s="20"/>
      <c r="C83" s="34" t="s">
        <v>2229</v>
      </c>
      <c r="D83" s="11"/>
      <c r="E83" s="12"/>
      <c r="F83" s="528"/>
      <c r="G83" s="23"/>
      <c r="H83" s="267">
        <v>27</v>
      </c>
      <c r="I83" s="25"/>
      <c r="J83" s="26"/>
      <c r="K83" s="18"/>
      <c r="L83" s="12"/>
      <c r="O83" s="529"/>
    </row>
    <row r="84" spans="1:15" ht="13.5" customHeight="1" x14ac:dyDescent="0.2">
      <c r="A84" s="19"/>
      <c r="B84" s="20"/>
      <c r="C84" s="34" t="s">
        <v>2230</v>
      </c>
      <c r="D84" s="11"/>
      <c r="E84" s="12"/>
      <c r="F84" s="528"/>
      <c r="G84" s="23"/>
      <c r="H84" s="267"/>
      <c r="I84" s="25">
        <v>203.5</v>
      </c>
      <c r="J84" s="26">
        <v>8692.52</v>
      </c>
      <c r="K84" s="18"/>
      <c r="L84" s="12"/>
      <c r="O84" s="529"/>
    </row>
    <row r="85" spans="1:15" ht="13.5" customHeight="1" x14ac:dyDescent="0.2">
      <c r="A85" s="19"/>
      <c r="B85" s="20"/>
      <c r="C85" s="34" t="s">
        <v>86</v>
      </c>
      <c r="D85" s="11" t="s">
        <v>19</v>
      </c>
      <c r="E85" s="12">
        <v>-75.900000000000006</v>
      </c>
      <c r="F85" s="528" t="s">
        <v>549</v>
      </c>
      <c r="G85" s="23">
        <v>620.09</v>
      </c>
      <c r="H85" s="267"/>
      <c r="I85" s="25"/>
      <c r="J85" s="26"/>
      <c r="K85" s="18"/>
      <c r="L85" s="12"/>
      <c r="O85" s="529"/>
    </row>
    <row r="86" spans="1:15" ht="13.5" customHeight="1" x14ac:dyDescent="0.2">
      <c r="A86" s="19"/>
      <c r="B86" s="20"/>
      <c r="C86" s="34" t="s">
        <v>2052</v>
      </c>
      <c r="D86" s="11" t="s">
        <v>478</v>
      </c>
      <c r="E86" s="12">
        <v>-119.99</v>
      </c>
      <c r="F86" s="528" t="s">
        <v>549</v>
      </c>
      <c r="G86" s="23">
        <v>500.1</v>
      </c>
      <c r="H86" s="267"/>
      <c r="I86" s="25"/>
      <c r="J86" s="26"/>
      <c r="K86" s="18"/>
      <c r="L86" s="12"/>
      <c r="O86" s="529"/>
    </row>
    <row r="87" spans="1:15" ht="13.5" customHeight="1" x14ac:dyDescent="0.2">
      <c r="A87" s="19"/>
      <c r="B87" s="20"/>
      <c r="C87" s="34" t="s">
        <v>18</v>
      </c>
      <c r="D87" s="11" t="s">
        <v>271</v>
      </c>
      <c r="E87" s="12">
        <v>-354.3</v>
      </c>
      <c r="F87" s="528" t="s">
        <v>549</v>
      </c>
      <c r="G87" s="23">
        <v>145.80000000000001</v>
      </c>
      <c r="H87" s="267"/>
      <c r="I87" s="25"/>
      <c r="J87" s="26"/>
      <c r="K87" s="18"/>
      <c r="L87" s="12"/>
      <c r="O87" s="529"/>
    </row>
    <row r="88" spans="1:15" ht="13.5" customHeight="1" x14ac:dyDescent="0.2">
      <c r="A88" s="19"/>
      <c r="B88" s="20"/>
      <c r="C88" s="33" t="s">
        <v>81</v>
      </c>
      <c r="D88" s="11" t="s">
        <v>19</v>
      </c>
      <c r="E88" s="12">
        <v>-49.9</v>
      </c>
      <c r="F88" s="528" t="s">
        <v>549</v>
      </c>
      <c r="G88" s="23">
        <v>95.9</v>
      </c>
      <c r="H88" s="267"/>
      <c r="I88" s="25"/>
      <c r="J88" s="26"/>
      <c r="K88" s="18"/>
      <c r="L88" s="12"/>
      <c r="O88" s="529"/>
    </row>
    <row r="89" spans="1:15" ht="13.5" customHeight="1" x14ac:dyDescent="0.2">
      <c r="A89" s="19"/>
      <c r="B89" s="20"/>
      <c r="C89" s="34" t="s">
        <v>673</v>
      </c>
      <c r="D89" s="11" t="s">
        <v>19</v>
      </c>
      <c r="E89" s="12">
        <v>-99.98</v>
      </c>
      <c r="F89" s="528" t="s">
        <v>549</v>
      </c>
      <c r="G89" s="23">
        <v>-4.08</v>
      </c>
      <c r="H89" s="267"/>
      <c r="I89" s="25"/>
      <c r="J89" s="26"/>
      <c r="K89" s="18"/>
      <c r="L89" s="12"/>
      <c r="O89" s="529"/>
    </row>
    <row r="90" spans="1:15" ht="13.5" customHeight="1" x14ac:dyDescent="0.2">
      <c r="A90" s="19"/>
      <c r="B90" s="20"/>
      <c r="C90" s="34" t="s">
        <v>1625</v>
      </c>
      <c r="D90" s="11" t="s">
        <v>2231</v>
      </c>
      <c r="E90" s="12" t="s">
        <v>549</v>
      </c>
      <c r="F90" s="162">
        <v>4000</v>
      </c>
      <c r="G90" s="23">
        <v>3995.92</v>
      </c>
      <c r="H90" s="267"/>
      <c r="I90" s="25"/>
      <c r="J90" s="26"/>
      <c r="K90" s="18"/>
      <c r="L90" s="12"/>
      <c r="O90" s="529"/>
    </row>
    <row r="91" spans="1:15" ht="13.5" customHeight="1" x14ac:dyDescent="0.2">
      <c r="A91" s="19">
        <v>43634</v>
      </c>
      <c r="B91" s="20"/>
      <c r="C91" s="34" t="s">
        <v>2232</v>
      </c>
      <c r="D91" s="11"/>
      <c r="E91" s="12"/>
      <c r="F91" s="528"/>
      <c r="G91" s="23"/>
      <c r="H91" s="267"/>
      <c r="I91" s="25">
        <v>224.66</v>
      </c>
      <c r="J91" s="26"/>
      <c r="K91" s="18"/>
      <c r="L91" s="12"/>
      <c r="O91" s="529"/>
    </row>
    <row r="92" spans="1:15" ht="13.5" customHeight="1" x14ac:dyDescent="0.2">
      <c r="A92" s="19"/>
      <c r="B92" s="20"/>
      <c r="C92" s="34" t="s">
        <v>2233</v>
      </c>
      <c r="D92" s="11"/>
      <c r="E92" s="12"/>
      <c r="F92" s="528"/>
      <c r="G92" s="23"/>
      <c r="H92" s="267"/>
      <c r="I92" s="25">
        <v>1130</v>
      </c>
      <c r="J92" s="26">
        <v>10047.18</v>
      </c>
      <c r="K92" s="18"/>
      <c r="L92" s="12"/>
      <c r="O92" s="529"/>
    </row>
    <row r="93" spans="1:15" ht="13.5" customHeight="1" x14ac:dyDescent="0.2">
      <c r="A93" s="19"/>
      <c r="B93" s="20"/>
      <c r="C93" s="34" t="s">
        <v>2234</v>
      </c>
      <c r="D93" s="11" t="s">
        <v>2235</v>
      </c>
      <c r="E93" s="12">
        <v>-700</v>
      </c>
      <c r="F93" s="528" t="s">
        <v>549</v>
      </c>
      <c r="G93" s="23"/>
      <c r="H93" s="267"/>
      <c r="I93" s="25"/>
      <c r="J93" s="26"/>
      <c r="K93" s="18"/>
      <c r="L93" s="12"/>
      <c r="O93" s="529"/>
    </row>
    <row r="94" spans="1:15" ht="13.5" customHeight="1" x14ac:dyDescent="0.2">
      <c r="A94" s="19"/>
      <c r="B94" s="20"/>
      <c r="C94" s="36" t="s">
        <v>20</v>
      </c>
      <c r="D94" s="11" t="s">
        <v>19</v>
      </c>
      <c r="E94" s="12" t="s">
        <v>549</v>
      </c>
      <c r="F94" s="528">
        <v>0.01</v>
      </c>
      <c r="G94" s="23">
        <v>3295.93</v>
      </c>
      <c r="H94" s="267"/>
      <c r="I94" s="25"/>
      <c r="J94" s="26"/>
      <c r="K94" s="18"/>
      <c r="L94" s="12"/>
      <c r="O94" s="529"/>
    </row>
    <row r="95" spans="1:15" ht="13.5" customHeight="1" x14ac:dyDescent="0.2">
      <c r="A95" s="19">
        <v>43635</v>
      </c>
      <c r="B95" s="20"/>
      <c r="C95" s="34" t="s">
        <v>2236</v>
      </c>
      <c r="D95" s="11"/>
      <c r="E95" s="12"/>
      <c r="F95" s="22"/>
      <c r="G95" s="23"/>
      <c r="H95" s="24"/>
      <c r="I95" s="25">
        <v>1058.6300000000001</v>
      </c>
      <c r="J95" s="26"/>
      <c r="K95" s="18"/>
      <c r="L95" s="12"/>
    </row>
    <row r="96" spans="1:15" ht="13.5" customHeight="1" x14ac:dyDescent="0.2">
      <c r="A96" s="19"/>
      <c r="B96" s="20"/>
      <c r="C96" s="34" t="s">
        <v>2237</v>
      </c>
      <c r="D96" s="11"/>
      <c r="E96" s="12"/>
      <c r="F96" s="22"/>
      <c r="G96" s="23"/>
      <c r="H96" s="24">
        <v>793.85</v>
      </c>
      <c r="I96" s="25"/>
      <c r="J96" s="26"/>
      <c r="K96" s="18"/>
      <c r="L96" s="12"/>
    </row>
    <row r="97" spans="1:15" ht="13.5" customHeight="1" x14ac:dyDescent="0.2">
      <c r="A97" s="19"/>
      <c r="B97" s="20"/>
      <c r="C97" s="34" t="s">
        <v>2238</v>
      </c>
      <c r="D97" s="11"/>
      <c r="E97" s="12"/>
      <c r="F97" s="22"/>
      <c r="G97" s="23"/>
      <c r="H97" s="24">
        <v>421.52</v>
      </c>
      <c r="I97" s="25"/>
      <c r="J97" s="26"/>
      <c r="K97" s="18"/>
      <c r="L97" s="12"/>
    </row>
    <row r="98" spans="1:15" ht="13.5" customHeight="1" x14ac:dyDescent="0.2">
      <c r="A98" s="19"/>
      <c r="B98" s="20"/>
      <c r="C98" s="34" t="s">
        <v>2101</v>
      </c>
      <c r="D98" s="11"/>
      <c r="E98" s="12"/>
      <c r="F98" s="22"/>
      <c r="G98" s="23"/>
      <c r="H98" s="24">
        <v>150</v>
      </c>
      <c r="I98" s="25"/>
      <c r="J98" s="26"/>
      <c r="K98" s="18"/>
      <c r="L98" s="12"/>
    </row>
    <row r="99" spans="1:15" ht="13.5" customHeight="1" x14ac:dyDescent="0.2">
      <c r="A99" s="19"/>
      <c r="B99" s="20"/>
      <c r="C99" s="34" t="s">
        <v>2239</v>
      </c>
      <c r="D99" s="11"/>
      <c r="E99" s="12"/>
      <c r="F99" s="22"/>
      <c r="G99" s="23"/>
      <c r="H99" s="24">
        <v>75</v>
      </c>
      <c r="I99" s="25"/>
      <c r="J99" s="26">
        <v>9665.44</v>
      </c>
      <c r="K99" s="18"/>
      <c r="L99" s="12"/>
    </row>
    <row r="100" spans="1:15" ht="13.5" customHeight="1" x14ac:dyDescent="0.2">
      <c r="A100" s="19">
        <v>43637</v>
      </c>
      <c r="B100" s="20"/>
      <c r="C100" s="34" t="s">
        <v>2240</v>
      </c>
      <c r="D100" s="11"/>
      <c r="E100" s="12"/>
      <c r="F100" s="22"/>
      <c r="G100" s="23"/>
      <c r="H100" s="24">
        <v>125</v>
      </c>
      <c r="I100" s="25"/>
      <c r="J100" s="26"/>
      <c r="K100" s="18"/>
      <c r="L100" s="12"/>
    </row>
    <row r="101" spans="1:15" ht="13.5" customHeight="1" x14ac:dyDescent="0.2">
      <c r="A101" s="19"/>
      <c r="B101" s="20"/>
      <c r="C101" s="34" t="s">
        <v>2241</v>
      </c>
      <c r="D101" s="11"/>
      <c r="E101" s="12"/>
      <c r="F101" s="22"/>
      <c r="G101" s="23"/>
      <c r="H101" s="174">
        <v>428.16</v>
      </c>
      <c r="I101" s="25"/>
      <c r="J101" s="26"/>
      <c r="K101" s="18"/>
      <c r="L101" s="12"/>
    </row>
    <row r="102" spans="1:15" ht="13.5" customHeight="1" x14ac:dyDescent="0.2">
      <c r="A102" s="19"/>
      <c r="B102" s="20"/>
      <c r="C102" s="34" t="s">
        <v>1981</v>
      </c>
      <c r="D102" s="11"/>
      <c r="E102" s="12"/>
      <c r="F102" s="22"/>
      <c r="G102" s="23"/>
      <c r="H102" s="44">
        <v>5000</v>
      </c>
      <c r="I102" s="25"/>
      <c r="J102" s="26"/>
      <c r="K102" s="18"/>
      <c r="L102" s="12"/>
    </row>
    <row r="103" spans="1:15" ht="13.5" customHeight="1" x14ac:dyDescent="0.2">
      <c r="A103" s="19"/>
      <c r="B103" s="20"/>
      <c r="C103" s="34" t="s">
        <v>2242</v>
      </c>
      <c r="D103" s="11"/>
      <c r="E103" s="12"/>
      <c r="F103" s="22"/>
      <c r="G103" s="23"/>
      <c r="H103" s="24">
        <v>400</v>
      </c>
      <c r="I103" s="25"/>
      <c r="J103" s="26"/>
      <c r="K103" s="18"/>
      <c r="L103" s="12"/>
    </row>
    <row r="104" spans="1:15" ht="13.5" customHeight="1" x14ac:dyDescent="0.2">
      <c r="A104" s="19"/>
      <c r="B104" s="20"/>
      <c r="C104" s="34" t="s">
        <v>1686</v>
      </c>
      <c r="D104" s="11"/>
      <c r="E104" s="12"/>
      <c r="F104" s="22"/>
      <c r="G104" s="23"/>
      <c r="H104" s="24">
        <v>30.74</v>
      </c>
      <c r="I104" s="25"/>
      <c r="J104" s="26">
        <v>3681.5400000000009</v>
      </c>
      <c r="K104" s="18"/>
      <c r="L104" s="12"/>
    </row>
    <row r="105" spans="1:15" ht="13.5" customHeight="1" x14ac:dyDescent="0.2">
      <c r="A105" s="19"/>
      <c r="B105" s="20"/>
      <c r="C105" s="34" t="s">
        <v>132</v>
      </c>
      <c r="D105" s="11" t="s">
        <v>478</v>
      </c>
      <c r="E105" s="12">
        <v>-2157.04</v>
      </c>
      <c r="F105" s="528" t="s">
        <v>549</v>
      </c>
      <c r="G105" s="23"/>
      <c r="H105" s="267"/>
      <c r="I105" s="25"/>
      <c r="J105" s="26"/>
      <c r="K105" s="18"/>
      <c r="L105" s="12"/>
      <c r="O105" s="529"/>
    </row>
    <row r="106" spans="1:15" ht="13.5" customHeight="1" x14ac:dyDescent="0.2">
      <c r="A106" s="19"/>
      <c r="B106" s="20"/>
      <c r="C106" s="34" t="s">
        <v>2243</v>
      </c>
      <c r="D106" s="11" t="s">
        <v>2244</v>
      </c>
      <c r="E106" s="12">
        <v>-119.9</v>
      </c>
      <c r="F106" s="528" t="s">
        <v>549</v>
      </c>
      <c r="G106" s="23"/>
      <c r="H106" s="267"/>
      <c r="I106" s="25"/>
      <c r="J106" s="26"/>
      <c r="K106" s="18"/>
      <c r="L106" s="12"/>
      <c r="O106" s="529"/>
    </row>
    <row r="107" spans="1:15" ht="13.5" customHeight="1" x14ac:dyDescent="0.2">
      <c r="A107" s="19"/>
      <c r="B107" s="20"/>
      <c r="C107" s="34" t="s">
        <v>2241</v>
      </c>
      <c r="D107" s="11" t="s">
        <v>2245</v>
      </c>
      <c r="E107" s="12" t="s">
        <v>549</v>
      </c>
      <c r="F107" s="162">
        <v>428.16</v>
      </c>
      <c r="G107" s="23"/>
      <c r="H107" s="267"/>
      <c r="I107" s="25"/>
      <c r="J107" s="26"/>
      <c r="K107" s="18"/>
      <c r="L107" s="12"/>
      <c r="O107" s="529"/>
    </row>
    <row r="108" spans="1:15" ht="13.5" customHeight="1" x14ac:dyDescent="0.2">
      <c r="A108" s="19"/>
      <c r="B108" s="20"/>
      <c r="C108" s="36" t="s">
        <v>20</v>
      </c>
      <c r="D108" s="11" t="s">
        <v>19</v>
      </c>
      <c r="E108" s="12" t="s">
        <v>549</v>
      </c>
      <c r="F108" s="528">
        <v>0.01</v>
      </c>
      <c r="G108" s="23">
        <v>1447.16</v>
      </c>
      <c r="H108" s="267"/>
      <c r="I108" s="25"/>
      <c r="J108" s="26"/>
      <c r="K108" s="18"/>
      <c r="L108" s="12"/>
      <c r="O108" s="529"/>
    </row>
    <row r="109" spans="1:15" ht="13.5" customHeight="1" x14ac:dyDescent="0.2">
      <c r="A109" s="19">
        <v>43640</v>
      </c>
      <c r="B109" s="20"/>
      <c r="C109" s="34" t="s">
        <v>2246</v>
      </c>
      <c r="D109" s="11"/>
      <c r="E109" s="12"/>
      <c r="F109" s="22"/>
      <c r="G109" s="23"/>
      <c r="H109" s="24">
        <v>20</v>
      </c>
      <c r="I109" s="25"/>
      <c r="J109" s="26"/>
      <c r="K109" s="18"/>
      <c r="L109" s="12"/>
    </row>
    <row r="110" spans="1:15" ht="13.5" customHeight="1" x14ac:dyDescent="0.2">
      <c r="A110" s="19"/>
      <c r="B110" s="20"/>
      <c r="C110" s="34" t="s">
        <v>2247</v>
      </c>
      <c r="D110" s="11"/>
      <c r="E110" s="12"/>
      <c r="F110" s="22"/>
      <c r="G110" s="23"/>
      <c r="H110" s="24">
        <v>65</v>
      </c>
      <c r="I110" s="25"/>
      <c r="J110" s="26"/>
      <c r="K110" s="18"/>
      <c r="L110" s="12"/>
    </row>
    <row r="111" spans="1:15" ht="13.5" customHeight="1" x14ac:dyDescent="0.2">
      <c r="A111" s="19"/>
      <c r="B111" s="20"/>
      <c r="C111" s="34" t="s">
        <v>1666</v>
      </c>
      <c r="D111" s="11"/>
      <c r="E111" s="12"/>
      <c r="F111" s="22"/>
      <c r="G111" s="23"/>
      <c r="H111" s="24">
        <v>55.9</v>
      </c>
      <c r="I111" s="25"/>
      <c r="J111" s="26"/>
      <c r="K111" s="18"/>
      <c r="L111" s="12"/>
    </row>
    <row r="112" spans="1:15" ht="13.5" customHeight="1" x14ac:dyDescent="0.2">
      <c r="A112" s="19"/>
      <c r="B112" s="20"/>
      <c r="C112" s="34" t="s">
        <v>2248</v>
      </c>
      <c r="D112" s="11"/>
      <c r="E112" s="12"/>
      <c r="F112" s="22"/>
      <c r="G112" s="23"/>
      <c r="H112" s="24">
        <v>156</v>
      </c>
      <c r="I112" s="25"/>
      <c r="J112" s="26"/>
      <c r="K112" s="18"/>
      <c r="L112" s="12"/>
    </row>
    <row r="113" spans="1:12" ht="13.5" customHeight="1" x14ac:dyDescent="0.2">
      <c r="A113" s="19"/>
      <c r="B113" s="20"/>
      <c r="C113" s="34" t="s">
        <v>2249</v>
      </c>
      <c r="D113" s="11"/>
      <c r="E113" s="12"/>
      <c r="F113" s="22"/>
      <c r="G113" s="23"/>
      <c r="H113" s="24">
        <v>13.9</v>
      </c>
      <c r="I113" s="25"/>
      <c r="J113" s="26"/>
      <c r="K113" s="18"/>
      <c r="L113" s="12"/>
    </row>
    <row r="114" spans="1:12" ht="13.5" customHeight="1" x14ac:dyDescent="0.2">
      <c r="A114" s="19"/>
      <c r="B114" s="20"/>
      <c r="C114" s="34" t="s">
        <v>2250</v>
      </c>
      <c r="D114" s="11"/>
      <c r="E114" s="12"/>
      <c r="F114" s="22"/>
      <c r="G114" s="23"/>
      <c r="H114" s="24">
        <v>1.61</v>
      </c>
      <c r="I114" s="25"/>
      <c r="J114" s="26"/>
      <c r="K114" s="18"/>
      <c r="L114" s="12"/>
    </row>
    <row r="115" spans="1:12" ht="13.5" customHeight="1" x14ac:dyDescent="0.2">
      <c r="A115" s="19"/>
      <c r="B115" s="20"/>
      <c r="C115" s="34" t="s">
        <v>1834</v>
      </c>
      <c r="D115" s="11"/>
      <c r="E115" s="12"/>
      <c r="F115" s="22"/>
      <c r="G115" s="23"/>
      <c r="H115" s="24">
        <v>28.5</v>
      </c>
      <c r="I115" s="25"/>
      <c r="J115" s="26"/>
      <c r="K115" s="18"/>
      <c r="L115" s="12"/>
    </row>
    <row r="116" spans="1:12" ht="13.5" customHeight="1" x14ac:dyDescent="0.2">
      <c r="A116" s="19"/>
      <c r="B116" s="20"/>
      <c r="C116" s="34" t="s">
        <v>2251</v>
      </c>
      <c r="D116" s="11"/>
      <c r="E116" s="12"/>
      <c r="F116" s="22"/>
      <c r="G116" s="23"/>
      <c r="H116" s="24">
        <v>2.4500000000000002</v>
      </c>
      <c r="I116" s="25"/>
      <c r="J116" s="26"/>
      <c r="K116" s="18"/>
      <c r="L116" s="12"/>
    </row>
    <row r="117" spans="1:12" ht="13.5" customHeight="1" x14ac:dyDescent="0.2">
      <c r="A117" s="19"/>
      <c r="B117" s="20"/>
      <c r="C117" s="34" t="s">
        <v>2252</v>
      </c>
      <c r="D117" s="11"/>
      <c r="E117" s="12"/>
      <c r="F117" s="22"/>
      <c r="G117" s="23"/>
      <c r="H117" s="24">
        <v>32.31</v>
      </c>
      <c r="I117" s="25"/>
      <c r="J117" s="26"/>
      <c r="K117" s="18"/>
      <c r="L117" s="12"/>
    </row>
    <row r="118" spans="1:12" ht="13.5" customHeight="1" x14ac:dyDescent="0.2">
      <c r="A118" s="19"/>
      <c r="B118" s="20"/>
      <c r="C118" s="34" t="s">
        <v>2253</v>
      </c>
      <c r="D118" s="11"/>
      <c r="E118" s="12"/>
      <c r="F118" s="22"/>
      <c r="G118" s="23"/>
      <c r="H118" s="24">
        <v>3.85</v>
      </c>
      <c r="I118" s="25"/>
      <c r="J118" s="26"/>
      <c r="K118" s="18"/>
      <c r="L118" s="12"/>
    </row>
    <row r="119" spans="1:12" ht="13.5" customHeight="1" x14ac:dyDescent="0.2">
      <c r="A119" s="19"/>
      <c r="B119" s="20"/>
      <c r="C119" s="34" t="s">
        <v>2254</v>
      </c>
      <c r="D119" s="11"/>
      <c r="E119" s="12"/>
      <c r="F119" s="22"/>
      <c r="G119" s="23"/>
      <c r="H119" s="24">
        <v>20</v>
      </c>
      <c r="I119" s="25"/>
      <c r="J119" s="26"/>
      <c r="K119" s="18"/>
      <c r="L119" s="12"/>
    </row>
    <row r="120" spans="1:12" ht="13.5" customHeight="1" x14ac:dyDescent="0.2">
      <c r="A120" s="19"/>
      <c r="B120" s="20"/>
      <c r="C120" s="34" t="s">
        <v>2255</v>
      </c>
      <c r="D120" s="11"/>
      <c r="E120" s="12"/>
      <c r="F120" s="22"/>
      <c r="G120" s="23"/>
      <c r="H120" s="24">
        <v>9.6999999999999993</v>
      </c>
      <c r="I120" s="25"/>
      <c r="J120" s="26"/>
      <c r="K120" s="18"/>
      <c r="L120" s="12"/>
    </row>
    <row r="121" spans="1:12" ht="13.5" customHeight="1" x14ac:dyDescent="0.2">
      <c r="A121" s="19"/>
      <c r="B121" s="20"/>
      <c r="C121" s="34" t="s">
        <v>2256</v>
      </c>
      <c r="D121" s="11"/>
      <c r="E121" s="12"/>
      <c r="F121" s="22"/>
      <c r="G121" s="23"/>
      <c r="H121" s="24">
        <v>9.5</v>
      </c>
      <c r="I121" s="25"/>
      <c r="J121" s="26"/>
      <c r="K121" s="18"/>
      <c r="L121" s="12"/>
    </row>
    <row r="122" spans="1:12" ht="13.5" customHeight="1" x14ac:dyDescent="0.2">
      <c r="A122" s="19"/>
      <c r="B122" s="20"/>
      <c r="C122" s="34" t="s">
        <v>2257</v>
      </c>
      <c r="D122" s="11"/>
      <c r="E122" s="12"/>
      <c r="F122" s="22"/>
      <c r="G122" s="23"/>
      <c r="H122" s="24">
        <v>4</v>
      </c>
      <c r="I122" s="25"/>
      <c r="J122" s="26"/>
      <c r="K122" s="18"/>
      <c r="L122" s="12"/>
    </row>
    <row r="123" spans="1:12" ht="13.5" customHeight="1" x14ac:dyDescent="0.2">
      <c r="A123" s="19"/>
      <c r="B123" s="20"/>
      <c r="C123" s="34" t="s">
        <v>2258</v>
      </c>
      <c r="D123" s="11"/>
      <c r="E123" s="12"/>
      <c r="F123" s="22"/>
      <c r="G123" s="23"/>
      <c r="H123" s="24">
        <v>19</v>
      </c>
      <c r="I123" s="25"/>
      <c r="J123" s="26"/>
      <c r="K123" s="18"/>
      <c r="L123" s="12"/>
    </row>
    <row r="124" spans="1:12" ht="13.5" customHeight="1" x14ac:dyDescent="0.2">
      <c r="A124" s="19"/>
      <c r="B124" s="20"/>
      <c r="C124" s="34" t="s">
        <v>2259</v>
      </c>
      <c r="D124" s="11"/>
      <c r="E124" s="12"/>
      <c r="F124" s="22"/>
      <c r="G124" s="23"/>
      <c r="H124" s="24">
        <v>6.5</v>
      </c>
      <c r="I124" s="25"/>
      <c r="J124" s="26"/>
      <c r="K124" s="18"/>
      <c r="L124" s="12"/>
    </row>
    <row r="125" spans="1:12" ht="13.5" customHeight="1" x14ac:dyDescent="0.2">
      <c r="A125" s="19"/>
      <c r="B125" s="20"/>
      <c r="C125" s="34" t="s">
        <v>2260</v>
      </c>
      <c r="D125" s="11"/>
      <c r="E125" s="12"/>
      <c r="F125" s="22"/>
      <c r="G125" s="23"/>
      <c r="H125" s="24">
        <v>4.99</v>
      </c>
      <c r="I125" s="25"/>
      <c r="J125" s="26"/>
      <c r="K125" s="18"/>
      <c r="L125" s="12"/>
    </row>
    <row r="126" spans="1:12" ht="13.5" customHeight="1" x14ac:dyDescent="0.2">
      <c r="A126" s="19"/>
      <c r="B126" s="20"/>
      <c r="C126" s="34" t="s">
        <v>2261</v>
      </c>
      <c r="D126" s="11"/>
      <c r="E126" s="12"/>
      <c r="F126" s="22"/>
      <c r="G126" s="23"/>
      <c r="H126" s="24">
        <v>24.88</v>
      </c>
      <c r="I126" s="25"/>
      <c r="J126" s="26"/>
      <c r="K126" s="18"/>
      <c r="L126" s="12"/>
    </row>
    <row r="127" spans="1:12" ht="13.5" customHeight="1" x14ac:dyDescent="0.2">
      <c r="A127" s="19"/>
      <c r="B127" s="20"/>
      <c r="C127" s="34" t="s">
        <v>2262</v>
      </c>
      <c r="D127" s="11"/>
      <c r="E127" s="12"/>
      <c r="F127" s="22"/>
      <c r="G127" s="23"/>
      <c r="H127" s="24">
        <v>3.8</v>
      </c>
      <c r="I127" s="25"/>
      <c r="J127" s="26"/>
      <c r="K127" s="18"/>
      <c r="L127" s="12"/>
    </row>
    <row r="128" spans="1:12" ht="13.5" customHeight="1" x14ac:dyDescent="0.2">
      <c r="A128" s="19"/>
      <c r="B128" s="20"/>
      <c r="C128" s="34" t="s">
        <v>2263</v>
      </c>
      <c r="D128" s="11"/>
      <c r="E128" s="12"/>
      <c r="F128" s="22"/>
      <c r="G128" s="23"/>
      <c r="H128" s="24">
        <v>15.52</v>
      </c>
      <c r="I128" s="25"/>
      <c r="J128" s="26"/>
      <c r="K128" s="18"/>
      <c r="L128" s="12"/>
    </row>
    <row r="129" spans="1:15" ht="13.5" customHeight="1" x14ac:dyDescent="0.2">
      <c r="A129" s="19"/>
      <c r="B129" s="20"/>
      <c r="C129" s="34" t="s">
        <v>2264</v>
      </c>
      <c r="D129" s="11"/>
      <c r="E129" s="12"/>
      <c r="F129" s="22"/>
      <c r="G129" s="23"/>
      <c r="H129" s="24">
        <v>9.9600000000000009</v>
      </c>
      <c r="I129" s="25"/>
      <c r="J129" s="26"/>
      <c r="K129" s="18"/>
      <c r="L129" s="12"/>
    </row>
    <row r="130" spans="1:15" ht="13.5" customHeight="1" x14ac:dyDescent="0.2">
      <c r="A130" s="19"/>
      <c r="B130" s="20"/>
      <c r="C130" s="34" t="s">
        <v>1834</v>
      </c>
      <c r="D130" s="11"/>
      <c r="E130" s="12"/>
      <c r="F130" s="22"/>
      <c r="G130" s="23"/>
      <c r="H130" s="24">
        <v>14.4</v>
      </c>
      <c r="I130" s="25"/>
      <c r="J130" s="26"/>
      <c r="K130" s="18"/>
      <c r="L130" s="12"/>
    </row>
    <row r="131" spans="1:15" ht="13.5" customHeight="1" x14ac:dyDescent="0.2">
      <c r="A131" s="19"/>
      <c r="B131" s="20"/>
      <c r="C131" s="34" t="s">
        <v>2265</v>
      </c>
      <c r="D131" s="11"/>
      <c r="E131" s="12"/>
      <c r="F131" s="22"/>
      <c r="G131" s="23"/>
      <c r="H131" s="24">
        <v>60</v>
      </c>
      <c r="I131" s="25"/>
      <c r="J131" s="26">
        <v>3099.7700000000009</v>
      </c>
      <c r="K131" s="18"/>
      <c r="L131" s="12"/>
    </row>
    <row r="132" spans="1:15" ht="13.5" customHeight="1" x14ac:dyDescent="0.2">
      <c r="A132" s="19"/>
      <c r="B132" s="20"/>
      <c r="C132" s="36" t="s">
        <v>127</v>
      </c>
      <c r="D132" s="11" t="s">
        <v>19</v>
      </c>
      <c r="E132" s="12">
        <v>-31.25</v>
      </c>
      <c r="F132" s="528" t="s">
        <v>549</v>
      </c>
      <c r="G132" s="23"/>
      <c r="H132" s="267"/>
      <c r="I132" s="25"/>
      <c r="J132" s="26"/>
      <c r="K132" s="18"/>
      <c r="L132" s="12"/>
      <c r="O132" s="529"/>
    </row>
    <row r="133" spans="1:15" ht="13.5" customHeight="1" x14ac:dyDescent="0.2">
      <c r="A133" s="19"/>
      <c r="B133" s="20"/>
      <c r="C133" s="33" t="s">
        <v>736</v>
      </c>
      <c r="D133" s="11" t="s">
        <v>19</v>
      </c>
      <c r="E133" s="12">
        <v>-41.66</v>
      </c>
      <c r="F133" s="528" t="s">
        <v>549</v>
      </c>
      <c r="G133" s="23"/>
      <c r="H133" s="267"/>
      <c r="I133" s="25"/>
      <c r="J133" s="26"/>
      <c r="K133" s="18"/>
      <c r="L133" s="12"/>
      <c r="O133" s="529"/>
    </row>
    <row r="134" spans="1:15" ht="13.5" customHeight="1" x14ac:dyDescent="0.2">
      <c r="A134" s="19"/>
      <c r="B134" s="20"/>
      <c r="C134" s="36" t="s">
        <v>129</v>
      </c>
      <c r="D134" s="11" t="s">
        <v>19</v>
      </c>
      <c r="E134" s="12">
        <v>-50</v>
      </c>
      <c r="F134" s="528" t="s">
        <v>549</v>
      </c>
      <c r="G134" s="23"/>
      <c r="H134" s="267"/>
      <c r="I134" s="25"/>
      <c r="J134" s="26"/>
      <c r="K134" s="18"/>
      <c r="L134" s="12"/>
      <c r="O134" s="529"/>
    </row>
    <row r="135" spans="1:15" ht="13.5" customHeight="1" x14ac:dyDescent="0.2">
      <c r="A135" s="19"/>
      <c r="B135" s="20"/>
      <c r="C135" s="36" t="s">
        <v>130</v>
      </c>
      <c r="D135" s="11" t="s">
        <v>19</v>
      </c>
      <c r="E135" s="12">
        <v>-141.29</v>
      </c>
      <c r="F135" s="528" t="s">
        <v>549</v>
      </c>
      <c r="G135" s="23"/>
      <c r="H135" s="267"/>
      <c r="I135" s="25"/>
      <c r="J135" s="26"/>
      <c r="K135" s="18"/>
      <c r="L135" s="12"/>
      <c r="O135" s="529"/>
    </row>
    <row r="136" spans="1:15" ht="13.5" customHeight="1" x14ac:dyDescent="0.2">
      <c r="A136" s="19"/>
      <c r="B136" s="20"/>
      <c r="C136" s="33" t="s">
        <v>737</v>
      </c>
      <c r="D136" s="11" t="s">
        <v>19</v>
      </c>
      <c r="E136" s="12">
        <v>-160.94</v>
      </c>
      <c r="F136" s="528" t="s">
        <v>549</v>
      </c>
      <c r="G136" s="23"/>
      <c r="H136" s="267"/>
      <c r="I136" s="25"/>
      <c r="J136" s="26"/>
      <c r="K136" s="18"/>
      <c r="L136" s="12"/>
      <c r="O136" s="529"/>
    </row>
    <row r="137" spans="1:15" ht="13.5" customHeight="1" x14ac:dyDescent="0.2">
      <c r="A137" s="19"/>
      <c r="B137" s="20"/>
      <c r="C137" s="34" t="s">
        <v>2266</v>
      </c>
      <c r="D137" s="11" t="s">
        <v>2267</v>
      </c>
      <c r="E137" s="12">
        <v>-44.16</v>
      </c>
      <c r="F137" s="22" t="s">
        <v>549</v>
      </c>
      <c r="G137" s="23"/>
      <c r="H137" s="24"/>
      <c r="I137" s="25"/>
      <c r="J137" s="26"/>
      <c r="K137" s="18"/>
      <c r="L137" s="12"/>
    </row>
    <row r="138" spans="1:15" ht="13.5" customHeight="1" x14ac:dyDescent="0.2">
      <c r="A138" s="19"/>
      <c r="B138" s="20"/>
      <c r="C138" s="34" t="s">
        <v>2268</v>
      </c>
      <c r="D138" s="11" t="s">
        <v>1451</v>
      </c>
      <c r="E138" s="12">
        <v>-44.53</v>
      </c>
      <c r="F138" s="22" t="s">
        <v>549</v>
      </c>
      <c r="G138" s="23"/>
      <c r="H138" s="24"/>
      <c r="I138" s="25"/>
      <c r="J138" s="26"/>
      <c r="K138" s="18"/>
      <c r="L138" s="12"/>
    </row>
    <row r="139" spans="1:15" ht="13.5" customHeight="1" x14ac:dyDescent="0.2">
      <c r="A139" s="19"/>
      <c r="B139" s="20"/>
      <c r="C139" s="36" t="s">
        <v>20</v>
      </c>
      <c r="D139" s="11"/>
      <c r="E139" s="12"/>
      <c r="F139" s="22">
        <v>0.01</v>
      </c>
      <c r="G139" s="23">
        <v>933.34</v>
      </c>
      <c r="H139" s="24"/>
      <c r="I139" s="25"/>
      <c r="J139" s="26"/>
      <c r="K139" s="18"/>
      <c r="L139" s="12"/>
    </row>
    <row r="140" spans="1:15" ht="13.5" customHeight="1" x14ac:dyDescent="0.2">
      <c r="A140" s="19" t="s">
        <v>2269</v>
      </c>
      <c r="B140" s="20"/>
      <c r="C140" s="34" t="s">
        <v>2270</v>
      </c>
      <c r="D140" s="11" t="s">
        <v>19</v>
      </c>
      <c r="E140" s="12">
        <v>-86.24</v>
      </c>
      <c r="F140" s="22" t="s">
        <v>549</v>
      </c>
      <c r="G140" s="23">
        <v>847.1</v>
      </c>
      <c r="H140" s="24"/>
      <c r="I140" s="25"/>
      <c r="J140" s="26"/>
      <c r="K140" s="18"/>
      <c r="L140" s="12"/>
    </row>
    <row r="141" spans="1:15" ht="13.5" customHeight="1" x14ac:dyDescent="0.2">
      <c r="A141" s="19">
        <v>43642</v>
      </c>
      <c r="B141" s="20"/>
      <c r="C141" s="34" t="s">
        <v>2271</v>
      </c>
      <c r="D141" s="11"/>
      <c r="E141" s="12"/>
      <c r="F141" s="22"/>
      <c r="G141" s="23"/>
      <c r="H141" s="24">
        <v>4</v>
      </c>
      <c r="I141" s="25"/>
      <c r="J141" s="26"/>
      <c r="K141" s="18"/>
      <c r="L141" s="12"/>
    </row>
    <row r="142" spans="1:15" ht="13.5" customHeight="1" x14ac:dyDescent="0.2">
      <c r="A142" s="19"/>
      <c r="B142" s="20"/>
      <c r="C142" s="34" t="s">
        <v>2272</v>
      </c>
      <c r="D142" s="11"/>
      <c r="E142" s="12"/>
      <c r="F142" s="22"/>
      <c r="G142" s="23"/>
      <c r="H142" s="24"/>
      <c r="I142" s="25">
        <v>900</v>
      </c>
      <c r="J142" s="26"/>
      <c r="K142" s="18"/>
      <c r="L142" s="12"/>
    </row>
    <row r="143" spans="1:15" ht="13.5" customHeight="1" x14ac:dyDescent="0.2">
      <c r="A143" s="19"/>
      <c r="B143" s="20"/>
      <c r="C143" s="34" t="s">
        <v>2273</v>
      </c>
      <c r="D143" s="11"/>
      <c r="E143" s="12"/>
      <c r="F143" s="22"/>
      <c r="G143" s="23"/>
      <c r="H143" s="174">
        <v>185</v>
      </c>
      <c r="I143" s="25"/>
      <c r="J143" s="26"/>
      <c r="K143" s="18"/>
      <c r="L143" s="12"/>
    </row>
    <row r="144" spans="1:15" ht="13.5" customHeight="1" x14ac:dyDescent="0.2">
      <c r="A144" s="19"/>
      <c r="B144" s="20"/>
      <c r="C144" s="34" t="s">
        <v>2274</v>
      </c>
      <c r="D144" s="11"/>
      <c r="E144" s="12"/>
      <c r="F144" s="22"/>
      <c r="G144" s="23"/>
      <c r="H144" s="24"/>
      <c r="I144" s="25">
        <v>209</v>
      </c>
      <c r="J144" s="26">
        <v>4019.7700000000009</v>
      </c>
      <c r="K144" s="18"/>
      <c r="L144" s="12"/>
    </row>
    <row r="145" spans="1:12" ht="13.5" customHeight="1" x14ac:dyDescent="0.2">
      <c r="A145" s="19"/>
      <c r="B145" s="20"/>
      <c r="C145" s="34" t="s">
        <v>136</v>
      </c>
      <c r="D145" s="11"/>
      <c r="E145" s="12">
        <v>-45.9</v>
      </c>
      <c r="F145" s="528"/>
      <c r="G145" s="23"/>
      <c r="H145" s="24"/>
      <c r="I145" s="25"/>
      <c r="J145" s="26"/>
      <c r="K145" s="18"/>
      <c r="L145" s="12"/>
    </row>
    <row r="146" spans="1:12" ht="13.5" customHeight="1" x14ac:dyDescent="0.2">
      <c r="A146" s="19"/>
      <c r="B146" s="20"/>
      <c r="C146" s="34" t="s">
        <v>2273</v>
      </c>
      <c r="D146" s="11"/>
      <c r="E146" s="12"/>
      <c r="F146" s="162">
        <v>185</v>
      </c>
      <c r="G146" s="275">
        <v>986.2</v>
      </c>
      <c r="H146" s="24"/>
      <c r="I146" s="25"/>
      <c r="J146" s="26"/>
      <c r="K146" s="18"/>
      <c r="L146" s="12"/>
    </row>
    <row r="147" spans="1:12" ht="13.5" customHeight="1" x14ac:dyDescent="0.2">
      <c r="A147" s="19">
        <v>43643</v>
      </c>
      <c r="B147" s="20"/>
      <c r="C147" s="34" t="s">
        <v>2275</v>
      </c>
      <c r="D147" s="11"/>
      <c r="E147" s="12"/>
      <c r="F147" s="22"/>
      <c r="G147" s="23"/>
      <c r="H147" s="24">
        <v>8.4</v>
      </c>
      <c r="I147" s="25"/>
      <c r="J147" s="26"/>
      <c r="K147" s="18"/>
      <c r="L147" s="12"/>
    </row>
    <row r="148" spans="1:12" ht="13.5" customHeight="1" x14ac:dyDescent="0.2">
      <c r="A148" s="19"/>
      <c r="B148" s="20"/>
      <c r="C148" s="34" t="s">
        <v>2276</v>
      </c>
      <c r="D148" s="11"/>
      <c r="E148" s="12"/>
      <c r="F148" s="22"/>
      <c r="G148" s="23"/>
      <c r="H148" s="24">
        <v>300</v>
      </c>
      <c r="I148" s="25"/>
      <c r="J148" s="26"/>
      <c r="K148" s="18"/>
      <c r="L148" s="12"/>
    </row>
    <row r="149" spans="1:12" ht="13.5" customHeight="1" x14ac:dyDescent="0.2">
      <c r="A149" s="19"/>
      <c r="B149" s="20"/>
      <c r="C149" s="34" t="s">
        <v>2277</v>
      </c>
      <c r="D149" s="11"/>
      <c r="E149" s="12"/>
      <c r="F149" s="22"/>
      <c r="G149" s="23"/>
      <c r="H149" s="24">
        <v>200</v>
      </c>
      <c r="I149" s="25"/>
      <c r="J149" s="26"/>
      <c r="K149" s="18"/>
      <c r="L149" s="12"/>
    </row>
    <row r="150" spans="1:12" ht="13.5" customHeight="1" x14ac:dyDescent="0.2">
      <c r="A150" s="19"/>
      <c r="B150" s="20"/>
      <c r="C150" s="34" t="s">
        <v>2278</v>
      </c>
      <c r="D150" s="11"/>
      <c r="E150" s="12"/>
      <c r="F150" s="22"/>
      <c r="G150" s="23"/>
      <c r="H150" s="24">
        <v>70</v>
      </c>
      <c r="I150" s="25"/>
      <c r="J150" s="26"/>
      <c r="K150" s="18"/>
      <c r="L150" s="12"/>
    </row>
    <row r="151" spans="1:12" ht="13.5" customHeight="1" x14ac:dyDescent="0.2">
      <c r="A151" s="19"/>
      <c r="B151" s="20"/>
      <c r="C151" s="34" t="s">
        <v>2279</v>
      </c>
      <c r="D151" s="11"/>
      <c r="E151" s="12"/>
      <c r="F151" s="22"/>
      <c r="G151" s="23"/>
      <c r="H151" s="24"/>
      <c r="I151" s="25">
        <v>1465</v>
      </c>
      <c r="J151" s="26">
        <v>4906.3700000000008</v>
      </c>
      <c r="K151" s="18"/>
      <c r="L151" s="12"/>
    </row>
    <row r="152" spans="1:12" ht="13.5" customHeight="1" x14ac:dyDescent="0.2">
      <c r="A152" s="19">
        <v>43644</v>
      </c>
      <c r="B152" s="20"/>
      <c r="C152" s="34" t="s">
        <v>2280</v>
      </c>
      <c r="D152" s="11"/>
      <c r="E152" s="12"/>
      <c r="F152" s="22"/>
      <c r="G152" s="23"/>
      <c r="H152" s="24">
        <v>500</v>
      </c>
      <c r="I152" s="25"/>
      <c r="J152" s="26"/>
      <c r="K152" s="18"/>
      <c r="L152" s="12"/>
    </row>
    <row r="153" spans="1:12" ht="13.5" customHeight="1" x14ac:dyDescent="0.2">
      <c r="A153" s="19"/>
      <c r="B153" s="20"/>
      <c r="C153" s="34" t="s">
        <v>2281</v>
      </c>
      <c r="D153" s="11"/>
      <c r="E153" s="12"/>
      <c r="F153" s="22"/>
      <c r="G153" s="23"/>
      <c r="H153" s="24">
        <v>180</v>
      </c>
      <c r="I153" s="25"/>
      <c r="J153" s="26"/>
      <c r="K153" s="18"/>
      <c r="L153" s="12"/>
    </row>
    <row r="154" spans="1:12" ht="13.5" customHeight="1" x14ac:dyDescent="0.2">
      <c r="A154" s="19"/>
      <c r="B154" s="20"/>
      <c r="C154" s="34" t="s">
        <v>2282</v>
      </c>
      <c r="D154" s="11"/>
      <c r="E154" s="12"/>
      <c r="F154" s="22"/>
      <c r="G154" s="23"/>
      <c r="H154" s="24">
        <v>240</v>
      </c>
      <c r="I154" s="25"/>
      <c r="J154" s="276"/>
      <c r="K154" s="18"/>
      <c r="L154" s="12"/>
    </row>
    <row r="155" spans="1:12" ht="13.5" customHeight="1" x14ac:dyDescent="0.2">
      <c r="A155" s="19"/>
      <c r="B155" s="20"/>
      <c r="C155" s="34" t="s">
        <v>2283</v>
      </c>
      <c r="D155" s="11"/>
      <c r="E155" s="12"/>
      <c r="F155" s="22"/>
      <c r="G155" s="23"/>
      <c r="H155" s="24">
        <v>5</v>
      </c>
      <c r="I155" s="25"/>
      <c r="J155" s="276">
        <v>3981.3700000000008</v>
      </c>
      <c r="K155" s="18"/>
      <c r="L155" s="12"/>
    </row>
    <row r="156" spans="1:12" ht="13.5" customHeight="1" thickBot="1" x14ac:dyDescent="0.25">
      <c r="A156" s="47"/>
      <c r="B156" s="48"/>
      <c r="C156" s="49"/>
      <c r="D156" s="50"/>
      <c r="E156" s="650">
        <f>SUM(E7:E155)</f>
        <v>-12438.99</v>
      </c>
      <c r="F156" s="649">
        <f>SUM(F4:F71,F78,F94,F108,F139)</f>
        <v>0.35000000000000003</v>
      </c>
      <c r="G156" s="53"/>
      <c r="H156" s="648">
        <f>-SUM(H13:H31,H36:H52,H68:H69,H75,H83,H96:H100,H103:H141,H147:H155,H71)</f>
        <v>-10194.059999999998</v>
      </c>
      <c r="I156" s="649">
        <f>SUM(I6:I155)</f>
        <v>33512.92</v>
      </c>
      <c r="J156" s="52"/>
      <c r="K156" s="124"/>
      <c r="L156" s="530"/>
    </row>
    <row r="157" spans="1:12" ht="13.5" customHeight="1" thickBot="1" x14ac:dyDescent="0.25">
      <c r="A157" s="2" t="s">
        <v>2</v>
      </c>
      <c r="B157" s="3"/>
      <c r="C157" s="3" t="s">
        <v>481</v>
      </c>
      <c r="D157" s="3" t="s">
        <v>4</v>
      </c>
      <c r="E157" s="3" t="s">
        <v>5</v>
      </c>
      <c r="F157" s="3" t="s">
        <v>6</v>
      </c>
      <c r="G157" s="5" t="s">
        <v>7</v>
      </c>
      <c r="H157" s="1415" t="s">
        <v>482</v>
      </c>
      <c r="I157" s="1416"/>
      <c r="J157" s="1417"/>
    </row>
    <row r="158" spans="1:12" ht="13.5" customHeight="1" x14ac:dyDescent="0.2">
      <c r="A158" s="8">
        <v>43617</v>
      </c>
      <c r="B158" s="56"/>
      <c r="C158" s="10" t="s">
        <v>8</v>
      </c>
      <c r="D158" s="11">
        <v>0</v>
      </c>
      <c r="E158" s="51"/>
      <c r="F158" s="12"/>
      <c r="G158" s="178">
        <v>0</v>
      </c>
      <c r="H158" s="179"/>
      <c r="I158" s="57"/>
      <c r="J158" s="58">
        <v>8913.2999999999993</v>
      </c>
      <c r="K158" s="18"/>
      <c r="L158" s="51"/>
    </row>
    <row r="159" spans="1:12" ht="13.5" customHeight="1" x14ac:dyDescent="0.2">
      <c r="A159" s="180" t="s">
        <v>2284</v>
      </c>
      <c r="B159" s="56" t="s">
        <v>483</v>
      </c>
      <c r="C159" s="32" t="s">
        <v>199</v>
      </c>
      <c r="D159" s="11" t="s">
        <v>488</v>
      </c>
      <c r="E159" s="181">
        <v>-143.19999999999999</v>
      </c>
      <c r="F159" s="30"/>
      <c r="G159" s="182" t="s">
        <v>483</v>
      </c>
      <c r="H159" s="59"/>
      <c r="I159" s="60"/>
      <c r="J159" s="61">
        <v>8913.2999999999993</v>
      </c>
      <c r="K159" s="18"/>
      <c r="L159" s="30"/>
    </row>
    <row r="160" spans="1:12" ht="13.5" customHeight="1" x14ac:dyDescent="0.2">
      <c r="A160" s="180"/>
      <c r="B160" s="56" t="s">
        <v>483</v>
      </c>
      <c r="C160" s="36" t="s">
        <v>2143</v>
      </c>
      <c r="D160" s="11" t="s">
        <v>768</v>
      </c>
      <c r="E160" s="181">
        <v>-50</v>
      </c>
      <c r="F160" s="30"/>
      <c r="G160" s="182" t="s">
        <v>483</v>
      </c>
      <c r="H160" s="59"/>
      <c r="I160" s="60"/>
      <c r="J160" s="61">
        <v>8913.2999999999993</v>
      </c>
      <c r="K160" s="18"/>
      <c r="L160" s="30"/>
    </row>
    <row r="161" spans="1:12" ht="13.5" customHeight="1" x14ac:dyDescent="0.2">
      <c r="A161" s="180"/>
      <c r="B161" s="56" t="s">
        <v>483</v>
      </c>
      <c r="C161" s="36" t="s">
        <v>174</v>
      </c>
      <c r="D161" s="11" t="s">
        <v>488</v>
      </c>
      <c r="E161" s="30"/>
      <c r="F161" s="181">
        <v>193.2</v>
      </c>
      <c r="G161" s="182">
        <v>0</v>
      </c>
      <c r="H161" s="59">
        <v>193.2</v>
      </c>
      <c r="I161" s="60"/>
      <c r="J161" s="61">
        <v>8720.0999999999985</v>
      </c>
      <c r="K161" s="18"/>
      <c r="L161" s="30"/>
    </row>
    <row r="162" spans="1:12" ht="13.5" customHeight="1" x14ac:dyDescent="0.2">
      <c r="A162" s="180" t="s">
        <v>2285</v>
      </c>
      <c r="B162" s="56" t="s">
        <v>483</v>
      </c>
      <c r="C162" s="36" t="s">
        <v>2286</v>
      </c>
      <c r="D162" s="11" t="s">
        <v>488</v>
      </c>
      <c r="E162" s="181">
        <v>-476.08</v>
      </c>
      <c r="F162" s="30"/>
      <c r="G162" s="182"/>
      <c r="H162" s="59"/>
      <c r="I162" s="60"/>
      <c r="J162" s="61">
        <v>8720.0999999999985</v>
      </c>
      <c r="K162" s="18"/>
      <c r="L162" s="30"/>
    </row>
    <row r="163" spans="1:12" ht="13.5" customHeight="1" x14ac:dyDescent="0.2">
      <c r="A163" s="180"/>
      <c r="B163" s="56" t="s">
        <v>483</v>
      </c>
      <c r="C163" s="36" t="s">
        <v>177</v>
      </c>
      <c r="D163" s="11" t="s">
        <v>488</v>
      </c>
      <c r="E163" s="181">
        <v>-243.07</v>
      </c>
      <c r="F163" s="30"/>
      <c r="G163" s="182" t="s">
        <v>483</v>
      </c>
      <c r="H163" s="59"/>
      <c r="I163" s="60"/>
      <c r="J163" s="61">
        <v>8720.0999999999985</v>
      </c>
      <c r="K163" s="18"/>
      <c r="L163" s="30"/>
    </row>
    <row r="164" spans="1:12" ht="13.5" customHeight="1" x14ac:dyDescent="0.2">
      <c r="A164" s="180"/>
      <c r="B164" s="56" t="s">
        <v>483</v>
      </c>
      <c r="C164" s="34" t="s">
        <v>173</v>
      </c>
      <c r="D164" s="11" t="s">
        <v>2287</v>
      </c>
      <c r="E164" s="181">
        <v>-1007.27</v>
      </c>
      <c r="F164" s="30"/>
      <c r="G164" s="182" t="s">
        <v>483</v>
      </c>
      <c r="H164" s="59"/>
      <c r="I164" s="60"/>
      <c r="J164" s="61">
        <v>8720.0999999999985</v>
      </c>
      <c r="K164" s="18"/>
      <c r="L164" s="30"/>
    </row>
    <row r="165" spans="1:12" ht="13.5" customHeight="1" x14ac:dyDescent="0.2">
      <c r="A165" s="180"/>
      <c r="B165" s="56" t="s">
        <v>483</v>
      </c>
      <c r="C165" s="34" t="s">
        <v>172</v>
      </c>
      <c r="D165" s="11" t="s">
        <v>2288</v>
      </c>
      <c r="E165" s="181">
        <v>-608.67999999999995</v>
      </c>
      <c r="F165" s="30"/>
      <c r="G165" s="182" t="s">
        <v>483</v>
      </c>
      <c r="H165" s="59"/>
      <c r="I165" s="60"/>
      <c r="J165" s="61">
        <v>8720.0999999999985</v>
      </c>
      <c r="K165" s="18"/>
      <c r="L165" s="30"/>
    </row>
    <row r="166" spans="1:12" ht="13.5" customHeight="1" x14ac:dyDescent="0.2">
      <c r="A166" s="180"/>
      <c r="B166" s="56" t="s">
        <v>483</v>
      </c>
      <c r="C166" s="36" t="s">
        <v>174</v>
      </c>
      <c r="D166" s="11" t="s">
        <v>488</v>
      </c>
      <c r="E166" s="30"/>
      <c r="F166" s="181">
        <v>2335.1</v>
      </c>
      <c r="G166" s="182">
        <v>0</v>
      </c>
      <c r="H166" s="59">
        <v>2335.1</v>
      </c>
      <c r="I166" s="60"/>
      <c r="J166" s="61">
        <v>6384.9999999999982</v>
      </c>
      <c r="K166" s="18"/>
      <c r="L166" s="30"/>
    </row>
    <row r="167" spans="1:12" ht="13.5" customHeight="1" x14ac:dyDescent="0.2">
      <c r="A167" s="180" t="s">
        <v>2289</v>
      </c>
      <c r="B167" s="56" t="s">
        <v>483</v>
      </c>
      <c r="C167" s="36" t="s">
        <v>180</v>
      </c>
      <c r="D167" s="11" t="s">
        <v>488</v>
      </c>
      <c r="E167" s="181">
        <v>-194.64</v>
      </c>
      <c r="F167" s="30"/>
      <c r="G167" s="182" t="s">
        <v>483</v>
      </c>
      <c r="H167" s="59"/>
      <c r="I167" s="60"/>
      <c r="J167" s="61">
        <v>6384.9999999999982</v>
      </c>
      <c r="K167" s="18"/>
      <c r="L167" s="30"/>
    </row>
    <row r="168" spans="1:12" ht="13.5" customHeight="1" x14ac:dyDescent="0.2">
      <c r="A168" s="180"/>
      <c r="B168" s="56" t="s">
        <v>483</v>
      </c>
      <c r="C168" s="36" t="s">
        <v>174</v>
      </c>
      <c r="D168" s="11" t="s">
        <v>488</v>
      </c>
      <c r="E168" s="30"/>
      <c r="F168" s="181">
        <v>194.64</v>
      </c>
      <c r="G168" s="182">
        <v>0</v>
      </c>
      <c r="H168" s="59">
        <v>194.64</v>
      </c>
      <c r="I168" s="60"/>
      <c r="J168" s="61">
        <v>6190.3599999999979</v>
      </c>
      <c r="K168" s="18"/>
      <c r="L168" s="30"/>
    </row>
    <row r="169" spans="1:12" ht="13.5" customHeight="1" x14ac:dyDescent="0.2">
      <c r="A169" s="180" t="s">
        <v>2290</v>
      </c>
      <c r="B169" s="56" t="s">
        <v>483</v>
      </c>
      <c r="C169" t="s">
        <v>2291</v>
      </c>
      <c r="D169" s="11" t="s">
        <v>2292</v>
      </c>
      <c r="E169" s="181">
        <v>-102.2</v>
      </c>
      <c r="F169" s="30"/>
      <c r="G169" s="182" t="s">
        <v>483</v>
      </c>
      <c r="H169" s="59"/>
      <c r="I169" s="60"/>
      <c r="J169" s="61">
        <v>6190.3599999999979</v>
      </c>
      <c r="K169" s="18"/>
      <c r="L169" s="30"/>
    </row>
    <row r="170" spans="1:12" ht="13.5" customHeight="1" x14ac:dyDescent="0.2">
      <c r="A170" s="180"/>
      <c r="B170" s="56" t="s">
        <v>483</v>
      </c>
      <c r="C170" s="36" t="s">
        <v>174</v>
      </c>
      <c r="D170" s="11" t="s">
        <v>488</v>
      </c>
      <c r="E170" s="30"/>
      <c r="F170" s="181">
        <v>102.2</v>
      </c>
      <c r="G170" s="182">
        <v>0</v>
      </c>
      <c r="H170" s="59">
        <v>102.2</v>
      </c>
      <c r="I170" s="60"/>
      <c r="J170" s="61">
        <v>6088.159999999998</v>
      </c>
      <c r="K170" s="18"/>
      <c r="L170" s="30"/>
    </row>
    <row r="171" spans="1:12" ht="13.5" customHeight="1" x14ac:dyDescent="0.2">
      <c r="A171" s="180" t="s">
        <v>2293</v>
      </c>
      <c r="B171" s="56" t="s">
        <v>483</v>
      </c>
      <c r="C171" t="s">
        <v>2294</v>
      </c>
      <c r="D171" s="11" t="s">
        <v>2295</v>
      </c>
      <c r="E171" s="181">
        <v>-98.95</v>
      </c>
      <c r="F171" s="30"/>
      <c r="G171" s="182" t="s">
        <v>483</v>
      </c>
      <c r="H171" s="59"/>
      <c r="I171" s="60"/>
      <c r="J171" s="61">
        <v>6088.159999999998</v>
      </c>
      <c r="K171" s="18"/>
      <c r="L171" s="30"/>
    </row>
    <row r="172" spans="1:12" ht="13.5" customHeight="1" x14ac:dyDescent="0.2">
      <c r="A172" s="180"/>
      <c r="B172" s="56" t="s">
        <v>483</v>
      </c>
      <c r="C172" s="36" t="s">
        <v>2296</v>
      </c>
      <c r="D172" s="11" t="s">
        <v>488</v>
      </c>
      <c r="E172" s="30"/>
      <c r="F172" s="181">
        <v>4731.47</v>
      </c>
      <c r="G172" s="182" t="s">
        <v>483</v>
      </c>
      <c r="H172" s="59"/>
      <c r="I172" s="60"/>
      <c r="J172" s="61">
        <v>6088.159999999998</v>
      </c>
      <c r="K172" s="18"/>
      <c r="L172" s="30"/>
    </row>
    <row r="173" spans="1:12" ht="13.5" customHeight="1" x14ac:dyDescent="0.2">
      <c r="A173" s="180"/>
      <c r="B173" s="56" t="s">
        <v>483</v>
      </c>
      <c r="C173" s="36" t="s">
        <v>189</v>
      </c>
      <c r="D173" s="11" t="s">
        <v>488</v>
      </c>
      <c r="E173" s="181">
        <v>-4632.5200000000004</v>
      </c>
      <c r="F173" s="30"/>
      <c r="G173" s="182">
        <v>0</v>
      </c>
      <c r="H173" s="59"/>
      <c r="I173" s="60">
        <v>4632.5200000000004</v>
      </c>
      <c r="J173" s="61">
        <v>10720.679999999998</v>
      </c>
      <c r="K173" s="18"/>
      <c r="L173" s="30"/>
    </row>
    <row r="174" spans="1:12" ht="13.5" customHeight="1" x14ac:dyDescent="0.2">
      <c r="A174" s="180" t="s">
        <v>2297</v>
      </c>
      <c r="B174" s="56" t="s">
        <v>483</v>
      </c>
      <c r="C174" s="36" t="s">
        <v>2298</v>
      </c>
      <c r="D174" s="11" t="s">
        <v>488</v>
      </c>
      <c r="E174" s="181">
        <v>-500</v>
      </c>
      <c r="F174" s="30"/>
      <c r="G174" s="182" t="s">
        <v>483</v>
      </c>
      <c r="H174" s="59"/>
      <c r="I174" s="60"/>
      <c r="J174" s="61">
        <v>10720.679999999998</v>
      </c>
      <c r="K174" s="18"/>
      <c r="L174" s="30"/>
    </row>
    <row r="175" spans="1:12" ht="13.5" customHeight="1" x14ac:dyDescent="0.2">
      <c r="A175" s="180"/>
      <c r="B175" s="56" t="s">
        <v>483</v>
      </c>
      <c r="C175" s="36" t="s">
        <v>174</v>
      </c>
      <c r="D175" s="11" t="s">
        <v>488</v>
      </c>
      <c r="E175" s="30"/>
      <c r="F175" s="181">
        <v>500</v>
      </c>
      <c r="G175" s="182">
        <v>0</v>
      </c>
      <c r="H175" s="59">
        <v>500</v>
      </c>
      <c r="I175" s="60"/>
      <c r="J175" s="61">
        <v>10220.679999999998</v>
      </c>
      <c r="K175" s="18"/>
      <c r="L175" s="30"/>
    </row>
    <row r="176" spans="1:12" ht="13.5" customHeight="1" x14ac:dyDescent="0.2">
      <c r="A176" s="180" t="s">
        <v>2299</v>
      </c>
      <c r="B176" s="56" t="s">
        <v>483</v>
      </c>
      <c r="C176" s="36" t="s">
        <v>86</v>
      </c>
      <c r="D176" s="11" t="s">
        <v>488</v>
      </c>
      <c r="E176" s="181">
        <v>-10.1</v>
      </c>
      <c r="F176" s="30"/>
      <c r="G176" s="182" t="s">
        <v>483</v>
      </c>
      <c r="H176" s="59"/>
      <c r="I176" s="60"/>
      <c r="J176" s="61">
        <v>10220.679999999998</v>
      </c>
      <c r="K176" s="18"/>
      <c r="L176" s="30"/>
    </row>
    <row r="177" spans="1:14" ht="13.5" customHeight="1" x14ac:dyDescent="0.2">
      <c r="A177" s="180"/>
      <c r="B177" s="56" t="s">
        <v>483</v>
      </c>
      <c r="C177" s="36" t="s">
        <v>174</v>
      </c>
      <c r="D177" s="11" t="s">
        <v>488</v>
      </c>
      <c r="E177" s="30"/>
      <c r="F177" s="181">
        <v>10.1</v>
      </c>
      <c r="G177" s="182">
        <v>0</v>
      </c>
      <c r="H177" s="59">
        <v>10.1</v>
      </c>
      <c r="I177" s="60"/>
      <c r="J177" s="61">
        <v>10210.579999999998</v>
      </c>
      <c r="K177" s="18"/>
      <c r="L177" s="30"/>
      <c r="N177"/>
    </row>
    <row r="178" spans="1:14" ht="13.5" customHeight="1" x14ac:dyDescent="0.2">
      <c r="A178" s="180" t="s">
        <v>2300</v>
      </c>
      <c r="B178" s="56" t="s">
        <v>483</v>
      </c>
      <c r="C178" s="36" t="s">
        <v>2301</v>
      </c>
      <c r="D178" s="11" t="s">
        <v>488</v>
      </c>
      <c r="E178" s="181">
        <v>-2377.8000000000002</v>
      </c>
      <c r="F178" s="30"/>
      <c r="G178" s="182" t="s">
        <v>483</v>
      </c>
      <c r="H178" s="59"/>
      <c r="I178" s="60"/>
      <c r="J178" s="61">
        <v>10210.579999999998</v>
      </c>
      <c r="K178" s="18"/>
      <c r="L178" s="30"/>
    </row>
    <row r="179" spans="1:14" ht="13.5" customHeight="1" x14ac:dyDescent="0.2">
      <c r="A179" s="180"/>
      <c r="B179" s="56" t="s">
        <v>483</v>
      </c>
      <c r="C179" s="36" t="s">
        <v>2302</v>
      </c>
      <c r="D179" s="11" t="s">
        <v>488</v>
      </c>
      <c r="E179" s="181">
        <v>-1303</v>
      </c>
      <c r="F179" s="30"/>
      <c r="G179" s="182"/>
      <c r="H179" s="59"/>
      <c r="I179" s="60"/>
      <c r="J179" s="61">
        <v>10210.579999999998</v>
      </c>
      <c r="K179" s="18"/>
      <c r="L179" s="30"/>
    </row>
    <row r="180" spans="1:14" ht="13.5" customHeight="1" x14ac:dyDescent="0.2">
      <c r="A180" s="180"/>
      <c r="B180" s="56" t="s">
        <v>483</v>
      </c>
      <c r="C180" s="36" t="s">
        <v>174</v>
      </c>
      <c r="D180" s="11" t="s">
        <v>488</v>
      </c>
      <c r="E180" s="30"/>
      <c r="F180" s="181">
        <v>3680.8</v>
      </c>
      <c r="G180" s="182">
        <v>0</v>
      </c>
      <c r="H180" s="59">
        <v>3680.8</v>
      </c>
      <c r="I180" s="60"/>
      <c r="J180" s="61">
        <v>6529.7799999999979</v>
      </c>
      <c r="K180" s="18"/>
      <c r="L180" s="30"/>
    </row>
    <row r="181" spans="1:14" ht="13.5" customHeight="1" x14ac:dyDescent="0.2">
      <c r="A181" s="180" t="s">
        <v>2303</v>
      </c>
      <c r="B181" s="56" t="s">
        <v>483</v>
      </c>
      <c r="C181" s="32" t="s">
        <v>2304</v>
      </c>
      <c r="D181" s="11" t="s">
        <v>1185</v>
      </c>
      <c r="E181" s="181">
        <v>-754</v>
      </c>
      <c r="F181" s="30"/>
      <c r="G181" s="182" t="s">
        <v>483</v>
      </c>
      <c r="H181" s="59"/>
      <c r="I181" s="60"/>
      <c r="J181" s="61">
        <v>6529.7799999999979</v>
      </c>
      <c r="K181" s="18"/>
      <c r="L181" s="30"/>
    </row>
    <row r="182" spans="1:14" ht="13.5" customHeight="1" x14ac:dyDescent="0.2">
      <c r="A182" s="180"/>
      <c r="B182" s="56" t="s">
        <v>591</v>
      </c>
      <c r="C182" s="34" t="s">
        <v>2228</v>
      </c>
      <c r="D182" s="11" t="s">
        <v>2305</v>
      </c>
      <c r="E182" s="181"/>
      <c r="F182" s="165">
        <v>8584.75</v>
      </c>
      <c r="G182" s="182" t="s">
        <v>483</v>
      </c>
      <c r="H182" s="59"/>
      <c r="I182" s="60"/>
      <c r="J182" s="61">
        <v>6529.7799999999979</v>
      </c>
      <c r="K182" s="18"/>
      <c r="L182" s="30"/>
    </row>
    <row r="183" spans="1:14" ht="13.5" customHeight="1" x14ac:dyDescent="0.2">
      <c r="A183" s="180"/>
      <c r="B183" s="56" t="s">
        <v>483</v>
      </c>
      <c r="C183" s="34" t="s">
        <v>1625</v>
      </c>
      <c r="D183" s="11" t="s">
        <v>2306</v>
      </c>
      <c r="E183" s="165">
        <v>-4000</v>
      </c>
      <c r="F183" s="181"/>
      <c r="G183" s="182" t="s">
        <v>483</v>
      </c>
      <c r="H183" s="59"/>
      <c r="I183" s="60"/>
      <c r="J183" s="61">
        <v>6529.7799999999979</v>
      </c>
      <c r="K183" s="18"/>
      <c r="L183" s="30"/>
    </row>
    <row r="184" spans="1:14" ht="13.5" customHeight="1" x14ac:dyDescent="0.2">
      <c r="A184" s="180"/>
      <c r="B184" s="56" t="s">
        <v>483</v>
      </c>
      <c r="C184" s="36" t="s">
        <v>174</v>
      </c>
      <c r="D184" s="11" t="s">
        <v>488</v>
      </c>
      <c r="E184" s="30"/>
      <c r="F184" s="181">
        <v>4754</v>
      </c>
      <c r="G184" s="182">
        <v>8584.75</v>
      </c>
      <c r="H184" s="59">
        <v>4754</v>
      </c>
      <c r="I184" s="60"/>
      <c r="J184" s="61">
        <v>1775.7799999999979</v>
      </c>
      <c r="K184" s="18"/>
      <c r="L184" s="30"/>
    </row>
    <row r="185" spans="1:14" ht="13.5" customHeight="1" x14ac:dyDescent="0.2">
      <c r="A185" s="180" t="s">
        <v>2307</v>
      </c>
      <c r="B185" s="56" t="s">
        <v>483</v>
      </c>
      <c r="C185" s="36" t="s">
        <v>189</v>
      </c>
      <c r="D185" s="11" t="s">
        <v>488</v>
      </c>
      <c r="E185" s="181">
        <v>-8584.75</v>
      </c>
      <c r="F185" s="30"/>
      <c r="G185" s="182">
        <v>0</v>
      </c>
      <c r="H185" s="59"/>
      <c r="I185" s="60">
        <v>8584.75</v>
      </c>
      <c r="J185" s="61">
        <v>10360.529999999999</v>
      </c>
      <c r="K185" s="18"/>
      <c r="L185" s="30"/>
    </row>
    <row r="186" spans="1:14" ht="13.5" customHeight="1" x14ac:dyDescent="0.2">
      <c r="A186" s="180" t="s">
        <v>2308</v>
      </c>
      <c r="B186" s="56" t="s">
        <v>483</v>
      </c>
      <c r="C186" s="32" t="s">
        <v>198</v>
      </c>
      <c r="D186" s="11" t="s">
        <v>976</v>
      </c>
      <c r="E186" s="181">
        <v>-1320.97</v>
      </c>
      <c r="F186" s="30"/>
      <c r="G186" s="182" t="s">
        <v>483</v>
      </c>
      <c r="H186" s="59"/>
      <c r="I186" s="60"/>
      <c r="J186" s="61">
        <v>10360.529999999999</v>
      </c>
      <c r="K186" s="18"/>
      <c r="L186" s="30"/>
    </row>
    <row r="187" spans="1:14" ht="13.5" customHeight="1" x14ac:dyDescent="0.2">
      <c r="A187" s="180"/>
      <c r="B187" s="56" t="s">
        <v>483</v>
      </c>
      <c r="C187" s="36" t="s">
        <v>174</v>
      </c>
      <c r="D187" s="11" t="s">
        <v>488</v>
      </c>
      <c r="E187" s="30"/>
      <c r="F187" s="181">
        <v>1320.97</v>
      </c>
      <c r="G187" s="182">
        <v>0</v>
      </c>
      <c r="H187" s="59">
        <v>1320.97</v>
      </c>
      <c r="I187" s="60"/>
      <c r="J187" s="61">
        <v>9039.56</v>
      </c>
      <c r="K187" s="18"/>
      <c r="L187" s="30"/>
    </row>
    <row r="188" spans="1:14" ht="13.5" customHeight="1" x14ac:dyDescent="0.2">
      <c r="A188" s="180" t="s">
        <v>2309</v>
      </c>
      <c r="B188" s="56" t="s">
        <v>483</v>
      </c>
      <c r="C188" s="36" t="s">
        <v>86</v>
      </c>
      <c r="D188" s="11" t="s">
        <v>488</v>
      </c>
      <c r="E188" s="181">
        <v>-85</v>
      </c>
      <c r="F188" s="30"/>
      <c r="G188" s="182" t="s">
        <v>483</v>
      </c>
      <c r="H188" s="59"/>
      <c r="I188" s="60"/>
      <c r="J188" s="61">
        <v>9039.56</v>
      </c>
      <c r="K188" s="18"/>
      <c r="L188" s="30"/>
    </row>
    <row r="189" spans="1:14" ht="13.5" customHeight="1" x14ac:dyDescent="0.2">
      <c r="A189" s="180"/>
      <c r="B189" s="56" t="s">
        <v>483</v>
      </c>
      <c r="C189" s="36" t="s">
        <v>174</v>
      </c>
      <c r="D189" s="11" t="s">
        <v>488</v>
      </c>
      <c r="E189" s="30"/>
      <c r="F189" s="181">
        <v>85</v>
      </c>
      <c r="G189" s="182">
        <v>0</v>
      </c>
      <c r="H189" s="59">
        <v>85</v>
      </c>
      <c r="I189" s="60"/>
      <c r="J189" s="61">
        <v>8954.56</v>
      </c>
      <c r="K189" s="18"/>
      <c r="L189" s="30"/>
    </row>
    <row r="190" spans="1:14" ht="13.5" customHeight="1" x14ac:dyDescent="0.2">
      <c r="A190" s="180" t="s">
        <v>2310</v>
      </c>
      <c r="B190" s="56" t="s">
        <v>483</v>
      </c>
      <c r="C190" s="32" t="s">
        <v>194</v>
      </c>
      <c r="D190" s="11" t="s">
        <v>488</v>
      </c>
      <c r="E190" s="181">
        <v>-84.54</v>
      </c>
      <c r="F190" s="30"/>
      <c r="G190" s="182" t="s">
        <v>483</v>
      </c>
      <c r="H190" s="59"/>
      <c r="I190" s="60"/>
      <c r="J190" s="61">
        <v>8954.56</v>
      </c>
      <c r="K190" s="18"/>
      <c r="L190" s="30"/>
    </row>
    <row r="191" spans="1:14" ht="13.5" customHeight="1" x14ac:dyDescent="0.2">
      <c r="A191" s="180"/>
      <c r="B191" s="56" t="s">
        <v>483</v>
      </c>
      <c r="C191" s="32" t="s">
        <v>195</v>
      </c>
      <c r="D191" s="11" t="s">
        <v>488</v>
      </c>
      <c r="E191" s="181">
        <v>-390.19</v>
      </c>
      <c r="F191" s="30"/>
      <c r="G191" s="182"/>
      <c r="H191" s="59"/>
      <c r="I191" s="60"/>
      <c r="J191" s="61">
        <v>8954.56</v>
      </c>
      <c r="K191" s="18"/>
      <c r="L191" s="30"/>
    </row>
    <row r="192" spans="1:14" ht="13.5" customHeight="1" x14ac:dyDescent="0.2">
      <c r="A192" s="180"/>
      <c r="B192" s="56" t="s">
        <v>483</v>
      </c>
      <c r="C192" s="36" t="s">
        <v>174</v>
      </c>
      <c r="D192" s="11" t="s">
        <v>488</v>
      </c>
      <c r="E192" s="30"/>
      <c r="F192" s="181">
        <v>474.73</v>
      </c>
      <c r="G192" s="182">
        <v>0</v>
      </c>
      <c r="H192" s="59">
        <v>474.73</v>
      </c>
      <c r="I192" s="60"/>
      <c r="J192" s="61">
        <v>8479.83</v>
      </c>
      <c r="K192" s="18"/>
      <c r="L192" s="30"/>
    </row>
    <row r="193" spans="1:15" ht="13.5" customHeight="1" x14ac:dyDescent="0.2">
      <c r="A193" s="180" t="s">
        <v>2311</v>
      </c>
      <c r="B193" s="56" t="s">
        <v>483</v>
      </c>
      <c r="C193" s="36" t="s">
        <v>1171</v>
      </c>
      <c r="D193" s="11" t="s">
        <v>2312</v>
      </c>
      <c r="E193" s="181">
        <v>-145.06</v>
      </c>
      <c r="F193" s="30"/>
      <c r="G193" s="182" t="s">
        <v>483</v>
      </c>
      <c r="H193" s="59"/>
      <c r="I193" s="60"/>
      <c r="J193" s="61">
        <v>8479.83</v>
      </c>
      <c r="K193" s="18"/>
      <c r="L193" s="30"/>
    </row>
    <row r="194" spans="1:15" ht="13.5" customHeight="1" x14ac:dyDescent="0.2">
      <c r="A194" s="180"/>
      <c r="B194" s="56" t="s">
        <v>483</v>
      </c>
      <c r="C194" s="36" t="s">
        <v>174</v>
      </c>
      <c r="D194" s="11" t="s">
        <v>488</v>
      </c>
      <c r="E194" s="30"/>
      <c r="F194" s="181">
        <v>145.06</v>
      </c>
      <c r="G194" s="182">
        <v>0</v>
      </c>
      <c r="H194" s="59">
        <v>145.06</v>
      </c>
      <c r="I194" s="60"/>
      <c r="J194" s="61">
        <v>8334.77</v>
      </c>
      <c r="K194" s="18"/>
      <c r="L194" s="30"/>
    </row>
    <row r="195" spans="1:15" ht="13.5" customHeight="1" x14ac:dyDescent="0.2">
      <c r="A195" s="180" t="s">
        <v>2313</v>
      </c>
      <c r="B195" s="56" t="s">
        <v>483</v>
      </c>
      <c r="C195" s="36" t="s">
        <v>86</v>
      </c>
      <c r="D195" s="11" t="s">
        <v>488</v>
      </c>
      <c r="E195" s="181">
        <v>-12.5</v>
      </c>
      <c r="F195" s="30"/>
      <c r="G195" s="182" t="s">
        <v>483</v>
      </c>
      <c r="H195" s="59"/>
      <c r="I195" s="60"/>
      <c r="J195" s="61">
        <v>8334.77</v>
      </c>
      <c r="K195" s="18"/>
      <c r="L195" s="30"/>
    </row>
    <row r="196" spans="1:15" ht="13.5" customHeight="1" x14ac:dyDescent="0.2">
      <c r="A196" s="180"/>
      <c r="B196" s="56" t="s">
        <v>483</v>
      </c>
      <c r="C196" s="36" t="s">
        <v>1176</v>
      </c>
      <c r="D196" s="11" t="s">
        <v>795</v>
      </c>
      <c r="E196" s="181">
        <v>-267.10000000000002</v>
      </c>
      <c r="F196" s="30"/>
      <c r="G196" s="182" t="s">
        <v>483</v>
      </c>
      <c r="H196" s="59"/>
      <c r="I196" s="60"/>
      <c r="J196" s="61">
        <v>8334.77</v>
      </c>
      <c r="K196" s="18"/>
      <c r="L196" s="30"/>
    </row>
    <row r="197" spans="1:15" ht="13.5" customHeight="1" x14ac:dyDescent="0.2">
      <c r="A197" s="180"/>
      <c r="B197" s="56" t="s">
        <v>483</v>
      </c>
      <c r="C197" s="36" t="s">
        <v>174</v>
      </c>
      <c r="D197" s="11" t="s">
        <v>488</v>
      </c>
      <c r="E197" s="30"/>
      <c r="F197" s="183">
        <v>279.60000000000002</v>
      </c>
      <c r="G197" s="182">
        <v>0</v>
      </c>
      <c r="H197" s="59">
        <v>279.60000000000002</v>
      </c>
      <c r="I197" s="60"/>
      <c r="J197" s="61">
        <v>8055.17</v>
      </c>
      <c r="K197" s="18"/>
      <c r="L197" s="30"/>
    </row>
    <row r="198" spans="1:15" ht="13.5" customHeight="1" x14ac:dyDescent="0.2">
      <c r="A198" s="180" t="s">
        <v>2314</v>
      </c>
      <c r="B198" s="56" t="s">
        <v>483</v>
      </c>
      <c r="C198" s="32" t="s">
        <v>813</v>
      </c>
      <c r="D198" s="11" t="s">
        <v>976</v>
      </c>
      <c r="E198" s="181">
        <v>-75</v>
      </c>
      <c r="F198" s="12" t="s">
        <v>483</v>
      </c>
      <c r="G198" s="182"/>
      <c r="H198" s="59"/>
      <c r="I198" s="60"/>
      <c r="J198" s="61">
        <v>8055.17</v>
      </c>
      <c r="K198" s="18"/>
      <c r="L198" s="30"/>
    </row>
    <row r="199" spans="1:15" ht="13.5" customHeight="1" x14ac:dyDescent="0.2">
      <c r="A199" s="180"/>
      <c r="B199" s="56" t="s">
        <v>483</v>
      </c>
      <c r="C199" s="36" t="s">
        <v>1373</v>
      </c>
      <c r="D199" s="11">
        <v>499</v>
      </c>
      <c r="E199" s="181">
        <v>-49.8</v>
      </c>
      <c r="F199" s="12" t="s">
        <v>483</v>
      </c>
      <c r="G199" s="182"/>
      <c r="H199" s="59"/>
      <c r="I199" s="60"/>
      <c r="J199" s="61">
        <v>8055.17</v>
      </c>
      <c r="K199" s="18"/>
      <c r="L199" s="30"/>
    </row>
    <row r="200" spans="1:15" ht="13.5" customHeight="1" x14ac:dyDescent="0.2">
      <c r="A200" s="180"/>
      <c r="B200" s="56" t="s">
        <v>483</v>
      </c>
      <c r="C200" s="36" t="s">
        <v>174</v>
      </c>
      <c r="D200" s="11" t="s">
        <v>488</v>
      </c>
      <c r="E200" s="30"/>
      <c r="F200" s="183">
        <v>124.8</v>
      </c>
      <c r="G200" s="205">
        <v>0</v>
      </c>
      <c r="H200" s="59">
        <v>124.8</v>
      </c>
      <c r="I200" s="60"/>
      <c r="J200" s="61">
        <v>7930.37</v>
      </c>
      <c r="K200" s="18"/>
      <c r="L200" s="30"/>
    </row>
    <row r="201" spans="1:15" s="64" customFormat="1" ht="13.5" customHeight="1" x14ac:dyDescent="0.2">
      <c r="A201" s="184"/>
      <c r="B201" s="63"/>
      <c r="C201" s="32" t="s">
        <v>20</v>
      </c>
      <c r="D201" s="50"/>
      <c r="E201" s="51"/>
      <c r="F201" s="13"/>
      <c r="G201" s="53"/>
      <c r="H201" s="179"/>
      <c r="I201" s="57">
        <v>0.94000000000050932</v>
      </c>
      <c r="J201" s="186">
        <v>7931.31</v>
      </c>
      <c r="K201" s="124"/>
      <c r="L201" s="51"/>
      <c r="O201" s="65"/>
    </row>
    <row r="202" spans="1:15" s="64" customFormat="1" ht="13.5" customHeight="1" thickBot="1" x14ac:dyDescent="0.25">
      <c r="A202" s="184"/>
      <c r="B202" s="63"/>
      <c r="C202" s="63"/>
      <c r="D202" s="50"/>
      <c r="E202" s="650">
        <f>SUM(E159:E181,E185:E201)</f>
        <v>-23516.420000000002</v>
      </c>
      <c r="F202" s="651">
        <f>SUM(F161:F181,F184:F201)</f>
        <v>18931.670000000002</v>
      </c>
      <c r="G202" s="53"/>
      <c r="H202" s="179"/>
      <c r="I202" s="57"/>
      <c r="J202" s="67"/>
      <c r="L202" s="51"/>
      <c r="O202" s="65"/>
    </row>
    <row r="203" spans="1:15" ht="13.5" customHeight="1" thickBot="1" x14ac:dyDescent="0.25">
      <c r="A203" s="2" t="s">
        <v>2</v>
      </c>
      <c r="B203" s="3"/>
      <c r="C203" s="3" t="s">
        <v>525</v>
      </c>
      <c r="D203" s="3" t="s">
        <v>4</v>
      </c>
      <c r="E203" s="3" t="s">
        <v>5</v>
      </c>
      <c r="F203" s="3" t="s">
        <v>6</v>
      </c>
      <c r="G203" s="5" t="s">
        <v>7</v>
      </c>
      <c r="H203" s="187"/>
      <c r="I203" s="188"/>
      <c r="J203" s="189"/>
    </row>
    <row r="204" spans="1:15" ht="13.5" customHeight="1" x14ac:dyDescent="0.2">
      <c r="A204" s="8">
        <v>43617</v>
      </c>
      <c r="B204" s="56"/>
      <c r="C204" s="10" t="s">
        <v>8</v>
      </c>
      <c r="D204" s="11"/>
      <c r="E204" s="51"/>
      <c r="F204" s="12"/>
      <c r="G204" s="178">
        <v>208.63999999999874</v>
      </c>
      <c r="H204" s="179"/>
      <c r="I204" s="57"/>
      <c r="J204" s="67"/>
      <c r="L204" s="51"/>
    </row>
    <row r="205" spans="1:15" customFormat="1" ht="13.5" customHeight="1" x14ac:dyDescent="0.2">
      <c r="A205" s="180">
        <v>43620</v>
      </c>
      <c r="B205" s="36"/>
      <c r="C205" s="36" t="s">
        <v>2315</v>
      </c>
      <c r="D205" s="42"/>
      <c r="E205" s="343">
        <v>180</v>
      </c>
      <c r="F205" s="43"/>
      <c r="G205" s="190">
        <v>28.639999999998736</v>
      </c>
      <c r="H205" s="197"/>
      <c r="I205" s="57"/>
      <c r="J205" s="198"/>
      <c r="L205" s="196"/>
      <c r="O205" s="40"/>
    </row>
    <row r="206" spans="1:15" customFormat="1" ht="13.5" customHeight="1" x14ac:dyDescent="0.2">
      <c r="A206" s="180"/>
      <c r="B206" s="36"/>
      <c r="C206" s="32" t="s">
        <v>1390</v>
      </c>
      <c r="D206" s="42"/>
      <c r="E206" s="196"/>
      <c r="F206" s="199">
        <v>2500</v>
      </c>
      <c r="G206" s="190">
        <v>2528.6399999999985</v>
      </c>
      <c r="H206" s="197"/>
      <c r="I206" s="57"/>
      <c r="J206" s="198"/>
      <c r="L206" s="196"/>
      <c r="O206" s="40"/>
    </row>
    <row r="207" spans="1:15" ht="13.5" customHeight="1" x14ac:dyDescent="0.2">
      <c r="A207" s="180">
        <v>43622</v>
      </c>
      <c r="B207" s="56"/>
      <c r="C207" s="36" t="s">
        <v>815</v>
      </c>
      <c r="D207" s="11"/>
      <c r="E207" s="181">
        <v>888.22</v>
      </c>
      <c r="F207" s="12"/>
      <c r="G207" s="190">
        <v>1640.4199999999985</v>
      </c>
      <c r="H207" s="59"/>
      <c r="I207" s="60"/>
      <c r="J207" s="61"/>
      <c r="L207" s="30"/>
    </row>
    <row r="208" spans="1:15" ht="13.5" customHeight="1" x14ac:dyDescent="0.2">
      <c r="A208" s="180">
        <v>43626</v>
      </c>
      <c r="B208" s="56"/>
      <c r="C208" s="36" t="s">
        <v>2316</v>
      </c>
      <c r="D208" s="11"/>
      <c r="E208" s="181">
        <v>65</v>
      </c>
      <c r="F208" s="12"/>
      <c r="G208" s="190">
        <v>1575.4199999999985</v>
      </c>
      <c r="H208" s="59"/>
      <c r="I208" s="60"/>
      <c r="J208" s="61"/>
      <c r="L208" s="30"/>
    </row>
    <row r="209" spans="1:15" s="64" customFormat="1" ht="13.5" customHeight="1" x14ac:dyDescent="0.2">
      <c r="A209" s="184">
        <v>43635</v>
      </c>
      <c r="B209" s="63"/>
      <c r="C209" s="32" t="s">
        <v>2317</v>
      </c>
      <c r="D209" s="50"/>
      <c r="E209" s="181">
        <v>793.85</v>
      </c>
      <c r="F209" s="13"/>
      <c r="G209" s="190">
        <v>781.56999999999846</v>
      </c>
      <c r="H209" s="179"/>
      <c r="I209" s="57"/>
      <c r="J209" s="67"/>
      <c r="L209" s="51"/>
      <c r="O209" s="65"/>
    </row>
    <row r="210" spans="1:15" s="64" customFormat="1" ht="13.5" customHeight="1" x14ac:dyDescent="0.2">
      <c r="A210" s="184"/>
      <c r="B210" s="63"/>
      <c r="C210" s="32" t="s">
        <v>2318</v>
      </c>
      <c r="D210" s="50"/>
      <c r="E210" s="181">
        <v>421.52</v>
      </c>
      <c r="F210" s="13"/>
      <c r="G210" s="178">
        <v>360.04999999999848</v>
      </c>
      <c r="H210" s="179"/>
      <c r="I210" s="57"/>
      <c r="J210" s="67"/>
      <c r="L210" s="51"/>
      <c r="O210" s="65"/>
    </row>
    <row r="211" spans="1:15" s="64" customFormat="1" ht="13.5" customHeight="1" thickBot="1" x14ac:dyDescent="0.25">
      <c r="A211" s="184"/>
      <c r="B211" s="63"/>
      <c r="C211" s="63"/>
      <c r="D211" s="50"/>
      <c r="E211" s="51"/>
      <c r="F211" s="13"/>
      <c r="G211" s="53"/>
      <c r="H211" s="179"/>
      <c r="I211" s="57"/>
      <c r="J211" s="67"/>
      <c r="L211" s="51"/>
      <c r="O211" s="65"/>
    </row>
    <row r="212" spans="1:15" s="64" customFormat="1" ht="13.5" customHeight="1" thickBot="1" x14ac:dyDescent="0.25">
      <c r="A212" s="2" t="s">
        <v>2</v>
      </c>
      <c r="B212" s="3"/>
      <c r="C212" s="3" t="s">
        <v>534</v>
      </c>
      <c r="D212" s="191" t="s">
        <v>4</v>
      </c>
      <c r="E212" s="3" t="s">
        <v>5</v>
      </c>
      <c r="F212" s="3" t="s">
        <v>6</v>
      </c>
      <c r="G212" s="5" t="s">
        <v>7</v>
      </c>
      <c r="H212" s="187"/>
      <c r="I212" s="188"/>
      <c r="J212" s="189"/>
      <c r="L212" s="51"/>
      <c r="O212" s="65"/>
    </row>
    <row r="213" spans="1:15" s="64" customFormat="1" ht="13.5" customHeight="1" x14ac:dyDescent="0.2">
      <c r="A213" s="8">
        <v>42370</v>
      </c>
      <c r="B213" s="36"/>
      <c r="C213" s="10" t="s">
        <v>8</v>
      </c>
      <c r="D213" s="195"/>
      <c r="E213" s="196"/>
      <c r="F213" s="43"/>
      <c r="G213" s="178">
        <v>0</v>
      </c>
      <c r="H213" s="59"/>
      <c r="I213" s="60"/>
      <c r="J213" s="61"/>
      <c r="L213" s="51"/>
      <c r="O213" s="65"/>
    </row>
    <row r="214" spans="1:15" s="64" customFormat="1" ht="13.5" customHeight="1" x14ac:dyDescent="0.2">
      <c r="A214" s="180">
        <v>43284</v>
      </c>
      <c r="B214" s="32"/>
      <c r="C214" s="32" t="s">
        <v>535</v>
      </c>
      <c r="D214" s="195"/>
      <c r="E214" s="196"/>
      <c r="F214" s="199">
        <v>500</v>
      </c>
      <c r="G214" s="190">
        <v>500</v>
      </c>
      <c r="H214" s="59"/>
      <c r="I214" s="60"/>
      <c r="J214" s="61"/>
      <c r="L214" s="51"/>
      <c r="O214" s="65"/>
    </row>
    <row r="215" spans="1:15" s="64" customFormat="1" ht="13.5" customHeight="1" x14ac:dyDescent="0.2">
      <c r="A215" s="180">
        <v>43346</v>
      </c>
      <c r="B215" s="36"/>
      <c r="C215" s="32" t="s">
        <v>535</v>
      </c>
      <c r="D215" s="195"/>
      <c r="E215" s="200"/>
      <c r="F215" s="199">
        <v>3000</v>
      </c>
      <c r="G215" s="190">
        <v>3500</v>
      </c>
      <c r="H215" s="59"/>
      <c r="I215" s="60"/>
      <c r="J215" s="61"/>
      <c r="L215" s="51"/>
      <c r="O215" s="65"/>
    </row>
    <row r="216" spans="1:15" s="64" customFormat="1" ht="13.5" customHeight="1" x14ac:dyDescent="0.2">
      <c r="A216" s="180">
        <v>43374</v>
      </c>
      <c r="B216" s="36"/>
      <c r="C216" s="32" t="s">
        <v>535</v>
      </c>
      <c r="D216" s="195"/>
      <c r="E216" s="200"/>
      <c r="F216" s="199">
        <v>2000</v>
      </c>
      <c r="G216" s="190">
        <v>5500</v>
      </c>
      <c r="H216" s="59"/>
      <c r="I216" s="60"/>
      <c r="J216" s="61"/>
      <c r="L216" s="51"/>
      <c r="O216" s="65"/>
    </row>
    <row r="217" spans="1:15" s="64" customFormat="1" ht="13.5" customHeight="1" x14ac:dyDescent="0.2">
      <c r="A217" s="180">
        <v>43409</v>
      </c>
      <c r="B217" s="36"/>
      <c r="C217" s="32" t="s">
        <v>535</v>
      </c>
      <c r="D217" s="195"/>
      <c r="E217" s="200"/>
      <c r="F217" s="199">
        <v>1000</v>
      </c>
      <c r="G217" s="190">
        <v>6500</v>
      </c>
      <c r="H217" s="59"/>
      <c r="I217" s="60"/>
      <c r="J217" s="61"/>
      <c r="L217" s="51"/>
      <c r="O217" s="65"/>
    </row>
    <row r="218" spans="1:15" s="64" customFormat="1" ht="13.5" customHeight="1" x14ac:dyDescent="0.2">
      <c r="A218" s="180">
        <v>43439</v>
      </c>
      <c r="B218" s="36"/>
      <c r="C218" s="32" t="s">
        <v>535</v>
      </c>
      <c r="D218" s="195"/>
      <c r="E218" s="200"/>
      <c r="F218" s="199">
        <v>500</v>
      </c>
      <c r="G218" s="190">
        <v>7000</v>
      </c>
      <c r="H218" s="59"/>
      <c r="I218" s="60"/>
      <c r="J218" s="61"/>
      <c r="L218" s="51"/>
      <c r="O218" s="65"/>
    </row>
    <row r="219" spans="1:15" s="64" customFormat="1" ht="13.5" customHeight="1" x14ac:dyDescent="0.2">
      <c r="A219" s="180">
        <v>43469</v>
      </c>
      <c r="B219" s="36"/>
      <c r="C219" s="32" t="s">
        <v>1390</v>
      </c>
      <c r="D219" s="195"/>
      <c r="E219" s="200"/>
      <c r="F219" s="199">
        <v>1500</v>
      </c>
      <c r="G219" s="190">
        <v>8500</v>
      </c>
      <c r="H219" s="59"/>
      <c r="I219" s="60"/>
      <c r="J219" s="61"/>
      <c r="L219" s="51"/>
      <c r="O219" s="65"/>
    </row>
    <row r="220" spans="1:15" s="64" customFormat="1" ht="13.5" customHeight="1" x14ac:dyDescent="0.2">
      <c r="A220" s="184">
        <v>43475</v>
      </c>
      <c r="B220" s="63"/>
      <c r="C220" s="32" t="s">
        <v>1391</v>
      </c>
      <c r="D220" s="50"/>
      <c r="E220" s="51"/>
      <c r="F220" s="183">
        <v>5000</v>
      </c>
      <c r="G220" s="190">
        <v>13500</v>
      </c>
      <c r="H220" s="59"/>
      <c r="I220" s="60"/>
      <c r="J220" s="61"/>
      <c r="L220" s="51"/>
      <c r="O220" s="65"/>
    </row>
    <row r="221" spans="1:15" s="64" customFormat="1" ht="13.5" customHeight="1" x14ac:dyDescent="0.2">
      <c r="A221" s="184">
        <v>43482</v>
      </c>
      <c r="B221" s="63"/>
      <c r="C221" s="32" t="s">
        <v>1391</v>
      </c>
      <c r="D221" s="50"/>
      <c r="E221" s="51"/>
      <c r="F221" s="183">
        <v>5000</v>
      </c>
      <c r="G221" s="190">
        <v>18500</v>
      </c>
      <c r="H221" s="59"/>
      <c r="I221" s="60"/>
      <c r="J221" s="61"/>
      <c r="L221" s="51"/>
      <c r="O221" s="65"/>
    </row>
    <row r="222" spans="1:15" s="64" customFormat="1" ht="13.5" customHeight="1" x14ac:dyDescent="0.2">
      <c r="A222" s="184">
        <v>43500</v>
      </c>
      <c r="B222" s="63"/>
      <c r="C222" s="32" t="s">
        <v>1391</v>
      </c>
      <c r="D222" s="50"/>
      <c r="E222" s="51"/>
      <c r="F222" s="183">
        <v>3000</v>
      </c>
      <c r="G222" s="190">
        <v>21500</v>
      </c>
      <c r="H222" s="59"/>
      <c r="I222" s="60"/>
      <c r="J222" s="61"/>
      <c r="L222" s="51"/>
      <c r="O222" s="65"/>
    </row>
    <row r="223" spans="1:15" s="64" customFormat="1" ht="13.5" customHeight="1" x14ac:dyDescent="0.2">
      <c r="A223" s="184">
        <v>43501</v>
      </c>
      <c r="B223" s="63"/>
      <c r="C223" s="32" t="s">
        <v>1391</v>
      </c>
      <c r="D223" s="50"/>
      <c r="E223" s="51"/>
      <c r="F223" s="183">
        <v>4000</v>
      </c>
      <c r="G223" s="190">
        <v>25500</v>
      </c>
      <c r="H223" s="59"/>
      <c r="I223" s="60"/>
      <c r="J223" s="61"/>
      <c r="L223" s="51"/>
      <c r="O223" s="65"/>
    </row>
    <row r="224" spans="1:15" s="64" customFormat="1" ht="13.5" customHeight="1" x14ac:dyDescent="0.2">
      <c r="A224" s="184">
        <v>43503</v>
      </c>
      <c r="B224" s="63"/>
      <c r="C224" s="32" t="s">
        <v>1391</v>
      </c>
      <c r="D224" s="50"/>
      <c r="E224" s="51"/>
      <c r="F224" s="183">
        <v>2000</v>
      </c>
      <c r="G224" s="190">
        <v>27500</v>
      </c>
      <c r="H224" s="59"/>
      <c r="I224" s="60"/>
      <c r="J224" s="61"/>
      <c r="L224" s="51"/>
      <c r="O224" s="65"/>
    </row>
    <row r="225" spans="1:15" s="64" customFormat="1" ht="13.5" customHeight="1" x14ac:dyDescent="0.2">
      <c r="A225" s="184">
        <v>43504</v>
      </c>
      <c r="B225" s="63"/>
      <c r="C225" s="32" t="s">
        <v>1390</v>
      </c>
      <c r="D225" s="50"/>
      <c r="E225" s="51"/>
      <c r="F225" s="183">
        <v>1500</v>
      </c>
      <c r="G225" s="190">
        <v>29000</v>
      </c>
      <c r="H225" s="59"/>
      <c r="I225" s="60"/>
      <c r="J225" s="61"/>
      <c r="L225" s="51"/>
      <c r="O225" s="65"/>
    </row>
    <row r="226" spans="1:15" s="64" customFormat="1" ht="13.5" customHeight="1" x14ac:dyDescent="0.2">
      <c r="A226" s="184">
        <v>43522</v>
      </c>
      <c r="B226" s="63"/>
      <c r="C226" s="32" t="s">
        <v>1544</v>
      </c>
      <c r="D226" s="50"/>
      <c r="E226" s="181">
        <v>5000</v>
      </c>
      <c r="F226" s="12"/>
      <c r="G226" s="190">
        <v>24000</v>
      </c>
      <c r="H226" s="59"/>
      <c r="I226" s="60"/>
      <c r="J226" s="61"/>
      <c r="L226" s="51"/>
      <c r="O226" s="65"/>
    </row>
    <row r="227" spans="1:15" s="64" customFormat="1" ht="13.5" customHeight="1" x14ac:dyDescent="0.2">
      <c r="A227" s="180">
        <v>43531</v>
      </c>
      <c r="B227" s="63"/>
      <c r="C227" s="32" t="s">
        <v>1390</v>
      </c>
      <c r="D227" s="50"/>
      <c r="E227" s="51"/>
      <c r="F227" s="183">
        <v>3000</v>
      </c>
      <c r="G227" s="190">
        <v>27000</v>
      </c>
      <c r="H227" s="59"/>
      <c r="I227" s="60"/>
      <c r="J227" s="61"/>
      <c r="L227" s="51"/>
      <c r="O227" s="65"/>
    </row>
    <row r="228" spans="1:15" s="64" customFormat="1" ht="13.5" customHeight="1" x14ac:dyDescent="0.2">
      <c r="A228" s="180">
        <v>43536</v>
      </c>
      <c r="B228" s="56"/>
      <c r="C228" s="32" t="s">
        <v>1391</v>
      </c>
      <c r="D228" s="11"/>
      <c r="E228" s="30"/>
      <c r="F228" s="183">
        <v>3000</v>
      </c>
      <c r="G228" s="190">
        <v>30000</v>
      </c>
      <c r="H228" s="59"/>
      <c r="I228" s="60"/>
      <c r="J228" s="61"/>
      <c r="L228" s="51"/>
      <c r="O228" s="65"/>
    </row>
    <row r="229" spans="1:15" s="64" customFormat="1" ht="13.5" customHeight="1" x14ac:dyDescent="0.2">
      <c r="A229" s="180">
        <v>43560</v>
      </c>
      <c r="B229" s="36"/>
      <c r="C229" s="32" t="s">
        <v>1390</v>
      </c>
      <c r="D229" s="50"/>
      <c r="E229" s="51"/>
      <c r="F229" s="183">
        <v>2000</v>
      </c>
      <c r="G229" s="190">
        <v>32000</v>
      </c>
      <c r="H229" s="59"/>
      <c r="I229" s="60"/>
      <c r="J229" s="61"/>
      <c r="L229" s="51"/>
      <c r="O229" s="65"/>
    </row>
    <row r="230" spans="1:15" s="64" customFormat="1" ht="13.5" customHeight="1" x14ac:dyDescent="0.2">
      <c r="A230" s="184">
        <v>43565</v>
      </c>
      <c r="B230" s="63"/>
      <c r="C230" s="32" t="s">
        <v>1390</v>
      </c>
      <c r="D230" s="50"/>
      <c r="E230" s="51"/>
      <c r="F230" s="183">
        <v>8000</v>
      </c>
      <c r="G230" s="190">
        <v>40000</v>
      </c>
      <c r="H230" s="59"/>
      <c r="I230" s="60"/>
      <c r="J230" s="61"/>
      <c r="L230" s="51"/>
      <c r="O230" s="65"/>
    </row>
    <row r="231" spans="1:15" s="64" customFormat="1" ht="13.5" customHeight="1" x14ac:dyDescent="0.2">
      <c r="A231" s="184">
        <v>43571</v>
      </c>
      <c r="B231" s="63"/>
      <c r="C231" s="32" t="s">
        <v>1544</v>
      </c>
      <c r="D231" s="50"/>
      <c r="E231" s="181">
        <v>4000</v>
      </c>
      <c r="F231" s="13"/>
      <c r="G231" s="190">
        <v>36000</v>
      </c>
      <c r="H231" s="59"/>
      <c r="I231" s="60"/>
      <c r="J231" s="61"/>
      <c r="L231" s="51"/>
      <c r="O231" s="65"/>
    </row>
    <row r="232" spans="1:15" s="64" customFormat="1" ht="13.5" customHeight="1" x14ac:dyDescent="0.2">
      <c r="A232" s="184">
        <v>43580</v>
      </c>
      <c r="B232" s="63"/>
      <c r="C232" s="32" t="s">
        <v>1544</v>
      </c>
      <c r="D232" s="50"/>
      <c r="E232" s="181">
        <v>2000</v>
      </c>
      <c r="F232" s="13"/>
      <c r="G232" s="190">
        <v>34000</v>
      </c>
      <c r="H232" s="59"/>
      <c r="I232" s="60"/>
      <c r="J232" s="61"/>
      <c r="L232" s="51"/>
      <c r="O232" s="65"/>
    </row>
    <row r="233" spans="1:15" s="64" customFormat="1" ht="13.5" customHeight="1" x14ac:dyDescent="0.2">
      <c r="A233" s="180">
        <v>43593</v>
      </c>
      <c r="B233" s="36"/>
      <c r="C233" s="32" t="s">
        <v>1390</v>
      </c>
      <c r="D233" s="42"/>
      <c r="E233" s="196"/>
      <c r="F233" s="199">
        <v>500</v>
      </c>
      <c r="G233" s="190">
        <v>34500</v>
      </c>
      <c r="H233" s="59"/>
      <c r="I233" s="60"/>
      <c r="J233" s="61"/>
      <c r="L233" s="51"/>
      <c r="O233" s="65"/>
    </row>
    <row r="234" spans="1:15" ht="13.5" customHeight="1" x14ac:dyDescent="0.2">
      <c r="A234" s="180">
        <v>43620</v>
      </c>
      <c r="B234" s="36"/>
      <c r="C234" s="32" t="s">
        <v>1390</v>
      </c>
      <c r="D234" s="42"/>
      <c r="E234" s="196"/>
      <c r="F234" s="199">
        <v>2500</v>
      </c>
      <c r="G234" s="190">
        <v>37000</v>
      </c>
      <c r="H234" s="59"/>
      <c r="I234" s="60"/>
      <c r="J234" s="61"/>
      <c r="L234" s="30"/>
      <c r="O234" s="529"/>
    </row>
    <row r="235" spans="1:15" ht="13.5" customHeight="1" x14ac:dyDescent="0.2">
      <c r="A235" s="180">
        <v>43633</v>
      </c>
      <c r="B235" s="36"/>
      <c r="C235" s="32" t="s">
        <v>1544</v>
      </c>
      <c r="D235" s="42"/>
      <c r="E235" s="343">
        <v>4000</v>
      </c>
      <c r="F235" s="43"/>
      <c r="G235" s="178">
        <v>33000</v>
      </c>
      <c r="H235" s="59"/>
      <c r="I235" s="60"/>
      <c r="J235" s="61"/>
      <c r="L235" s="30"/>
      <c r="O235" s="529"/>
    </row>
    <row r="236" spans="1:15" ht="13.5" customHeight="1" thickBot="1" x14ac:dyDescent="0.25">
      <c r="A236" s="180"/>
      <c r="B236" s="56"/>
      <c r="C236" s="56"/>
      <c r="D236" s="11"/>
      <c r="E236" s="30"/>
      <c r="F236" s="12"/>
      <c r="G236" s="182"/>
      <c r="H236" s="59"/>
      <c r="I236" s="60"/>
      <c r="J236" s="61"/>
      <c r="L236" s="30"/>
    </row>
    <row r="237" spans="1:15" ht="13.5" customHeight="1" thickBot="1" x14ac:dyDescent="0.25">
      <c r="A237" s="2" t="s">
        <v>2</v>
      </c>
      <c r="B237" s="3"/>
      <c r="C237" s="3" t="s">
        <v>536</v>
      </c>
      <c r="D237" s="3"/>
      <c r="E237" s="3"/>
      <c r="F237" s="3"/>
      <c r="G237" s="5" t="s">
        <v>7</v>
      </c>
      <c r="H237" s="6" t="s">
        <v>5</v>
      </c>
      <c r="I237" s="4" t="s">
        <v>6</v>
      </c>
      <c r="J237" s="7" t="s">
        <v>7</v>
      </c>
    </row>
    <row r="238" spans="1:15" ht="13.5" customHeight="1" x14ac:dyDescent="0.2">
      <c r="A238" s="8">
        <v>43617</v>
      </c>
      <c r="B238" s="70"/>
      <c r="C238" s="10" t="s">
        <v>537</v>
      </c>
      <c r="D238" s="125"/>
      <c r="E238" s="67"/>
      <c r="F238" s="67"/>
      <c r="G238" s="178"/>
      <c r="H238" s="179"/>
      <c r="I238" s="57"/>
      <c r="J238" s="58">
        <v>7212.6099999999988</v>
      </c>
      <c r="L238" s="18"/>
    </row>
    <row r="239" spans="1:15" ht="13.5" customHeight="1" x14ac:dyDescent="0.2">
      <c r="A239" s="171">
        <v>43620</v>
      </c>
      <c r="B239" s="46"/>
      <c r="C239" s="34" t="s">
        <v>2319</v>
      </c>
      <c r="D239" s="229"/>
      <c r="E239" s="69"/>
      <c r="F239" s="69"/>
      <c r="G239" s="203"/>
      <c r="H239" s="68">
        <v>15</v>
      </c>
      <c r="I239" s="71"/>
      <c r="J239" s="69">
        <v>7197.6099999999988</v>
      </c>
      <c r="L239" s="18"/>
    </row>
    <row r="240" spans="1:15" ht="13.5" customHeight="1" x14ac:dyDescent="0.2">
      <c r="A240" s="171">
        <v>43623</v>
      </c>
      <c r="B240" s="46"/>
      <c r="C240" s="34" t="s">
        <v>2185</v>
      </c>
      <c r="D240" s="229"/>
      <c r="E240" s="69"/>
      <c r="F240" s="69"/>
      <c r="G240" s="203"/>
      <c r="H240" s="68"/>
      <c r="I240" s="73">
        <v>1000</v>
      </c>
      <c r="J240" s="69">
        <v>8197.6099999999988</v>
      </c>
      <c r="L240" s="18"/>
    </row>
    <row r="241" spans="1:13" ht="13.5" customHeight="1" x14ac:dyDescent="0.2">
      <c r="A241" s="171">
        <v>43626</v>
      </c>
      <c r="B241" s="46"/>
      <c r="C241" s="34" t="s">
        <v>2320</v>
      </c>
      <c r="D241" s="229"/>
      <c r="E241" s="69"/>
      <c r="F241" s="69"/>
      <c r="G241" s="203"/>
      <c r="H241" s="68">
        <v>5000</v>
      </c>
      <c r="I241" s="68"/>
      <c r="J241" s="69">
        <v>3197.6099999999988</v>
      </c>
      <c r="K241" s="18"/>
      <c r="L241" s="18"/>
      <c r="M241" s="18"/>
    </row>
    <row r="242" spans="1:13" ht="13.5" customHeight="1" x14ac:dyDescent="0.2">
      <c r="A242" s="171"/>
      <c r="B242" s="46"/>
      <c r="C242" s="34" t="s">
        <v>2321</v>
      </c>
      <c r="D242" s="229"/>
      <c r="E242" s="69"/>
      <c r="F242" s="69"/>
      <c r="G242" s="203"/>
      <c r="H242" s="68">
        <v>1150</v>
      </c>
      <c r="I242" s="68"/>
      <c r="J242" s="69">
        <v>2047.6099999999988</v>
      </c>
      <c r="K242" s="18"/>
      <c r="L242" s="18"/>
      <c r="M242" s="18"/>
    </row>
    <row r="243" spans="1:13" ht="13.5" customHeight="1" x14ac:dyDescent="0.2">
      <c r="A243" s="171"/>
      <c r="B243" s="46"/>
      <c r="C243" s="34" t="s">
        <v>2206</v>
      </c>
      <c r="D243" s="229"/>
      <c r="E243" s="69"/>
      <c r="F243" s="69"/>
      <c r="G243" s="203"/>
      <c r="H243" s="68"/>
      <c r="I243" s="412">
        <v>3000</v>
      </c>
      <c r="J243" s="69">
        <v>5047.6099999999988</v>
      </c>
      <c r="K243" s="18"/>
      <c r="L243" s="18"/>
      <c r="M243" s="18"/>
    </row>
    <row r="244" spans="1:13" ht="13.5" customHeight="1" x14ac:dyDescent="0.2">
      <c r="A244" s="180">
        <v>43627</v>
      </c>
      <c r="B244" s="46"/>
      <c r="C244" s="34" t="s">
        <v>2322</v>
      </c>
      <c r="D244" s="229"/>
      <c r="E244" s="69"/>
      <c r="F244" s="69"/>
      <c r="G244" s="203"/>
      <c r="H244" s="68"/>
      <c r="I244" s="71">
        <v>5075</v>
      </c>
      <c r="J244" s="69">
        <v>10122.609999999999</v>
      </c>
      <c r="L244" s="18"/>
    </row>
    <row r="245" spans="1:13" ht="13.5" customHeight="1" x14ac:dyDescent="0.2">
      <c r="A245" s="180">
        <v>43629</v>
      </c>
      <c r="B245" s="46"/>
      <c r="C245" s="34" t="s">
        <v>2219</v>
      </c>
      <c r="D245" s="230"/>
      <c r="E245" s="61"/>
      <c r="F245" s="61"/>
      <c r="G245" s="205"/>
      <c r="H245" s="531">
        <v>2500</v>
      </c>
      <c r="I245" s="71"/>
      <c r="J245" s="69">
        <v>7622.6099999999988</v>
      </c>
      <c r="L245" s="18"/>
    </row>
    <row r="246" spans="1:13" ht="13.5" customHeight="1" x14ac:dyDescent="0.2">
      <c r="A246" s="180"/>
      <c r="B246" s="46"/>
      <c r="C246" s="34" t="s">
        <v>1981</v>
      </c>
      <c r="D246" s="229"/>
      <c r="E246" s="69"/>
      <c r="F246" s="69"/>
      <c r="G246" s="203"/>
      <c r="H246" s="68"/>
      <c r="I246" s="73">
        <v>4000</v>
      </c>
      <c r="J246" s="69">
        <v>11622.609999999999</v>
      </c>
      <c r="L246" s="18"/>
    </row>
    <row r="247" spans="1:13" ht="13.5" customHeight="1" x14ac:dyDescent="0.2">
      <c r="A247" s="180"/>
      <c r="B247" s="9"/>
      <c r="C247" s="34" t="s">
        <v>1002</v>
      </c>
      <c r="D247" s="230"/>
      <c r="E247" s="61"/>
      <c r="F247" s="61"/>
      <c r="G247" s="205"/>
      <c r="H247" s="59">
        <v>9253.6899999999987</v>
      </c>
      <c r="I247" s="71"/>
      <c r="J247" s="69">
        <v>2368.92</v>
      </c>
      <c r="L247" s="18"/>
    </row>
    <row r="248" spans="1:13" ht="13.5" customHeight="1" x14ac:dyDescent="0.2">
      <c r="A248" s="180">
        <v>43630</v>
      </c>
      <c r="B248" s="9"/>
      <c r="C248" s="34" t="s">
        <v>2323</v>
      </c>
      <c r="D248" s="230"/>
      <c r="E248" s="61"/>
      <c r="F248" s="61"/>
      <c r="G248" s="205"/>
      <c r="H248" s="59">
        <v>176.03</v>
      </c>
      <c r="I248" s="71"/>
      <c r="J248" s="69">
        <v>2192.89</v>
      </c>
      <c r="L248" s="18"/>
    </row>
    <row r="249" spans="1:13" ht="13.5" customHeight="1" x14ac:dyDescent="0.2">
      <c r="A249" s="180"/>
      <c r="B249" s="46"/>
      <c r="C249" s="34" t="s">
        <v>2324</v>
      </c>
      <c r="D249" s="229"/>
      <c r="E249" s="69"/>
      <c r="F249" s="69"/>
      <c r="G249" s="203"/>
      <c r="H249" s="68">
        <v>57.4</v>
      </c>
      <c r="I249" s="71"/>
      <c r="J249" s="69">
        <v>2135.4899999999998</v>
      </c>
      <c r="L249" s="18"/>
    </row>
    <row r="250" spans="1:13" ht="13.5" customHeight="1" x14ac:dyDescent="0.2">
      <c r="A250" s="180">
        <v>43633</v>
      </c>
      <c r="B250" s="46"/>
      <c r="C250" s="34" t="s">
        <v>2325</v>
      </c>
      <c r="D250" s="229"/>
      <c r="E250" s="69"/>
      <c r="F250" s="69"/>
      <c r="G250" s="203"/>
      <c r="H250" s="68">
        <v>8.6999999999999993</v>
      </c>
      <c r="I250" s="71"/>
      <c r="J250" s="69">
        <v>2126.79</v>
      </c>
      <c r="L250" s="18"/>
    </row>
    <row r="251" spans="1:13" ht="13.5" customHeight="1" x14ac:dyDescent="0.2">
      <c r="A251" s="180"/>
      <c r="B251" s="46"/>
      <c r="C251" s="34" t="s">
        <v>2326</v>
      </c>
      <c r="D251" s="229"/>
      <c r="E251" s="69"/>
      <c r="F251" s="69"/>
      <c r="G251" s="203"/>
      <c r="H251" s="68">
        <v>87.73</v>
      </c>
      <c r="I251" s="71"/>
      <c r="J251" s="69">
        <v>2039.06</v>
      </c>
      <c r="L251" s="18"/>
    </row>
    <row r="252" spans="1:13" ht="13.5" customHeight="1" x14ac:dyDescent="0.2">
      <c r="A252" s="171">
        <v>43635</v>
      </c>
      <c r="B252" s="46"/>
      <c r="C252" s="34" t="s">
        <v>2327</v>
      </c>
      <c r="D252" s="229"/>
      <c r="E252" s="69"/>
      <c r="F252" s="69"/>
      <c r="G252" s="203"/>
      <c r="H252" s="68">
        <v>5.25</v>
      </c>
      <c r="I252" s="68"/>
      <c r="J252" s="69">
        <v>2033.81</v>
      </c>
      <c r="K252" s="18"/>
      <c r="L252" s="18"/>
      <c r="M252" s="18"/>
    </row>
    <row r="253" spans="1:13" ht="13.5" customHeight="1" x14ac:dyDescent="0.2">
      <c r="A253" s="171"/>
      <c r="B253" s="46"/>
      <c r="C253" s="34" t="s">
        <v>2328</v>
      </c>
      <c r="D253" s="229"/>
      <c r="E253" s="69"/>
      <c r="F253" s="69"/>
      <c r="G253" s="203"/>
      <c r="H253" s="68">
        <v>75</v>
      </c>
      <c r="I253" s="68"/>
      <c r="J253" s="69">
        <v>1958.81</v>
      </c>
      <c r="K253" s="18"/>
      <c r="L253" s="18"/>
      <c r="M253" s="18"/>
    </row>
    <row r="254" spans="1:13" ht="13.5" customHeight="1" x14ac:dyDescent="0.2">
      <c r="A254" s="171"/>
      <c r="B254" s="46"/>
      <c r="C254" s="34" t="s">
        <v>2329</v>
      </c>
      <c r="D254" s="229"/>
      <c r="E254" s="69"/>
      <c r="F254" s="69"/>
      <c r="G254" s="203"/>
      <c r="H254" s="68">
        <v>406.7</v>
      </c>
      <c r="I254" s="68"/>
      <c r="J254" s="69">
        <v>1552.11</v>
      </c>
      <c r="K254" s="18"/>
      <c r="L254" s="18"/>
      <c r="M254" s="18"/>
    </row>
    <row r="255" spans="1:13" ht="13.5" customHeight="1" x14ac:dyDescent="0.2">
      <c r="A255" s="171"/>
      <c r="B255" s="46"/>
      <c r="C255" s="34" t="s">
        <v>2324</v>
      </c>
      <c r="D255" s="229"/>
      <c r="E255" s="69"/>
      <c r="F255" s="69"/>
      <c r="G255" s="203"/>
      <c r="H255" s="68">
        <v>12.49</v>
      </c>
      <c r="I255" s="68"/>
      <c r="J255" s="69">
        <v>1539.62</v>
      </c>
      <c r="K255" s="18"/>
      <c r="L255" s="18"/>
      <c r="M255" s="18"/>
    </row>
    <row r="256" spans="1:13" ht="13.5" customHeight="1" x14ac:dyDescent="0.2">
      <c r="A256" s="171"/>
      <c r="B256" s="46"/>
      <c r="C256" s="34" t="s">
        <v>2324</v>
      </c>
      <c r="D256" s="229"/>
      <c r="E256" s="69"/>
      <c r="F256" s="69"/>
      <c r="G256" s="203"/>
      <c r="H256" s="68">
        <v>5.99</v>
      </c>
      <c r="I256" s="68"/>
      <c r="J256" s="69">
        <v>1533.6299999999999</v>
      </c>
      <c r="K256" s="18"/>
      <c r="L256" s="18"/>
      <c r="M256" s="18"/>
    </row>
    <row r="257" spans="1:13" ht="13.5" customHeight="1" x14ac:dyDescent="0.2">
      <c r="A257" s="171"/>
      <c r="B257" s="46"/>
      <c r="C257" s="34" t="s">
        <v>2323</v>
      </c>
      <c r="D257" s="229"/>
      <c r="E257" s="69"/>
      <c r="F257" s="69"/>
      <c r="G257" s="203"/>
      <c r="H257" s="68">
        <v>193.56</v>
      </c>
      <c r="I257" s="68"/>
      <c r="J257" s="69">
        <v>1340.07</v>
      </c>
      <c r="K257" s="18"/>
      <c r="L257" s="18"/>
      <c r="M257" s="18"/>
    </row>
    <row r="258" spans="1:13" ht="13.5" customHeight="1" x14ac:dyDescent="0.2">
      <c r="A258" s="171"/>
      <c r="B258" s="46"/>
      <c r="C258" s="34" t="s">
        <v>2324</v>
      </c>
      <c r="D258" s="229"/>
      <c r="E258" s="69"/>
      <c r="F258" s="69"/>
      <c r="G258" s="203"/>
      <c r="H258" s="68">
        <v>16.03</v>
      </c>
      <c r="I258" s="68"/>
      <c r="J258" s="69">
        <v>1324.04</v>
      </c>
      <c r="K258" s="18"/>
      <c r="L258" s="18"/>
      <c r="M258" s="18"/>
    </row>
    <row r="259" spans="1:13" ht="13.5" customHeight="1" x14ac:dyDescent="0.2">
      <c r="A259" s="180">
        <v>43637</v>
      </c>
      <c r="B259" s="9"/>
      <c r="C259" s="34" t="s">
        <v>1981</v>
      </c>
      <c r="D259" s="230"/>
      <c r="E259" s="61"/>
      <c r="F259" s="61"/>
      <c r="G259" s="205"/>
      <c r="H259" s="59"/>
      <c r="I259" s="73">
        <v>5000</v>
      </c>
      <c r="J259" s="69">
        <v>6324.04</v>
      </c>
      <c r="L259" s="18"/>
    </row>
    <row r="260" spans="1:13" ht="13.5" customHeight="1" x14ac:dyDescent="0.2">
      <c r="A260" s="171">
        <v>43641</v>
      </c>
      <c r="B260" s="46"/>
      <c r="C260" s="34" t="s">
        <v>2323</v>
      </c>
      <c r="D260" s="229"/>
      <c r="E260" s="69"/>
      <c r="F260" s="69"/>
      <c r="G260" s="203"/>
      <c r="H260" s="68">
        <v>295.04000000000002</v>
      </c>
      <c r="I260" s="68"/>
      <c r="J260" s="69">
        <v>6029</v>
      </c>
      <c r="K260" s="18"/>
      <c r="L260" s="18"/>
      <c r="M260" s="18"/>
    </row>
    <row r="261" spans="1:13" ht="13.5" customHeight="1" x14ac:dyDescent="0.2">
      <c r="A261" s="171"/>
      <c r="B261" s="46"/>
      <c r="C261" s="34" t="s">
        <v>2330</v>
      </c>
      <c r="D261" s="229"/>
      <c r="E261" s="69"/>
      <c r="F261" s="69"/>
      <c r="G261" s="203"/>
      <c r="H261" s="68">
        <v>29</v>
      </c>
      <c r="I261" s="68"/>
      <c r="J261" s="186">
        <v>6000</v>
      </c>
      <c r="K261" s="18"/>
      <c r="L261" s="124"/>
      <c r="M261" s="18"/>
    </row>
    <row r="262" spans="1:13" ht="13.5" customHeight="1" thickBot="1" x14ac:dyDescent="0.25">
      <c r="A262" s="207"/>
      <c r="B262" s="207"/>
      <c r="C262" s="208"/>
      <c r="D262" s="208"/>
      <c r="E262" s="208"/>
      <c r="F262" s="208"/>
      <c r="G262" s="210"/>
      <c r="H262" s="652">
        <f>-SUM(H239:H244,H247:H261,)</f>
        <v>-16787.61</v>
      </c>
      <c r="I262" s="652">
        <f>SUM(I244)</f>
        <v>5075</v>
      </c>
      <c r="J262" s="212"/>
    </row>
    <row r="263" spans="1:13" ht="13.5" customHeight="1" thickBot="1" x14ac:dyDescent="0.25">
      <c r="A263" s="213"/>
      <c r="B263" s="214"/>
      <c r="C263" s="215" t="s">
        <v>539</v>
      </c>
      <c r="D263" s="216"/>
      <c r="E263" s="187"/>
      <c r="F263" s="187"/>
      <c r="G263" s="217" t="s">
        <v>7</v>
      </c>
      <c r="H263" s="187"/>
      <c r="I263" s="187"/>
      <c r="J263" s="189"/>
    </row>
    <row r="264" spans="1:13" ht="13.5" customHeight="1" x14ac:dyDescent="0.2">
      <c r="A264" s="74" t="s">
        <v>540</v>
      </c>
      <c r="B264" s="74"/>
      <c r="C264" s="218" t="s">
        <v>541</v>
      </c>
      <c r="D264" s="219"/>
      <c r="E264" s="220"/>
      <c r="F264" s="220"/>
      <c r="G264" s="75">
        <v>0</v>
      </c>
      <c r="H264" s="220"/>
      <c r="I264" s="220"/>
      <c r="J264" s="220"/>
      <c r="L264" s="30">
        <f>SUM(G3,G158,J238,J3)</f>
        <v>16384.71</v>
      </c>
      <c r="M264" t="s">
        <v>8082</v>
      </c>
    </row>
    <row r="265" spans="1:13" ht="13.5" customHeight="1" x14ac:dyDescent="0.2">
      <c r="A265" s="221" t="s">
        <v>540</v>
      </c>
      <c r="B265" s="70"/>
      <c r="C265" s="63" t="s">
        <v>542</v>
      </c>
      <c r="D265" s="50"/>
      <c r="E265" s="13"/>
      <c r="F265" s="13"/>
      <c r="G265" s="75">
        <v>7931.31</v>
      </c>
      <c r="H265" s="13"/>
      <c r="I265" s="13"/>
      <c r="J265" s="13"/>
      <c r="L265" s="1159"/>
    </row>
    <row r="266" spans="1:13" ht="13.5" customHeight="1" x14ac:dyDescent="0.2">
      <c r="A266" s="70"/>
      <c r="B266" s="70"/>
      <c r="C266" s="222" t="s">
        <v>543</v>
      </c>
      <c r="D266" s="50"/>
      <c r="E266" s="13"/>
      <c r="F266" s="13"/>
      <c r="G266" s="14">
        <v>7931.31</v>
      </c>
      <c r="H266" s="13"/>
      <c r="I266" s="13"/>
      <c r="J266" s="13"/>
      <c r="L266" s="30">
        <f>SUM(J261,G200,G146,J155)</f>
        <v>10967.57</v>
      </c>
      <c r="M266" t="s">
        <v>8083</v>
      </c>
    </row>
    <row r="267" spans="1:13" ht="13.5" customHeight="1" x14ac:dyDescent="0.2">
      <c r="A267" s="70"/>
      <c r="B267" s="70"/>
      <c r="C267" s="63"/>
      <c r="D267" s="50"/>
      <c r="E267" s="13"/>
      <c r="F267" s="13"/>
      <c r="G267" s="14"/>
      <c r="H267" s="13"/>
      <c r="I267" s="13"/>
      <c r="J267" s="13"/>
      <c r="L267" s="1159"/>
    </row>
    <row r="268" spans="1:13" ht="13.5" customHeight="1" x14ac:dyDescent="0.2">
      <c r="A268" s="70"/>
      <c r="B268" s="70"/>
      <c r="C268" s="222" t="s">
        <v>544</v>
      </c>
      <c r="D268" s="50"/>
      <c r="E268" s="13"/>
      <c r="F268" s="13"/>
      <c r="G268" s="14">
        <v>10967.57</v>
      </c>
      <c r="H268" s="13"/>
      <c r="I268" s="13"/>
      <c r="J268" s="13"/>
      <c r="L268" s="30">
        <f>SUM(I262,H262,F202,E202,I156,H156,F156,E156,)</f>
        <v>-5417.1399999999994</v>
      </c>
      <c r="M268" t="s">
        <v>1800</v>
      </c>
    </row>
    <row r="269" spans="1:13" ht="13.5" customHeight="1" x14ac:dyDescent="0.2">
      <c r="A269" s="70"/>
      <c r="B269" s="70"/>
      <c r="C269" s="63"/>
      <c r="D269" s="50"/>
      <c r="E269" s="13"/>
      <c r="F269" s="13"/>
      <c r="G269" s="75"/>
      <c r="H269" s="13"/>
      <c r="I269" s="13"/>
      <c r="J269" s="13"/>
      <c r="L269" s="1159"/>
    </row>
    <row r="270" spans="1:13" ht="13.5" customHeight="1" x14ac:dyDescent="0.2">
      <c r="A270" s="76"/>
      <c r="B270" s="76"/>
      <c r="C270" s="222" t="s">
        <v>545</v>
      </c>
      <c r="D270" s="78"/>
      <c r="E270" s="78"/>
      <c r="F270" s="78"/>
      <c r="G270" s="14">
        <v>18898.88</v>
      </c>
      <c r="H270" s="77"/>
      <c r="I270" s="77"/>
      <c r="J270" s="13"/>
      <c r="L270" s="1159"/>
    </row>
    <row r="271" spans="1:13" ht="13.5" customHeight="1" x14ac:dyDescent="0.2">
      <c r="A271" s="76"/>
      <c r="B271" s="76"/>
      <c r="C271" s="78"/>
      <c r="D271" s="78"/>
      <c r="E271" s="78"/>
      <c r="F271" s="78"/>
      <c r="G271" s="75"/>
      <c r="H271" s="77"/>
      <c r="I271" s="77"/>
      <c r="J271" s="13"/>
      <c r="L271" s="1159"/>
    </row>
    <row r="272" spans="1:13" ht="13.5" customHeight="1" x14ac:dyDescent="0.2">
      <c r="A272" s="70"/>
      <c r="B272" s="70"/>
      <c r="C272" s="63"/>
      <c r="D272" s="50"/>
      <c r="E272" s="13"/>
      <c r="F272" s="13"/>
      <c r="G272" s="75"/>
      <c r="H272" s="13"/>
      <c r="I272" s="13"/>
      <c r="J272" s="13"/>
      <c r="L272" s="615">
        <f>L264+L268-L266</f>
        <v>0</v>
      </c>
      <c r="M272" t="s">
        <v>8084</v>
      </c>
    </row>
    <row r="273" spans="1:10" ht="13.5" customHeight="1" x14ac:dyDescent="0.2">
      <c r="A273" s="79"/>
      <c r="B273" s="70"/>
      <c r="C273" s="63"/>
      <c r="D273" s="50"/>
      <c r="E273" s="13"/>
      <c r="F273" s="13"/>
      <c r="G273" s="75"/>
      <c r="H273" s="13"/>
      <c r="I273" s="13"/>
      <c r="J273" s="13"/>
    </row>
    <row r="274" spans="1:10" ht="13.5" customHeight="1" x14ac:dyDescent="0.2">
      <c r="A274" s="79"/>
      <c r="B274" s="79"/>
      <c r="C274" s="63"/>
      <c r="D274" s="78"/>
      <c r="E274" s="13"/>
      <c r="F274" s="13"/>
      <c r="G274" s="75"/>
      <c r="H274" s="77"/>
      <c r="I274" s="77"/>
      <c r="J274" s="13"/>
    </row>
    <row r="275" spans="1:10" ht="13.5" customHeight="1" x14ac:dyDescent="0.2">
      <c r="A275" s="79"/>
      <c r="B275" s="79"/>
      <c r="C275" s="78"/>
      <c r="D275" s="78"/>
      <c r="E275" s="78"/>
      <c r="F275" s="78"/>
      <c r="G275" s="75"/>
      <c r="H275" s="77"/>
      <c r="I275" s="77"/>
      <c r="J275" s="13"/>
    </row>
    <row r="276" spans="1:10" ht="13.5" customHeight="1" x14ac:dyDescent="0.2">
      <c r="A276" s="79"/>
      <c r="B276" s="79"/>
      <c r="C276" s="78"/>
      <c r="D276" s="78"/>
      <c r="E276" s="78"/>
      <c r="F276" s="78"/>
      <c r="G276" s="75"/>
      <c r="H276" s="77"/>
      <c r="I276" s="77"/>
      <c r="J276" s="13"/>
    </row>
    <row r="277" spans="1:10" ht="13.5" customHeight="1" x14ac:dyDescent="0.2">
      <c r="A277" s="79"/>
      <c r="B277" s="79"/>
      <c r="C277" s="78"/>
      <c r="D277" s="78"/>
      <c r="E277" s="13"/>
      <c r="F277" s="13"/>
      <c r="G277" s="75"/>
      <c r="H277" s="77"/>
      <c r="I277" s="77"/>
      <c r="J277" s="13"/>
    </row>
    <row r="278" spans="1:10" ht="13.5" customHeight="1" x14ac:dyDescent="0.2">
      <c r="A278" s="74"/>
      <c r="B278" s="80"/>
      <c r="C278" s="81"/>
      <c r="D278" s="50"/>
      <c r="E278" s="13"/>
      <c r="F278" s="13"/>
      <c r="G278" s="75"/>
      <c r="H278" s="13"/>
      <c r="I278" s="13"/>
      <c r="J278" s="13"/>
    </row>
    <row r="279" spans="1:10" ht="13.5" customHeight="1" x14ac:dyDescent="0.2">
      <c r="A279" s="79"/>
      <c r="B279" s="79"/>
      <c r="C279" s="78"/>
      <c r="D279" s="78"/>
      <c r="E279" s="13"/>
      <c r="F279" s="13"/>
      <c r="G279" s="75"/>
      <c r="H279" s="77"/>
      <c r="I279" s="77"/>
      <c r="J279" s="13"/>
    </row>
    <row r="280" spans="1:10" ht="13.5" customHeight="1" x14ac:dyDescent="0.2">
      <c r="A280" s="79"/>
      <c r="B280" s="79"/>
      <c r="C280" s="78"/>
      <c r="D280" s="78"/>
      <c r="E280" s="13"/>
      <c r="F280" s="13"/>
      <c r="G280" s="75"/>
      <c r="H280" s="77"/>
      <c r="I280" s="77"/>
      <c r="J280" s="13"/>
    </row>
    <row r="281" spans="1:10" ht="13.5" customHeight="1" x14ac:dyDescent="0.2">
      <c r="A281" s="79"/>
      <c r="B281" s="79"/>
      <c r="C281" s="78"/>
      <c r="D281" s="78"/>
      <c r="E281" s="78"/>
      <c r="F281" s="78"/>
      <c r="G281" s="75"/>
      <c r="H281" s="77"/>
      <c r="I281" s="77"/>
      <c r="J281" s="13"/>
    </row>
    <row r="282" spans="1:10" ht="13.5" customHeight="1" x14ac:dyDescent="0.2">
      <c r="A282" s="79"/>
      <c r="B282" s="79"/>
      <c r="C282" s="78"/>
      <c r="D282" s="78"/>
      <c r="E282" s="78"/>
      <c r="F282" s="78"/>
      <c r="G282" s="75"/>
      <c r="H282" s="77"/>
      <c r="I282" s="77"/>
      <c r="J282" s="13"/>
    </row>
    <row r="283" spans="1:10" ht="13.5" customHeight="1" x14ac:dyDescent="0.2">
      <c r="A283" s="79"/>
      <c r="B283" s="79"/>
      <c r="C283" s="78"/>
      <c r="D283" s="78"/>
      <c r="E283" s="78"/>
      <c r="F283" s="78"/>
      <c r="G283" s="75"/>
      <c r="H283" s="77"/>
      <c r="I283" s="77"/>
      <c r="J283" s="13"/>
    </row>
    <row r="284" spans="1:10" ht="13.5" customHeight="1" x14ac:dyDescent="0.2">
      <c r="A284" s="79"/>
      <c r="B284" s="79"/>
      <c r="C284" s="78"/>
      <c r="D284" s="78"/>
      <c r="E284" s="78"/>
      <c r="F284" s="78"/>
      <c r="G284" s="75"/>
      <c r="H284" s="77"/>
      <c r="I284" s="77"/>
      <c r="J284" s="13"/>
    </row>
    <row r="285" spans="1:10" ht="13.5" customHeight="1" x14ac:dyDescent="0.2">
      <c r="A285" s="79"/>
      <c r="B285" s="79"/>
      <c r="C285" s="78"/>
      <c r="D285" s="78"/>
      <c r="E285" s="78"/>
      <c r="F285" s="78"/>
      <c r="G285" s="75"/>
      <c r="H285" s="77"/>
      <c r="I285" s="77"/>
      <c r="J285" s="13"/>
    </row>
    <row r="286" spans="1:10" ht="13.5" customHeight="1" x14ac:dyDescent="0.2">
      <c r="A286" s="79"/>
      <c r="B286" s="79"/>
      <c r="C286" s="78"/>
      <c r="D286" s="78"/>
      <c r="E286" s="78"/>
      <c r="F286" s="78"/>
      <c r="G286" s="14"/>
      <c r="H286" s="77"/>
      <c r="I286" s="77"/>
      <c r="J286" s="130"/>
    </row>
    <row r="287" spans="1:10" ht="13.5" customHeight="1" x14ac:dyDescent="0.2">
      <c r="A287" s="70"/>
      <c r="B287" s="70"/>
      <c r="C287" s="63"/>
      <c r="D287" s="50"/>
      <c r="E287" s="13"/>
      <c r="F287" s="13"/>
      <c r="G287" s="75"/>
      <c r="H287" s="82"/>
      <c r="I287" s="13"/>
      <c r="J287" s="13"/>
    </row>
    <row r="288" spans="1:10" ht="13.5" customHeight="1" x14ac:dyDescent="0.2">
      <c r="A288" s="70"/>
      <c r="B288" s="70"/>
      <c r="C288" s="63"/>
      <c r="D288" s="50"/>
      <c r="E288" s="13"/>
      <c r="F288" s="13"/>
      <c r="G288" s="75"/>
      <c r="H288" s="82"/>
      <c r="I288" s="13"/>
      <c r="J288" s="13"/>
    </row>
    <row r="289" spans="1:10" ht="13.5" customHeight="1" x14ac:dyDescent="0.2">
      <c r="A289" s="70"/>
      <c r="B289" s="70"/>
      <c r="C289" s="63"/>
      <c r="D289" s="50"/>
      <c r="E289" s="13"/>
      <c r="F289" s="13"/>
      <c r="G289" s="75"/>
      <c r="H289" s="82"/>
      <c r="I289" s="13"/>
      <c r="J289" s="13"/>
    </row>
    <row r="290" spans="1:10" ht="13.5" customHeight="1" x14ac:dyDescent="0.2">
      <c r="A290" s="70"/>
      <c r="B290" s="70"/>
      <c r="C290" s="63"/>
      <c r="D290" s="50"/>
      <c r="E290" s="13"/>
      <c r="F290" s="13"/>
      <c r="G290" s="75"/>
      <c r="H290" s="82"/>
      <c r="I290" s="13"/>
      <c r="J290" s="13"/>
    </row>
    <row r="291" spans="1:10" ht="13.5" customHeight="1" x14ac:dyDescent="0.2">
      <c r="A291" s="70"/>
      <c r="B291" s="70"/>
      <c r="C291" s="63"/>
      <c r="D291" s="50"/>
      <c r="E291" s="13"/>
      <c r="F291" s="13"/>
      <c r="G291" s="75"/>
      <c r="H291" s="82"/>
      <c r="I291" s="13"/>
      <c r="J291" s="13"/>
    </row>
    <row r="292" spans="1:10" ht="13.5" customHeight="1" x14ac:dyDescent="0.2">
      <c r="A292" s="70"/>
      <c r="B292" s="70"/>
      <c r="C292" s="63"/>
      <c r="D292" s="50"/>
      <c r="E292" s="13"/>
      <c r="F292" s="13"/>
      <c r="G292" s="75"/>
      <c r="H292" s="82"/>
      <c r="I292" s="13"/>
      <c r="J292" s="13"/>
    </row>
    <row r="293" spans="1:10" ht="13.5" customHeight="1" x14ac:dyDescent="0.2">
      <c r="A293" s="70"/>
      <c r="B293" s="70"/>
      <c r="C293" s="63"/>
      <c r="D293" s="50"/>
      <c r="E293" s="13"/>
      <c r="F293" s="13"/>
      <c r="G293" s="75"/>
      <c r="H293" s="82"/>
      <c r="I293" s="13"/>
      <c r="J293" s="13"/>
    </row>
    <row r="294" spans="1:10" ht="13.5" customHeight="1" x14ac:dyDescent="0.2">
      <c r="A294" s="70"/>
      <c r="B294" s="70"/>
      <c r="C294" s="63"/>
      <c r="D294" s="50"/>
      <c r="E294" s="13"/>
      <c r="F294" s="13"/>
      <c r="G294" s="75"/>
      <c r="H294" s="82"/>
      <c r="I294" s="13"/>
      <c r="J294" s="13"/>
    </row>
    <row r="295" spans="1:10" ht="13.5" customHeight="1" x14ac:dyDescent="0.2">
      <c r="A295" s="70"/>
      <c r="B295" s="70"/>
      <c r="C295" s="63"/>
      <c r="D295" s="50"/>
      <c r="E295" s="13"/>
      <c r="F295" s="13"/>
      <c r="G295" s="75"/>
      <c r="H295" s="82"/>
      <c r="I295" s="13"/>
      <c r="J295" s="13"/>
    </row>
    <row r="296" spans="1:10" ht="13.5" customHeight="1" x14ac:dyDescent="0.2">
      <c r="A296" s="70"/>
      <c r="B296" s="70"/>
      <c r="C296" s="63"/>
      <c r="D296" s="50"/>
      <c r="E296" s="13"/>
      <c r="F296" s="13"/>
      <c r="G296" s="75"/>
      <c r="H296" s="82"/>
      <c r="I296" s="13"/>
      <c r="J296" s="13"/>
    </row>
    <row r="297" spans="1:10" ht="13.5" customHeight="1" x14ac:dyDescent="0.2">
      <c r="A297" s="70"/>
      <c r="B297" s="70"/>
      <c r="C297" s="63"/>
      <c r="D297" s="50"/>
      <c r="E297" s="13"/>
      <c r="F297" s="13"/>
      <c r="G297" s="75"/>
      <c r="H297" s="82"/>
      <c r="I297" s="13"/>
      <c r="J297" s="13"/>
    </row>
    <row r="298" spans="1:10" ht="13.5" customHeight="1" x14ac:dyDescent="0.2">
      <c r="A298" s="70"/>
      <c r="B298" s="70"/>
      <c r="C298" s="63"/>
      <c r="D298" s="50"/>
      <c r="E298" s="13"/>
      <c r="F298" s="13"/>
      <c r="G298" s="75"/>
      <c r="H298" s="82"/>
      <c r="I298" s="13"/>
      <c r="J298" s="13"/>
    </row>
    <row r="299" spans="1:10" ht="13.5" customHeight="1" x14ac:dyDescent="0.2">
      <c r="A299" s="70"/>
      <c r="B299" s="70"/>
      <c r="C299" s="63"/>
      <c r="D299" s="50"/>
      <c r="E299" s="13"/>
      <c r="F299" s="13"/>
      <c r="G299" s="75"/>
      <c r="H299" s="82"/>
      <c r="I299" s="13"/>
      <c r="J299" s="13"/>
    </row>
    <row r="300" spans="1:10" ht="13.5" customHeight="1" x14ac:dyDescent="0.2">
      <c r="A300" s="70"/>
      <c r="B300" s="70"/>
      <c r="C300" s="63"/>
      <c r="D300" s="50"/>
      <c r="E300" s="13"/>
      <c r="F300" s="13"/>
      <c r="G300" s="75"/>
      <c r="H300" s="82"/>
      <c r="I300" s="13"/>
      <c r="J300" s="13"/>
    </row>
    <row r="301" spans="1:10" ht="13.5" customHeight="1" x14ac:dyDescent="0.2">
      <c r="A301" s="70"/>
      <c r="B301" s="70"/>
      <c r="C301" s="63"/>
      <c r="D301" s="50"/>
      <c r="E301" s="13"/>
      <c r="F301" s="13"/>
      <c r="G301" s="75"/>
      <c r="H301" s="82"/>
      <c r="I301" s="13"/>
      <c r="J301" s="13"/>
    </row>
    <row r="302" spans="1:10" ht="13.5" customHeight="1" x14ac:dyDescent="0.2">
      <c r="A302" s="70"/>
      <c r="B302" s="70"/>
      <c r="C302" s="63"/>
      <c r="D302" s="50"/>
      <c r="E302" s="13"/>
      <c r="F302" s="13"/>
      <c r="G302" s="75"/>
      <c r="H302" s="82"/>
      <c r="I302" s="13"/>
      <c r="J302" s="13"/>
    </row>
    <row r="303" spans="1:10" ht="13.5" customHeight="1" x14ac:dyDescent="0.2">
      <c r="A303" s="70"/>
      <c r="B303" s="70"/>
      <c r="C303" s="63"/>
      <c r="D303" s="50"/>
      <c r="E303" s="13"/>
      <c r="F303" s="13"/>
      <c r="G303" s="75"/>
      <c r="H303" s="82"/>
      <c r="I303" s="13"/>
      <c r="J303" s="13"/>
    </row>
    <row r="304" spans="1:10" ht="13.5" customHeight="1" x14ac:dyDescent="0.2">
      <c r="A304" s="70"/>
      <c r="B304" s="70"/>
      <c r="C304" s="63"/>
      <c r="D304" s="50"/>
      <c r="E304" s="13"/>
      <c r="F304" s="13"/>
      <c r="G304" s="75"/>
      <c r="H304" s="82"/>
      <c r="I304" s="13"/>
      <c r="J304" s="13"/>
    </row>
    <row r="305" spans="1:10" ht="13.5" customHeight="1" x14ac:dyDescent="0.2">
      <c r="A305" s="70"/>
      <c r="B305" s="70"/>
      <c r="C305" s="63"/>
      <c r="D305" s="50"/>
      <c r="E305" s="13"/>
      <c r="F305" s="13"/>
      <c r="G305" s="75"/>
      <c r="H305" s="82"/>
      <c r="I305" s="13"/>
      <c r="J305" s="13"/>
    </row>
    <row r="306" spans="1:10" ht="13.5" customHeight="1" x14ac:dyDescent="0.2">
      <c r="A306" s="70"/>
      <c r="B306" s="70"/>
      <c r="C306" s="63"/>
      <c r="D306" s="50"/>
      <c r="E306" s="13"/>
      <c r="F306" s="13"/>
      <c r="G306" s="75"/>
      <c r="H306" s="82"/>
      <c r="I306" s="13"/>
      <c r="J306" s="13"/>
    </row>
    <row r="307" spans="1:10" ht="13.5" customHeight="1" x14ac:dyDescent="0.2">
      <c r="A307" s="70"/>
      <c r="B307" s="70"/>
      <c r="C307" s="63"/>
      <c r="D307" s="50"/>
      <c r="E307" s="13"/>
      <c r="F307" s="13"/>
      <c r="G307" s="75"/>
      <c r="H307" s="82"/>
      <c r="I307" s="13"/>
      <c r="J307" s="13"/>
    </row>
    <row r="308" spans="1:10" ht="13.5" customHeight="1" x14ac:dyDescent="0.2">
      <c r="A308" s="70"/>
      <c r="B308" s="70"/>
      <c r="C308" s="63"/>
      <c r="D308" s="50"/>
      <c r="E308" s="13"/>
      <c r="F308" s="13"/>
      <c r="G308" s="75"/>
      <c r="H308" s="82"/>
      <c r="I308" s="13"/>
      <c r="J308" s="13"/>
    </row>
    <row r="309" spans="1:10" ht="13.5" customHeight="1" x14ac:dyDescent="0.2">
      <c r="A309" s="70"/>
      <c r="B309" s="70"/>
      <c r="C309" s="63"/>
      <c r="D309" s="50"/>
      <c r="E309" s="13"/>
      <c r="F309" s="13"/>
      <c r="G309" s="75"/>
      <c r="H309" s="82"/>
      <c r="I309" s="13"/>
      <c r="J309" s="13"/>
    </row>
    <row r="310" spans="1:10" ht="13.5" customHeight="1" x14ac:dyDescent="0.2">
      <c r="A310" s="70"/>
      <c r="B310" s="70"/>
      <c r="C310" s="63"/>
      <c r="D310" s="50"/>
      <c r="E310" s="13"/>
      <c r="F310" s="13"/>
      <c r="G310" s="75"/>
      <c r="H310" s="82"/>
      <c r="I310" s="13"/>
      <c r="J310" s="13"/>
    </row>
    <row r="311" spans="1:10" ht="13.5" customHeight="1" x14ac:dyDescent="0.2">
      <c r="A311" s="70"/>
      <c r="B311" s="70"/>
      <c r="C311" s="63"/>
      <c r="D311" s="50"/>
      <c r="E311" s="13"/>
      <c r="F311" s="13"/>
      <c r="G311" s="75"/>
      <c r="H311" s="82"/>
      <c r="I311" s="13"/>
      <c r="J311" s="13"/>
    </row>
    <row r="312" spans="1:10" ht="13.5" customHeight="1" x14ac:dyDescent="0.2">
      <c r="A312" s="70"/>
      <c r="B312" s="70"/>
      <c r="C312" s="63"/>
      <c r="D312" s="50"/>
      <c r="E312" s="13"/>
      <c r="F312" s="13"/>
      <c r="G312" s="75"/>
      <c r="H312" s="82"/>
      <c r="I312" s="13"/>
      <c r="J312" s="13"/>
    </row>
    <row r="313" spans="1:10" ht="13.5" customHeight="1" x14ac:dyDescent="0.2">
      <c r="A313" s="70"/>
      <c r="B313" s="70"/>
      <c r="C313" s="63"/>
      <c r="D313" s="50"/>
      <c r="E313" s="13"/>
      <c r="F313" s="13"/>
      <c r="G313" s="75"/>
      <c r="H313" s="82"/>
      <c r="I313" s="13"/>
      <c r="J313" s="13"/>
    </row>
    <row r="314" spans="1:10" ht="13.5" customHeight="1" x14ac:dyDescent="0.2">
      <c r="A314" s="70"/>
      <c r="B314" s="70"/>
      <c r="C314" s="63"/>
      <c r="D314" s="50"/>
      <c r="E314" s="13"/>
      <c r="F314" s="13"/>
      <c r="G314" s="75"/>
      <c r="H314" s="82"/>
      <c r="I314" s="13"/>
      <c r="J314" s="13"/>
    </row>
    <row r="315" spans="1:10" ht="13.5" customHeight="1" x14ac:dyDescent="0.2">
      <c r="A315" s="70"/>
      <c r="B315" s="70"/>
      <c r="C315" s="63"/>
      <c r="D315" s="50"/>
      <c r="E315" s="13"/>
      <c r="F315" s="13"/>
      <c r="G315" s="75"/>
      <c r="H315" s="82"/>
      <c r="I315" s="13"/>
      <c r="J315" s="13"/>
    </row>
    <row r="316" spans="1:10" ht="13.5" customHeight="1" x14ac:dyDescent="0.2">
      <c r="A316" s="70"/>
      <c r="B316" s="70"/>
      <c r="C316" s="63"/>
      <c r="D316" s="50"/>
      <c r="E316" s="13"/>
      <c r="F316" s="13"/>
      <c r="G316" s="75"/>
      <c r="H316" s="82"/>
      <c r="I316" s="13"/>
      <c r="J316" s="13"/>
    </row>
    <row r="317" spans="1:10" ht="13.5" customHeight="1" x14ac:dyDescent="0.2">
      <c r="A317" s="70"/>
      <c r="B317" s="70"/>
      <c r="C317" s="63"/>
      <c r="D317" s="50"/>
      <c r="E317" s="13"/>
      <c r="F317" s="13"/>
      <c r="G317" s="75"/>
      <c r="H317" s="82"/>
      <c r="I317" s="13"/>
      <c r="J317" s="13"/>
    </row>
    <row r="318" spans="1:10" ht="13.5" customHeight="1" x14ac:dyDescent="0.2">
      <c r="A318" s="70"/>
      <c r="B318" s="70"/>
      <c r="C318" s="63"/>
      <c r="D318" s="50"/>
      <c r="E318" s="13"/>
      <c r="F318" s="13"/>
      <c r="G318" s="75"/>
      <c r="H318" s="82"/>
      <c r="I318" s="13"/>
      <c r="J318" s="13"/>
    </row>
    <row r="319" spans="1:10" ht="13.5" customHeight="1" x14ac:dyDescent="0.2">
      <c r="A319" s="70"/>
      <c r="B319" s="70"/>
      <c r="C319" s="63"/>
      <c r="D319" s="50"/>
      <c r="E319" s="13"/>
      <c r="F319" s="13"/>
      <c r="G319" s="75"/>
      <c r="H319" s="82"/>
      <c r="I319" s="13"/>
      <c r="J319" s="13"/>
    </row>
    <row r="320" spans="1:10" ht="13.5" customHeight="1" x14ac:dyDescent="0.2">
      <c r="A320" s="70"/>
      <c r="B320" s="70"/>
      <c r="C320" s="63"/>
      <c r="D320" s="50"/>
      <c r="E320" s="13"/>
      <c r="F320" s="13"/>
      <c r="G320" s="75"/>
      <c r="H320" s="82"/>
      <c r="I320" s="13"/>
      <c r="J320" s="13"/>
    </row>
    <row r="321" spans="1:10" ht="13.5" customHeight="1" x14ac:dyDescent="0.2">
      <c r="A321" s="70"/>
      <c r="B321" s="70"/>
      <c r="C321" s="63"/>
      <c r="D321" s="50"/>
      <c r="E321" s="13"/>
      <c r="F321" s="13"/>
      <c r="G321" s="75"/>
      <c r="H321" s="82"/>
      <c r="I321" s="13"/>
      <c r="J321" s="13"/>
    </row>
    <row r="322" spans="1:10" ht="13.5" customHeight="1" x14ac:dyDescent="0.2">
      <c r="A322" s="70"/>
      <c r="B322" s="70"/>
      <c r="C322" s="63"/>
      <c r="D322" s="50"/>
      <c r="E322" s="13"/>
      <c r="F322" s="13"/>
      <c r="G322" s="75"/>
      <c r="H322" s="82"/>
      <c r="I322" s="13"/>
      <c r="J322" s="13"/>
    </row>
    <row r="323" spans="1:10" ht="13.5" customHeight="1" x14ac:dyDescent="0.2">
      <c r="A323" s="70"/>
      <c r="B323" s="70"/>
      <c r="C323" s="63"/>
      <c r="D323" s="50"/>
      <c r="E323" s="13"/>
      <c r="F323" s="13"/>
      <c r="G323" s="75"/>
      <c r="H323" s="82"/>
      <c r="I323" s="13"/>
      <c r="J323" s="13"/>
    </row>
    <row r="324" spans="1:10" ht="13.5" customHeight="1" x14ac:dyDescent="0.2">
      <c r="A324" s="70"/>
      <c r="B324" s="70"/>
      <c r="C324" s="63"/>
      <c r="D324" s="50"/>
      <c r="E324" s="13"/>
      <c r="F324" s="13"/>
      <c r="G324" s="75"/>
      <c r="H324" s="82"/>
      <c r="I324" s="13"/>
      <c r="J324" s="13"/>
    </row>
    <row r="325" spans="1:10" ht="13.5" customHeight="1" x14ac:dyDescent="0.2">
      <c r="A325" s="70"/>
      <c r="B325" s="70"/>
      <c r="C325" s="63"/>
      <c r="D325" s="50"/>
      <c r="E325" s="13"/>
      <c r="F325" s="13"/>
      <c r="G325" s="75"/>
      <c r="H325" s="82"/>
      <c r="I325" s="13"/>
      <c r="J325" s="13"/>
    </row>
    <row r="326" spans="1:10" ht="13.5" customHeight="1" x14ac:dyDescent="0.2">
      <c r="A326" s="70"/>
      <c r="B326" s="70"/>
      <c r="C326" s="63"/>
      <c r="D326" s="50"/>
      <c r="E326" s="13"/>
      <c r="F326" s="13"/>
      <c r="G326" s="75"/>
      <c r="H326" s="82"/>
      <c r="I326" s="13"/>
      <c r="J326" s="13"/>
    </row>
    <row r="327" spans="1:10" ht="13.5" customHeight="1" x14ac:dyDescent="0.2">
      <c r="A327" s="70"/>
      <c r="B327" s="70"/>
      <c r="C327" s="63"/>
      <c r="D327" s="50"/>
      <c r="E327" s="13"/>
      <c r="F327" s="13"/>
      <c r="G327" s="75"/>
      <c r="H327" s="83"/>
      <c r="I327" s="13"/>
      <c r="J327" s="13"/>
    </row>
    <row r="328" spans="1:10" ht="13.5" customHeight="1" x14ac:dyDescent="0.2">
      <c r="A328" s="70"/>
      <c r="B328" s="70"/>
      <c r="C328" s="63"/>
      <c r="D328" s="50"/>
      <c r="E328" s="13"/>
      <c r="F328" s="13"/>
      <c r="G328" s="75"/>
      <c r="H328" s="83"/>
      <c r="I328" s="13"/>
      <c r="J328" s="13"/>
    </row>
    <row r="329" spans="1:10" ht="13.5" customHeight="1" x14ac:dyDescent="0.2">
      <c r="A329" s="131"/>
      <c r="B329" s="70"/>
      <c r="C329" s="64"/>
      <c r="D329" s="50"/>
      <c r="E329" s="13"/>
      <c r="F329" s="13"/>
      <c r="G329" s="75"/>
      <c r="H329" s="84"/>
      <c r="I329" s="13"/>
      <c r="J329" s="13"/>
    </row>
    <row r="330" spans="1:10" ht="13.5" customHeight="1" x14ac:dyDescent="0.2">
      <c r="A330" s="70"/>
      <c r="B330" s="70"/>
      <c r="C330" s="63"/>
      <c r="D330" s="50"/>
      <c r="E330" s="13"/>
      <c r="F330" s="13"/>
      <c r="G330" s="75"/>
      <c r="H330" s="83"/>
      <c r="I330" s="13"/>
      <c r="J330" s="13"/>
    </row>
    <row r="331" spans="1:10" ht="13.5" customHeight="1" x14ac:dyDescent="0.2">
      <c r="A331" s="70"/>
      <c r="B331" s="70"/>
      <c r="C331" s="63"/>
      <c r="D331" s="50"/>
      <c r="E331" s="13"/>
      <c r="F331" s="13"/>
      <c r="G331" s="75"/>
      <c r="H331" s="83"/>
      <c r="I331" s="13"/>
      <c r="J331" s="13"/>
    </row>
    <row r="332" spans="1:10" ht="13.5" customHeight="1" x14ac:dyDescent="0.2">
      <c r="A332" s="131"/>
      <c r="B332" s="70"/>
      <c r="C332" s="85"/>
      <c r="D332" s="50"/>
      <c r="E332" s="13"/>
      <c r="F332" s="13"/>
      <c r="G332" s="75"/>
      <c r="H332" s="83"/>
      <c r="I332" s="13"/>
      <c r="J332" s="13"/>
    </row>
    <row r="333" spans="1:10" ht="13.5" customHeight="1" x14ac:dyDescent="0.2">
      <c r="A333" s="131"/>
      <c r="B333" s="70"/>
      <c r="C333" s="63"/>
      <c r="D333" s="50"/>
      <c r="E333" s="13"/>
      <c r="F333" s="13"/>
      <c r="G333" s="75"/>
      <c r="H333" s="83"/>
      <c r="I333" s="13"/>
      <c r="J333" s="13"/>
    </row>
    <row r="334" spans="1:10" ht="13.5" customHeight="1" x14ac:dyDescent="0.2">
      <c r="A334" s="131"/>
      <c r="B334" s="70"/>
      <c r="C334" s="63"/>
      <c r="D334" s="50"/>
      <c r="E334" s="13"/>
      <c r="F334" s="13"/>
      <c r="G334" s="75"/>
      <c r="H334" s="84"/>
      <c r="I334" s="13"/>
      <c r="J334" s="13"/>
    </row>
    <row r="335" spans="1:10" ht="13.5" customHeight="1" x14ac:dyDescent="0.2">
      <c r="A335" s="131"/>
      <c r="B335" s="70"/>
      <c r="C335" s="64"/>
      <c r="D335" s="50"/>
      <c r="E335" s="13"/>
      <c r="F335" s="13"/>
      <c r="G335" s="75"/>
      <c r="H335" s="83"/>
      <c r="I335" s="13"/>
      <c r="J335" s="13"/>
    </row>
    <row r="336" spans="1:10" ht="13.5" customHeight="1" x14ac:dyDescent="0.2">
      <c r="A336" s="70"/>
      <c r="B336" s="70"/>
      <c r="C336" s="63"/>
      <c r="D336" s="50"/>
      <c r="E336" s="13"/>
      <c r="F336" s="13"/>
      <c r="G336" s="75"/>
      <c r="H336" s="83"/>
      <c r="I336" s="13"/>
      <c r="J336" s="13"/>
    </row>
    <row r="337" spans="1:10" ht="13.5" customHeight="1" x14ac:dyDescent="0.2">
      <c r="A337" s="131"/>
      <c r="B337" s="70"/>
      <c r="C337" s="63"/>
      <c r="D337" s="50"/>
      <c r="E337" s="13"/>
      <c r="F337" s="13"/>
      <c r="G337" s="75"/>
      <c r="H337" s="84"/>
      <c r="I337" s="13"/>
      <c r="J337" s="13"/>
    </row>
    <row r="338" spans="1:10" ht="13.5" customHeight="1" x14ac:dyDescent="0.2">
      <c r="A338" s="131"/>
      <c r="B338" s="70"/>
      <c r="C338" s="64"/>
      <c r="D338" s="50"/>
      <c r="E338" s="13"/>
      <c r="F338" s="13"/>
      <c r="G338" s="75"/>
      <c r="H338" s="84"/>
      <c r="I338" s="13"/>
      <c r="J338" s="13"/>
    </row>
    <row r="339" spans="1:10" ht="13.5" customHeight="1" x14ac:dyDescent="0.2">
      <c r="A339" s="70"/>
      <c r="B339" s="70"/>
      <c r="C339" s="63"/>
      <c r="D339" s="50"/>
      <c r="E339" s="13"/>
      <c r="F339" s="13"/>
      <c r="G339" s="75"/>
      <c r="H339" s="83"/>
      <c r="I339" s="13"/>
      <c r="J339" s="13"/>
    </row>
    <row r="340" spans="1:10" ht="13.5" customHeight="1" x14ac:dyDescent="0.2">
      <c r="A340" s="131"/>
      <c r="B340" s="70"/>
      <c r="C340" s="63"/>
      <c r="D340" s="50"/>
      <c r="E340" s="13"/>
      <c r="F340" s="13"/>
      <c r="G340" s="75"/>
      <c r="H340" s="84"/>
      <c r="I340" s="13"/>
      <c r="J340" s="13"/>
    </row>
    <row r="341" spans="1:10" ht="13.5" customHeight="1" x14ac:dyDescent="0.2">
      <c r="A341" s="131"/>
      <c r="B341" s="70"/>
      <c r="C341" s="64"/>
      <c r="D341" s="50"/>
      <c r="E341" s="13"/>
      <c r="F341" s="13"/>
      <c r="G341" s="75"/>
      <c r="H341" s="84"/>
      <c r="I341" s="13"/>
      <c r="J341" s="13"/>
    </row>
    <row r="342" spans="1:10" ht="13.5" customHeight="1" x14ac:dyDescent="0.2">
      <c r="A342" s="70"/>
      <c r="B342" s="70"/>
      <c r="C342" s="63"/>
      <c r="D342" s="50"/>
      <c r="E342" s="13"/>
      <c r="F342" s="13"/>
      <c r="G342" s="75"/>
      <c r="H342" s="83"/>
      <c r="I342" s="13"/>
      <c r="J342" s="13"/>
    </row>
    <row r="343" spans="1:10" ht="13.5" customHeight="1" x14ac:dyDescent="0.2">
      <c r="A343" s="70"/>
      <c r="B343" s="70"/>
      <c r="C343" s="63"/>
      <c r="D343" s="50"/>
      <c r="E343" s="13"/>
      <c r="F343" s="13"/>
      <c r="G343" s="75"/>
      <c r="H343" s="83"/>
      <c r="I343" s="13"/>
      <c r="J343" s="13"/>
    </row>
    <row r="344" spans="1:10" ht="13.5" customHeight="1" x14ac:dyDescent="0.2">
      <c r="A344" s="70"/>
      <c r="B344" s="70"/>
      <c r="C344" s="63"/>
      <c r="D344" s="50"/>
      <c r="E344" s="13"/>
      <c r="F344" s="13"/>
      <c r="G344" s="75"/>
      <c r="H344" s="82"/>
      <c r="I344" s="13"/>
      <c r="J344" s="13"/>
    </row>
    <row r="345" spans="1:10" ht="13.5" customHeight="1" x14ac:dyDescent="0.2">
      <c r="A345" s="131"/>
      <c r="B345" s="70"/>
      <c r="C345" s="86"/>
      <c r="D345" s="50"/>
      <c r="E345" s="13"/>
      <c r="F345" s="13"/>
      <c r="G345" s="75"/>
      <c r="H345" s="82"/>
      <c r="I345" s="13"/>
      <c r="J345" s="13"/>
    </row>
    <row r="346" spans="1:10" ht="13.5" customHeight="1" x14ac:dyDescent="0.2">
      <c r="A346" s="131"/>
      <c r="B346" s="70"/>
      <c r="C346" s="85"/>
      <c r="D346" s="50"/>
      <c r="E346" s="13"/>
      <c r="F346" s="13"/>
      <c r="G346" s="75"/>
      <c r="H346" s="82"/>
      <c r="I346" s="13"/>
      <c r="J346" s="13"/>
    </row>
    <row r="347" spans="1:10" ht="13.5" customHeight="1" x14ac:dyDescent="0.2">
      <c r="A347" s="131"/>
      <c r="B347" s="70"/>
      <c r="C347" s="87"/>
      <c r="D347" s="50"/>
      <c r="E347" s="13"/>
      <c r="F347" s="13"/>
      <c r="G347" s="75"/>
      <c r="H347" s="82"/>
      <c r="I347" s="13"/>
      <c r="J347" s="13"/>
    </row>
    <row r="348" spans="1:10" ht="13.5" customHeight="1" x14ac:dyDescent="0.2">
      <c r="A348" s="131"/>
      <c r="B348" s="70"/>
      <c r="C348" s="88"/>
      <c r="D348" s="50"/>
      <c r="E348" s="13"/>
      <c r="F348" s="13"/>
      <c r="G348" s="75"/>
      <c r="H348" s="82"/>
      <c r="I348" s="13"/>
      <c r="J348" s="13"/>
    </row>
    <row r="349" spans="1:10" ht="13.5" customHeight="1" x14ac:dyDescent="0.2">
      <c r="A349" s="91"/>
      <c r="B349" s="9"/>
      <c r="C349" s="56"/>
      <c r="D349" s="11"/>
      <c r="E349" s="12"/>
      <c r="F349" s="12"/>
      <c r="G349" s="23"/>
      <c r="H349" s="89"/>
      <c r="I349" s="12"/>
      <c r="J349" s="13"/>
    </row>
    <row r="350" spans="1:10" ht="13.5" customHeight="1" x14ac:dyDescent="0.2">
      <c r="A350" s="9"/>
      <c r="B350" s="9"/>
      <c r="C350" s="56"/>
      <c r="D350" s="11"/>
      <c r="E350" s="12"/>
      <c r="F350" s="12"/>
      <c r="G350" s="23"/>
      <c r="H350" s="90"/>
      <c r="I350" s="12"/>
      <c r="J350" s="13"/>
    </row>
    <row r="351" spans="1:10" ht="13.5" customHeight="1" x14ac:dyDescent="0.2">
      <c r="A351" s="9"/>
      <c r="B351" s="9"/>
      <c r="C351" s="56"/>
      <c r="D351" s="11"/>
      <c r="E351" s="12"/>
      <c r="F351" s="12"/>
      <c r="G351" s="23"/>
      <c r="H351" s="89"/>
      <c r="I351" s="12"/>
      <c r="J351" s="13"/>
    </row>
    <row r="352" spans="1:10" ht="13.5" customHeight="1" x14ac:dyDescent="0.2">
      <c r="A352" s="91"/>
      <c r="B352" s="9"/>
      <c r="D352" s="11"/>
      <c r="E352" s="12"/>
      <c r="F352" s="12"/>
      <c r="G352" s="23"/>
      <c r="H352" s="89"/>
      <c r="I352" s="12"/>
      <c r="J352" s="13"/>
    </row>
    <row r="353" spans="1:10" ht="13.5" customHeight="1" x14ac:dyDescent="0.2">
      <c r="A353" s="9"/>
      <c r="B353" s="9"/>
      <c r="C353" s="56"/>
      <c r="D353" s="11"/>
      <c r="E353" s="12"/>
      <c r="F353" s="12"/>
      <c r="G353" s="23"/>
      <c r="H353" s="90"/>
      <c r="I353" s="12"/>
      <c r="J353" s="13"/>
    </row>
    <row r="354" spans="1:10" ht="13.5" customHeight="1" x14ac:dyDescent="0.2">
      <c r="A354" s="9"/>
      <c r="B354" s="9"/>
      <c r="C354" s="56"/>
      <c r="D354" s="11"/>
      <c r="E354" s="12"/>
      <c r="F354" s="12"/>
      <c r="G354" s="23"/>
      <c r="H354" s="90"/>
      <c r="I354" s="12"/>
      <c r="J354" s="13"/>
    </row>
    <row r="355" spans="1:10" ht="13.5" customHeight="1" x14ac:dyDescent="0.2">
      <c r="A355" s="9"/>
      <c r="B355" s="9"/>
      <c r="C355" s="56"/>
      <c r="D355" s="11"/>
      <c r="E355" s="12"/>
      <c r="F355" s="12"/>
      <c r="G355" s="23"/>
      <c r="H355" s="90"/>
      <c r="I355" s="12"/>
      <c r="J355" s="13"/>
    </row>
    <row r="356" spans="1:10" ht="13.5" customHeight="1" x14ac:dyDescent="0.2">
      <c r="A356" s="91"/>
      <c r="B356" s="9"/>
      <c r="C356" s="27"/>
      <c r="D356" s="11"/>
      <c r="E356" s="12"/>
      <c r="F356" s="12"/>
      <c r="G356" s="23"/>
      <c r="H356" s="92"/>
      <c r="I356" s="12"/>
      <c r="J356" s="13"/>
    </row>
    <row r="357" spans="1:10" ht="13.5" customHeight="1" x14ac:dyDescent="0.2">
      <c r="A357" s="91"/>
      <c r="B357" s="9"/>
      <c r="C357" s="27"/>
      <c r="D357" s="11"/>
      <c r="E357" s="12"/>
      <c r="F357" s="12"/>
      <c r="G357" s="23"/>
      <c r="H357" s="90"/>
      <c r="I357" s="12"/>
      <c r="J357" s="13"/>
    </row>
    <row r="358" spans="1:10" ht="13.5" customHeight="1" x14ac:dyDescent="0.2">
      <c r="A358" s="91"/>
      <c r="B358" s="9"/>
      <c r="D358" s="11"/>
      <c r="E358" s="12"/>
      <c r="F358" s="12"/>
      <c r="G358" s="23"/>
      <c r="H358" s="92"/>
      <c r="I358" s="12"/>
      <c r="J358" s="13"/>
    </row>
    <row r="359" spans="1:10" ht="13.5" customHeight="1" x14ac:dyDescent="0.2">
      <c r="A359" s="9"/>
      <c r="B359" s="9"/>
      <c r="C359" s="56"/>
      <c r="D359" s="11"/>
      <c r="E359" s="12"/>
      <c r="F359" s="12"/>
      <c r="G359" s="23"/>
      <c r="H359" s="89"/>
      <c r="I359" s="12"/>
      <c r="J359" s="13"/>
    </row>
    <row r="360" spans="1:10" ht="13.5" customHeight="1" x14ac:dyDescent="0.2">
      <c r="A360" s="9"/>
      <c r="B360" s="9"/>
      <c r="C360" s="56"/>
      <c r="D360" s="11"/>
      <c r="E360" s="12"/>
      <c r="F360" s="12"/>
      <c r="G360" s="23"/>
      <c r="H360" s="89"/>
      <c r="I360" s="12"/>
      <c r="J360" s="13"/>
    </row>
    <row r="361" spans="1:10" ht="13.5" customHeight="1" x14ac:dyDescent="0.2">
      <c r="A361" s="9"/>
      <c r="B361" s="9"/>
      <c r="C361" s="56"/>
      <c r="D361" s="11"/>
      <c r="E361" s="12"/>
      <c r="F361" s="12"/>
      <c r="G361" s="23"/>
      <c r="H361" s="89"/>
      <c r="I361" s="12"/>
      <c r="J361" s="13"/>
    </row>
    <row r="362" spans="1:10" ht="13.5" customHeight="1" x14ac:dyDescent="0.2">
      <c r="A362" s="9"/>
      <c r="B362" s="9"/>
      <c r="C362" s="56"/>
      <c r="D362" s="11"/>
      <c r="E362" s="12"/>
      <c r="F362" s="12"/>
      <c r="G362" s="23"/>
      <c r="H362" s="89"/>
      <c r="I362" s="12"/>
      <c r="J362" s="13"/>
    </row>
    <row r="363" spans="1:10" x14ac:dyDescent="0.2">
      <c r="A363" s="132"/>
      <c r="B363" s="93"/>
      <c r="C363" s="94"/>
      <c r="D363" s="27"/>
      <c r="E363" s="27"/>
      <c r="F363" s="27"/>
      <c r="G363" s="27"/>
      <c r="H363" s="95"/>
      <c r="I363" s="30"/>
      <c r="J363" s="51"/>
    </row>
  </sheetData>
  <mergeCells count="4">
    <mergeCell ref="A1:C1"/>
    <mergeCell ref="D1:G1"/>
    <mergeCell ref="H1:J1"/>
    <mergeCell ref="H157:J157"/>
  </mergeCells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J350"/>
  <sheetViews>
    <sheetView topLeftCell="A38" zoomScale="80" zoomScaleNormal="80" workbookViewId="0">
      <selection activeCell="B56" sqref="B56"/>
    </sheetView>
  </sheetViews>
  <sheetFormatPr defaultColWidth="9" defaultRowHeight="12.75" x14ac:dyDescent="0.2"/>
  <cols>
    <col min="1" max="1" width="19.125" style="1" customWidth="1"/>
    <col min="2" max="2" width="59.25" style="1" customWidth="1"/>
    <col min="3" max="3" width="10.75" style="18" customWidth="1"/>
    <col min="4" max="4" width="11.875" style="18" customWidth="1"/>
    <col min="5" max="5" width="10.875" style="1" customWidth="1"/>
    <col min="6" max="6" width="12.625" style="1" customWidth="1"/>
    <col min="7" max="7" width="10.875" style="40" bestFit="1" customWidth="1"/>
    <col min="8" max="9" width="9" style="1"/>
    <col min="10" max="10" width="13.375" style="1" customWidth="1"/>
    <col min="11" max="16384" width="9" style="1"/>
  </cols>
  <sheetData>
    <row r="1" spans="1:10" x14ac:dyDescent="0.2">
      <c r="F1" s="97" t="s">
        <v>218</v>
      </c>
      <c r="G1" s="97" t="s">
        <v>219</v>
      </c>
      <c r="H1" s="97" t="s">
        <v>220</v>
      </c>
      <c r="I1" s="97" t="s">
        <v>221</v>
      </c>
      <c r="J1" s="97" t="s">
        <v>222</v>
      </c>
    </row>
    <row r="2" spans="1:10" ht="13.5" customHeight="1" x14ac:dyDescent="0.2">
      <c r="A2" s="126" t="s">
        <v>240</v>
      </c>
      <c r="B2" s="34" t="s">
        <v>2236</v>
      </c>
      <c r="C2" s="24"/>
      <c r="D2" s="25">
        <v>950.00000000000011</v>
      </c>
      <c r="F2" s="25">
        <v>1058.6300000000001</v>
      </c>
      <c r="G2" s="25">
        <v>90</v>
      </c>
      <c r="H2" s="402"/>
      <c r="I2" s="402">
        <v>18.63</v>
      </c>
      <c r="J2" s="104">
        <f>F2-G2-H2-I2</f>
        <v>950.00000000000011</v>
      </c>
    </row>
    <row r="3" spans="1:10" ht="13.5" customHeight="1" x14ac:dyDescent="0.2">
      <c r="A3" s="126" t="s">
        <v>240</v>
      </c>
      <c r="B3" s="34" t="s">
        <v>2170</v>
      </c>
      <c r="C3" s="24"/>
      <c r="D3" s="25">
        <v>1010</v>
      </c>
      <c r="F3" s="25">
        <v>1100</v>
      </c>
      <c r="G3" s="25">
        <v>90</v>
      </c>
      <c r="H3" s="402"/>
      <c r="I3" s="402"/>
      <c r="J3" s="104">
        <f t="shared" ref="J3:J15" si="0">F3-G3-H3-I3</f>
        <v>1010</v>
      </c>
    </row>
    <row r="4" spans="1:10" ht="13.5" customHeight="1" x14ac:dyDescent="0.2">
      <c r="A4" s="126" t="s">
        <v>240</v>
      </c>
      <c r="B4" s="34" t="s">
        <v>2233</v>
      </c>
      <c r="C4" s="24"/>
      <c r="D4" s="25">
        <v>1020</v>
      </c>
      <c r="F4" s="25">
        <v>1130</v>
      </c>
      <c r="G4" s="25">
        <v>90</v>
      </c>
      <c r="H4" s="402"/>
      <c r="I4" s="402">
        <v>20</v>
      </c>
      <c r="J4" s="104">
        <f t="shared" si="0"/>
        <v>1020</v>
      </c>
    </row>
    <row r="5" spans="1:10" ht="13.5" customHeight="1" x14ac:dyDescent="0.2">
      <c r="A5" s="126" t="s">
        <v>240</v>
      </c>
      <c r="B5" s="56" t="s">
        <v>2210</v>
      </c>
      <c r="C5" s="24"/>
      <c r="D5" s="25">
        <v>1400</v>
      </c>
      <c r="F5" s="25">
        <v>1518.28</v>
      </c>
      <c r="G5" s="25">
        <v>90</v>
      </c>
      <c r="H5" s="402"/>
      <c r="I5" s="402">
        <v>28.28</v>
      </c>
      <c r="J5" s="104">
        <f t="shared" si="0"/>
        <v>1400</v>
      </c>
    </row>
    <row r="6" spans="1:10" ht="13.5" customHeight="1" x14ac:dyDescent="0.2">
      <c r="A6" s="126" t="s">
        <v>240</v>
      </c>
      <c r="B6" s="36" t="s">
        <v>2205</v>
      </c>
      <c r="C6" s="24"/>
      <c r="D6" s="25">
        <v>1400</v>
      </c>
      <c r="F6" s="25">
        <v>1513.58</v>
      </c>
      <c r="G6" s="25">
        <v>90</v>
      </c>
      <c r="H6" s="402"/>
      <c r="I6" s="402">
        <v>23.58</v>
      </c>
      <c r="J6" s="104">
        <f t="shared" si="0"/>
        <v>1400</v>
      </c>
    </row>
    <row r="7" spans="1:10" ht="13.5" customHeight="1" x14ac:dyDescent="0.2">
      <c r="A7" s="126" t="s">
        <v>240</v>
      </c>
      <c r="B7" s="34" t="s">
        <v>2204</v>
      </c>
      <c r="C7" s="24"/>
      <c r="D7" s="25">
        <v>1400</v>
      </c>
      <c r="F7" s="25">
        <v>1490</v>
      </c>
      <c r="G7" s="25">
        <v>90</v>
      </c>
      <c r="H7" s="402"/>
      <c r="I7" s="402"/>
      <c r="J7" s="104">
        <f>F7-G7-H7-I7</f>
        <v>1400</v>
      </c>
    </row>
    <row r="8" spans="1:10" ht="13.5" customHeight="1" x14ac:dyDescent="0.2">
      <c r="A8" s="126" t="s">
        <v>240</v>
      </c>
      <c r="B8" s="56" t="s">
        <v>9</v>
      </c>
      <c r="C8" s="24"/>
      <c r="D8" s="25">
        <v>900</v>
      </c>
      <c r="F8" s="25">
        <v>900</v>
      </c>
      <c r="G8" s="25"/>
      <c r="H8" s="403"/>
      <c r="I8" s="403"/>
      <c r="J8" s="104">
        <f>F8-G8-H8-I8</f>
        <v>900</v>
      </c>
    </row>
    <row r="9" spans="1:10" ht="13.5" customHeight="1" x14ac:dyDescent="0.2">
      <c r="A9" s="126" t="s">
        <v>240</v>
      </c>
      <c r="B9" s="21" t="s">
        <v>10</v>
      </c>
      <c r="C9" s="24"/>
      <c r="D9" s="25">
        <v>540</v>
      </c>
      <c r="F9" s="25">
        <v>540</v>
      </c>
      <c r="G9" s="25"/>
      <c r="H9" s="403"/>
      <c r="I9" s="403"/>
      <c r="J9" s="104">
        <f t="shared" si="0"/>
        <v>540</v>
      </c>
    </row>
    <row r="10" spans="1:10" ht="13.5" customHeight="1" x14ac:dyDescent="0.2">
      <c r="A10" s="126" t="s">
        <v>240</v>
      </c>
      <c r="B10" s="34" t="s">
        <v>2174</v>
      </c>
      <c r="C10" s="24"/>
      <c r="D10" s="25">
        <v>1500</v>
      </c>
      <c r="F10" s="25">
        <v>1500</v>
      </c>
      <c r="G10" s="25"/>
      <c r="H10" s="403"/>
      <c r="I10" s="403"/>
      <c r="J10" s="104">
        <f>F10-G10-H10-I10</f>
        <v>1500</v>
      </c>
    </row>
    <row r="11" spans="1:10" ht="13.5" customHeight="1" x14ac:dyDescent="0.2">
      <c r="A11" s="126" t="s">
        <v>240</v>
      </c>
      <c r="B11" s="34" t="s">
        <v>2173</v>
      </c>
      <c r="C11" s="24"/>
      <c r="D11" s="25">
        <v>733.33</v>
      </c>
      <c r="F11" s="25">
        <v>733.33</v>
      </c>
      <c r="G11" s="25"/>
      <c r="H11" s="403"/>
      <c r="I11" s="403"/>
      <c r="J11" s="104">
        <f t="shared" si="0"/>
        <v>733.33</v>
      </c>
    </row>
    <row r="12" spans="1:10" ht="13.5" customHeight="1" x14ac:dyDescent="0.2">
      <c r="A12" s="126" t="s">
        <v>240</v>
      </c>
      <c r="B12" s="34" t="s">
        <v>2209</v>
      </c>
      <c r="C12" s="24"/>
      <c r="D12" s="25">
        <v>3500</v>
      </c>
      <c r="F12" s="25">
        <v>3590.73</v>
      </c>
      <c r="G12" s="25"/>
      <c r="H12" s="403"/>
      <c r="I12" s="403">
        <v>90.73</v>
      </c>
      <c r="J12" s="104">
        <f t="shared" si="0"/>
        <v>3500</v>
      </c>
    </row>
    <row r="13" spans="1:10" ht="13.5" customHeight="1" x14ac:dyDescent="0.2">
      <c r="A13" s="126" t="s">
        <v>240</v>
      </c>
      <c r="B13" s="34" t="s">
        <v>2221</v>
      </c>
      <c r="C13" s="24"/>
      <c r="D13" s="25">
        <v>2050</v>
      </c>
      <c r="F13" s="25">
        <v>2105.2800000000002</v>
      </c>
      <c r="G13" s="25"/>
      <c r="H13" s="403"/>
      <c r="I13" s="403">
        <v>55.28</v>
      </c>
      <c r="J13" s="104">
        <f t="shared" si="0"/>
        <v>2050</v>
      </c>
    </row>
    <row r="14" spans="1:10" ht="13.5" customHeight="1" x14ac:dyDescent="0.2">
      <c r="A14" s="126" t="s">
        <v>240</v>
      </c>
      <c r="B14" s="34" t="s">
        <v>2322</v>
      </c>
      <c r="C14" s="24"/>
      <c r="D14" s="25">
        <v>5075</v>
      </c>
      <c r="F14" s="25">
        <v>5075</v>
      </c>
      <c r="G14" s="25"/>
      <c r="H14" s="403"/>
      <c r="I14" s="403"/>
      <c r="J14" s="104">
        <f t="shared" si="0"/>
        <v>5075</v>
      </c>
    </row>
    <row r="15" spans="1:10" ht="13.5" customHeight="1" x14ac:dyDescent="0.2">
      <c r="A15" s="126" t="s">
        <v>240</v>
      </c>
      <c r="B15" s="34" t="s">
        <v>2279</v>
      </c>
      <c r="C15" s="24"/>
      <c r="D15" s="25">
        <v>1465</v>
      </c>
      <c r="F15" s="25">
        <v>1465</v>
      </c>
      <c r="G15" s="25"/>
      <c r="H15" s="403"/>
      <c r="I15" s="403"/>
      <c r="J15" s="104">
        <f t="shared" si="0"/>
        <v>1465</v>
      </c>
    </row>
    <row r="16" spans="1:10" ht="13.5" customHeight="1" x14ac:dyDescent="0.2">
      <c r="A16" s="126" t="s">
        <v>240</v>
      </c>
      <c r="B16" s="34" t="s">
        <v>2179</v>
      </c>
      <c r="C16" s="24"/>
      <c r="D16" s="677">
        <v>258.3</v>
      </c>
      <c r="F16" s="399"/>
      <c r="G16" s="107">
        <f>SUM(G2:G15)</f>
        <v>540</v>
      </c>
      <c r="H16" s="107">
        <f>SUM(H2:H15)</f>
        <v>0</v>
      </c>
      <c r="I16" s="107">
        <f>SUM(I2:I15)</f>
        <v>236.5</v>
      </c>
    </row>
    <row r="17" spans="1:10" ht="13.5" customHeight="1" x14ac:dyDescent="0.2">
      <c r="A17" s="126" t="s">
        <v>240</v>
      </c>
      <c r="B17" s="34" t="s">
        <v>2230</v>
      </c>
      <c r="C17" s="24"/>
      <c r="D17" s="677">
        <v>203.5</v>
      </c>
      <c r="G17" s="529"/>
    </row>
    <row r="18" spans="1:10" ht="13.5" customHeight="1" x14ac:dyDescent="0.2">
      <c r="A18" s="126" t="s">
        <v>240</v>
      </c>
      <c r="B18" s="36" t="s">
        <v>2274</v>
      </c>
      <c r="C18" s="24"/>
      <c r="D18" s="677">
        <v>209</v>
      </c>
    </row>
    <row r="19" spans="1:10" ht="13.5" customHeight="1" x14ac:dyDescent="0.2">
      <c r="A19" s="126" t="s">
        <v>240</v>
      </c>
      <c r="B19" s="34" t="s">
        <v>2232</v>
      </c>
      <c r="C19" s="24"/>
      <c r="D19" s="677">
        <v>224.66</v>
      </c>
      <c r="G19" s="529"/>
    </row>
    <row r="20" spans="1:10" ht="13.5" customHeight="1" x14ac:dyDescent="0.2">
      <c r="A20" s="126" t="s">
        <v>240</v>
      </c>
      <c r="B20" s="34" t="s">
        <v>2220</v>
      </c>
      <c r="C20" s="24"/>
      <c r="D20" s="677">
        <v>190</v>
      </c>
      <c r="G20" s="529"/>
    </row>
    <row r="21" spans="1:10" ht="13.5" customHeight="1" x14ac:dyDescent="0.2">
      <c r="A21" s="126" t="s">
        <v>240</v>
      </c>
      <c r="B21" s="34" t="s">
        <v>2178</v>
      </c>
      <c r="C21" s="24"/>
      <c r="D21" s="677">
        <v>200</v>
      </c>
    </row>
    <row r="22" spans="1:10" ht="13.5" customHeight="1" x14ac:dyDescent="0.2">
      <c r="A22" s="126" t="s">
        <v>240</v>
      </c>
      <c r="B22" s="34" t="s">
        <v>2211</v>
      </c>
      <c r="C22" s="24"/>
      <c r="D22" s="677">
        <v>80</v>
      </c>
    </row>
    <row r="23" spans="1:10" ht="13.5" customHeight="1" x14ac:dyDescent="0.2">
      <c r="A23" s="126" t="s">
        <v>240</v>
      </c>
      <c r="B23" s="34" t="s">
        <v>2167</v>
      </c>
      <c r="C23" s="24"/>
      <c r="D23" s="677">
        <v>220</v>
      </c>
      <c r="E23" s="678">
        <f>SUM(D16:D23)</f>
        <v>1585.46</v>
      </c>
    </row>
    <row r="24" spans="1:10" ht="13.5" customHeight="1" x14ac:dyDescent="0.2">
      <c r="A24" s="126" t="s">
        <v>240</v>
      </c>
      <c r="B24" s="34" t="s">
        <v>1792</v>
      </c>
      <c r="C24" s="24"/>
      <c r="D24" s="677">
        <f>I16</f>
        <v>236.5</v>
      </c>
      <c r="E24" s="124"/>
    </row>
    <row r="25" spans="1:10" ht="13.5" customHeight="1" x14ac:dyDescent="0.2">
      <c r="A25" s="126"/>
      <c r="B25" s="21"/>
      <c r="C25" s="24"/>
      <c r="D25" s="679">
        <f>SUM(D2:D24)</f>
        <v>24765.29</v>
      </c>
    </row>
    <row r="26" spans="1:10" ht="13.5" customHeight="1" x14ac:dyDescent="0.2">
      <c r="A26" s="126"/>
      <c r="B26" s="21"/>
      <c r="C26" s="24"/>
      <c r="D26" s="25"/>
    </row>
    <row r="27" spans="1:10" ht="13.5" customHeight="1" x14ac:dyDescent="0.2">
      <c r="A27" s="126" t="s">
        <v>240</v>
      </c>
      <c r="B27" s="34" t="s">
        <v>2272</v>
      </c>
      <c r="C27" s="24"/>
      <c r="D27" s="25">
        <v>900</v>
      </c>
      <c r="F27" s="60">
        <v>900</v>
      </c>
      <c r="G27" s="60"/>
      <c r="H27" s="402"/>
      <c r="I27" s="402"/>
      <c r="J27" s="104">
        <f>F27-G27-H27-I27</f>
        <v>900</v>
      </c>
    </row>
    <row r="28" spans="1:10" ht="13.5" customHeight="1" x14ac:dyDescent="0.2">
      <c r="A28" s="126" t="s">
        <v>240</v>
      </c>
      <c r="B28" s="34" t="s">
        <v>2226</v>
      </c>
      <c r="C28" s="24"/>
      <c r="D28" s="25">
        <v>7750</v>
      </c>
      <c r="F28" s="25">
        <v>8059.75</v>
      </c>
      <c r="G28" s="25"/>
      <c r="H28" s="402"/>
      <c r="I28" s="402">
        <v>309.75</v>
      </c>
      <c r="J28" s="104">
        <f>F28-G28-H28-I28</f>
        <v>7750</v>
      </c>
    </row>
    <row r="29" spans="1:10" ht="13.5" customHeight="1" x14ac:dyDescent="0.2">
      <c r="A29" s="126" t="s">
        <v>240</v>
      </c>
      <c r="B29" s="36" t="s">
        <v>2225</v>
      </c>
      <c r="C29" s="24"/>
      <c r="D29" s="25">
        <v>525</v>
      </c>
      <c r="F29" s="25">
        <v>525</v>
      </c>
      <c r="G29" s="25"/>
      <c r="H29" s="402"/>
      <c r="I29" s="402"/>
      <c r="J29" s="104">
        <f>F29-G29-H29-I29</f>
        <v>525</v>
      </c>
    </row>
    <row r="30" spans="1:10" ht="13.5" customHeight="1" x14ac:dyDescent="0.2">
      <c r="A30" s="126" t="s">
        <v>240</v>
      </c>
      <c r="B30" s="34" t="s">
        <v>2296</v>
      </c>
      <c r="C30" s="24"/>
      <c r="D30" s="25">
        <v>4731.47</v>
      </c>
      <c r="F30" s="25">
        <v>4731.47</v>
      </c>
      <c r="G30" s="25"/>
      <c r="H30" s="402"/>
      <c r="I30" s="402"/>
      <c r="J30" s="104">
        <f>F30-G30-H30-I30</f>
        <v>4731.47</v>
      </c>
    </row>
    <row r="31" spans="1:10" ht="13.5" customHeight="1" x14ac:dyDescent="0.2">
      <c r="A31" s="126"/>
      <c r="B31" s="34" t="s">
        <v>3542</v>
      </c>
      <c r="C31" s="24"/>
      <c r="D31" s="25">
        <f>I32</f>
        <v>309.75</v>
      </c>
      <c r="F31" s="327"/>
      <c r="G31" s="327"/>
      <c r="H31" s="404"/>
      <c r="I31" s="404"/>
      <c r="J31" s="405"/>
    </row>
    <row r="32" spans="1:10" ht="13.5" customHeight="1" x14ac:dyDescent="0.2">
      <c r="A32" s="126"/>
      <c r="B32" s="34"/>
      <c r="C32" s="24"/>
      <c r="D32" s="679">
        <f>SUM(D27:D31)</f>
        <v>14216.220000000001</v>
      </c>
      <c r="F32" s="107">
        <f>SUM(F27:F30)</f>
        <v>14216.220000000001</v>
      </c>
      <c r="G32" s="107">
        <f>SUM(G27:G30)</f>
        <v>0</v>
      </c>
      <c r="H32" s="107">
        <f>SUM(H27:H30)</f>
        <v>0</v>
      </c>
      <c r="I32" s="107">
        <f>SUM(I27:I30)</f>
        <v>309.75</v>
      </c>
      <c r="J32" s="107">
        <f>SUM(J27:J30)</f>
        <v>13906.470000000001</v>
      </c>
    </row>
    <row r="33" spans="1:9" ht="13.5" customHeight="1" x14ac:dyDescent="0.2">
      <c r="A33" s="126"/>
      <c r="B33" s="34"/>
      <c r="C33" s="24"/>
      <c r="D33" s="25"/>
      <c r="H33" s="40"/>
      <c r="I33" s="40"/>
    </row>
    <row r="34" spans="1:9" ht="13.5" customHeight="1" x14ac:dyDescent="0.2">
      <c r="A34" s="126" t="s">
        <v>241</v>
      </c>
      <c r="B34" s="34" t="s">
        <v>189</v>
      </c>
      <c r="C34" s="110">
        <v>8584.75</v>
      </c>
      <c r="D34" s="25"/>
    </row>
    <row r="35" spans="1:9" ht="13.5" customHeight="1" x14ac:dyDescent="0.2">
      <c r="A35" s="126" t="s">
        <v>241</v>
      </c>
      <c r="B35" s="34" t="s">
        <v>189</v>
      </c>
      <c r="C35" s="110">
        <v>4632.5200000000004</v>
      </c>
      <c r="D35" s="25"/>
    </row>
    <row r="36" spans="1:9" ht="13.5" customHeight="1" x14ac:dyDescent="0.2">
      <c r="A36" s="126" t="s">
        <v>241</v>
      </c>
      <c r="B36" s="34" t="s">
        <v>174</v>
      </c>
      <c r="C36" s="24">
        <v>-10.1</v>
      </c>
      <c r="D36" s="25"/>
      <c r="F36"/>
    </row>
    <row r="37" spans="1:9" ht="13.5" customHeight="1" x14ac:dyDescent="0.2">
      <c r="A37" s="126" t="s">
        <v>241</v>
      </c>
      <c r="B37" s="34" t="s">
        <v>174</v>
      </c>
      <c r="C37" s="24">
        <v>-85</v>
      </c>
      <c r="D37" s="25"/>
    </row>
    <row r="38" spans="1:9" ht="13.5" customHeight="1" x14ac:dyDescent="0.2">
      <c r="A38" s="126" t="s">
        <v>241</v>
      </c>
      <c r="B38" s="36" t="s">
        <v>174</v>
      </c>
      <c r="C38" s="24">
        <v>-102.2</v>
      </c>
      <c r="D38" s="25"/>
      <c r="H38" s="40"/>
      <c r="I38" s="40"/>
    </row>
    <row r="39" spans="1:9" ht="13.5" customHeight="1" x14ac:dyDescent="0.2">
      <c r="A39" s="126" t="s">
        <v>241</v>
      </c>
      <c r="B39" s="34" t="s">
        <v>174</v>
      </c>
      <c r="C39" s="24">
        <v>-124.8</v>
      </c>
      <c r="D39" s="25"/>
      <c r="H39" s="40"/>
      <c r="I39" s="40"/>
    </row>
    <row r="40" spans="1:9" ht="13.5" customHeight="1" x14ac:dyDescent="0.2">
      <c r="A40" s="126" t="s">
        <v>241</v>
      </c>
      <c r="B40" s="34" t="s">
        <v>174</v>
      </c>
      <c r="C40" s="24">
        <v>-145.06</v>
      </c>
      <c r="D40" s="25"/>
      <c r="H40" s="40"/>
      <c r="I40" s="40"/>
    </row>
    <row r="41" spans="1:9" ht="13.5" customHeight="1" x14ac:dyDescent="0.2">
      <c r="A41" s="126" t="s">
        <v>241</v>
      </c>
      <c r="B41" s="34" t="s">
        <v>174</v>
      </c>
      <c r="C41" s="24">
        <v>-193.2</v>
      </c>
      <c r="D41" s="25"/>
      <c r="H41" s="40"/>
      <c r="I41" s="40"/>
    </row>
    <row r="42" spans="1:9" ht="13.5" customHeight="1" x14ac:dyDescent="0.2">
      <c r="A42" s="126" t="s">
        <v>241</v>
      </c>
      <c r="B42" s="34" t="s">
        <v>174</v>
      </c>
      <c r="C42" s="24">
        <v>-194.64</v>
      </c>
      <c r="D42" s="25"/>
      <c r="H42" s="40"/>
      <c r="I42" s="40"/>
    </row>
    <row r="43" spans="1:9" ht="13.5" customHeight="1" x14ac:dyDescent="0.2">
      <c r="A43" s="126" t="s">
        <v>241</v>
      </c>
      <c r="B43" s="34" t="s">
        <v>174</v>
      </c>
      <c r="C43" s="24">
        <v>-279.60000000000002</v>
      </c>
      <c r="D43" s="25"/>
      <c r="H43" s="40"/>
      <c r="I43" s="40"/>
    </row>
    <row r="44" spans="1:9" ht="13.5" customHeight="1" x14ac:dyDescent="0.2">
      <c r="A44" s="126" t="s">
        <v>241</v>
      </c>
      <c r="B44" s="34" t="s">
        <v>174</v>
      </c>
      <c r="C44" s="24">
        <v>-474.73</v>
      </c>
      <c r="D44" s="25"/>
      <c r="H44" s="40"/>
      <c r="I44" s="40"/>
    </row>
    <row r="45" spans="1:9" ht="13.5" customHeight="1" x14ac:dyDescent="0.2">
      <c r="A45" s="126" t="s">
        <v>241</v>
      </c>
      <c r="B45" s="34" t="s">
        <v>174</v>
      </c>
      <c r="C45" s="24">
        <v>-500</v>
      </c>
      <c r="D45" s="25"/>
      <c r="H45" s="40"/>
      <c r="I45" s="40"/>
    </row>
    <row r="46" spans="1:9" ht="13.5" customHeight="1" x14ac:dyDescent="0.2">
      <c r="A46" s="126" t="s">
        <v>241</v>
      </c>
      <c r="B46" s="34" t="s">
        <v>174</v>
      </c>
      <c r="C46" s="24">
        <v>-1320.97</v>
      </c>
      <c r="D46" s="25"/>
      <c r="H46" s="40"/>
      <c r="I46" s="40"/>
    </row>
    <row r="47" spans="1:9" ht="13.5" customHeight="1" x14ac:dyDescent="0.2">
      <c r="A47" s="126" t="s">
        <v>241</v>
      </c>
      <c r="B47" s="34" t="s">
        <v>174</v>
      </c>
      <c r="C47" s="24">
        <v>-2335.1</v>
      </c>
      <c r="D47" s="25"/>
      <c r="H47" s="40"/>
      <c r="I47" s="40"/>
    </row>
    <row r="48" spans="1:9" ht="13.5" customHeight="1" x14ac:dyDescent="0.2">
      <c r="A48" s="126" t="s">
        <v>241</v>
      </c>
      <c r="B48" s="34" t="s">
        <v>174</v>
      </c>
      <c r="C48" s="24">
        <v>-3680.8</v>
      </c>
      <c r="D48" s="25"/>
      <c r="H48" s="40"/>
      <c r="I48" s="40"/>
    </row>
    <row r="49" spans="1:9" ht="13.5" customHeight="1" x14ac:dyDescent="0.2">
      <c r="A49" s="126" t="s">
        <v>241</v>
      </c>
      <c r="B49" s="34" t="s">
        <v>174</v>
      </c>
      <c r="C49" s="24">
        <v>-4754</v>
      </c>
      <c r="D49" s="25"/>
      <c r="H49" s="40"/>
      <c r="I49" s="40"/>
    </row>
    <row r="50" spans="1:9" ht="13.5" customHeight="1" x14ac:dyDescent="0.2">
      <c r="A50" s="126"/>
      <c r="B50" s="34"/>
      <c r="C50" s="680">
        <f>SUM(C34:C49)</f>
        <v>-982.92999999999938</v>
      </c>
      <c r="D50" s="25"/>
      <c r="H50" s="40"/>
      <c r="I50" s="40"/>
    </row>
    <row r="51" spans="1:9" ht="13.5" customHeight="1" x14ac:dyDescent="0.2">
      <c r="A51" s="126"/>
      <c r="B51" s="34"/>
      <c r="C51" s="24"/>
      <c r="D51" s="25"/>
      <c r="H51" s="40"/>
      <c r="I51" s="40"/>
    </row>
    <row r="52" spans="1:9" ht="13.5" customHeight="1" x14ac:dyDescent="0.2">
      <c r="A52" s="126" t="s">
        <v>224</v>
      </c>
      <c r="B52" s="34" t="s">
        <v>62</v>
      </c>
      <c r="C52" s="110">
        <v>502.23</v>
      </c>
      <c r="D52" s="25"/>
    </row>
    <row r="53" spans="1:9" ht="13.5" customHeight="1" x14ac:dyDescent="0.2">
      <c r="A53" s="126" t="s">
        <v>224</v>
      </c>
      <c r="B53" s="34" t="s">
        <v>68</v>
      </c>
      <c r="C53" s="110">
        <v>129.9</v>
      </c>
      <c r="D53" s="25"/>
    </row>
    <row r="54" spans="1:9" ht="13.5" customHeight="1" x14ac:dyDescent="0.2">
      <c r="A54" s="126" t="s">
        <v>224</v>
      </c>
      <c r="B54" s="138" t="s">
        <v>1597</v>
      </c>
      <c r="C54" s="110">
        <v>1.24</v>
      </c>
      <c r="D54" s="25"/>
    </row>
    <row r="55" spans="1:9" ht="13.5" customHeight="1" x14ac:dyDescent="0.2">
      <c r="A55" s="126" t="s">
        <v>224</v>
      </c>
      <c r="B55" s="138" t="s">
        <v>199</v>
      </c>
      <c r="C55" s="110">
        <v>143.19999999999999</v>
      </c>
      <c r="D55" s="25"/>
    </row>
    <row r="56" spans="1:9" ht="13.5" customHeight="1" x14ac:dyDescent="0.2">
      <c r="A56" s="126" t="s">
        <v>224</v>
      </c>
      <c r="B56" s="34" t="s">
        <v>1598</v>
      </c>
      <c r="C56" s="110">
        <v>16.670000000000002</v>
      </c>
      <c r="D56" s="25"/>
    </row>
    <row r="57" spans="1:9" ht="13.5" customHeight="1" x14ac:dyDescent="0.2">
      <c r="A57" s="126" t="s">
        <v>224</v>
      </c>
      <c r="B57" s="34" t="s">
        <v>3545</v>
      </c>
      <c r="C57" s="110">
        <f>D60</f>
        <v>400</v>
      </c>
      <c r="D57" s="25"/>
    </row>
    <row r="58" spans="1:9" ht="13.5" customHeight="1" x14ac:dyDescent="0.2">
      <c r="A58" s="126"/>
      <c r="B58" s="34"/>
      <c r="C58" s="681">
        <f>SUM(C52:C57)</f>
        <v>1193.2399999999998</v>
      </c>
      <c r="D58" s="25"/>
    </row>
    <row r="59" spans="1:9" ht="13.5" customHeight="1" x14ac:dyDescent="0.2">
      <c r="A59" s="126"/>
      <c r="B59" s="34"/>
      <c r="C59" s="110"/>
      <c r="D59" s="25"/>
    </row>
    <row r="60" spans="1:9" ht="13.5" customHeight="1" x14ac:dyDescent="0.2">
      <c r="A60" s="126" t="s">
        <v>224</v>
      </c>
      <c r="B60" s="34" t="s">
        <v>2217</v>
      </c>
      <c r="C60" s="24">
        <v>300</v>
      </c>
      <c r="D60" s="25">
        <f>SUM(C60:C61)-D61</f>
        <v>400</v>
      </c>
    </row>
    <row r="61" spans="1:9" ht="13.5" customHeight="1" x14ac:dyDescent="0.2">
      <c r="A61" s="126" t="s">
        <v>224</v>
      </c>
      <c r="B61" s="34" t="s">
        <v>2276</v>
      </c>
      <c r="C61" s="24">
        <v>300</v>
      </c>
      <c r="D61" s="25">
        <f t="array" ref="D61">SUM(C60:C61/3)</f>
        <v>200</v>
      </c>
    </row>
    <row r="62" spans="1:9" ht="13.5" customHeight="1" x14ac:dyDescent="0.2">
      <c r="A62" s="126"/>
      <c r="B62" s="138"/>
      <c r="C62" s="110"/>
      <c r="D62" s="25"/>
    </row>
    <row r="63" spans="1:9" ht="13.5" customHeight="1" x14ac:dyDescent="0.2">
      <c r="A63" s="126"/>
      <c r="B63" s="138"/>
      <c r="C63" s="110"/>
      <c r="D63" s="25"/>
    </row>
    <row r="64" spans="1:9" ht="13.5" customHeight="1" x14ac:dyDescent="0.2">
      <c r="A64" s="40" t="s">
        <v>225</v>
      </c>
      <c r="B64" s="138" t="s">
        <v>2304</v>
      </c>
      <c r="C64" s="681">
        <v>754</v>
      </c>
      <c r="D64" s="25"/>
    </row>
    <row r="65" spans="1:9" ht="13.5" customHeight="1" x14ac:dyDescent="0.2">
      <c r="A65" s="40"/>
      <c r="B65" s="138"/>
      <c r="C65" s="110"/>
      <c r="D65" s="25"/>
    </row>
    <row r="66" spans="1:9" ht="13.5" customHeight="1" x14ac:dyDescent="0.2">
      <c r="A66" s="40"/>
      <c r="B66" s="138"/>
      <c r="C66" s="110"/>
      <c r="D66" s="25"/>
    </row>
    <row r="67" spans="1:9" ht="13.5" customHeight="1" x14ac:dyDescent="0.2">
      <c r="A67" s="126" t="s">
        <v>242</v>
      </c>
      <c r="B67" s="34" t="s">
        <v>2223</v>
      </c>
      <c r="C67" s="110">
        <v>750</v>
      </c>
      <c r="D67" s="25"/>
      <c r="G67" s="529"/>
    </row>
    <row r="68" spans="1:9" ht="13.5" customHeight="1" x14ac:dyDescent="0.2">
      <c r="A68" s="126" t="s">
        <v>242</v>
      </c>
      <c r="B68" s="34" t="s">
        <v>2302</v>
      </c>
      <c r="C68" s="110">
        <v>1303</v>
      </c>
      <c r="D68" s="25"/>
    </row>
    <row r="69" spans="1:9" ht="13.5" customHeight="1" x14ac:dyDescent="0.2">
      <c r="A69" s="126" t="s">
        <v>242</v>
      </c>
      <c r="B69" s="34" t="s">
        <v>127</v>
      </c>
      <c r="C69" s="110">
        <v>31.25</v>
      </c>
      <c r="D69" s="25"/>
      <c r="G69" s="529"/>
    </row>
    <row r="70" spans="1:9" ht="13.5" customHeight="1" x14ac:dyDescent="0.2">
      <c r="A70" s="126" t="s">
        <v>242</v>
      </c>
      <c r="B70" s="237" t="s">
        <v>736</v>
      </c>
      <c r="C70" s="110">
        <v>41.66</v>
      </c>
      <c r="D70" s="25"/>
      <c r="G70" s="529"/>
    </row>
    <row r="71" spans="1:9" ht="13.5" customHeight="1" x14ac:dyDescent="0.2">
      <c r="A71" s="126" t="s">
        <v>242</v>
      </c>
      <c r="B71" s="36" t="s">
        <v>129</v>
      </c>
      <c r="C71" s="110">
        <v>50</v>
      </c>
      <c r="D71" s="25"/>
      <c r="G71" s="529"/>
    </row>
    <row r="72" spans="1:9" ht="13.5" customHeight="1" x14ac:dyDescent="0.2">
      <c r="A72" s="126" t="s">
        <v>242</v>
      </c>
      <c r="B72" s="237" t="s">
        <v>737</v>
      </c>
      <c r="C72" s="110">
        <v>160.94</v>
      </c>
      <c r="D72" s="25"/>
      <c r="G72" s="529"/>
    </row>
    <row r="73" spans="1:9" ht="13.5" customHeight="1" x14ac:dyDescent="0.2">
      <c r="A73" s="126" t="s">
        <v>242</v>
      </c>
      <c r="B73" s="34" t="s">
        <v>87</v>
      </c>
      <c r="C73" s="110">
        <v>37.93</v>
      </c>
      <c r="D73" s="25"/>
    </row>
    <row r="74" spans="1:9" ht="13.5" customHeight="1" x14ac:dyDescent="0.2">
      <c r="A74" s="126" t="s">
        <v>242</v>
      </c>
      <c r="B74" s="34" t="s">
        <v>2229</v>
      </c>
      <c r="C74" s="267">
        <v>27</v>
      </c>
      <c r="D74" s="25"/>
      <c r="G74" s="529"/>
    </row>
    <row r="75" spans="1:9" ht="13.5" customHeight="1" x14ac:dyDescent="0.2">
      <c r="A75" s="126" t="s">
        <v>242</v>
      </c>
      <c r="B75" s="34" t="s">
        <v>2327</v>
      </c>
      <c r="C75" s="113">
        <v>5.25</v>
      </c>
      <c r="D75" s="428"/>
      <c r="E75" s="18"/>
    </row>
    <row r="76" spans="1:9" ht="13.5" customHeight="1" x14ac:dyDescent="0.2">
      <c r="A76" s="126" t="s">
        <v>242</v>
      </c>
      <c r="B76" s="34" t="s">
        <v>2301</v>
      </c>
      <c r="C76" s="110">
        <v>2377.8000000000002</v>
      </c>
      <c r="D76" s="25"/>
    </row>
    <row r="77" spans="1:9" ht="13.5" customHeight="1" x14ac:dyDescent="0.2">
      <c r="A77" s="126" t="s">
        <v>242</v>
      </c>
      <c r="B77" s="36" t="s">
        <v>2227</v>
      </c>
      <c r="C77" s="24">
        <v>-5195.88</v>
      </c>
      <c r="D77" s="25"/>
      <c r="G77" s="529"/>
    </row>
    <row r="78" spans="1:9" ht="13.5" customHeight="1" x14ac:dyDescent="0.2">
      <c r="A78" s="126" t="s">
        <v>242</v>
      </c>
      <c r="B78" s="34" t="s">
        <v>2180</v>
      </c>
      <c r="C78" s="24">
        <v>-21</v>
      </c>
      <c r="D78" s="25"/>
      <c r="H78" s="40"/>
      <c r="I78" s="40"/>
    </row>
    <row r="79" spans="1:9" ht="13.5" customHeight="1" x14ac:dyDescent="0.2">
      <c r="A79" s="126" t="s">
        <v>242</v>
      </c>
      <c r="B79" s="34" t="s">
        <v>422</v>
      </c>
      <c r="C79" s="24">
        <f t="array" ref="C79">SUM(H82:H84/2)</f>
        <v>101.8</v>
      </c>
      <c r="D79" s="25"/>
      <c r="H79" s="40"/>
      <c r="I79" s="40"/>
    </row>
    <row r="80" spans="1:9" ht="13.5" customHeight="1" x14ac:dyDescent="0.2">
      <c r="A80" s="126"/>
      <c r="B80" s="34"/>
      <c r="C80" s="680">
        <f>SUM(C67:C79)</f>
        <v>-330.25000000000017</v>
      </c>
      <c r="D80" s="25"/>
      <c r="H80" s="40"/>
      <c r="I80" s="40"/>
    </row>
    <row r="81" spans="1:9" ht="13.5" customHeight="1" x14ac:dyDescent="0.2">
      <c r="A81" s="126"/>
      <c r="B81" s="34"/>
      <c r="C81" s="24"/>
      <c r="D81" s="25"/>
      <c r="H81" s="40"/>
      <c r="I81" s="40"/>
    </row>
    <row r="82" spans="1:9" ht="13.5" customHeight="1" x14ac:dyDescent="0.2">
      <c r="A82" s="126" t="s">
        <v>242</v>
      </c>
      <c r="B82" s="34" t="s">
        <v>180</v>
      </c>
      <c r="C82" s="110">
        <v>194.64</v>
      </c>
      <c r="D82" s="25"/>
      <c r="F82" s="126" t="s">
        <v>242</v>
      </c>
      <c r="G82" s="34" t="s">
        <v>2325</v>
      </c>
      <c r="H82" s="113">
        <v>8.6999999999999993</v>
      </c>
    </row>
    <row r="83" spans="1:9" ht="13.5" customHeight="1" x14ac:dyDescent="0.2">
      <c r="A83" s="126" t="s">
        <v>242</v>
      </c>
      <c r="B83" s="34" t="s">
        <v>2298</v>
      </c>
      <c r="C83" s="110">
        <v>500</v>
      </c>
      <c r="D83" s="25"/>
      <c r="F83" s="126" t="s">
        <v>242</v>
      </c>
      <c r="G83" s="34" t="s">
        <v>2243</v>
      </c>
      <c r="H83" s="110">
        <v>119.9</v>
      </c>
    </row>
    <row r="84" spans="1:9" ht="13.5" customHeight="1" x14ac:dyDescent="0.2">
      <c r="A84" s="126" t="s">
        <v>242</v>
      </c>
      <c r="B84" s="34" t="s">
        <v>2181</v>
      </c>
      <c r="C84" s="24">
        <v>14</v>
      </c>
      <c r="D84" s="25"/>
      <c r="F84" s="126" t="s">
        <v>242</v>
      </c>
      <c r="G84" s="138" t="s">
        <v>813</v>
      </c>
      <c r="H84" s="110">
        <v>75</v>
      </c>
    </row>
    <row r="85" spans="1:9" ht="13.5" customHeight="1" x14ac:dyDescent="0.2">
      <c r="A85" s="126" t="s">
        <v>242</v>
      </c>
      <c r="B85" s="34" t="s">
        <v>2184</v>
      </c>
      <c r="C85" s="24">
        <v>-21</v>
      </c>
      <c r="D85" s="25"/>
    </row>
    <row r="86" spans="1:9" ht="13.5" customHeight="1" x14ac:dyDescent="0.2">
      <c r="A86" s="126" t="s">
        <v>242</v>
      </c>
      <c r="B86" s="34" t="s">
        <v>625</v>
      </c>
      <c r="C86" s="24">
        <f>C79</f>
        <v>101.8</v>
      </c>
      <c r="D86" s="25"/>
    </row>
    <row r="87" spans="1:9" ht="13.5" customHeight="1" x14ac:dyDescent="0.2">
      <c r="A87" s="126"/>
      <c r="B87" s="34"/>
      <c r="C87" s="680">
        <f>SUM(C82:C86)</f>
        <v>789.43999999999994</v>
      </c>
      <c r="D87" s="25"/>
    </row>
    <row r="88" spans="1:9" ht="13.5" customHeight="1" x14ac:dyDescent="0.2">
      <c r="A88" s="126"/>
      <c r="B88" s="34"/>
      <c r="C88" s="542"/>
      <c r="D88" s="25"/>
    </row>
    <row r="89" spans="1:9" ht="13.5" customHeight="1" x14ac:dyDescent="0.2">
      <c r="A89" s="126"/>
      <c r="B89" s="34" t="s">
        <v>1795</v>
      </c>
      <c r="C89" s="267">
        <f>D61</f>
        <v>200</v>
      </c>
      <c r="D89" s="25"/>
    </row>
    <row r="90" spans="1:9" ht="13.5" customHeight="1" x14ac:dyDescent="0.2">
      <c r="A90" s="126"/>
      <c r="B90" s="34" t="s">
        <v>9</v>
      </c>
      <c r="C90" s="24">
        <v>900</v>
      </c>
      <c r="D90" s="25"/>
    </row>
    <row r="91" spans="1:9" ht="13.5" customHeight="1" x14ac:dyDescent="0.2">
      <c r="A91" s="126" t="s">
        <v>243</v>
      </c>
      <c r="B91" s="36" t="s">
        <v>2319</v>
      </c>
      <c r="C91" s="113">
        <v>15</v>
      </c>
      <c r="D91" s="25"/>
    </row>
    <row r="92" spans="1:9" ht="13.5" customHeight="1" x14ac:dyDescent="0.2">
      <c r="A92" s="126" t="s">
        <v>243</v>
      </c>
      <c r="B92" s="34" t="s">
        <v>2143</v>
      </c>
      <c r="C92" s="110">
        <v>50</v>
      </c>
      <c r="D92" s="25"/>
    </row>
    <row r="93" spans="1:9" ht="13.5" customHeight="1" x14ac:dyDescent="0.2">
      <c r="A93" s="126" t="s">
        <v>243</v>
      </c>
      <c r="B93" s="237" t="s">
        <v>81</v>
      </c>
      <c r="C93" s="110">
        <v>49.9</v>
      </c>
      <c r="D93" s="25"/>
    </row>
    <row r="94" spans="1:9" ht="13.5" customHeight="1" x14ac:dyDescent="0.2">
      <c r="A94" s="126" t="s">
        <v>243</v>
      </c>
      <c r="B94" s="34" t="s">
        <v>673</v>
      </c>
      <c r="C94" s="110">
        <v>99.98</v>
      </c>
      <c r="D94" s="25"/>
    </row>
    <row r="95" spans="1:9" ht="13.5" customHeight="1" x14ac:dyDescent="0.2">
      <c r="A95" s="126" t="s">
        <v>243</v>
      </c>
      <c r="B95" s="21" t="s">
        <v>113</v>
      </c>
      <c r="C95" s="110">
        <v>267</v>
      </c>
      <c r="D95" s="25"/>
    </row>
    <row r="96" spans="1:9" ht="13.5" customHeight="1" x14ac:dyDescent="0.2">
      <c r="A96" s="126" t="s">
        <v>243</v>
      </c>
      <c r="B96" s="34" t="s">
        <v>2176</v>
      </c>
      <c r="C96" s="24">
        <v>800</v>
      </c>
      <c r="D96" s="25"/>
      <c r="G96" s="529"/>
    </row>
    <row r="97" spans="1:7" ht="13.5" customHeight="1" x14ac:dyDescent="0.2">
      <c r="A97" s="126" t="s">
        <v>243</v>
      </c>
      <c r="B97" s="34" t="s">
        <v>2250</v>
      </c>
      <c r="C97" s="24">
        <v>1.61</v>
      </c>
      <c r="D97" s="25"/>
      <c r="G97" s="529"/>
    </row>
    <row r="98" spans="1:7" ht="13.5" customHeight="1" x14ac:dyDescent="0.2">
      <c r="A98" s="126" t="s">
        <v>243</v>
      </c>
      <c r="B98" s="34" t="s">
        <v>2252</v>
      </c>
      <c r="C98" s="24">
        <v>32.31</v>
      </c>
      <c r="D98" s="25"/>
      <c r="G98" s="529"/>
    </row>
    <row r="99" spans="1:7" ht="13.5" customHeight="1" x14ac:dyDescent="0.2">
      <c r="A99" s="126" t="s">
        <v>243</v>
      </c>
      <c r="B99" s="34" t="s">
        <v>2198</v>
      </c>
      <c r="C99" s="24">
        <v>5</v>
      </c>
      <c r="D99" s="25"/>
    </row>
    <row r="100" spans="1:7" ht="13.5" customHeight="1" x14ac:dyDescent="0.2">
      <c r="A100" s="126" t="s">
        <v>243</v>
      </c>
      <c r="B100" s="36" t="s">
        <v>2283</v>
      </c>
      <c r="C100" s="24">
        <v>5</v>
      </c>
      <c r="D100" s="25"/>
    </row>
    <row r="101" spans="1:7" ht="13.5" customHeight="1" x14ac:dyDescent="0.2">
      <c r="A101" s="126" t="s">
        <v>243</v>
      </c>
      <c r="B101" s="34" t="s">
        <v>2257</v>
      </c>
      <c r="C101" s="24">
        <v>4</v>
      </c>
      <c r="D101" s="25"/>
    </row>
    <row r="102" spans="1:7" ht="13.5" customHeight="1" x14ac:dyDescent="0.2">
      <c r="A102" s="126" t="s">
        <v>243</v>
      </c>
      <c r="B102" s="34" t="s">
        <v>2218</v>
      </c>
      <c r="C102" s="24">
        <v>10.73</v>
      </c>
      <c r="D102" s="25"/>
    </row>
    <row r="103" spans="1:7" ht="13.5" customHeight="1" x14ac:dyDescent="0.2">
      <c r="A103" s="126" t="s">
        <v>243</v>
      </c>
      <c r="B103" s="34" t="s">
        <v>2191</v>
      </c>
      <c r="C103" s="24">
        <v>46.29</v>
      </c>
      <c r="D103" s="25"/>
    </row>
    <row r="104" spans="1:7" ht="13.5" customHeight="1" x14ac:dyDescent="0.2">
      <c r="A104" s="126" t="s">
        <v>243</v>
      </c>
      <c r="B104" s="34" t="s">
        <v>2260</v>
      </c>
      <c r="C104" s="24">
        <v>4.99</v>
      </c>
      <c r="D104" s="25"/>
    </row>
    <row r="105" spans="1:7" ht="13.5" customHeight="1" x14ac:dyDescent="0.2">
      <c r="A105" s="126" t="s">
        <v>243</v>
      </c>
      <c r="B105" s="36" t="s">
        <v>2275</v>
      </c>
      <c r="C105" s="24">
        <v>8.4</v>
      </c>
      <c r="D105" s="25"/>
    </row>
    <row r="106" spans="1:7" ht="13.5" customHeight="1" x14ac:dyDescent="0.2">
      <c r="A106" s="126" t="s">
        <v>243</v>
      </c>
      <c r="B106" s="34" t="s">
        <v>2199</v>
      </c>
      <c r="C106" s="24">
        <v>37.32</v>
      </c>
      <c r="D106" s="25"/>
    </row>
    <row r="107" spans="1:7" ht="13.5" customHeight="1" x14ac:dyDescent="0.2">
      <c r="A107" s="126" t="s">
        <v>243</v>
      </c>
      <c r="B107" s="34" t="s">
        <v>2050</v>
      </c>
      <c r="C107" s="24">
        <v>300</v>
      </c>
      <c r="D107" s="25"/>
    </row>
    <row r="108" spans="1:7" ht="13.5" customHeight="1" x14ac:dyDescent="0.2">
      <c r="A108" s="126" t="s">
        <v>243</v>
      </c>
      <c r="B108" s="34" t="s">
        <v>2172</v>
      </c>
      <c r="C108" s="24">
        <v>1500</v>
      </c>
      <c r="D108" s="25"/>
    </row>
    <row r="109" spans="1:7" ht="13.5" customHeight="1" x14ac:dyDescent="0.2">
      <c r="A109" s="126" t="s">
        <v>243</v>
      </c>
      <c r="B109" s="34" t="s">
        <v>1834</v>
      </c>
      <c r="C109" s="24">
        <v>14.4</v>
      </c>
      <c r="D109" s="25"/>
    </row>
    <row r="110" spans="1:7" ht="13.5" customHeight="1" x14ac:dyDescent="0.2">
      <c r="A110" s="126" t="s">
        <v>243</v>
      </c>
      <c r="B110" s="34" t="s">
        <v>1834</v>
      </c>
      <c r="C110" s="24">
        <v>18</v>
      </c>
      <c r="D110" s="25"/>
    </row>
    <row r="111" spans="1:7" ht="13.5" customHeight="1" x14ac:dyDescent="0.2">
      <c r="A111" s="126" t="s">
        <v>243</v>
      </c>
      <c r="B111" s="34" t="s">
        <v>1834</v>
      </c>
      <c r="C111" s="24">
        <v>28.5</v>
      </c>
      <c r="D111" s="25"/>
    </row>
    <row r="112" spans="1:7" ht="13.5" customHeight="1" x14ac:dyDescent="0.2">
      <c r="A112" s="126" t="s">
        <v>243</v>
      </c>
      <c r="B112" s="34" t="s">
        <v>1834</v>
      </c>
      <c r="C112" s="24">
        <v>34</v>
      </c>
      <c r="D112" s="25"/>
    </row>
    <row r="113" spans="1:8" ht="13.5" customHeight="1" x14ac:dyDescent="0.2">
      <c r="A113" s="126" t="s">
        <v>243</v>
      </c>
      <c r="B113" s="34" t="s">
        <v>2182</v>
      </c>
      <c r="C113" s="24">
        <v>1690</v>
      </c>
      <c r="D113" s="25"/>
    </row>
    <row r="114" spans="1:8" ht="13.5" customHeight="1" x14ac:dyDescent="0.2">
      <c r="A114" s="126" t="s">
        <v>243</v>
      </c>
      <c r="B114" s="34" t="s">
        <v>1666</v>
      </c>
      <c r="C114" s="24">
        <v>55.9</v>
      </c>
      <c r="D114" s="25"/>
    </row>
    <row r="115" spans="1:8" ht="13.5" customHeight="1" x14ac:dyDescent="0.2">
      <c r="A115" s="126" t="s">
        <v>243</v>
      </c>
      <c r="B115" s="34" t="s">
        <v>2175</v>
      </c>
      <c r="C115" s="24">
        <v>86.95</v>
      </c>
      <c r="D115" s="25"/>
    </row>
    <row r="116" spans="1:8" ht="13.5" customHeight="1" x14ac:dyDescent="0.2">
      <c r="A116" s="126"/>
      <c r="B116" s="34"/>
      <c r="C116" s="680">
        <f>SUM(C89:C115)</f>
        <v>6265.28</v>
      </c>
      <c r="D116" s="25">
        <f>SUM(C116/2)</f>
        <v>3132.64</v>
      </c>
      <c r="E116" s="1" t="s">
        <v>3548</v>
      </c>
    </row>
    <row r="117" spans="1:8" ht="13.5" customHeight="1" x14ac:dyDescent="0.2">
      <c r="A117" s="126"/>
      <c r="B117" s="34"/>
      <c r="C117" s="24"/>
      <c r="D117" s="25"/>
    </row>
    <row r="118" spans="1:8" ht="13.5" customHeight="1" x14ac:dyDescent="0.2">
      <c r="A118" s="40" t="s">
        <v>230</v>
      </c>
      <c r="B118" s="36" t="s">
        <v>177</v>
      </c>
      <c r="C118" s="681">
        <v>243.07</v>
      </c>
      <c r="D118" s="25">
        <f>SUM(C118*D128)</f>
        <v>39.032660558981078</v>
      </c>
      <c r="E118" s="1" t="s">
        <v>3547</v>
      </c>
    </row>
    <row r="119" spans="1:8" ht="13.5" customHeight="1" x14ac:dyDescent="0.2">
      <c r="A119" s="40"/>
      <c r="B119" s="34"/>
      <c r="C119" s="110"/>
      <c r="D119" s="25">
        <f>SUM(C118-D118)</f>
        <v>204.0373394410189</v>
      </c>
      <c r="E119" s="1" t="s">
        <v>1794</v>
      </c>
    </row>
    <row r="120" spans="1:8" ht="13.5" customHeight="1" x14ac:dyDescent="0.2">
      <c r="A120" s="40"/>
      <c r="B120" s="34"/>
      <c r="C120" s="110"/>
      <c r="D120" s="25"/>
    </row>
    <row r="121" spans="1:8" ht="13.5" customHeight="1" x14ac:dyDescent="0.2">
      <c r="A121" s="40" t="s">
        <v>231</v>
      </c>
      <c r="B121" s="138" t="s">
        <v>198</v>
      </c>
      <c r="C121" s="681">
        <v>1320.97</v>
      </c>
      <c r="D121" s="25">
        <f>SUM(C121*D128)</f>
        <v>212.12397094909792</v>
      </c>
      <c r="E121" s="1" t="s">
        <v>3547</v>
      </c>
    </row>
    <row r="122" spans="1:8" ht="13.5" customHeight="1" x14ac:dyDescent="0.2">
      <c r="A122" s="40"/>
      <c r="B122" s="138"/>
      <c r="C122" s="110"/>
      <c r="D122" s="25">
        <f>SUM(C121-D121)</f>
        <v>1108.8460290509022</v>
      </c>
      <c r="E122" t="s">
        <v>1794</v>
      </c>
    </row>
    <row r="123" spans="1:8" ht="13.5" customHeight="1" x14ac:dyDescent="0.2">
      <c r="A123" s="40"/>
      <c r="B123" s="138"/>
      <c r="C123" s="110"/>
      <c r="D123" s="25"/>
    </row>
    <row r="124" spans="1:8" ht="13.5" customHeight="1" x14ac:dyDescent="0.2">
      <c r="A124" s="126" t="s">
        <v>417</v>
      </c>
      <c r="B124" s="34" t="s">
        <v>2247</v>
      </c>
      <c r="C124" s="24">
        <v>65</v>
      </c>
      <c r="D124" s="25"/>
    </row>
    <row r="125" spans="1:8" ht="13.5" customHeight="1" x14ac:dyDescent="0.2">
      <c r="A125" s="126" t="s">
        <v>417</v>
      </c>
      <c r="B125" s="34" t="s">
        <v>422</v>
      </c>
      <c r="C125" s="24">
        <f t="array" ref="C125">SUM(H128:H129/2)</f>
        <v>807.97499999999991</v>
      </c>
      <c r="D125" s="25"/>
    </row>
    <row r="126" spans="1:8" ht="13.5" customHeight="1" x14ac:dyDescent="0.2">
      <c r="A126" s="126"/>
      <c r="B126" s="34"/>
      <c r="C126" s="680">
        <f>SUM(C124:C125)</f>
        <v>872.97499999999991</v>
      </c>
      <c r="D126" s="25"/>
    </row>
    <row r="127" spans="1:8" ht="13.5" customHeight="1" x14ac:dyDescent="0.2">
      <c r="A127" s="126"/>
      <c r="B127" s="34"/>
      <c r="C127" s="24"/>
      <c r="D127" s="25"/>
    </row>
    <row r="128" spans="1:8" ht="13.5" customHeight="1" x14ac:dyDescent="0.2">
      <c r="A128" s="126" t="s">
        <v>417</v>
      </c>
      <c r="B128" s="34" t="s">
        <v>2237</v>
      </c>
      <c r="C128" s="24">
        <v>793.85</v>
      </c>
      <c r="D128" s="685">
        <f>SUM(C126/(C126+C141))</f>
        <v>0.16058197457103335</v>
      </c>
      <c r="F128" s="126" t="s">
        <v>417</v>
      </c>
      <c r="G128" s="34" t="s">
        <v>173</v>
      </c>
      <c r="H128" s="110">
        <v>1007.27</v>
      </c>
    </row>
    <row r="129" spans="1:8" ht="13.5" customHeight="1" x14ac:dyDescent="0.2">
      <c r="A129" s="126" t="s">
        <v>417</v>
      </c>
      <c r="B129" s="34" t="s">
        <v>2238</v>
      </c>
      <c r="C129" s="24">
        <v>421.52</v>
      </c>
      <c r="D129" s="25"/>
      <c r="F129" s="126" t="s">
        <v>417</v>
      </c>
      <c r="G129" s="34" t="s">
        <v>172</v>
      </c>
      <c r="H129" s="110">
        <v>608.67999999999995</v>
      </c>
    </row>
    <row r="130" spans="1:8" ht="13.5" customHeight="1" x14ac:dyDescent="0.2">
      <c r="A130" s="126" t="s">
        <v>417</v>
      </c>
      <c r="B130" s="34" t="s">
        <v>2101</v>
      </c>
      <c r="C130" s="24">
        <v>150</v>
      </c>
      <c r="D130" s="25"/>
    </row>
    <row r="131" spans="1:8" ht="13.5" customHeight="1" x14ac:dyDescent="0.2">
      <c r="A131" s="126" t="s">
        <v>417</v>
      </c>
      <c r="B131" s="34" t="s">
        <v>2239</v>
      </c>
      <c r="C131" s="24">
        <v>75</v>
      </c>
      <c r="D131" s="25"/>
    </row>
    <row r="132" spans="1:8" ht="13.5" customHeight="1" x14ac:dyDescent="0.2">
      <c r="A132" s="126" t="s">
        <v>417</v>
      </c>
      <c r="B132" s="34" t="s">
        <v>2240</v>
      </c>
      <c r="C132" s="24">
        <v>125</v>
      </c>
      <c r="D132" s="25"/>
    </row>
    <row r="133" spans="1:8" ht="13.5" customHeight="1" x14ac:dyDescent="0.2">
      <c r="A133" s="126" t="s">
        <v>417</v>
      </c>
      <c r="B133" s="34" t="s">
        <v>1887</v>
      </c>
      <c r="C133" s="24">
        <v>70</v>
      </c>
      <c r="D133" s="25"/>
    </row>
    <row r="134" spans="1:8" ht="13.5" customHeight="1" x14ac:dyDescent="0.2">
      <c r="A134" s="126" t="s">
        <v>417</v>
      </c>
      <c r="B134" s="34" t="s">
        <v>2281</v>
      </c>
      <c r="C134" s="24">
        <v>180</v>
      </c>
      <c r="D134" s="25"/>
    </row>
    <row r="135" spans="1:8" ht="13.5" customHeight="1" x14ac:dyDescent="0.2">
      <c r="A135" s="126" t="s">
        <v>417</v>
      </c>
      <c r="B135" s="34" t="s">
        <v>2282</v>
      </c>
      <c r="C135" s="24">
        <v>240</v>
      </c>
      <c r="D135" s="25"/>
    </row>
    <row r="136" spans="1:8" ht="13.5" customHeight="1" x14ac:dyDescent="0.2">
      <c r="A136" s="126" t="s">
        <v>417</v>
      </c>
      <c r="B136" s="34" t="s">
        <v>2242</v>
      </c>
      <c r="C136" s="24">
        <v>400</v>
      </c>
      <c r="D136" s="25"/>
    </row>
    <row r="137" spans="1:8" ht="13.5" customHeight="1" x14ac:dyDescent="0.2">
      <c r="A137" s="126" t="s">
        <v>417</v>
      </c>
      <c r="B137" s="34" t="s">
        <v>2280</v>
      </c>
      <c r="C137" s="24">
        <v>500</v>
      </c>
      <c r="D137" s="25"/>
    </row>
    <row r="138" spans="1:8" ht="13.5" customHeight="1" x14ac:dyDescent="0.2">
      <c r="A138" s="126" t="s">
        <v>417</v>
      </c>
      <c r="B138" s="34" t="s">
        <v>2183</v>
      </c>
      <c r="C138" s="24">
        <v>500</v>
      </c>
      <c r="D138" s="25"/>
    </row>
    <row r="139" spans="1:8" ht="13.5" customHeight="1" x14ac:dyDescent="0.2">
      <c r="A139" s="126" t="s">
        <v>417</v>
      </c>
      <c r="B139" s="34" t="s">
        <v>2222</v>
      </c>
      <c r="C139" s="267">
        <v>300</v>
      </c>
      <c r="D139" s="25"/>
    </row>
    <row r="140" spans="1:8" ht="13.5" customHeight="1" x14ac:dyDescent="0.2">
      <c r="A140" s="126" t="s">
        <v>417</v>
      </c>
      <c r="B140" s="34" t="s">
        <v>625</v>
      </c>
      <c r="C140" s="267">
        <f>C125</f>
        <v>807.97499999999991</v>
      </c>
      <c r="D140" s="25"/>
    </row>
    <row r="141" spans="1:8" ht="13.5" customHeight="1" x14ac:dyDescent="0.2">
      <c r="A141" s="126"/>
      <c r="B141" s="34"/>
      <c r="C141" s="680">
        <f>SUM(C128:C140)</f>
        <v>4563.3449999999993</v>
      </c>
      <c r="D141" s="25"/>
    </row>
    <row r="142" spans="1:8" ht="13.5" customHeight="1" x14ac:dyDescent="0.2">
      <c r="A142" s="126"/>
      <c r="B142" s="34"/>
      <c r="C142" s="267"/>
      <c r="D142" s="25"/>
    </row>
    <row r="143" spans="1:8" ht="13.5" customHeight="1" x14ac:dyDescent="0.2">
      <c r="A143" s="126" t="s">
        <v>245</v>
      </c>
      <c r="B143" s="34" t="s">
        <v>2256</v>
      </c>
      <c r="C143" s="24">
        <v>9.5</v>
      </c>
      <c r="D143" s="25"/>
    </row>
    <row r="144" spans="1:8" ht="13.5" customHeight="1" x14ac:dyDescent="0.2">
      <c r="A144" s="126" t="s">
        <v>245</v>
      </c>
      <c r="B144" s="34" t="s">
        <v>2253</v>
      </c>
      <c r="C144" s="24">
        <v>3.85</v>
      </c>
      <c r="D144" s="25"/>
    </row>
    <row r="145" spans="1:8" ht="13.5" customHeight="1" x14ac:dyDescent="0.2">
      <c r="A145" s="126" t="s">
        <v>245</v>
      </c>
      <c r="B145" s="34" t="s">
        <v>2194</v>
      </c>
      <c r="C145" s="24">
        <v>42.3</v>
      </c>
      <c r="D145" s="25"/>
      <c r="F145" s="126" t="s">
        <v>245</v>
      </c>
      <c r="G145" s="237" t="s">
        <v>2291</v>
      </c>
      <c r="H145" s="110">
        <v>102.2</v>
      </c>
    </row>
    <row r="146" spans="1:8" ht="13.5" customHeight="1" x14ac:dyDescent="0.2">
      <c r="A146" s="126" t="s">
        <v>245</v>
      </c>
      <c r="B146" s="34" t="s">
        <v>2203</v>
      </c>
      <c r="C146" s="24">
        <v>40</v>
      </c>
      <c r="D146" s="25"/>
      <c r="F146" s="126" t="s">
        <v>245</v>
      </c>
      <c r="G146" s="34" t="s">
        <v>2330</v>
      </c>
      <c r="H146" s="113">
        <v>29</v>
      </c>
    </row>
    <row r="147" spans="1:8" ht="13.5" customHeight="1" x14ac:dyDescent="0.2">
      <c r="A147" s="126" t="s">
        <v>245</v>
      </c>
      <c r="B147" s="34" t="s">
        <v>2197</v>
      </c>
      <c r="C147" s="24">
        <v>20</v>
      </c>
      <c r="D147" s="25"/>
      <c r="G147" s="529"/>
    </row>
    <row r="148" spans="1:8" ht="13.5" customHeight="1" x14ac:dyDescent="0.2">
      <c r="A148" s="126" t="s">
        <v>245</v>
      </c>
      <c r="B148" s="36" t="s">
        <v>2254</v>
      </c>
      <c r="C148" s="24">
        <v>20</v>
      </c>
      <c r="D148" s="25"/>
    </row>
    <row r="149" spans="1:8" ht="13.5" customHeight="1" x14ac:dyDescent="0.2">
      <c r="A149" s="126" t="s">
        <v>245</v>
      </c>
      <c r="B149" s="36" t="s">
        <v>2271</v>
      </c>
      <c r="C149" s="24">
        <v>4</v>
      </c>
      <c r="D149" s="25"/>
      <c r="E149" s="18"/>
    </row>
    <row r="150" spans="1:8" ht="13.5" customHeight="1" x14ac:dyDescent="0.2">
      <c r="A150" s="126" t="s">
        <v>245</v>
      </c>
      <c r="B150" s="36" t="s">
        <v>2193</v>
      </c>
      <c r="C150" s="24">
        <v>42</v>
      </c>
      <c r="D150" s="25"/>
    </row>
    <row r="151" spans="1:8" ht="13.5" customHeight="1" x14ac:dyDescent="0.2">
      <c r="A151" s="126" t="s">
        <v>245</v>
      </c>
      <c r="B151" s="36" t="s">
        <v>2196</v>
      </c>
      <c r="C151" s="24">
        <v>1.7</v>
      </c>
      <c r="D151" s="25"/>
    </row>
    <row r="152" spans="1:8" ht="13.5" customHeight="1" x14ac:dyDescent="0.2">
      <c r="A152" s="126" t="s">
        <v>245</v>
      </c>
      <c r="B152" s="36" t="s">
        <v>1686</v>
      </c>
      <c r="C152" s="24">
        <v>30.74</v>
      </c>
      <c r="D152" s="25"/>
    </row>
    <row r="153" spans="1:8" ht="13.5" customHeight="1" x14ac:dyDescent="0.2">
      <c r="A153" s="126" t="s">
        <v>245</v>
      </c>
      <c r="B153" s="34" t="s">
        <v>2202</v>
      </c>
      <c r="C153" s="24">
        <v>6.48</v>
      </c>
      <c r="D153" s="25"/>
    </row>
    <row r="154" spans="1:8" ht="13.5" customHeight="1" x14ac:dyDescent="0.2">
      <c r="A154" s="126" t="s">
        <v>245</v>
      </c>
      <c r="B154" s="34" t="s">
        <v>2190</v>
      </c>
      <c r="C154" s="24">
        <v>2</v>
      </c>
      <c r="D154" s="25"/>
    </row>
    <row r="155" spans="1:8" ht="13.5" customHeight="1" x14ac:dyDescent="0.2">
      <c r="A155" s="126" t="s">
        <v>245</v>
      </c>
      <c r="B155" s="36" t="s">
        <v>2249</v>
      </c>
      <c r="C155" s="24">
        <v>13.9</v>
      </c>
      <c r="D155" s="25"/>
    </row>
    <row r="156" spans="1:8" ht="13.5" customHeight="1" x14ac:dyDescent="0.2">
      <c r="A156" s="126" t="s">
        <v>245</v>
      </c>
      <c r="B156" s="34" t="s">
        <v>2255</v>
      </c>
      <c r="C156" s="24">
        <v>9.6999999999999993</v>
      </c>
      <c r="D156" s="25"/>
    </row>
    <row r="157" spans="1:8" ht="13.5" customHeight="1" x14ac:dyDescent="0.2">
      <c r="A157" s="126" t="s">
        <v>245</v>
      </c>
      <c r="B157" s="237" t="s">
        <v>2294</v>
      </c>
      <c r="C157" s="110">
        <v>98.95</v>
      </c>
      <c r="D157" s="25"/>
    </row>
    <row r="158" spans="1:8" ht="13.5" customHeight="1" x14ac:dyDescent="0.2">
      <c r="A158" s="126" t="s">
        <v>245</v>
      </c>
      <c r="B158" s="34" t="s">
        <v>2328</v>
      </c>
      <c r="C158" s="113">
        <v>75</v>
      </c>
      <c r="D158" s="428"/>
    </row>
    <row r="159" spans="1:8" ht="13.5" customHeight="1" x14ac:dyDescent="0.2">
      <c r="A159" s="126" t="s">
        <v>245</v>
      </c>
      <c r="B159" s="34" t="s">
        <v>3549</v>
      </c>
      <c r="C159" s="113">
        <f t="array" ref="C159">SUM(H145:H146/2)</f>
        <v>65.599999999999994</v>
      </c>
      <c r="D159" s="428"/>
    </row>
    <row r="160" spans="1:8" ht="13.5" customHeight="1" x14ac:dyDescent="0.2">
      <c r="A160" s="126"/>
      <c r="B160" s="34"/>
      <c r="C160" s="681">
        <f>SUM(C143:C159)</f>
        <v>485.72</v>
      </c>
      <c r="D160" s="428"/>
    </row>
    <row r="161" spans="1:5" ht="13.5" customHeight="1" x14ac:dyDescent="0.2">
      <c r="A161" s="126"/>
      <c r="B161" s="34"/>
      <c r="C161" s="113"/>
      <c r="D161" s="428"/>
    </row>
    <row r="162" spans="1:5" ht="13.5" customHeight="1" x14ac:dyDescent="0.2">
      <c r="A162" s="126" t="s">
        <v>245</v>
      </c>
      <c r="B162" s="34" t="s">
        <v>2248</v>
      </c>
      <c r="C162" s="24">
        <v>156</v>
      </c>
      <c r="D162" s="25"/>
    </row>
    <row r="163" spans="1:5" ht="13.5" customHeight="1" x14ac:dyDescent="0.2">
      <c r="A163" s="126" t="s">
        <v>245</v>
      </c>
      <c r="B163" s="34" t="s">
        <v>2262</v>
      </c>
      <c r="C163" s="24">
        <v>3.8</v>
      </c>
      <c r="D163" s="25"/>
    </row>
    <row r="164" spans="1:5" ht="13.5" customHeight="1" x14ac:dyDescent="0.2">
      <c r="A164" s="126" t="s">
        <v>245</v>
      </c>
      <c r="B164" s="34" t="s">
        <v>2246</v>
      </c>
      <c r="C164" s="24">
        <v>20</v>
      </c>
      <c r="D164" s="25"/>
    </row>
    <row r="165" spans="1:5" ht="13.5" customHeight="1" x14ac:dyDescent="0.2">
      <c r="A165" s="126" t="s">
        <v>245</v>
      </c>
      <c r="B165" s="34" t="s">
        <v>2192</v>
      </c>
      <c r="C165" s="24">
        <v>7.76</v>
      </c>
      <c r="D165" s="25"/>
    </row>
    <row r="166" spans="1:5" ht="13.5" customHeight="1" x14ac:dyDescent="0.2">
      <c r="A166" s="126" t="s">
        <v>245</v>
      </c>
      <c r="B166" s="34" t="s">
        <v>2263</v>
      </c>
      <c r="C166" s="24">
        <v>15.52</v>
      </c>
      <c r="D166" s="25"/>
    </row>
    <row r="167" spans="1:5" ht="13.5" customHeight="1" x14ac:dyDescent="0.2">
      <c r="A167" s="126" t="s">
        <v>245</v>
      </c>
      <c r="B167" s="34" t="s">
        <v>2251</v>
      </c>
      <c r="C167" s="24">
        <v>2.4500000000000002</v>
      </c>
      <c r="D167" s="25"/>
    </row>
    <row r="168" spans="1:5" ht="13.5" customHeight="1" x14ac:dyDescent="0.2">
      <c r="A168" s="126" t="s">
        <v>245</v>
      </c>
      <c r="B168" s="34" t="s">
        <v>2261</v>
      </c>
      <c r="C168" s="24">
        <v>24.88</v>
      </c>
      <c r="D168" s="25"/>
      <c r="E168" s="18"/>
    </row>
    <row r="169" spans="1:5" ht="13.5" customHeight="1" x14ac:dyDescent="0.2">
      <c r="A169" s="126" t="s">
        <v>245</v>
      </c>
      <c r="B169" s="34" t="s">
        <v>2200</v>
      </c>
      <c r="C169" s="24">
        <v>9.9700000000000006</v>
      </c>
      <c r="D169" s="25"/>
    </row>
    <row r="170" spans="1:5" ht="13.5" customHeight="1" x14ac:dyDescent="0.2">
      <c r="A170" s="126" t="s">
        <v>245</v>
      </c>
      <c r="B170" s="34" t="s">
        <v>2264</v>
      </c>
      <c r="C170" s="24">
        <v>9.9600000000000009</v>
      </c>
      <c r="D170" s="25"/>
    </row>
    <row r="171" spans="1:5" ht="13.5" customHeight="1" x14ac:dyDescent="0.2">
      <c r="A171" s="126" t="s">
        <v>245</v>
      </c>
      <c r="B171" s="34" t="s">
        <v>2258</v>
      </c>
      <c r="C171" s="24">
        <v>19</v>
      </c>
      <c r="D171" s="25"/>
    </row>
    <row r="172" spans="1:5" ht="13.5" customHeight="1" x14ac:dyDescent="0.2">
      <c r="A172" s="126" t="s">
        <v>245</v>
      </c>
      <c r="B172" s="34" t="s">
        <v>1652</v>
      </c>
      <c r="C172" s="24">
        <v>1.3</v>
      </c>
      <c r="D172" s="25"/>
    </row>
    <row r="173" spans="1:5" ht="13.5" customHeight="1" x14ac:dyDescent="0.2">
      <c r="A173" s="126" t="s">
        <v>245</v>
      </c>
      <c r="B173" s="34" t="s">
        <v>2195</v>
      </c>
      <c r="C173" s="259">
        <v>3.5</v>
      </c>
      <c r="D173" s="235"/>
    </row>
    <row r="174" spans="1:5" ht="13.5" customHeight="1" x14ac:dyDescent="0.2">
      <c r="A174" s="126" t="s">
        <v>245</v>
      </c>
      <c r="B174" s="36" t="s">
        <v>2201</v>
      </c>
      <c r="C174" s="119">
        <v>12.48</v>
      </c>
      <c r="D174" s="60"/>
    </row>
    <row r="175" spans="1:5" ht="13.5" customHeight="1" x14ac:dyDescent="0.2">
      <c r="A175" s="126" t="s">
        <v>245</v>
      </c>
      <c r="B175" s="36" t="s">
        <v>2259</v>
      </c>
      <c r="C175" s="119">
        <v>6.5</v>
      </c>
      <c r="D175" s="60"/>
    </row>
    <row r="176" spans="1:5" ht="13.5" customHeight="1" x14ac:dyDescent="0.2">
      <c r="A176" s="126" t="s">
        <v>245</v>
      </c>
      <c r="B176" s="36" t="s">
        <v>2278</v>
      </c>
      <c r="C176" s="119">
        <v>70</v>
      </c>
      <c r="D176" s="60"/>
    </row>
    <row r="177" spans="1:4" ht="13.5" customHeight="1" x14ac:dyDescent="0.2">
      <c r="A177" s="126" t="s">
        <v>245</v>
      </c>
      <c r="B177" s="36" t="s">
        <v>2286</v>
      </c>
      <c r="C177" s="59">
        <v>476.08</v>
      </c>
      <c r="D177" s="60"/>
    </row>
    <row r="178" spans="1:4" ht="13.5" customHeight="1" x14ac:dyDescent="0.2">
      <c r="A178" s="126" t="s">
        <v>245</v>
      </c>
      <c r="B178" s="36" t="s">
        <v>1176</v>
      </c>
      <c r="C178" s="59">
        <v>267.10000000000002</v>
      </c>
      <c r="D178" s="60"/>
    </row>
    <row r="179" spans="1:4" ht="13.5" customHeight="1" x14ac:dyDescent="0.2">
      <c r="A179" s="126" t="s">
        <v>245</v>
      </c>
      <c r="B179" s="34" t="s">
        <v>1171</v>
      </c>
      <c r="C179" s="59">
        <v>145.06</v>
      </c>
      <c r="D179" s="60"/>
    </row>
    <row r="180" spans="1:4" ht="13.5" customHeight="1" x14ac:dyDescent="0.2">
      <c r="A180" s="126" t="s">
        <v>245</v>
      </c>
      <c r="B180" s="34" t="s">
        <v>2171</v>
      </c>
      <c r="C180" s="119">
        <v>180</v>
      </c>
      <c r="D180" s="60"/>
    </row>
    <row r="181" spans="1:4" ht="13.5" customHeight="1" x14ac:dyDescent="0.2">
      <c r="A181" s="126" t="s">
        <v>245</v>
      </c>
      <c r="B181" s="36" t="s">
        <v>1373</v>
      </c>
      <c r="C181" s="59">
        <v>49.8</v>
      </c>
      <c r="D181" s="60"/>
    </row>
    <row r="182" spans="1:4" ht="13.5" customHeight="1" x14ac:dyDescent="0.2">
      <c r="A182" s="126" t="s">
        <v>245</v>
      </c>
      <c r="B182" s="36" t="s">
        <v>3546</v>
      </c>
      <c r="C182" s="59">
        <f>C159</f>
        <v>65.599999999999994</v>
      </c>
      <c r="D182" s="60"/>
    </row>
    <row r="183" spans="1:4" ht="13.5" customHeight="1" x14ac:dyDescent="0.2">
      <c r="A183" s="126"/>
      <c r="B183" s="36"/>
      <c r="C183" s="682">
        <f>SUM(C162:C182)</f>
        <v>1546.76</v>
      </c>
      <c r="D183" s="60"/>
    </row>
    <row r="184" spans="1:4" ht="13.5" customHeight="1" x14ac:dyDescent="0.2">
      <c r="A184" s="126"/>
      <c r="B184" s="36"/>
      <c r="C184" s="59"/>
      <c r="D184" s="60"/>
    </row>
    <row r="185" spans="1:4" ht="13.5" customHeight="1" x14ac:dyDescent="0.2">
      <c r="A185" s="126" t="s">
        <v>246</v>
      </c>
      <c r="B185" s="32" t="s">
        <v>195</v>
      </c>
      <c r="C185" s="59">
        <v>390.19</v>
      </c>
      <c r="D185" s="60"/>
    </row>
    <row r="186" spans="1:4" ht="13.5" customHeight="1" x14ac:dyDescent="0.2">
      <c r="A186" s="126" t="s">
        <v>246</v>
      </c>
      <c r="B186" s="138" t="s">
        <v>194</v>
      </c>
      <c r="C186" s="657">
        <v>84.54</v>
      </c>
      <c r="D186" s="60"/>
    </row>
    <row r="187" spans="1:4" ht="13.5" customHeight="1" x14ac:dyDescent="0.2">
      <c r="A187" s="126"/>
      <c r="B187" s="32"/>
      <c r="C187" s="206">
        <f>SUM(C185:C186)</f>
        <v>474.73</v>
      </c>
      <c r="D187" s="71"/>
    </row>
    <row r="188" spans="1:4" ht="13.5" customHeight="1" x14ac:dyDescent="0.2">
      <c r="A188" s="126"/>
      <c r="B188" s="32"/>
      <c r="C188" s="61"/>
      <c r="D188" s="71"/>
    </row>
    <row r="189" spans="1:4" ht="13.5" customHeight="1" x14ac:dyDescent="0.2">
      <c r="A189" s="126" t="s">
        <v>248</v>
      </c>
      <c r="B189" s="639" t="s">
        <v>1002</v>
      </c>
      <c r="C189" s="110">
        <v>9253.6899999999987</v>
      </c>
      <c r="D189" s="60"/>
    </row>
    <row r="190" spans="1:4" ht="13.5" customHeight="1" x14ac:dyDescent="0.2">
      <c r="A190" s="126" t="s">
        <v>248</v>
      </c>
      <c r="B190" s="676" t="s">
        <v>132</v>
      </c>
      <c r="C190" s="59">
        <v>2157.04</v>
      </c>
      <c r="D190" s="60"/>
    </row>
    <row r="191" spans="1:4" ht="13.5" customHeight="1" x14ac:dyDescent="0.2">
      <c r="A191" s="126" t="s">
        <v>248</v>
      </c>
      <c r="B191" s="36" t="s">
        <v>130</v>
      </c>
      <c r="C191" s="59">
        <v>141.29</v>
      </c>
      <c r="D191" s="60"/>
    </row>
    <row r="192" spans="1:4" ht="13.5" customHeight="1" x14ac:dyDescent="0.2">
      <c r="A192" s="126" t="s">
        <v>248</v>
      </c>
      <c r="B192" s="639" t="s">
        <v>53</v>
      </c>
      <c r="C192" s="59">
        <v>532.21</v>
      </c>
      <c r="D192" s="60"/>
    </row>
    <row r="193" spans="1:9" ht="13.5" customHeight="1" x14ac:dyDescent="0.2">
      <c r="A193" s="126" t="s">
        <v>248</v>
      </c>
      <c r="B193" s="36" t="s">
        <v>55</v>
      </c>
      <c r="C193" s="59">
        <v>400</v>
      </c>
      <c r="D193" s="60"/>
    </row>
    <row r="194" spans="1:9" ht="13.5" customHeight="1" x14ac:dyDescent="0.2">
      <c r="A194" s="126" t="s">
        <v>248</v>
      </c>
      <c r="B194" s="36" t="s">
        <v>2270</v>
      </c>
      <c r="C194" s="59">
        <v>86.24</v>
      </c>
      <c r="D194" s="60"/>
    </row>
    <row r="195" spans="1:9" ht="13.5" customHeight="1" x14ac:dyDescent="0.2">
      <c r="A195" s="126" t="s">
        <v>248</v>
      </c>
      <c r="B195" s="36" t="s">
        <v>2212</v>
      </c>
      <c r="C195" s="59">
        <v>340</v>
      </c>
      <c r="D195" s="60"/>
    </row>
    <row r="196" spans="1:9" ht="13.5" customHeight="1" x14ac:dyDescent="0.2">
      <c r="A196" s="126" t="s">
        <v>248</v>
      </c>
      <c r="B196" s="36" t="s">
        <v>136</v>
      </c>
      <c r="C196" s="59">
        <v>45.9</v>
      </c>
      <c r="D196" s="60"/>
    </row>
    <row r="197" spans="1:9" ht="13.5" customHeight="1" x14ac:dyDescent="0.2">
      <c r="A197" s="126" t="s">
        <v>248</v>
      </c>
      <c r="B197" s="36" t="s">
        <v>2188</v>
      </c>
      <c r="C197" s="59">
        <v>450</v>
      </c>
      <c r="D197" s="60"/>
      <c r="G197" s="529"/>
    </row>
    <row r="198" spans="1:9" ht="13.5" customHeight="1" x14ac:dyDescent="0.2">
      <c r="A198" s="126" t="s">
        <v>248</v>
      </c>
      <c r="B198" s="36" t="s">
        <v>2266</v>
      </c>
      <c r="C198" s="59">
        <v>44.16</v>
      </c>
      <c r="D198" s="60"/>
      <c r="G198" s="529"/>
    </row>
    <row r="199" spans="1:9" ht="13.5" customHeight="1" x14ac:dyDescent="0.2">
      <c r="A199" s="126" t="s">
        <v>248</v>
      </c>
      <c r="B199" s="36" t="s">
        <v>82</v>
      </c>
      <c r="C199" s="59">
        <v>811.99</v>
      </c>
      <c r="D199" s="60"/>
    </row>
    <row r="200" spans="1:9" ht="13.5" customHeight="1" x14ac:dyDescent="0.2">
      <c r="A200" s="126" t="s">
        <v>248</v>
      </c>
      <c r="B200" s="36" t="s">
        <v>18</v>
      </c>
      <c r="C200" s="59">
        <v>354.3</v>
      </c>
      <c r="D200" s="60"/>
    </row>
    <row r="201" spans="1:9" ht="13.5" customHeight="1" x14ac:dyDescent="0.2">
      <c r="A201" s="126" t="s">
        <v>248</v>
      </c>
      <c r="B201" s="34" t="s">
        <v>2214</v>
      </c>
      <c r="C201" s="657">
        <v>930</v>
      </c>
      <c r="D201" s="235"/>
    </row>
    <row r="202" spans="1:9" ht="13.5" customHeight="1" x14ac:dyDescent="0.2">
      <c r="A202" s="126"/>
      <c r="B202" s="36"/>
      <c r="C202" s="206">
        <f>SUM(C189:C201)</f>
        <v>15546.819999999998</v>
      </c>
      <c r="D202" s="60"/>
    </row>
    <row r="203" spans="1:9" ht="13.5" customHeight="1" x14ac:dyDescent="0.2">
      <c r="A203" s="126"/>
      <c r="B203" s="639"/>
      <c r="C203" s="110"/>
      <c r="D203" s="25"/>
    </row>
    <row r="204" spans="1:9" s="40" customFormat="1" ht="13.5" customHeight="1" x14ac:dyDescent="0.2">
      <c r="A204" s="126" t="s">
        <v>248</v>
      </c>
      <c r="B204" s="36" t="s">
        <v>2186</v>
      </c>
      <c r="C204" s="59">
        <v>85.96</v>
      </c>
      <c r="D204" s="60"/>
      <c r="E204" s="1"/>
      <c r="F204" s="1"/>
      <c r="H204" s="1"/>
      <c r="I204" s="1"/>
    </row>
    <row r="205" spans="1:9" s="40" customFormat="1" ht="13.5" customHeight="1" x14ac:dyDescent="0.2">
      <c r="A205" s="126" t="s">
        <v>248</v>
      </c>
      <c r="B205" s="36" t="s">
        <v>2208</v>
      </c>
      <c r="C205" s="59">
        <v>467</v>
      </c>
      <c r="D205" s="60"/>
      <c r="E205" s="1"/>
      <c r="F205" s="1"/>
      <c r="H205" s="1"/>
      <c r="I205" s="1"/>
    </row>
    <row r="206" spans="1:9" s="40" customFormat="1" ht="13.5" customHeight="1" x14ac:dyDescent="0.2">
      <c r="A206" s="126" t="s">
        <v>248</v>
      </c>
      <c r="B206" s="36" t="s">
        <v>2177</v>
      </c>
      <c r="C206" s="59">
        <v>71.19</v>
      </c>
      <c r="D206" s="60"/>
      <c r="E206" s="1"/>
      <c r="F206" s="1"/>
      <c r="H206" s="1"/>
      <c r="I206" s="1"/>
    </row>
    <row r="207" spans="1:9" s="40" customFormat="1" ht="13.5" customHeight="1" x14ac:dyDescent="0.2">
      <c r="A207" s="126" t="s">
        <v>248</v>
      </c>
      <c r="B207" s="36" t="s">
        <v>2268</v>
      </c>
      <c r="C207" s="59">
        <v>44.53</v>
      </c>
      <c r="D207" s="60"/>
      <c r="E207" s="1"/>
      <c r="F207" s="1"/>
      <c r="G207" s="529"/>
      <c r="H207" s="1"/>
      <c r="I207" s="1"/>
    </row>
    <row r="208" spans="1:9" s="40" customFormat="1" ht="13.5" customHeight="1" x14ac:dyDescent="0.2">
      <c r="A208" s="126" t="s">
        <v>248</v>
      </c>
      <c r="B208" s="36" t="s">
        <v>2052</v>
      </c>
      <c r="C208" s="59">
        <v>119.99</v>
      </c>
      <c r="D208" s="60"/>
      <c r="E208" s="1"/>
      <c r="F208" s="1"/>
      <c r="H208" s="1"/>
      <c r="I208" s="1"/>
    </row>
    <row r="209" spans="1:10" s="628" customFormat="1" ht="13.5" customHeight="1" x14ac:dyDescent="0.2">
      <c r="A209" s="126" t="s">
        <v>248</v>
      </c>
      <c r="B209" s="36" t="s">
        <v>2320</v>
      </c>
      <c r="C209" s="68">
        <v>5000</v>
      </c>
      <c r="D209" s="69"/>
      <c r="E209" s="1"/>
      <c r="F209" s="1"/>
      <c r="H209" s="1"/>
      <c r="I209" s="1"/>
    </row>
    <row r="210" spans="1:10" s="40" customFormat="1" ht="13.5" customHeight="1" x14ac:dyDescent="0.2">
      <c r="A210" s="126"/>
      <c r="B210" s="36"/>
      <c r="C210" s="682">
        <f>SUM(C204:C209)</f>
        <v>5788.67</v>
      </c>
      <c r="D210" s="69"/>
      <c r="E210" s="1"/>
      <c r="F210" s="1"/>
      <c r="H210" s="1"/>
      <c r="I210" s="1"/>
    </row>
    <row r="211" spans="1:10" s="40" customFormat="1" ht="13.5" customHeight="1" x14ac:dyDescent="0.2">
      <c r="A211" s="126"/>
      <c r="B211" s="36"/>
      <c r="C211" s="68"/>
      <c r="D211" s="69"/>
      <c r="E211" s="1"/>
      <c r="F211" s="1"/>
      <c r="H211" s="1"/>
      <c r="I211" s="1"/>
    </row>
    <row r="212" spans="1:10" s="40" customFormat="1" ht="13.5" customHeight="1" x14ac:dyDescent="0.2">
      <c r="A212" s="126" t="s">
        <v>249</v>
      </c>
      <c r="B212" s="36" t="s">
        <v>2277</v>
      </c>
      <c r="C212" s="119">
        <v>200</v>
      </c>
      <c r="D212" s="60"/>
      <c r="E212" s="1"/>
      <c r="F212" s="1"/>
      <c r="G212" s="126" t="s">
        <v>249</v>
      </c>
      <c r="H212" s="36" t="s">
        <v>2321</v>
      </c>
      <c r="I212" s="68">
        <v>1150</v>
      </c>
      <c r="J212" s="69"/>
    </row>
    <row r="213" spans="1:10" s="40" customFormat="1" ht="13.5" customHeight="1" x14ac:dyDescent="0.2">
      <c r="A213" s="126" t="s">
        <v>249</v>
      </c>
      <c r="B213" s="36" t="s">
        <v>624</v>
      </c>
      <c r="C213" s="119">
        <f>I212/2</f>
        <v>575</v>
      </c>
      <c r="D213" s="60"/>
      <c r="E213" s="1"/>
      <c r="F213" s="1"/>
      <c r="G213" s="126"/>
      <c r="H213" s="395"/>
      <c r="I213" s="434"/>
      <c r="J213" s="434"/>
    </row>
    <row r="214" spans="1:10" s="40" customFormat="1" ht="13.5" customHeight="1" x14ac:dyDescent="0.2">
      <c r="A214" s="126"/>
      <c r="B214" s="36"/>
      <c r="C214" s="682">
        <f>SUM(C212:C213)</f>
        <v>775</v>
      </c>
      <c r="D214" s="69"/>
      <c r="E214" s="1"/>
      <c r="F214" s="1"/>
      <c r="H214" s="1"/>
      <c r="I214" s="1"/>
    </row>
    <row r="215" spans="1:10" s="40" customFormat="1" ht="13.5" customHeight="1" x14ac:dyDescent="0.2">
      <c r="A215" s="126"/>
      <c r="B215" s="36"/>
      <c r="C215" s="123"/>
      <c r="D215" s="69"/>
      <c r="E215" s="1"/>
      <c r="F215" s="1"/>
      <c r="H215" s="1"/>
      <c r="I215" s="1"/>
    </row>
    <row r="216" spans="1:10" s="40" customFormat="1" ht="13.5" customHeight="1" x14ac:dyDescent="0.2">
      <c r="A216" s="126" t="s">
        <v>249</v>
      </c>
      <c r="B216" s="36" t="s">
        <v>625</v>
      </c>
      <c r="C216" s="682">
        <f>C213</f>
        <v>575</v>
      </c>
      <c r="D216" s="69"/>
      <c r="E216" s="1"/>
      <c r="F216" s="1"/>
      <c r="H216" s="1"/>
      <c r="I216" s="1"/>
    </row>
    <row r="217" spans="1:10" s="40" customFormat="1" ht="13.5" customHeight="1" x14ac:dyDescent="0.2">
      <c r="A217" s="126"/>
      <c r="B217" s="36"/>
      <c r="C217" s="123"/>
      <c r="D217" s="69"/>
      <c r="E217" s="1"/>
      <c r="F217" s="1"/>
      <c r="H217" s="1"/>
      <c r="I217" s="1"/>
    </row>
    <row r="218" spans="1:10" s="40" customFormat="1" ht="13.5" customHeight="1" x14ac:dyDescent="0.2">
      <c r="A218" s="126"/>
      <c r="B218" s="36"/>
      <c r="C218" s="68"/>
      <c r="D218" s="69"/>
      <c r="E218" s="1"/>
      <c r="F218" s="1"/>
      <c r="H218" s="1"/>
      <c r="I218" s="1"/>
    </row>
    <row r="219" spans="1:10" s="40" customFormat="1" ht="13.5" customHeight="1" x14ac:dyDescent="0.2">
      <c r="A219" s="126" t="s">
        <v>250</v>
      </c>
      <c r="B219" s="36" t="s">
        <v>20</v>
      </c>
      <c r="C219" s="59">
        <v>82.69</v>
      </c>
      <c r="D219" s="60"/>
      <c r="E219" s="1"/>
      <c r="F219" s="1"/>
      <c r="G219" s="529"/>
      <c r="H219" s="1"/>
      <c r="I219" s="1"/>
    </row>
    <row r="220" spans="1:10" s="40" customFormat="1" ht="13.5" customHeight="1" x14ac:dyDescent="0.2">
      <c r="A220" s="126" t="s">
        <v>250</v>
      </c>
      <c r="B220" s="36" t="s">
        <v>20</v>
      </c>
      <c r="C220" s="674">
        <v>0.01</v>
      </c>
      <c r="D220" s="60"/>
      <c r="E220" s="18"/>
      <c r="F220" s="1"/>
      <c r="H220" s="1"/>
      <c r="I220" s="1"/>
    </row>
    <row r="221" spans="1:10" s="40" customFormat="1" ht="13.5" customHeight="1" x14ac:dyDescent="0.2">
      <c r="A221" s="126" t="s">
        <v>250</v>
      </c>
      <c r="B221" s="36" t="s">
        <v>20</v>
      </c>
      <c r="C221" s="674">
        <v>0.01</v>
      </c>
      <c r="D221" s="60"/>
      <c r="E221" s="18"/>
      <c r="F221" s="1"/>
      <c r="H221" s="1"/>
      <c r="I221" s="1"/>
    </row>
    <row r="222" spans="1:10" s="40" customFormat="1" ht="13.5" customHeight="1" x14ac:dyDescent="0.2">
      <c r="A222" s="126" t="s">
        <v>250</v>
      </c>
      <c r="B222" s="36" t="s">
        <v>20</v>
      </c>
      <c r="C222" s="674">
        <v>0.01</v>
      </c>
      <c r="D222" s="60"/>
      <c r="E222" s="18"/>
      <c r="F222" s="1"/>
      <c r="H222" s="1"/>
      <c r="I222" s="1"/>
    </row>
    <row r="223" spans="1:10" s="40" customFormat="1" ht="13.5" customHeight="1" x14ac:dyDescent="0.2">
      <c r="A223" s="126" t="s">
        <v>250</v>
      </c>
      <c r="B223" s="36" t="s">
        <v>20</v>
      </c>
      <c r="C223" s="675">
        <v>0.02</v>
      </c>
      <c r="D223" s="60"/>
      <c r="E223" s="1"/>
      <c r="F223" s="1"/>
      <c r="H223" s="1"/>
      <c r="I223" s="1"/>
    </row>
    <row r="224" spans="1:10" s="40" customFormat="1" ht="13.5" customHeight="1" x14ac:dyDescent="0.2">
      <c r="A224" s="126" t="s">
        <v>250</v>
      </c>
      <c r="B224" s="36" t="s">
        <v>20</v>
      </c>
      <c r="C224" s="675">
        <v>0.02</v>
      </c>
      <c r="D224" s="60"/>
      <c r="E224" s="18"/>
      <c r="F224" s="1"/>
      <c r="H224" s="1"/>
      <c r="I224" s="1"/>
    </row>
    <row r="225" spans="1:9" s="40" customFormat="1" ht="13.5" customHeight="1" x14ac:dyDescent="0.2">
      <c r="A225" s="126" t="s">
        <v>250</v>
      </c>
      <c r="B225" s="36" t="s">
        <v>20</v>
      </c>
      <c r="C225" s="675">
        <v>0.05</v>
      </c>
      <c r="D225" s="60"/>
      <c r="E225" s="18"/>
      <c r="F225" s="1"/>
      <c r="H225" s="1"/>
      <c r="I225" s="1"/>
    </row>
    <row r="226" spans="1:9" s="40" customFormat="1" ht="13.5" customHeight="1" x14ac:dyDescent="0.2">
      <c r="A226" s="126" t="s">
        <v>250</v>
      </c>
      <c r="B226" s="36" t="s">
        <v>20</v>
      </c>
      <c r="C226" s="675">
        <v>0.06</v>
      </c>
      <c r="D226" s="60"/>
      <c r="E226" s="18"/>
      <c r="F226" s="1"/>
      <c r="H226" s="1"/>
      <c r="I226" s="1"/>
    </row>
    <row r="227" spans="1:9" s="40" customFormat="1" ht="13.5" customHeight="1" x14ac:dyDescent="0.2">
      <c r="A227" s="126" t="s">
        <v>250</v>
      </c>
      <c r="B227" s="36" t="s">
        <v>20</v>
      </c>
      <c r="C227" s="675">
        <v>0.13</v>
      </c>
      <c r="D227" s="60"/>
      <c r="E227" s="1"/>
      <c r="F227" s="1"/>
      <c r="H227" s="1"/>
      <c r="I227" s="1"/>
    </row>
    <row r="228" spans="1:9" ht="13.5" customHeight="1" x14ac:dyDescent="0.2">
      <c r="A228" s="126" t="s">
        <v>250</v>
      </c>
      <c r="B228" s="36" t="s">
        <v>20</v>
      </c>
      <c r="C228" s="119">
        <v>-0.01</v>
      </c>
      <c r="D228" s="60"/>
      <c r="G228" s="529"/>
    </row>
    <row r="229" spans="1:9" ht="13.5" customHeight="1" x14ac:dyDescent="0.2">
      <c r="A229" s="126" t="s">
        <v>250</v>
      </c>
      <c r="B229" s="34" t="s">
        <v>20</v>
      </c>
      <c r="C229" s="119">
        <v>-0.03</v>
      </c>
      <c r="D229" s="71"/>
      <c r="G229" s="529"/>
    </row>
    <row r="230" spans="1:9" ht="13.5" customHeight="1" x14ac:dyDescent="0.2">
      <c r="A230" s="126" t="s">
        <v>250</v>
      </c>
      <c r="B230" s="34" t="s">
        <v>86</v>
      </c>
      <c r="C230" s="59">
        <v>85</v>
      </c>
      <c r="D230" s="71"/>
      <c r="G230" s="529"/>
    </row>
    <row r="231" spans="1:9" ht="13.5" customHeight="1" x14ac:dyDescent="0.2">
      <c r="A231" s="126" t="s">
        <v>250</v>
      </c>
      <c r="B231" s="34" t="s">
        <v>86</v>
      </c>
      <c r="C231" s="59">
        <v>75.900000000000006</v>
      </c>
      <c r="D231" s="71"/>
    </row>
    <row r="232" spans="1:9" ht="13.5" customHeight="1" x14ac:dyDescent="0.2">
      <c r="A232" s="126" t="s">
        <v>250</v>
      </c>
      <c r="B232" s="34" t="s">
        <v>86</v>
      </c>
      <c r="C232" s="59">
        <v>12.5</v>
      </c>
      <c r="D232" s="71"/>
    </row>
    <row r="233" spans="1:9" ht="13.5" customHeight="1" x14ac:dyDescent="0.2">
      <c r="A233" s="126" t="s">
        <v>250</v>
      </c>
      <c r="B233" s="34" t="s">
        <v>86</v>
      </c>
      <c r="C233" s="59">
        <v>10.1</v>
      </c>
      <c r="D233" s="71"/>
    </row>
    <row r="234" spans="1:9" ht="13.5" customHeight="1" x14ac:dyDescent="0.2">
      <c r="A234" s="126"/>
      <c r="B234" s="34"/>
      <c r="C234" s="682">
        <f>SUM(C219:C233)</f>
        <v>266.46000000000004</v>
      </c>
      <c r="D234" s="71">
        <f>SUM(C234/2)</f>
        <v>133.23000000000002</v>
      </c>
    </row>
    <row r="235" spans="1:9" ht="13.5" customHeight="1" x14ac:dyDescent="0.2">
      <c r="A235" s="126"/>
      <c r="B235" s="34"/>
      <c r="C235" s="59"/>
      <c r="D235" s="71"/>
    </row>
    <row r="236" spans="1:9" s="64" customFormat="1" ht="13.5" customHeight="1" x14ac:dyDescent="0.2">
      <c r="A236" s="126" t="s">
        <v>251</v>
      </c>
      <c r="B236" s="34" t="s">
        <v>2324</v>
      </c>
      <c r="C236" s="68">
        <v>5.99</v>
      </c>
      <c r="D236" s="68"/>
      <c r="E236" s="1"/>
      <c r="F236" s="1"/>
      <c r="G236" s="40"/>
      <c r="H236" s="1"/>
      <c r="I236" s="1"/>
    </row>
    <row r="237" spans="1:9" ht="13.5" customHeight="1" x14ac:dyDescent="0.2">
      <c r="A237" s="126" t="s">
        <v>251</v>
      </c>
      <c r="B237" s="34" t="s">
        <v>2324</v>
      </c>
      <c r="C237" s="68">
        <v>12.49</v>
      </c>
      <c r="D237" s="68"/>
    </row>
    <row r="238" spans="1:9" ht="13.5" customHeight="1" x14ac:dyDescent="0.2">
      <c r="A238" s="126" t="s">
        <v>251</v>
      </c>
      <c r="B238" s="34" t="s">
        <v>2324</v>
      </c>
      <c r="C238" s="68">
        <v>16.03</v>
      </c>
      <c r="D238" s="68"/>
    </row>
    <row r="239" spans="1:9" ht="13.5" customHeight="1" x14ac:dyDescent="0.2">
      <c r="A239" s="126" t="s">
        <v>251</v>
      </c>
      <c r="B239" s="34" t="s">
        <v>2324</v>
      </c>
      <c r="C239" s="68">
        <v>57.4</v>
      </c>
      <c r="D239" s="71"/>
      <c r="G239" s="529"/>
    </row>
    <row r="240" spans="1:9" ht="13.5" customHeight="1" x14ac:dyDescent="0.2">
      <c r="A240" s="126" t="s">
        <v>251</v>
      </c>
      <c r="B240" s="34" t="s">
        <v>2326</v>
      </c>
      <c r="C240" s="68">
        <v>87.73</v>
      </c>
      <c r="D240" s="71"/>
    </row>
    <row r="241" spans="1:7" ht="13.5" customHeight="1" x14ac:dyDescent="0.2">
      <c r="A241" s="126" t="s">
        <v>251</v>
      </c>
      <c r="B241" s="34" t="s">
        <v>2323</v>
      </c>
      <c r="C241" s="59">
        <v>176.03</v>
      </c>
      <c r="D241" s="71"/>
    </row>
    <row r="242" spans="1:7" ht="13.5" customHeight="1" x14ac:dyDescent="0.2">
      <c r="A242" s="126" t="s">
        <v>251</v>
      </c>
      <c r="B242" s="34" t="s">
        <v>2323</v>
      </c>
      <c r="C242" s="68">
        <v>193.56</v>
      </c>
      <c r="D242" s="68"/>
    </row>
    <row r="243" spans="1:7" ht="13.5" customHeight="1" x14ac:dyDescent="0.2">
      <c r="A243" s="126" t="s">
        <v>251</v>
      </c>
      <c r="B243" s="34" t="s">
        <v>2323</v>
      </c>
      <c r="C243" s="68">
        <v>295.04000000000002</v>
      </c>
      <c r="D243" s="68"/>
    </row>
    <row r="244" spans="1:7" ht="13.5" customHeight="1" x14ac:dyDescent="0.2">
      <c r="A244" s="126"/>
      <c r="B244" s="34"/>
      <c r="C244" s="682">
        <f>SUM(C236:C243)</f>
        <v>844.27</v>
      </c>
      <c r="D244" s="684">
        <f>SUM(C244/2)</f>
        <v>422.13499999999999</v>
      </c>
      <c r="E244" s="18"/>
    </row>
    <row r="245" spans="1:7" ht="13.5" customHeight="1" x14ac:dyDescent="0.2">
      <c r="A245" s="126"/>
      <c r="B245" s="34"/>
      <c r="C245" s="68"/>
      <c r="D245" s="68"/>
      <c r="E245" s="18"/>
    </row>
    <row r="246" spans="1:7" ht="13.5" customHeight="1" x14ac:dyDescent="0.2">
      <c r="A246" s="126" t="s">
        <v>421</v>
      </c>
      <c r="B246" s="34" t="s">
        <v>2329</v>
      </c>
      <c r="C246" s="68">
        <v>406.7</v>
      </c>
      <c r="D246" s="68"/>
      <c r="E246" s="18"/>
    </row>
    <row r="247" spans="1:7" ht="13.5" customHeight="1" x14ac:dyDescent="0.2">
      <c r="A247" s="126" t="s">
        <v>421</v>
      </c>
      <c r="B247" s="34" t="s">
        <v>2168</v>
      </c>
      <c r="C247" s="59">
        <v>2240</v>
      </c>
      <c r="D247" s="71"/>
      <c r="G247" s="40">
        <f>SUM(F250-5417.14)</f>
        <v>0.61999999999443389</v>
      </c>
    </row>
    <row r="248" spans="1:7" ht="13.5" customHeight="1" x14ac:dyDescent="0.2">
      <c r="A248" s="126" t="s">
        <v>421</v>
      </c>
      <c r="B248" s="34" t="s">
        <v>2234</v>
      </c>
      <c r="C248" s="59">
        <v>700</v>
      </c>
      <c r="D248" s="71"/>
      <c r="F248" s="365"/>
    </row>
    <row r="249" spans="1:7" ht="13.5" customHeight="1" x14ac:dyDescent="0.2">
      <c r="A249" s="126" t="s">
        <v>421</v>
      </c>
      <c r="B249" s="34" t="s">
        <v>2265</v>
      </c>
      <c r="C249" s="119">
        <v>60</v>
      </c>
      <c r="D249" s="71"/>
    </row>
    <row r="250" spans="1:7" ht="13.5" customHeight="1" x14ac:dyDescent="0.2">
      <c r="B250" s="49"/>
      <c r="C250" s="683">
        <f>SUM(C246:C249)</f>
        <v>3406.7</v>
      </c>
      <c r="D250" s="656"/>
      <c r="E250" s="18"/>
      <c r="F250" s="40">
        <f>SUM(C250,C244,C234,C216,C214,C210,C202,C187,C183,C160,C141,C126,C121,C118,C116,C87,C80,C64,C58,C50)-SUM(D32,D25)</f>
        <v>5417.7599999999948</v>
      </c>
    </row>
    <row r="251" spans="1:7" ht="13.5" customHeight="1" x14ac:dyDescent="0.2">
      <c r="B251" s="208"/>
      <c r="C251" s="652"/>
      <c r="D251" s="652"/>
      <c r="E251" s="18"/>
    </row>
    <row r="252" spans="1:7" ht="13.5" customHeight="1" x14ac:dyDescent="0.2">
      <c r="B252" s="63"/>
      <c r="C252" s="13"/>
      <c r="D252" s="13"/>
      <c r="E252" s="18"/>
    </row>
    <row r="253" spans="1:7" ht="13.5" customHeight="1" x14ac:dyDescent="0.2">
      <c r="B253" s="63"/>
      <c r="C253" s="13"/>
      <c r="D253" s="13"/>
      <c r="E253" s="18"/>
    </row>
    <row r="254" spans="1:7" ht="13.5" customHeight="1" x14ac:dyDescent="0.2">
      <c r="B254" s="63"/>
      <c r="C254" s="77"/>
      <c r="D254" s="77"/>
      <c r="E254" s="18"/>
    </row>
    <row r="255" spans="1:7" ht="13.5" customHeight="1" x14ac:dyDescent="0.2">
      <c r="B255" s="78"/>
      <c r="C255" s="77"/>
      <c r="D255" s="77"/>
    </row>
    <row r="256" spans="1:7" ht="13.5" customHeight="1" x14ac:dyDescent="0.2">
      <c r="B256" s="78"/>
      <c r="C256" s="77"/>
      <c r="D256" s="77"/>
      <c r="G256" s="529"/>
    </row>
    <row r="257" spans="2:4" ht="13.5" customHeight="1" x14ac:dyDescent="0.2">
      <c r="B257" s="78"/>
      <c r="C257" s="77"/>
      <c r="D257" s="77"/>
    </row>
    <row r="258" spans="2:4" ht="13.5" customHeight="1" x14ac:dyDescent="0.2">
      <c r="B258" s="81"/>
      <c r="C258" s="13"/>
      <c r="D258" s="13"/>
    </row>
    <row r="259" spans="2:4" ht="13.5" customHeight="1" x14ac:dyDescent="0.2">
      <c r="B259" s="78"/>
      <c r="C259" s="77"/>
      <c r="D259" s="77"/>
    </row>
    <row r="260" spans="2:4" ht="13.5" customHeight="1" x14ac:dyDescent="0.2">
      <c r="B260" s="78"/>
      <c r="C260" s="77"/>
      <c r="D260" s="77"/>
    </row>
    <row r="261" spans="2:4" ht="13.5" customHeight="1" x14ac:dyDescent="0.2">
      <c r="B261" s="78"/>
      <c r="C261" s="77"/>
      <c r="D261" s="77"/>
    </row>
    <row r="262" spans="2:4" ht="13.5" customHeight="1" x14ac:dyDescent="0.2">
      <c r="B262" s="78"/>
      <c r="C262" s="77"/>
      <c r="D262" s="77"/>
    </row>
    <row r="263" spans="2:4" ht="13.5" customHeight="1" x14ac:dyDescent="0.2">
      <c r="B263" s="78"/>
      <c r="C263" s="77"/>
      <c r="D263" s="77"/>
    </row>
    <row r="264" spans="2:4" ht="13.5" customHeight="1" x14ac:dyDescent="0.2">
      <c r="B264" s="78"/>
      <c r="C264" s="77"/>
      <c r="D264" s="77"/>
    </row>
    <row r="265" spans="2:4" ht="13.5" customHeight="1" x14ac:dyDescent="0.2">
      <c r="B265" s="78"/>
      <c r="C265" s="77"/>
      <c r="D265" s="77"/>
    </row>
    <row r="266" spans="2:4" ht="13.5" customHeight="1" x14ac:dyDescent="0.2">
      <c r="B266" s="78"/>
      <c r="C266" s="77"/>
      <c r="D266" s="77"/>
    </row>
    <row r="267" spans="2:4" ht="13.5" customHeight="1" x14ac:dyDescent="0.2">
      <c r="B267" s="63"/>
      <c r="C267" s="82"/>
      <c r="D267" s="13"/>
    </row>
    <row r="268" spans="2:4" ht="13.5" customHeight="1" x14ac:dyDescent="0.2">
      <c r="B268" s="63"/>
      <c r="C268" s="82"/>
      <c r="D268" s="13"/>
    </row>
    <row r="269" spans="2:4" ht="13.5" customHeight="1" x14ac:dyDescent="0.2">
      <c r="B269" s="63"/>
      <c r="C269" s="82"/>
      <c r="D269" s="13"/>
    </row>
    <row r="270" spans="2:4" ht="13.5" customHeight="1" x14ac:dyDescent="0.2">
      <c r="B270" s="63"/>
      <c r="C270" s="82"/>
      <c r="D270" s="13"/>
    </row>
    <row r="271" spans="2:4" ht="13.5" customHeight="1" x14ac:dyDescent="0.2">
      <c r="B271" s="63"/>
      <c r="C271" s="82"/>
      <c r="D271" s="13"/>
    </row>
    <row r="272" spans="2:4" ht="13.5" customHeight="1" x14ac:dyDescent="0.2">
      <c r="B272" s="63"/>
      <c r="C272" s="82"/>
      <c r="D272" s="13"/>
    </row>
    <row r="273" spans="2:4" ht="13.5" customHeight="1" x14ac:dyDescent="0.2">
      <c r="B273" s="63"/>
      <c r="C273" s="82"/>
      <c r="D273" s="13"/>
    </row>
    <row r="274" spans="2:4" ht="13.5" customHeight="1" x14ac:dyDescent="0.2">
      <c r="B274" s="63"/>
      <c r="C274" s="82"/>
      <c r="D274" s="13"/>
    </row>
    <row r="275" spans="2:4" ht="13.5" customHeight="1" x14ac:dyDescent="0.2">
      <c r="B275" s="63"/>
      <c r="C275" s="82"/>
      <c r="D275" s="13"/>
    </row>
    <row r="276" spans="2:4" ht="13.5" customHeight="1" x14ac:dyDescent="0.2">
      <c r="B276" s="63"/>
      <c r="C276" s="82"/>
      <c r="D276" s="13"/>
    </row>
    <row r="277" spans="2:4" ht="13.5" customHeight="1" x14ac:dyDescent="0.2">
      <c r="B277" s="63"/>
      <c r="C277" s="82"/>
      <c r="D277" s="13"/>
    </row>
    <row r="278" spans="2:4" ht="13.5" customHeight="1" x14ac:dyDescent="0.2">
      <c r="B278" s="63"/>
      <c r="C278" s="82"/>
      <c r="D278" s="13"/>
    </row>
    <row r="279" spans="2:4" ht="13.5" customHeight="1" x14ac:dyDescent="0.2">
      <c r="B279" s="63"/>
      <c r="C279" s="82"/>
      <c r="D279" s="13"/>
    </row>
    <row r="280" spans="2:4" ht="13.5" customHeight="1" x14ac:dyDescent="0.2">
      <c r="B280" s="63"/>
      <c r="C280" s="82"/>
      <c r="D280" s="13"/>
    </row>
    <row r="281" spans="2:4" ht="13.5" customHeight="1" x14ac:dyDescent="0.2">
      <c r="B281" s="63"/>
      <c r="C281" s="82"/>
      <c r="D281" s="13"/>
    </row>
    <row r="282" spans="2:4" ht="13.5" customHeight="1" x14ac:dyDescent="0.2">
      <c r="B282" s="63"/>
      <c r="C282" s="82"/>
      <c r="D282" s="13"/>
    </row>
    <row r="283" spans="2:4" ht="13.5" customHeight="1" x14ac:dyDescent="0.2">
      <c r="B283" s="63"/>
      <c r="C283" s="82"/>
      <c r="D283" s="13"/>
    </row>
    <row r="284" spans="2:4" ht="13.5" customHeight="1" x14ac:dyDescent="0.2">
      <c r="B284" s="63"/>
      <c r="C284" s="82"/>
      <c r="D284" s="13"/>
    </row>
    <row r="285" spans="2:4" ht="13.5" customHeight="1" x14ac:dyDescent="0.2">
      <c r="B285" s="63"/>
      <c r="C285" s="82"/>
      <c r="D285" s="13"/>
    </row>
    <row r="286" spans="2:4" ht="13.5" customHeight="1" x14ac:dyDescent="0.2">
      <c r="B286" s="63"/>
      <c r="C286" s="82"/>
      <c r="D286" s="13"/>
    </row>
    <row r="287" spans="2:4" ht="13.5" customHeight="1" x14ac:dyDescent="0.2">
      <c r="B287" s="63"/>
      <c r="C287" s="82"/>
      <c r="D287" s="13"/>
    </row>
    <row r="288" spans="2:4" ht="13.5" customHeight="1" x14ac:dyDescent="0.2">
      <c r="B288" s="63"/>
      <c r="C288" s="82"/>
      <c r="D288" s="13"/>
    </row>
    <row r="289" spans="2:4" ht="13.5" customHeight="1" x14ac:dyDescent="0.2">
      <c r="B289" s="63"/>
      <c r="C289" s="82"/>
      <c r="D289" s="13"/>
    </row>
    <row r="290" spans="2:4" ht="13.5" customHeight="1" x14ac:dyDescent="0.2">
      <c r="B290" s="63"/>
      <c r="C290" s="82"/>
      <c r="D290" s="13"/>
    </row>
    <row r="291" spans="2:4" ht="13.5" customHeight="1" x14ac:dyDescent="0.2">
      <c r="B291" s="63"/>
      <c r="C291" s="82"/>
      <c r="D291" s="13"/>
    </row>
    <row r="292" spans="2:4" ht="13.5" customHeight="1" x14ac:dyDescent="0.2">
      <c r="B292" s="63"/>
      <c r="C292" s="82"/>
      <c r="D292" s="13"/>
    </row>
    <row r="293" spans="2:4" ht="13.5" customHeight="1" x14ac:dyDescent="0.2">
      <c r="B293" s="63"/>
      <c r="C293" s="82"/>
      <c r="D293" s="13"/>
    </row>
    <row r="294" spans="2:4" ht="13.5" customHeight="1" x14ac:dyDescent="0.2">
      <c r="B294" s="63"/>
      <c r="C294" s="82"/>
      <c r="D294" s="13"/>
    </row>
    <row r="295" spans="2:4" ht="13.5" customHeight="1" x14ac:dyDescent="0.2">
      <c r="B295" s="63"/>
      <c r="C295" s="82"/>
      <c r="D295" s="13"/>
    </row>
    <row r="296" spans="2:4" ht="13.5" customHeight="1" x14ac:dyDescent="0.2">
      <c r="B296" s="63"/>
      <c r="C296" s="82"/>
      <c r="D296" s="13"/>
    </row>
    <row r="297" spans="2:4" ht="13.5" customHeight="1" x14ac:dyDescent="0.2">
      <c r="B297" s="63"/>
      <c r="C297" s="82"/>
      <c r="D297" s="13"/>
    </row>
    <row r="298" spans="2:4" ht="13.5" customHeight="1" x14ac:dyDescent="0.2">
      <c r="B298" s="63"/>
      <c r="C298" s="82"/>
      <c r="D298" s="13"/>
    </row>
    <row r="299" spans="2:4" ht="13.5" customHeight="1" x14ac:dyDescent="0.2">
      <c r="B299" s="63"/>
      <c r="C299" s="82"/>
      <c r="D299" s="13"/>
    </row>
    <row r="300" spans="2:4" ht="13.5" customHeight="1" x14ac:dyDescent="0.2">
      <c r="B300" s="63"/>
      <c r="C300" s="82"/>
      <c r="D300" s="13"/>
    </row>
    <row r="301" spans="2:4" ht="13.5" customHeight="1" x14ac:dyDescent="0.2">
      <c r="B301" s="63"/>
      <c r="C301" s="82"/>
      <c r="D301" s="13"/>
    </row>
    <row r="302" spans="2:4" ht="13.5" customHeight="1" x14ac:dyDescent="0.2">
      <c r="B302" s="63"/>
      <c r="C302" s="82"/>
      <c r="D302" s="13"/>
    </row>
    <row r="303" spans="2:4" ht="13.5" customHeight="1" x14ac:dyDescent="0.2">
      <c r="B303" s="63"/>
      <c r="C303" s="82"/>
      <c r="D303" s="13"/>
    </row>
    <row r="304" spans="2:4" ht="13.5" customHeight="1" x14ac:dyDescent="0.2">
      <c r="B304" s="63"/>
      <c r="C304" s="82"/>
      <c r="D304" s="13"/>
    </row>
    <row r="305" spans="2:4" ht="13.5" customHeight="1" x14ac:dyDescent="0.2">
      <c r="B305" s="63"/>
      <c r="C305" s="82"/>
      <c r="D305" s="13"/>
    </row>
    <row r="306" spans="2:4" ht="13.5" customHeight="1" x14ac:dyDescent="0.2">
      <c r="B306" s="63"/>
      <c r="C306" s="82"/>
      <c r="D306" s="13"/>
    </row>
    <row r="307" spans="2:4" ht="13.5" customHeight="1" x14ac:dyDescent="0.2">
      <c r="B307" s="63"/>
      <c r="C307" s="83"/>
      <c r="D307" s="13"/>
    </row>
    <row r="308" spans="2:4" ht="13.5" customHeight="1" x14ac:dyDescent="0.2">
      <c r="B308" s="63"/>
      <c r="C308" s="83"/>
      <c r="D308" s="13"/>
    </row>
    <row r="309" spans="2:4" ht="13.5" customHeight="1" x14ac:dyDescent="0.2">
      <c r="B309" s="64"/>
      <c r="C309" s="84"/>
      <c r="D309" s="13"/>
    </row>
    <row r="310" spans="2:4" ht="13.5" customHeight="1" x14ac:dyDescent="0.2">
      <c r="B310" s="63"/>
      <c r="C310" s="83"/>
      <c r="D310" s="13"/>
    </row>
    <row r="311" spans="2:4" ht="13.5" customHeight="1" x14ac:dyDescent="0.2">
      <c r="B311" s="63"/>
      <c r="C311" s="83"/>
      <c r="D311" s="13"/>
    </row>
    <row r="312" spans="2:4" ht="13.5" customHeight="1" x14ac:dyDescent="0.2">
      <c r="B312" s="85"/>
      <c r="C312" s="83"/>
      <c r="D312" s="13"/>
    </row>
    <row r="313" spans="2:4" ht="13.5" customHeight="1" x14ac:dyDescent="0.2">
      <c r="B313" s="63"/>
      <c r="C313" s="83"/>
      <c r="D313" s="13"/>
    </row>
    <row r="314" spans="2:4" ht="13.5" customHeight="1" x14ac:dyDescent="0.2">
      <c r="B314" s="63"/>
      <c r="C314" s="84"/>
      <c r="D314" s="13"/>
    </row>
    <row r="315" spans="2:4" ht="13.5" customHeight="1" x14ac:dyDescent="0.2">
      <c r="B315" s="64"/>
      <c r="C315" s="83"/>
      <c r="D315" s="13"/>
    </row>
    <row r="316" spans="2:4" ht="13.5" customHeight="1" x14ac:dyDescent="0.2">
      <c r="B316" s="63"/>
      <c r="C316" s="83"/>
      <c r="D316" s="13"/>
    </row>
    <row r="317" spans="2:4" ht="13.5" customHeight="1" x14ac:dyDescent="0.2">
      <c r="B317" s="63"/>
      <c r="C317" s="84"/>
      <c r="D317" s="13"/>
    </row>
    <row r="318" spans="2:4" ht="13.5" customHeight="1" x14ac:dyDescent="0.2">
      <c r="B318" s="64"/>
      <c r="C318" s="84"/>
      <c r="D318" s="13"/>
    </row>
    <row r="319" spans="2:4" ht="13.5" customHeight="1" x14ac:dyDescent="0.2">
      <c r="B319" s="63"/>
      <c r="C319" s="83"/>
      <c r="D319" s="13"/>
    </row>
    <row r="320" spans="2:4" ht="13.5" customHeight="1" x14ac:dyDescent="0.2">
      <c r="B320" s="63"/>
      <c r="C320" s="84"/>
      <c r="D320" s="13"/>
    </row>
    <row r="321" spans="2:4" ht="13.5" customHeight="1" x14ac:dyDescent="0.2">
      <c r="B321" s="64"/>
      <c r="C321" s="84"/>
      <c r="D321" s="13"/>
    </row>
    <row r="322" spans="2:4" ht="13.5" customHeight="1" x14ac:dyDescent="0.2">
      <c r="B322" s="63"/>
      <c r="C322" s="83"/>
      <c r="D322" s="13"/>
    </row>
    <row r="323" spans="2:4" ht="13.5" customHeight="1" x14ac:dyDescent="0.2">
      <c r="B323" s="63"/>
      <c r="C323" s="83"/>
      <c r="D323" s="13"/>
    </row>
    <row r="324" spans="2:4" ht="13.5" customHeight="1" x14ac:dyDescent="0.2">
      <c r="B324" s="63"/>
      <c r="C324" s="82"/>
      <c r="D324" s="13"/>
    </row>
    <row r="325" spans="2:4" ht="13.5" customHeight="1" x14ac:dyDescent="0.2">
      <c r="B325" s="86"/>
      <c r="C325" s="82"/>
      <c r="D325" s="13"/>
    </row>
    <row r="326" spans="2:4" ht="13.5" customHeight="1" x14ac:dyDescent="0.2">
      <c r="B326" s="85"/>
      <c r="C326" s="82"/>
      <c r="D326" s="13"/>
    </row>
    <row r="327" spans="2:4" ht="13.5" customHeight="1" x14ac:dyDescent="0.2">
      <c r="B327" s="87"/>
      <c r="C327" s="82"/>
      <c r="D327" s="13"/>
    </row>
    <row r="328" spans="2:4" ht="13.5" customHeight="1" x14ac:dyDescent="0.2">
      <c r="B328" s="88"/>
      <c r="C328" s="82"/>
      <c r="D328" s="13"/>
    </row>
    <row r="329" spans="2:4" ht="13.5" customHeight="1" x14ac:dyDescent="0.2">
      <c r="B329" s="56"/>
      <c r="C329" s="89"/>
      <c r="D329" s="12"/>
    </row>
    <row r="330" spans="2:4" ht="13.5" customHeight="1" x14ac:dyDescent="0.2">
      <c r="B330" s="56"/>
      <c r="C330" s="90"/>
      <c r="D330" s="12"/>
    </row>
    <row r="331" spans="2:4" ht="13.5" customHeight="1" x14ac:dyDescent="0.2">
      <c r="B331" s="56"/>
      <c r="C331" s="89"/>
      <c r="D331" s="12"/>
    </row>
    <row r="332" spans="2:4" ht="13.5" customHeight="1" x14ac:dyDescent="0.2">
      <c r="C332" s="89"/>
      <c r="D332" s="12"/>
    </row>
    <row r="333" spans="2:4" ht="13.5" customHeight="1" x14ac:dyDescent="0.2">
      <c r="B333" s="56"/>
      <c r="C333" s="90"/>
      <c r="D333" s="12"/>
    </row>
    <row r="334" spans="2:4" ht="13.5" customHeight="1" x14ac:dyDescent="0.2">
      <c r="B334" s="56"/>
      <c r="C334" s="90"/>
      <c r="D334" s="12"/>
    </row>
    <row r="335" spans="2:4" ht="13.5" customHeight="1" x14ac:dyDescent="0.2">
      <c r="B335" s="56"/>
      <c r="C335" s="90"/>
      <c r="D335" s="12"/>
    </row>
    <row r="336" spans="2:4" ht="13.5" customHeight="1" x14ac:dyDescent="0.2">
      <c r="B336" s="27"/>
      <c r="C336" s="92"/>
      <c r="D336" s="12"/>
    </row>
    <row r="337" spans="2:4" ht="13.5" customHeight="1" x14ac:dyDescent="0.2">
      <c r="B337" s="27"/>
      <c r="C337" s="90"/>
      <c r="D337" s="12"/>
    </row>
    <row r="338" spans="2:4" ht="13.5" customHeight="1" x14ac:dyDescent="0.2">
      <c r="C338" s="92"/>
      <c r="D338" s="12"/>
    </row>
    <row r="339" spans="2:4" ht="13.5" customHeight="1" x14ac:dyDescent="0.2">
      <c r="B339" s="56"/>
      <c r="C339" s="89"/>
      <c r="D339" s="12"/>
    </row>
    <row r="340" spans="2:4" ht="13.5" customHeight="1" x14ac:dyDescent="0.2">
      <c r="B340" s="56"/>
      <c r="C340" s="89"/>
      <c r="D340" s="12"/>
    </row>
    <row r="341" spans="2:4" ht="13.5" customHeight="1" x14ac:dyDescent="0.2">
      <c r="B341" s="56"/>
      <c r="C341" s="89"/>
      <c r="D341" s="12"/>
    </row>
    <row r="342" spans="2:4" ht="13.5" customHeight="1" x14ac:dyDescent="0.2">
      <c r="B342" s="56"/>
      <c r="C342" s="89"/>
      <c r="D342" s="12"/>
    </row>
    <row r="343" spans="2:4" ht="13.5" customHeight="1" x14ac:dyDescent="0.2">
      <c r="B343" s="94"/>
      <c r="C343" s="95"/>
      <c r="D343" s="30"/>
    </row>
    <row r="344" spans="2:4" ht="13.5" customHeight="1" x14ac:dyDescent="0.2"/>
    <row r="345" spans="2:4" ht="13.5" customHeight="1" x14ac:dyDescent="0.2"/>
    <row r="346" spans="2:4" ht="13.5" customHeight="1" x14ac:dyDescent="0.2"/>
    <row r="347" spans="2:4" ht="13.5" customHeight="1" x14ac:dyDescent="0.2"/>
    <row r="348" spans="2:4" ht="13.5" customHeight="1" x14ac:dyDescent="0.2"/>
    <row r="349" spans="2:4" ht="13.5" customHeight="1" x14ac:dyDescent="0.2"/>
    <row r="350" spans="2:4" ht="13.5" customHeight="1" x14ac:dyDescent="0.2"/>
  </sheetData>
  <sortState xmlns:xlrd2="http://schemas.microsoft.com/office/spreadsheetml/2017/richdata2" ref="A2:I372">
    <sortCondition ref="A2:A372"/>
    <sortCondition ref="B2:B372"/>
  </sortState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A356"/>
  <sheetViews>
    <sheetView topLeftCell="D277" zoomScale="80" zoomScaleNormal="80" workbookViewId="0">
      <selection activeCell="I295" sqref="I284:J295"/>
    </sheetView>
  </sheetViews>
  <sheetFormatPr defaultColWidth="9" defaultRowHeight="12.75" x14ac:dyDescent="0.2"/>
  <cols>
    <col min="1" max="1" width="14" style="1" customWidth="1"/>
    <col min="2" max="2" width="1.875" style="1" customWidth="1"/>
    <col min="3" max="3" width="99.25" style="1" customWidth="1"/>
    <col min="4" max="4" width="12" style="452" customWidth="1"/>
    <col min="5" max="5" width="12.375" style="1" customWidth="1"/>
    <col min="6" max="6" width="10.75" style="1" customWidth="1"/>
    <col min="7" max="7" width="11.875" style="1" customWidth="1"/>
    <col min="8" max="8" width="13.625" style="1" customWidth="1"/>
    <col min="9" max="9" width="12.125" style="1" customWidth="1"/>
    <col min="10" max="10" width="13.875" style="1" customWidth="1"/>
    <col min="11" max="16384" width="9" style="1"/>
  </cols>
  <sheetData>
    <row r="1" spans="1:8" ht="13.5" customHeight="1" thickBot="1" x14ac:dyDescent="0.25">
      <c r="A1" s="1407" t="s">
        <v>2334</v>
      </c>
      <c r="B1" s="1407"/>
      <c r="C1" s="1408"/>
      <c r="D1" s="1409" t="s">
        <v>0</v>
      </c>
      <c r="E1" s="1410"/>
      <c r="F1" s="1410"/>
      <c r="G1" s="1411"/>
    </row>
    <row r="2" spans="1:8" ht="13.5" customHeight="1" thickBot="1" x14ac:dyDescent="0.25">
      <c r="A2" s="2" t="s">
        <v>2</v>
      </c>
      <c r="B2" s="3"/>
      <c r="C2" s="3" t="s">
        <v>2335</v>
      </c>
      <c r="D2" s="550" t="s">
        <v>4</v>
      </c>
      <c r="E2" s="3" t="s">
        <v>5</v>
      </c>
      <c r="F2" s="3" t="s">
        <v>6</v>
      </c>
      <c r="G2" s="5" t="s">
        <v>7</v>
      </c>
    </row>
    <row r="3" spans="1:8" ht="13.5" customHeight="1" x14ac:dyDescent="0.2">
      <c r="A3" s="8">
        <v>43647</v>
      </c>
      <c r="B3" s="56"/>
      <c r="C3" s="10" t="s">
        <v>8</v>
      </c>
      <c r="D3" s="551">
        <v>0</v>
      </c>
      <c r="E3" s="51"/>
      <c r="F3" s="12"/>
      <c r="G3" s="178">
        <v>3981.3700000000008</v>
      </c>
      <c r="H3" s="18" t="s">
        <v>3550</v>
      </c>
    </row>
    <row r="4" spans="1:8" ht="13.5" customHeight="1" x14ac:dyDescent="0.2">
      <c r="A4" s="180">
        <v>43647</v>
      </c>
      <c r="B4" s="56"/>
      <c r="C4" s="36" t="s">
        <v>2336</v>
      </c>
      <c r="D4" s="11"/>
      <c r="E4" s="30">
        <v>33.369999999999997</v>
      </c>
      <c r="F4" s="12"/>
      <c r="G4" s="182"/>
      <c r="H4" s="18"/>
    </row>
    <row r="5" spans="1:8" ht="13.5" customHeight="1" x14ac:dyDescent="0.2">
      <c r="A5" s="180"/>
      <c r="B5" s="56"/>
      <c r="C5" s="36" t="s">
        <v>2337</v>
      </c>
      <c r="D5" s="11"/>
      <c r="E5" s="30"/>
      <c r="F5" s="12">
        <v>220</v>
      </c>
      <c r="G5" s="182">
        <v>4168.0000000000009</v>
      </c>
      <c r="H5" s="18"/>
    </row>
    <row r="6" spans="1:8" ht="13.5" customHeight="1" x14ac:dyDescent="0.2">
      <c r="A6" s="180">
        <v>43648</v>
      </c>
      <c r="B6" s="56"/>
      <c r="C6" s="36" t="s">
        <v>2338</v>
      </c>
      <c r="D6" s="11"/>
      <c r="E6" s="30"/>
      <c r="F6" s="12">
        <v>1100</v>
      </c>
      <c r="G6" s="182"/>
      <c r="H6" s="18"/>
    </row>
    <row r="7" spans="1:8" ht="13.5" customHeight="1" x14ac:dyDescent="0.2">
      <c r="A7" s="180"/>
      <c r="B7" s="56"/>
      <c r="C7" s="36" t="s">
        <v>2339</v>
      </c>
      <c r="D7" s="11"/>
      <c r="E7" s="30"/>
      <c r="F7" s="12">
        <v>1168.05</v>
      </c>
      <c r="G7" s="182"/>
      <c r="H7" s="18"/>
    </row>
    <row r="8" spans="1:8" ht="13.5" customHeight="1" x14ac:dyDescent="0.2">
      <c r="A8" s="180"/>
      <c r="B8" s="56"/>
      <c r="C8" s="36" t="s">
        <v>2340</v>
      </c>
      <c r="D8" s="11"/>
      <c r="E8" s="30"/>
      <c r="F8" s="12">
        <v>150</v>
      </c>
      <c r="G8" s="182"/>
      <c r="H8" s="18"/>
    </row>
    <row r="9" spans="1:8" ht="13.5" customHeight="1" x14ac:dyDescent="0.2">
      <c r="A9" s="180"/>
      <c r="B9" s="56"/>
      <c r="C9" s="34" t="s">
        <v>2172</v>
      </c>
      <c r="D9" s="11"/>
      <c r="E9" s="30">
        <v>1230</v>
      </c>
      <c r="F9" s="12"/>
      <c r="G9" s="182"/>
      <c r="H9" s="18"/>
    </row>
    <row r="10" spans="1:8" ht="13.5" customHeight="1" x14ac:dyDescent="0.2">
      <c r="A10" s="180"/>
      <c r="B10" s="56"/>
      <c r="C10" s="36" t="s">
        <v>2341</v>
      </c>
      <c r="D10" s="11"/>
      <c r="E10" s="30"/>
      <c r="F10" s="12">
        <v>200</v>
      </c>
      <c r="G10" s="182"/>
      <c r="H10" s="18"/>
    </row>
    <row r="11" spans="1:8" ht="13.5" customHeight="1" x14ac:dyDescent="0.2">
      <c r="A11" s="180"/>
      <c r="B11" s="56"/>
      <c r="C11" s="36" t="s">
        <v>2342</v>
      </c>
      <c r="D11" s="11"/>
      <c r="E11" s="30"/>
      <c r="F11" s="30">
        <v>250</v>
      </c>
      <c r="G11" s="182"/>
      <c r="H11" s="18"/>
    </row>
    <row r="12" spans="1:8" ht="13.5" customHeight="1" x14ac:dyDescent="0.2">
      <c r="A12" s="180"/>
      <c r="B12" s="56"/>
      <c r="C12" s="36" t="s">
        <v>2343</v>
      </c>
      <c r="D12" s="11"/>
      <c r="E12" s="30"/>
      <c r="F12" s="30">
        <v>60</v>
      </c>
      <c r="G12" s="182">
        <v>5866.0500000000011</v>
      </c>
      <c r="H12" s="18"/>
    </row>
    <row r="13" spans="1:8" ht="13.5" customHeight="1" x14ac:dyDescent="0.2">
      <c r="A13" s="180">
        <v>43649</v>
      </c>
      <c r="B13" s="56"/>
      <c r="C13" s="36" t="s">
        <v>2344</v>
      </c>
      <c r="D13" s="11"/>
      <c r="E13" s="30">
        <v>70</v>
      </c>
      <c r="F13" s="30"/>
      <c r="G13" s="182"/>
      <c r="H13" s="18"/>
    </row>
    <row r="14" spans="1:8" ht="13.5" customHeight="1" x14ac:dyDescent="0.2">
      <c r="A14" s="180"/>
      <c r="B14" s="56"/>
      <c r="C14" s="36" t="s">
        <v>2345</v>
      </c>
      <c r="D14" s="11"/>
      <c r="E14" s="30">
        <v>2490</v>
      </c>
      <c r="F14" s="30"/>
      <c r="G14" s="182">
        <v>3306.0500000000011</v>
      </c>
      <c r="H14" s="18"/>
    </row>
    <row r="15" spans="1:8" ht="13.5" customHeight="1" x14ac:dyDescent="0.2">
      <c r="A15" s="180">
        <v>43650</v>
      </c>
      <c r="B15" s="56"/>
      <c r="C15" s="34" t="s">
        <v>2346</v>
      </c>
      <c r="D15" s="11"/>
      <c r="E15" s="30"/>
      <c r="F15" s="30">
        <v>250</v>
      </c>
      <c r="G15" s="182">
        <v>3556.0500000000011</v>
      </c>
      <c r="H15" s="18"/>
    </row>
    <row r="16" spans="1:8" ht="13.5" customHeight="1" x14ac:dyDescent="0.2">
      <c r="A16" s="180">
        <v>43651</v>
      </c>
      <c r="B16" s="56"/>
      <c r="C16" s="34" t="s">
        <v>1834</v>
      </c>
      <c r="D16" s="11"/>
      <c r="E16" s="30">
        <v>29.8</v>
      </c>
      <c r="F16" s="30"/>
      <c r="G16" s="182"/>
      <c r="H16" s="18"/>
    </row>
    <row r="17" spans="1:8" ht="13.5" customHeight="1" x14ac:dyDescent="0.2">
      <c r="A17" s="180"/>
      <c r="B17" s="56"/>
      <c r="C17" s="34" t="s">
        <v>2347</v>
      </c>
      <c r="D17" s="11"/>
      <c r="E17" s="30">
        <v>75</v>
      </c>
      <c r="F17" s="30"/>
      <c r="G17" s="182"/>
      <c r="H17" s="18"/>
    </row>
    <row r="18" spans="1:8" ht="13.5" customHeight="1" x14ac:dyDescent="0.2">
      <c r="A18" s="180"/>
      <c r="B18" s="56"/>
      <c r="C18" s="34" t="s">
        <v>2348</v>
      </c>
      <c r="D18" s="11"/>
      <c r="E18" s="30">
        <v>1.2</v>
      </c>
      <c r="F18" s="30"/>
      <c r="G18" s="182"/>
      <c r="H18" s="18"/>
    </row>
    <row r="19" spans="1:8" ht="13.5" customHeight="1" x14ac:dyDescent="0.2">
      <c r="A19" s="180"/>
      <c r="B19" s="56"/>
      <c r="C19" s="34" t="s">
        <v>2349</v>
      </c>
      <c r="D19" s="11"/>
      <c r="E19" s="30">
        <v>11.98</v>
      </c>
      <c r="F19" s="30"/>
      <c r="G19" s="182"/>
      <c r="H19" s="18"/>
    </row>
    <row r="20" spans="1:8" ht="13.5" customHeight="1" x14ac:dyDescent="0.2">
      <c r="A20" s="180"/>
      <c r="B20" s="56"/>
      <c r="C20" s="34" t="s">
        <v>2350</v>
      </c>
      <c r="D20" s="11"/>
      <c r="E20" s="30">
        <v>119.6</v>
      </c>
      <c r="F20" s="30"/>
      <c r="G20" s="182"/>
      <c r="H20" s="18"/>
    </row>
    <row r="21" spans="1:8" ht="13.5" customHeight="1" x14ac:dyDescent="0.2">
      <c r="A21" s="180"/>
      <c r="B21" s="56"/>
      <c r="C21" s="34" t="s">
        <v>2351</v>
      </c>
      <c r="D21" s="11"/>
      <c r="E21" s="30">
        <v>36.130000000000003</v>
      </c>
      <c r="F21" s="30"/>
      <c r="G21" s="182"/>
      <c r="H21" s="18"/>
    </row>
    <row r="22" spans="1:8" ht="13.5" customHeight="1" x14ac:dyDescent="0.2">
      <c r="A22" s="180"/>
      <c r="B22" s="56"/>
      <c r="C22" s="34" t="s">
        <v>2352</v>
      </c>
      <c r="D22" s="11"/>
      <c r="E22" s="30">
        <v>35</v>
      </c>
      <c r="F22" s="30"/>
      <c r="G22" s="182"/>
      <c r="H22" s="18"/>
    </row>
    <row r="23" spans="1:8" ht="13.5" customHeight="1" x14ac:dyDescent="0.2">
      <c r="A23" s="180"/>
      <c r="B23" s="56"/>
      <c r="C23" s="34" t="s">
        <v>2353</v>
      </c>
      <c r="D23" s="11"/>
      <c r="E23" s="30">
        <v>7</v>
      </c>
      <c r="F23" s="30"/>
      <c r="G23" s="182"/>
      <c r="H23" s="18"/>
    </row>
    <row r="24" spans="1:8" ht="13.5" customHeight="1" x14ac:dyDescent="0.2">
      <c r="A24" s="180"/>
      <c r="B24" s="56"/>
      <c r="C24" s="34" t="s">
        <v>2081</v>
      </c>
      <c r="D24" s="11"/>
      <c r="E24" s="30">
        <v>40.68</v>
      </c>
      <c r="F24" s="30"/>
      <c r="G24" s="182"/>
      <c r="H24" s="18"/>
    </row>
    <row r="25" spans="1:8" ht="13.5" customHeight="1" x14ac:dyDescent="0.2">
      <c r="A25" s="180"/>
      <c r="B25" s="56"/>
      <c r="C25" s="34" t="s">
        <v>2354</v>
      </c>
      <c r="D25" s="11"/>
      <c r="E25" s="30">
        <v>155</v>
      </c>
      <c r="F25" s="30"/>
      <c r="G25" s="182"/>
      <c r="H25" s="18"/>
    </row>
    <row r="26" spans="1:8" ht="13.5" customHeight="1" x14ac:dyDescent="0.2">
      <c r="A26" s="180"/>
      <c r="B26" s="56"/>
      <c r="C26" s="34" t="s">
        <v>2355</v>
      </c>
      <c r="D26" s="11"/>
      <c r="E26" s="30">
        <v>9.75</v>
      </c>
      <c r="F26" s="30"/>
      <c r="G26" s="182"/>
      <c r="H26" s="18"/>
    </row>
    <row r="27" spans="1:8" ht="13.5" customHeight="1" x14ac:dyDescent="0.2">
      <c r="A27" s="180"/>
      <c r="B27" s="56"/>
      <c r="C27" s="34" t="s">
        <v>2356</v>
      </c>
      <c r="D27" s="11"/>
      <c r="E27" s="30">
        <v>34</v>
      </c>
      <c r="F27" s="30"/>
      <c r="G27" s="182"/>
      <c r="H27" s="18"/>
    </row>
    <row r="28" spans="1:8" ht="13.5" customHeight="1" x14ac:dyDescent="0.2">
      <c r="A28" s="180"/>
      <c r="B28" s="56"/>
      <c r="C28" s="34" t="s">
        <v>1834</v>
      </c>
      <c r="D28" s="11"/>
      <c r="E28" s="30">
        <v>16.8</v>
      </c>
      <c r="F28" s="30"/>
      <c r="G28" s="182"/>
      <c r="H28" s="18"/>
    </row>
    <row r="29" spans="1:8" ht="13.5" customHeight="1" x14ac:dyDescent="0.2">
      <c r="A29" s="180"/>
      <c r="B29" s="56"/>
      <c r="C29" s="34" t="s">
        <v>2357</v>
      </c>
      <c r="D29" s="11"/>
      <c r="E29" s="30">
        <v>10</v>
      </c>
      <c r="F29" s="30"/>
      <c r="G29" s="182"/>
      <c r="H29" s="18"/>
    </row>
    <row r="30" spans="1:8" ht="13.5" customHeight="1" x14ac:dyDescent="0.2">
      <c r="A30" s="180"/>
      <c r="B30" s="56"/>
      <c r="C30" s="34" t="s">
        <v>2358</v>
      </c>
      <c r="D30" s="11"/>
      <c r="E30" s="30">
        <v>500</v>
      </c>
      <c r="F30" s="30"/>
      <c r="G30" s="182"/>
      <c r="H30" s="18"/>
    </row>
    <row r="31" spans="1:8" ht="13.5" customHeight="1" x14ac:dyDescent="0.2">
      <c r="A31" s="180"/>
      <c r="B31" s="56"/>
      <c r="C31" s="34" t="s">
        <v>2359</v>
      </c>
      <c r="D31" s="11"/>
      <c r="E31" s="30">
        <v>60</v>
      </c>
      <c r="F31" s="30"/>
      <c r="G31" s="182"/>
      <c r="H31" s="18"/>
    </row>
    <row r="32" spans="1:8" ht="13.5" customHeight="1" x14ac:dyDescent="0.2">
      <c r="A32" s="180"/>
      <c r="B32" s="56"/>
      <c r="C32" s="34" t="s">
        <v>2360</v>
      </c>
      <c r="D32" s="11"/>
      <c r="E32" s="30">
        <v>240</v>
      </c>
      <c r="F32" s="30"/>
      <c r="G32" s="182"/>
      <c r="H32" s="18"/>
    </row>
    <row r="33" spans="1:8" ht="13.5" customHeight="1" x14ac:dyDescent="0.2">
      <c r="A33" s="180"/>
      <c r="B33" s="56"/>
      <c r="C33" s="34" t="s">
        <v>2361</v>
      </c>
      <c r="D33" s="11"/>
      <c r="E33" s="30">
        <v>10.56</v>
      </c>
      <c r="F33" s="30"/>
      <c r="G33" s="182"/>
      <c r="H33" s="18"/>
    </row>
    <row r="34" spans="1:8" ht="13.5" customHeight="1" x14ac:dyDescent="0.2">
      <c r="A34" s="180"/>
      <c r="B34" s="56"/>
      <c r="C34" s="34" t="s">
        <v>2362</v>
      </c>
      <c r="D34" s="11"/>
      <c r="E34" s="30"/>
      <c r="F34" s="30">
        <v>1000</v>
      </c>
      <c r="G34" s="182"/>
      <c r="H34" s="18"/>
    </row>
    <row r="35" spans="1:8" ht="13.5" customHeight="1" x14ac:dyDescent="0.2">
      <c r="A35" s="180"/>
      <c r="B35" s="56"/>
      <c r="C35" s="34" t="s">
        <v>2363</v>
      </c>
      <c r="D35" s="11"/>
      <c r="E35" s="30"/>
      <c r="F35" s="30">
        <v>1500</v>
      </c>
      <c r="G35" s="182"/>
      <c r="H35" s="18"/>
    </row>
    <row r="36" spans="1:8" ht="13.5" customHeight="1" x14ac:dyDescent="0.2">
      <c r="A36" s="180"/>
      <c r="B36" s="56"/>
      <c r="C36" s="36" t="s">
        <v>2364</v>
      </c>
      <c r="D36" s="11"/>
      <c r="E36" s="552">
        <v>500</v>
      </c>
      <c r="F36" s="30"/>
      <c r="G36" s="182">
        <v>4163.5500000000011</v>
      </c>
      <c r="H36" s="18"/>
    </row>
    <row r="37" spans="1:8" ht="13.5" customHeight="1" x14ac:dyDescent="0.2">
      <c r="A37" s="180">
        <v>43654</v>
      </c>
      <c r="B37" s="56"/>
      <c r="C37" s="36" t="s">
        <v>2365</v>
      </c>
      <c r="D37" s="11"/>
      <c r="E37" s="30">
        <v>26.94</v>
      </c>
      <c r="F37" s="30"/>
      <c r="G37" s="182"/>
      <c r="H37" s="18"/>
    </row>
    <row r="38" spans="1:8" ht="13.5" customHeight="1" x14ac:dyDescent="0.2">
      <c r="A38" s="180"/>
      <c r="B38" s="56"/>
      <c r="C38" s="36" t="s">
        <v>2366</v>
      </c>
      <c r="D38" s="11"/>
      <c r="E38" s="30"/>
      <c r="F38" s="30">
        <v>250</v>
      </c>
      <c r="G38" s="182"/>
      <c r="H38" s="18"/>
    </row>
    <row r="39" spans="1:8" ht="13.5" customHeight="1" x14ac:dyDescent="0.2">
      <c r="A39" s="180"/>
      <c r="B39" s="56"/>
      <c r="C39" s="36" t="s">
        <v>2367</v>
      </c>
      <c r="D39" s="11"/>
      <c r="E39" s="30"/>
      <c r="F39" s="30">
        <v>200</v>
      </c>
      <c r="G39" s="182">
        <v>4586.6100000000015</v>
      </c>
      <c r="H39" s="18"/>
    </row>
    <row r="40" spans="1:8" ht="13.5" customHeight="1" x14ac:dyDescent="0.2">
      <c r="A40" s="180">
        <v>43655</v>
      </c>
      <c r="B40" s="56"/>
      <c r="C40" s="36" t="s">
        <v>2368</v>
      </c>
      <c r="D40" s="11"/>
      <c r="E40" s="30">
        <v>15.36</v>
      </c>
      <c r="F40" s="30"/>
      <c r="G40" s="182"/>
      <c r="H40" s="18"/>
    </row>
    <row r="41" spans="1:8" ht="13.5" customHeight="1" x14ac:dyDescent="0.2">
      <c r="A41" s="180"/>
      <c r="B41" s="56"/>
      <c r="C41" s="36" t="s">
        <v>2369</v>
      </c>
      <c r="D41" s="11"/>
      <c r="E41" s="30"/>
      <c r="F41" s="30">
        <v>1490</v>
      </c>
      <c r="G41" s="182">
        <v>6061.2500000000018</v>
      </c>
      <c r="H41" s="18"/>
    </row>
    <row r="42" spans="1:8" ht="13.5" customHeight="1" x14ac:dyDescent="0.2">
      <c r="A42" s="180">
        <v>43656</v>
      </c>
      <c r="B42" s="56"/>
      <c r="C42" s="36" t="s">
        <v>2370</v>
      </c>
      <c r="D42" s="11"/>
      <c r="E42" s="30"/>
      <c r="F42" s="30">
        <v>200</v>
      </c>
      <c r="G42" s="182"/>
      <c r="H42" s="18"/>
    </row>
    <row r="43" spans="1:8" ht="13.5" customHeight="1" x14ac:dyDescent="0.2">
      <c r="A43" s="180"/>
      <c r="B43" s="56"/>
      <c r="C43" s="36" t="s">
        <v>2371</v>
      </c>
      <c r="D43" s="11"/>
      <c r="E43" s="165">
        <v>1690</v>
      </c>
      <c r="F43" s="30"/>
      <c r="G43" s="182"/>
      <c r="H43" s="18"/>
    </row>
    <row r="44" spans="1:8" ht="13.5" customHeight="1" x14ac:dyDescent="0.2">
      <c r="A44" s="180"/>
      <c r="B44" s="56"/>
      <c r="C44" s="36" t="s">
        <v>1981</v>
      </c>
      <c r="D44" s="11"/>
      <c r="E44" s="552">
        <v>2500</v>
      </c>
      <c r="F44" s="30"/>
      <c r="G44" s="182">
        <v>2071.2500000000018</v>
      </c>
      <c r="H44" s="18"/>
    </row>
    <row r="45" spans="1:8" ht="13.5" customHeight="1" x14ac:dyDescent="0.2">
      <c r="A45" s="180"/>
      <c r="B45" s="56"/>
      <c r="C45" s="36" t="s">
        <v>2372</v>
      </c>
      <c r="D45" s="11"/>
      <c r="E45" s="30"/>
      <c r="F45" s="30">
        <v>2105.2800000000002</v>
      </c>
      <c r="G45" s="182"/>
      <c r="H45" s="18"/>
    </row>
    <row r="46" spans="1:8" ht="13.5" customHeight="1" x14ac:dyDescent="0.2">
      <c r="A46" s="180"/>
      <c r="B46" s="56"/>
      <c r="C46" s="36" t="s">
        <v>1981</v>
      </c>
      <c r="D46" s="11"/>
      <c r="E46" s="552">
        <v>2000</v>
      </c>
      <c r="F46" s="30"/>
      <c r="G46" s="182">
        <v>2176.5300000000025</v>
      </c>
      <c r="H46" s="18"/>
    </row>
    <row r="47" spans="1:8" ht="13.5" customHeight="1" x14ac:dyDescent="0.2">
      <c r="A47" s="180">
        <v>43657</v>
      </c>
      <c r="B47" s="56"/>
      <c r="C47" s="36" t="s">
        <v>2373</v>
      </c>
      <c r="D47" s="11"/>
      <c r="E47" s="30"/>
      <c r="F47" s="30">
        <v>1058.6300000000001</v>
      </c>
      <c r="G47" s="182"/>
      <c r="H47" s="18"/>
    </row>
    <row r="48" spans="1:8" ht="13.5" customHeight="1" x14ac:dyDescent="0.2">
      <c r="A48" s="180"/>
      <c r="B48" s="56"/>
      <c r="C48" s="36" t="s">
        <v>2374</v>
      </c>
      <c r="D48" s="11"/>
      <c r="E48" s="30">
        <v>300</v>
      </c>
      <c r="F48" s="30"/>
      <c r="G48" s="182"/>
      <c r="H48" s="18"/>
    </row>
    <row r="49" spans="1:8" ht="13.5" customHeight="1" x14ac:dyDescent="0.2">
      <c r="A49" s="180"/>
      <c r="B49" s="56"/>
      <c r="C49" s="36" t="s">
        <v>2375</v>
      </c>
      <c r="D49" s="11"/>
      <c r="E49" s="30">
        <v>210</v>
      </c>
      <c r="F49" s="30"/>
      <c r="G49" s="182">
        <v>2725.1600000000026</v>
      </c>
      <c r="H49" s="18"/>
    </row>
    <row r="50" spans="1:8" ht="13.5" customHeight="1" x14ac:dyDescent="0.2">
      <c r="A50" s="180">
        <v>43658</v>
      </c>
      <c r="B50" s="56"/>
      <c r="C50" s="36" t="s">
        <v>2376</v>
      </c>
      <c r="D50" s="11"/>
      <c r="E50" s="30">
        <v>4.5</v>
      </c>
      <c r="F50" s="30"/>
      <c r="G50" s="182"/>
      <c r="H50" s="18"/>
    </row>
    <row r="51" spans="1:8" ht="13.5" customHeight="1" x14ac:dyDescent="0.2">
      <c r="A51" s="180"/>
      <c r="B51" s="56"/>
      <c r="C51" s="36" t="s">
        <v>2377</v>
      </c>
      <c r="D51" s="11"/>
      <c r="E51" s="30">
        <v>19.8</v>
      </c>
      <c r="F51" s="30"/>
      <c r="G51" s="182"/>
      <c r="H51" s="18"/>
    </row>
    <row r="52" spans="1:8" ht="13.5" customHeight="1" x14ac:dyDescent="0.2">
      <c r="A52" s="180"/>
      <c r="B52" s="56"/>
      <c r="C52" s="36" t="s">
        <v>2378</v>
      </c>
      <c r="D52" s="11"/>
      <c r="E52" s="30">
        <v>14</v>
      </c>
      <c r="F52" s="30"/>
      <c r="G52" s="182"/>
      <c r="H52" s="18"/>
    </row>
    <row r="53" spans="1:8" ht="13.5" customHeight="1" x14ac:dyDescent="0.2">
      <c r="A53" s="180"/>
      <c r="B53" s="56"/>
      <c r="C53" s="36" t="s">
        <v>2379</v>
      </c>
      <c r="D53" s="11"/>
      <c r="E53" s="30">
        <v>4.95</v>
      </c>
      <c r="F53" s="30"/>
      <c r="G53" s="182"/>
      <c r="H53" s="18"/>
    </row>
    <row r="54" spans="1:8" ht="13.5" customHeight="1" x14ac:dyDescent="0.2">
      <c r="A54" s="180"/>
      <c r="B54" s="56"/>
      <c r="C54" s="36" t="s">
        <v>2380</v>
      </c>
      <c r="D54" s="11"/>
      <c r="E54" s="30">
        <v>2</v>
      </c>
      <c r="F54" s="30"/>
      <c r="G54" s="182"/>
      <c r="H54" s="18"/>
    </row>
    <row r="55" spans="1:8" ht="13.5" customHeight="1" x14ac:dyDescent="0.2">
      <c r="A55" s="180"/>
      <c r="B55" s="56"/>
      <c r="C55" s="36" t="s">
        <v>2381</v>
      </c>
      <c r="D55" s="11"/>
      <c r="E55" s="30">
        <v>10</v>
      </c>
      <c r="F55" s="30"/>
      <c r="G55" s="182"/>
      <c r="H55" s="18"/>
    </row>
    <row r="56" spans="1:8" ht="13.5" customHeight="1" x14ac:dyDescent="0.2">
      <c r="A56" s="180"/>
      <c r="B56" s="56"/>
      <c r="C56" s="36" t="s">
        <v>2382</v>
      </c>
      <c r="D56" s="11"/>
      <c r="E56" s="30">
        <v>6.45</v>
      </c>
      <c r="F56" s="30"/>
      <c r="G56" s="182"/>
      <c r="H56" s="18"/>
    </row>
    <row r="57" spans="1:8" ht="13.5" customHeight="1" x14ac:dyDescent="0.2">
      <c r="A57" s="180"/>
      <c r="B57" s="56"/>
      <c r="C57" s="36" t="s">
        <v>2383</v>
      </c>
      <c r="D57" s="11"/>
      <c r="E57" s="30">
        <v>1.5</v>
      </c>
      <c r="F57" s="30"/>
      <c r="G57" s="182"/>
      <c r="H57" s="18"/>
    </row>
    <row r="58" spans="1:8" ht="13.5" customHeight="1" x14ac:dyDescent="0.2">
      <c r="A58" s="180"/>
      <c r="B58" s="56"/>
      <c r="C58" s="36" t="s">
        <v>2384</v>
      </c>
      <c r="D58" s="11"/>
      <c r="E58" s="30">
        <v>8</v>
      </c>
      <c r="F58" s="30"/>
      <c r="G58" s="182"/>
      <c r="H58" s="18"/>
    </row>
    <row r="59" spans="1:8" ht="13.5" customHeight="1" x14ac:dyDescent="0.2">
      <c r="A59" s="180"/>
      <c r="B59" s="56"/>
      <c r="C59" s="36" t="s">
        <v>2385</v>
      </c>
      <c r="D59" s="11"/>
      <c r="E59" s="30">
        <v>0.4</v>
      </c>
      <c r="F59" s="30"/>
      <c r="G59" s="182"/>
      <c r="H59" s="18"/>
    </row>
    <row r="60" spans="1:8" ht="13.5" customHeight="1" x14ac:dyDescent="0.2">
      <c r="A60" s="180"/>
      <c r="B60" s="56"/>
      <c r="C60" s="36" t="s">
        <v>2386</v>
      </c>
      <c r="D60" s="11"/>
      <c r="E60" s="30">
        <v>300</v>
      </c>
      <c r="F60" s="30"/>
      <c r="G60" s="182"/>
      <c r="H60" s="18"/>
    </row>
    <row r="61" spans="1:8" ht="13.5" customHeight="1" x14ac:dyDescent="0.2">
      <c r="A61" s="180"/>
      <c r="B61" s="56"/>
      <c r="C61" s="36" t="s">
        <v>2387</v>
      </c>
      <c r="D61" s="11"/>
      <c r="E61" s="30">
        <v>500</v>
      </c>
      <c r="F61" s="30"/>
      <c r="G61" s="182"/>
      <c r="H61" s="18"/>
    </row>
    <row r="62" spans="1:8" ht="13.5" customHeight="1" x14ac:dyDescent="0.2">
      <c r="A62" s="180"/>
      <c r="B62" s="56"/>
      <c r="C62" s="36" t="s">
        <v>2388</v>
      </c>
      <c r="D62" s="11"/>
      <c r="E62" s="30">
        <v>120</v>
      </c>
      <c r="F62" s="30"/>
      <c r="G62" s="182"/>
      <c r="H62" s="18"/>
    </row>
    <row r="63" spans="1:8" ht="13.5" customHeight="1" x14ac:dyDescent="0.2">
      <c r="A63" s="180"/>
      <c r="B63" s="56"/>
      <c r="C63" s="36" t="s">
        <v>2389</v>
      </c>
      <c r="D63" s="11"/>
      <c r="E63" s="30">
        <v>25</v>
      </c>
      <c r="F63" s="30"/>
      <c r="G63" s="182"/>
      <c r="H63" s="18"/>
    </row>
    <row r="64" spans="1:8" ht="13.5" customHeight="1" x14ac:dyDescent="0.2">
      <c r="A64" s="180"/>
      <c r="B64" s="56"/>
      <c r="C64" s="36" t="s">
        <v>2390</v>
      </c>
      <c r="D64" s="11"/>
      <c r="E64" s="30"/>
      <c r="F64" s="30">
        <v>3710</v>
      </c>
      <c r="G64" s="182">
        <v>5418.5600000000031</v>
      </c>
      <c r="H64" s="18"/>
    </row>
    <row r="65" spans="1:8" ht="13.5" customHeight="1" x14ac:dyDescent="0.2">
      <c r="A65" s="180">
        <v>43661</v>
      </c>
      <c r="B65" s="56"/>
      <c r="C65" s="36" t="s">
        <v>2391</v>
      </c>
      <c r="D65" s="11"/>
      <c r="E65" s="30"/>
      <c r="F65" s="30">
        <v>3590.73</v>
      </c>
      <c r="G65" s="182"/>
      <c r="H65" s="18"/>
    </row>
    <row r="66" spans="1:8" ht="13.5" customHeight="1" x14ac:dyDescent="0.2">
      <c r="A66" s="180"/>
      <c r="B66" s="56"/>
      <c r="C66" s="36" t="s">
        <v>2392</v>
      </c>
      <c r="D66" s="11"/>
      <c r="E66" s="30"/>
      <c r="F66" s="30">
        <v>8059.75</v>
      </c>
      <c r="G66" s="182"/>
      <c r="H66" s="18"/>
    </row>
    <row r="67" spans="1:8" ht="13.5" customHeight="1" x14ac:dyDescent="0.2">
      <c r="A67" s="180"/>
      <c r="B67" s="56"/>
      <c r="C67" s="36" t="s">
        <v>2393</v>
      </c>
      <c r="D67" s="11"/>
      <c r="E67" s="30"/>
      <c r="F67" s="30">
        <v>525</v>
      </c>
      <c r="G67" s="182"/>
      <c r="H67" s="18"/>
    </row>
    <row r="68" spans="1:8" ht="13.5" customHeight="1" x14ac:dyDescent="0.2">
      <c r="A68" s="180"/>
      <c r="B68" s="56"/>
      <c r="C68" s="36" t="s">
        <v>2394</v>
      </c>
      <c r="D68" s="11"/>
      <c r="E68" s="165">
        <v>3710</v>
      </c>
      <c r="F68" s="30"/>
      <c r="G68" s="182">
        <v>13884.04</v>
      </c>
      <c r="H68" s="18"/>
    </row>
    <row r="69" spans="1:8" ht="13.5" customHeight="1" x14ac:dyDescent="0.2">
      <c r="A69" s="180">
        <v>43662</v>
      </c>
      <c r="B69" s="56"/>
      <c r="C69" s="36" t="s">
        <v>2395</v>
      </c>
      <c r="D69" s="11"/>
      <c r="E69" s="30"/>
      <c r="F69" s="30">
        <v>1518.28</v>
      </c>
      <c r="G69" s="182"/>
      <c r="H69" s="18"/>
    </row>
    <row r="70" spans="1:8" ht="13.5" customHeight="1" x14ac:dyDescent="0.2">
      <c r="A70" s="180"/>
      <c r="B70" s="56"/>
      <c r="C70" s="36" t="s">
        <v>1981</v>
      </c>
      <c r="D70" s="11"/>
      <c r="E70" s="552">
        <v>4000</v>
      </c>
      <c r="F70" s="30"/>
      <c r="G70" s="182">
        <v>11402.320000000002</v>
      </c>
      <c r="H70" s="18"/>
    </row>
    <row r="71" spans="1:8" ht="13.5" customHeight="1" x14ac:dyDescent="0.2">
      <c r="A71" s="180">
        <v>43663</v>
      </c>
      <c r="B71" s="56"/>
      <c r="C71" s="36" t="s">
        <v>2396</v>
      </c>
      <c r="D71" s="11"/>
      <c r="E71" s="30"/>
      <c r="F71" s="30">
        <v>1490</v>
      </c>
      <c r="G71" s="182">
        <v>12892.320000000002</v>
      </c>
      <c r="H71" s="18"/>
    </row>
    <row r="72" spans="1:8" ht="13.5" customHeight="1" x14ac:dyDescent="0.2">
      <c r="A72" s="180">
        <v>43664</v>
      </c>
      <c r="B72" s="56"/>
      <c r="C72" s="36" t="s">
        <v>2397</v>
      </c>
      <c r="D72" s="11"/>
      <c r="E72" s="165">
        <v>8584.75</v>
      </c>
      <c r="F72" s="30"/>
      <c r="G72" s="182"/>
      <c r="H72" s="18"/>
    </row>
    <row r="73" spans="1:8" ht="13.5" customHeight="1" x14ac:dyDescent="0.2">
      <c r="A73" s="180"/>
      <c r="B73" s="56"/>
      <c r="C73" s="36" t="s">
        <v>2398</v>
      </c>
      <c r="D73" s="11"/>
      <c r="E73" s="30">
        <v>65</v>
      </c>
      <c r="F73" s="30"/>
      <c r="G73" s="182">
        <v>4242.5700000000015</v>
      </c>
      <c r="H73" s="18"/>
    </row>
    <row r="74" spans="1:8" ht="13.5" customHeight="1" x14ac:dyDescent="0.2">
      <c r="A74" s="180">
        <v>43665</v>
      </c>
      <c r="B74" s="56"/>
      <c r="C74" s="36" t="s">
        <v>2399</v>
      </c>
      <c r="D74" s="11"/>
      <c r="E74" s="30">
        <v>120</v>
      </c>
      <c r="F74" s="30"/>
      <c r="G74" s="182"/>
      <c r="H74" s="18"/>
    </row>
    <row r="75" spans="1:8" ht="13.5" customHeight="1" x14ac:dyDescent="0.2">
      <c r="A75" s="180"/>
      <c r="B75" s="56"/>
      <c r="C75" s="36" t="s">
        <v>2400</v>
      </c>
      <c r="D75" s="11"/>
      <c r="E75" s="30">
        <v>300</v>
      </c>
      <c r="F75" s="30"/>
      <c r="G75" s="182"/>
      <c r="H75" s="18"/>
    </row>
    <row r="76" spans="1:8" ht="13.5" customHeight="1" x14ac:dyDescent="0.2">
      <c r="A76" s="180"/>
      <c r="B76" s="56"/>
      <c r="C76" s="36" t="s">
        <v>2401</v>
      </c>
      <c r="D76" s="11"/>
      <c r="E76" s="30">
        <v>500</v>
      </c>
      <c r="F76" s="30"/>
      <c r="G76" s="182"/>
      <c r="H76" s="18"/>
    </row>
    <row r="77" spans="1:8" ht="13.5" customHeight="1" x14ac:dyDescent="0.2">
      <c r="A77" s="180"/>
      <c r="B77" s="56"/>
      <c r="C77" s="36" t="s">
        <v>2402</v>
      </c>
      <c r="D77" s="11"/>
      <c r="E77" s="30">
        <v>300</v>
      </c>
      <c r="F77" s="30"/>
      <c r="G77" s="182"/>
      <c r="H77" s="18"/>
    </row>
    <row r="78" spans="1:8" ht="13.5" customHeight="1" x14ac:dyDescent="0.2">
      <c r="A78" s="180"/>
      <c r="B78" s="56"/>
      <c r="C78" s="36" t="s">
        <v>2403</v>
      </c>
      <c r="D78" s="11"/>
      <c r="E78" s="30">
        <v>70</v>
      </c>
      <c r="F78" s="30"/>
      <c r="G78" s="182">
        <v>2952.5700000000015</v>
      </c>
      <c r="H78" s="18"/>
    </row>
    <row r="79" spans="1:8" ht="13.5" customHeight="1" x14ac:dyDescent="0.2">
      <c r="A79" s="180">
        <v>43668</v>
      </c>
      <c r="B79" s="56"/>
      <c r="C79" s="36" t="s">
        <v>2404</v>
      </c>
      <c r="D79" s="11"/>
      <c r="E79" s="30"/>
      <c r="F79" s="30">
        <v>1130.72</v>
      </c>
      <c r="G79" s="182"/>
      <c r="H79" s="18"/>
    </row>
    <row r="80" spans="1:8" ht="13.5" customHeight="1" x14ac:dyDescent="0.2">
      <c r="A80" s="180"/>
      <c r="B80" s="56"/>
      <c r="C80" s="36" t="s">
        <v>2405</v>
      </c>
      <c r="D80" s="11"/>
      <c r="E80" s="30"/>
      <c r="F80" s="30">
        <v>203.5</v>
      </c>
      <c r="G80" s="182"/>
      <c r="H80" s="18"/>
    </row>
    <row r="81" spans="1:8" ht="13.5" customHeight="1" x14ac:dyDescent="0.2">
      <c r="A81" s="180"/>
      <c r="B81" s="56"/>
      <c r="C81" s="36" t="s">
        <v>2406</v>
      </c>
      <c r="D81" s="11"/>
      <c r="E81" s="30"/>
      <c r="F81" s="30">
        <v>200</v>
      </c>
      <c r="G81" s="182"/>
      <c r="H81" s="18"/>
    </row>
    <row r="82" spans="1:8" ht="13.5" customHeight="1" x14ac:dyDescent="0.2">
      <c r="A82" s="180"/>
      <c r="B82" s="56"/>
      <c r="C82" s="36" t="s">
        <v>2407</v>
      </c>
      <c r="D82" s="11"/>
      <c r="E82" s="30"/>
      <c r="F82" s="30">
        <v>200</v>
      </c>
      <c r="G82" s="182"/>
      <c r="H82" s="18"/>
    </row>
    <row r="83" spans="1:8" ht="13.5" customHeight="1" x14ac:dyDescent="0.2">
      <c r="A83" s="180"/>
      <c r="B83" s="56"/>
      <c r="C83" s="36" t="s">
        <v>2408</v>
      </c>
      <c r="D83" s="11"/>
      <c r="E83" s="30"/>
      <c r="F83" s="30">
        <v>200</v>
      </c>
      <c r="G83" s="182"/>
      <c r="H83" s="18"/>
    </row>
    <row r="84" spans="1:8" ht="13.5" customHeight="1" x14ac:dyDescent="0.2">
      <c r="A84" s="180"/>
      <c r="B84" s="56"/>
      <c r="C84" s="36" t="s">
        <v>2409</v>
      </c>
      <c r="D84" s="11"/>
      <c r="E84" s="30"/>
      <c r="F84" s="30">
        <v>200</v>
      </c>
      <c r="G84" s="182"/>
      <c r="H84" s="18"/>
    </row>
    <row r="85" spans="1:8" ht="13.5" customHeight="1" x14ac:dyDescent="0.2">
      <c r="A85" s="180"/>
      <c r="B85" s="56"/>
      <c r="C85" s="36" t="s">
        <v>2410</v>
      </c>
      <c r="D85" s="11"/>
      <c r="E85" s="30"/>
      <c r="F85" s="30">
        <v>200</v>
      </c>
      <c r="G85" s="182"/>
      <c r="H85" s="18"/>
    </row>
    <row r="86" spans="1:8" ht="13.5" customHeight="1" x14ac:dyDescent="0.2">
      <c r="A86" s="180"/>
      <c r="B86" s="56"/>
      <c r="C86" s="36" t="s">
        <v>2411</v>
      </c>
      <c r="D86" s="11"/>
      <c r="E86" s="30"/>
      <c r="F86" s="30">
        <v>200</v>
      </c>
      <c r="G86" s="182">
        <v>5486.7900000000018</v>
      </c>
      <c r="H86" s="18"/>
    </row>
    <row r="87" spans="1:8" ht="13.5" customHeight="1" x14ac:dyDescent="0.2">
      <c r="A87" s="180">
        <v>43669</v>
      </c>
      <c r="B87" s="56"/>
      <c r="C87" s="36" t="s">
        <v>2412</v>
      </c>
      <c r="D87" s="11"/>
      <c r="E87" s="165">
        <v>203.5</v>
      </c>
      <c r="F87" s="30"/>
      <c r="G87" s="182"/>
      <c r="H87" s="18"/>
    </row>
    <row r="88" spans="1:8" ht="13.5" customHeight="1" x14ac:dyDescent="0.2">
      <c r="A88" s="180"/>
      <c r="B88" s="56"/>
      <c r="C88" s="36" t="s">
        <v>2413</v>
      </c>
      <c r="D88" s="11"/>
      <c r="E88" s="30">
        <v>77.900000000000006</v>
      </c>
      <c r="F88" s="30"/>
      <c r="G88" s="182"/>
      <c r="H88" s="18"/>
    </row>
    <row r="89" spans="1:8" ht="13.5" customHeight="1" x14ac:dyDescent="0.2">
      <c r="A89" s="180"/>
      <c r="B89" s="56"/>
      <c r="C89" s="36" t="s">
        <v>2414</v>
      </c>
      <c r="D89" s="11"/>
      <c r="E89" s="30">
        <v>21</v>
      </c>
      <c r="F89" s="30"/>
      <c r="G89" s="182"/>
      <c r="H89" s="18"/>
    </row>
    <row r="90" spans="1:8" ht="13.5" customHeight="1" x14ac:dyDescent="0.2">
      <c r="A90" s="180"/>
      <c r="B90" s="56"/>
      <c r="C90" s="36" t="s">
        <v>2415</v>
      </c>
      <c r="D90" s="11"/>
      <c r="E90" s="30"/>
      <c r="F90" s="30">
        <v>200</v>
      </c>
      <c r="G90" s="182">
        <v>5384.3900000000021</v>
      </c>
      <c r="H90" s="18"/>
    </row>
    <row r="91" spans="1:8" ht="13.5" customHeight="1" x14ac:dyDescent="0.2">
      <c r="A91" s="180">
        <v>43670</v>
      </c>
      <c r="B91" s="56"/>
      <c r="C91" s="36" t="s">
        <v>2416</v>
      </c>
      <c r="D91" s="11"/>
      <c r="E91" s="30"/>
      <c r="F91" s="30">
        <v>80</v>
      </c>
      <c r="G91" s="182">
        <v>5464.3900000000021</v>
      </c>
      <c r="H91" s="18"/>
    </row>
    <row r="92" spans="1:8" ht="13.5" customHeight="1" x14ac:dyDescent="0.2">
      <c r="A92" s="180">
        <v>43671</v>
      </c>
      <c r="B92" s="56"/>
      <c r="C92" s="36" t="s">
        <v>2417</v>
      </c>
      <c r="D92" s="11"/>
      <c r="E92" s="30">
        <v>5.5</v>
      </c>
      <c r="F92" s="30"/>
      <c r="G92" s="182"/>
      <c r="H92" s="18"/>
    </row>
    <row r="93" spans="1:8" ht="13.5" customHeight="1" x14ac:dyDescent="0.2">
      <c r="A93" s="180"/>
      <c r="B93" s="56"/>
      <c r="C93" s="36" t="s">
        <v>2418</v>
      </c>
      <c r="D93" s="11"/>
      <c r="E93" s="30"/>
      <c r="F93" s="30">
        <v>1100</v>
      </c>
      <c r="G93" s="182"/>
      <c r="H93" s="18"/>
    </row>
    <row r="94" spans="1:8" ht="13.5" customHeight="1" x14ac:dyDescent="0.2">
      <c r="A94" s="180"/>
      <c r="B94" s="56"/>
      <c r="C94" s="36" t="s">
        <v>2419</v>
      </c>
      <c r="D94" s="11"/>
      <c r="E94" s="30">
        <v>300</v>
      </c>
      <c r="F94" s="30"/>
      <c r="G94" s="182">
        <v>6258.8900000000021</v>
      </c>
      <c r="H94" s="18"/>
    </row>
    <row r="95" spans="1:8" ht="13.5" customHeight="1" x14ac:dyDescent="0.2">
      <c r="A95" s="180">
        <v>43672</v>
      </c>
      <c r="B95" s="56" t="s">
        <v>1218</v>
      </c>
      <c r="C95" s="36" t="s">
        <v>1666</v>
      </c>
      <c r="D95" s="11"/>
      <c r="E95" s="30">
        <v>55.9</v>
      </c>
      <c r="F95" s="30"/>
      <c r="G95" s="182"/>
      <c r="H95" s="18"/>
    </row>
    <row r="96" spans="1:8" ht="13.5" customHeight="1" x14ac:dyDescent="0.2">
      <c r="A96" s="180"/>
      <c r="B96" s="56"/>
      <c r="C96" s="36" t="s">
        <v>2250</v>
      </c>
      <c r="D96" s="11"/>
      <c r="E96" s="30">
        <v>1.73</v>
      </c>
      <c r="F96" s="30"/>
      <c r="G96" s="182"/>
      <c r="H96" s="18"/>
    </row>
    <row r="97" spans="1:8" ht="13.5" customHeight="1" x14ac:dyDescent="0.2">
      <c r="A97" s="180"/>
      <c r="B97" s="56"/>
      <c r="C97" s="36" t="s">
        <v>2420</v>
      </c>
      <c r="D97" s="11"/>
      <c r="E97" s="30">
        <v>3.54</v>
      </c>
      <c r="F97" s="30"/>
      <c r="G97" s="182"/>
      <c r="H97" s="18"/>
    </row>
    <row r="98" spans="1:8" ht="13.5" customHeight="1" x14ac:dyDescent="0.2">
      <c r="A98" s="180"/>
      <c r="B98" s="56"/>
      <c r="C98" s="36" t="s">
        <v>2421</v>
      </c>
      <c r="D98" s="11"/>
      <c r="E98" s="30">
        <v>3.28</v>
      </c>
      <c r="F98" s="30"/>
      <c r="G98" s="182"/>
      <c r="H98" s="18"/>
    </row>
    <row r="99" spans="1:8" ht="13.5" customHeight="1" x14ac:dyDescent="0.2">
      <c r="A99" s="180"/>
      <c r="B99" s="56"/>
      <c r="C99" s="36" t="s">
        <v>2422</v>
      </c>
      <c r="D99" s="11"/>
      <c r="E99" s="30">
        <v>24.74</v>
      </c>
      <c r="F99" s="30"/>
      <c r="G99" s="182"/>
      <c r="H99" s="18"/>
    </row>
    <row r="100" spans="1:8" ht="13.5" customHeight="1" x14ac:dyDescent="0.2">
      <c r="A100" s="180"/>
      <c r="B100" s="56"/>
      <c r="C100" s="36" t="s">
        <v>2082</v>
      </c>
      <c r="D100" s="11"/>
      <c r="E100" s="30">
        <v>11.8</v>
      </c>
      <c r="F100" s="30"/>
      <c r="G100" s="182"/>
      <c r="H100" s="18"/>
    </row>
    <row r="101" spans="1:8" ht="13.5" customHeight="1" x14ac:dyDescent="0.2">
      <c r="A101" s="180"/>
      <c r="B101" s="56"/>
      <c r="C101" s="36" t="s">
        <v>2423</v>
      </c>
      <c r="D101" s="11"/>
      <c r="E101" s="30">
        <v>33.1</v>
      </c>
      <c r="F101" s="30"/>
      <c r="G101" s="182"/>
      <c r="H101" s="18"/>
    </row>
    <row r="102" spans="1:8" ht="13.5" customHeight="1" x14ac:dyDescent="0.2">
      <c r="A102" s="180"/>
      <c r="B102" s="56"/>
      <c r="C102" s="36" t="s">
        <v>2424</v>
      </c>
      <c r="D102" s="11"/>
      <c r="E102" s="30">
        <v>80</v>
      </c>
      <c r="F102" s="30"/>
      <c r="G102" s="182"/>
      <c r="H102" s="18"/>
    </row>
    <row r="103" spans="1:8" ht="13.5" customHeight="1" x14ac:dyDescent="0.2">
      <c r="A103" s="180"/>
      <c r="B103" s="56"/>
      <c r="C103" s="36" t="s">
        <v>2425</v>
      </c>
      <c r="D103" s="11"/>
      <c r="E103" s="30">
        <v>15</v>
      </c>
      <c r="F103" s="30"/>
      <c r="G103" s="182"/>
      <c r="H103" s="18"/>
    </row>
    <row r="104" spans="1:8" ht="13.5" customHeight="1" x14ac:dyDescent="0.2">
      <c r="A104" s="180"/>
      <c r="B104" s="56"/>
      <c r="C104" s="41" t="s">
        <v>1834</v>
      </c>
      <c r="D104" s="11"/>
      <c r="E104" s="30">
        <v>48.8</v>
      </c>
      <c r="F104" s="30"/>
      <c r="G104" s="182"/>
      <c r="H104" s="18"/>
    </row>
    <row r="105" spans="1:8" ht="13.5" customHeight="1" x14ac:dyDescent="0.2">
      <c r="A105" s="180"/>
      <c r="B105" s="56"/>
      <c r="C105" s="41" t="s">
        <v>1834</v>
      </c>
      <c r="D105" s="11"/>
      <c r="E105" s="30">
        <v>40.299999999999997</v>
      </c>
      <c r="F105" s="30"/>
      <c r="G105" s="182"/>
      <c r="H105" s="18"/>
    </row>
    <row r="106" spans="1:8" ht="13.5" customHeight="1" x14ac:dyDescent="0.2">
      <c r="A106" s="180"/>
      <c r="B106" s="56"/>
      <c r="C106" s="41" t="s">
        <v>1834</v>
      </c>
      <c r="D106" s="11"/>
      <c r="E106" s="30">
        <v>49.4</v>
      </c>
      <c r="F106" s="30"/>
      <c r="G106" s="182"/>
      <c r="H106" s="18"/>
    </row>
    <row r="107" spans="1:8" ht="13.5" customHeight="1" x14ac:dyDescent="0.2">
      <c r="A107" s="180"/>
      <c r="B107" s="56"/>
      <c r="C107" s="36" t="s">
        <v>2426</v>
      </c>
      <c r="D107" s="11"/>
      <c r="E107" s="30">
        <v>22</v>
      </c>
      <c r="F107" s="30"/>
      <c r="G107" s="182"/>
      <c r="H107" s="18"/>
    </row>
    <row r="108" spans="1:8" ht="13.5" customHeight="1" x14ac:dyDescent="0.2">
      <c r="A108" s="180"/>
      <c r="B108" s="56"/>
      <c r="C108" s="36" t="s">
        <v>2427</v>
      </c>
      <c r="D108" s="11"/>
      <c r="E108" s="30">
        <v>300</v>
      </c>
      <c r="F108" s="30"/>
      <c r="G108" s="182"/>
      <c r="H108" s="18"/>
    </row>
    <row r="109" spans="1:8" ht="13.5" customHeight="1" x14ac:dyDescent="0.2">
      <c r="A109" s="180"/>
      <c r="B109" s="56"/>
      <c r="C109" s="36" t="s">
        <v>2428</v>
      </c>
      <c r="D109" s="11"/>
      <c r="E109" s="30">
        <v>500</v>
      </c>
      <c r="F109" s="30"/>
      <c r="G109" s="182"/>
      <c r="H109" s="18"/>
    </row>
    <row r="110" spans="1:8" ht="13.5" customHeight="1" x14ac:dyDescent="0.2">
      <c r="A110" s="180"/>
      <c r="B110" s="56"/>
      <c r="C110" s="36" t="s">
        <v>2429</v>
      </c>
      <c r="D110" s="11"/>
      <c r="E110" s="30">
        <v>300</v>
      </c>
      <c r="F110" s="30"/>
      <c r="G110" s="182"/>
      <c r="H110" s="18"/>
    </row>
    <row r="111" spans="1:8" ht="13.5" customHeight="1" x14ac:dyDescent="0.2">
      <c r="A111" s="180"/>
      <c r="B111" s="56"/>
      <c r="C111" s="36" t="s">
        <v>2430</v>
      </c>
      <c r="D111" s="11"/>
      <c r="E111" s="30"/>
      <c r="F111" s="30">
        <v>1465</v>
      </c>
      <c r="G111" s="182">
        <v>6234.3000000000029</v>
      </c>
      <c r="H111" s="18"/>
    </row>
    <row r="112" spans="1:8" ht="13.5" customHeight="1" x14ac:dyDescent="0.2">
      <c r="A112" s="180">
        <v>43676</v>
      </c>
      <c r="B112" s="56"/>
      <c r="C112" s="36" t="s">
        <v>2431</v>
      </c>
      <c r="D112" s="11"/>
      <c r="E112" s="30">
        <v>14.2</v>
      </c>
      <c r="F112" s="30"/>
      <c r="G112" s="182"/>
      <c r="H112" s="18"/>
    </row>
    <row r="113" spans="1:27" ht="13.5" customHeight="1" x14ac:dyDescent="0.2">
      <c r="A113" s="180"/>
      <c r="B113" s="56"/>
      <c r="C113" s="36" t="s">
        <v>2432</v>
      </c>
      <c r="D113" s="11"/>
      <c r="E113" s="30">
        <v>0.2</v>
      </c>
      <c r="F113" s="30"/>
      <c r="G113" s="182"/>
      <c r="H113" s="18"/>
    </row>
    <row r="114" spans="1:27" ht="13.5" customHeight="1" x14ac:dyDescent="0.2">
      <c r="A114" s="180"/>
      <c r="B114" s="56"/>
      <c r="C114" s="36" t="s">
        <v>2433</v>
      </c>
      <c r="D114" s="11"/>
      <c r="E114" s="30">
        <v>60</v>
      </c>
      <c r="F114" s="30"/>
      <c r="G114" s="182">
        <v>6159.9000000000033</v>
      </c>
      <c r="H114" s="18"/>
    </row>
    <row r="115" spans="1:27" ht="13.5" customHeight="1" x14ac:dyDescent="0.2">
      <c r="A115" s="180">
        <v>43677</v>
      </c>
      <c r="B115" s="56"/>
      <c r="C115" s="36" t="s">
        <v>2434</v>
      </c>
      <c r="D115" s="11"/>
      <c r="E115" s="30"/>
      <c r="F115" s="30">
        <v>200</v>
      </c>
      <c r="G115" s="182"/>
      <c r="H115" s="18"/>
    </row>
    <row r="116" spans="1:27" ht="13.5" customHeight="1" x14ac:dyDescent="0.2">
      <c r="A116" s="180"/>
      <c r="B116" s="56"/>
      <c r="C116" s="36" t="s">
        <v>2006</v>
      </c>
      <c r="D116" s="11"/>
      <c r="E116" s="30">
        <v>88.82</v>
      </c>
      <c r="F116" s="30"/>
      <c r="G116" s="205">
        <v>6271.0800000000036</v>
      </c>
      <c r="H116" s="124"/>
    </row>
    <row r="117" spans="1:27" s="64" customFormat="1" ht="13.5" customHeight="1" thickBot="1" x14ac:dyDescent="0.25">
      <c r="A117" s="184"/>
      <c r="B117" s="63"/>
      <c r="C117" s="63"/>
      <c r="D117" s="11"/>
      <c r="E117" s="650">
        <f>-SUM(E4:E33,E40,E37,E48:E63,E73:E86,E88:E116)</f>
        <v>-10196.98</v>
      </c>
      <c r="F117" s="651">
        <f>SUM(F5:F116)</f>
        <v>35674.94</v>
      </c>
      <c r="G117" s="53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3.5" customHeight="1" thickBot="1" x14ac:dyDescent="0.25">
      <c r="A118" s="2" t="s">
        <v>2</v>
      </c>
      <c r="B118" s="3"/>
      <c r="C118" s="3" t="s">
        <v>536</v>
      </c>
      <c r="D118" s="550" t="s">
        <v>4</v>
      </c>
      <c r="E118" s="3" t="s">
        <v>5</v>
      </c>
      <c r="F118" s="3" t="s">
        <v>6</v>
      </c>
      <c r="G118" s="5" t="s">
        <v>7</v>
      </c>
    </row>
    <row r="119" spans="1:27" ht="13.5" customHeight="1" x14ac:dyDescent="0.2">
      <c r="A119" s="8">
        <v>43647</v>
      </c>
      <c r="B119" s="56"/>
      <c r="C119" s="10" t="s">
        <v>8</v>
      </c>
      <c r="D119" s="11"/>
      <c r="E119" s="51"/>
      <c r="F119" s="12"/>
      <c r="G119" s="205">
        <v>6000</v>
      </c>
      <c r="H119" s="18"/>
    </row>
    <row r="120" spans="1:27" ht="13.5" customHeight="1" x14ac:dyDescent="0.2">
      <c r="A120" s="180">
        <v>43649</v>
      </c>
      <c r="B120" s="56"/>
      <c r="C120" s="36" t="s">
        <v>1553</v>
      </c>
      <c r="D120" s="11"/>
      <c r="E120" s="30">
        <v>5000</v>
      </c>
      <c r="F120" s="12"/>
      <c r="G120" s="182">
        <v>1000</v>
      </c>
      <c r="H120" s="18"/>
    </row>
    <row r="121" spans="1:27" ht="13.5" customHeight="1" x14ac:dyDescent="0.2">
      <c r="A121" s="180"/>
      <c r="B121" s="56"/>
      <c r="C121" s="32" t="s">
        <v>2435</v>
      </c>
      <c r="D121" s="11"/>
      <c r="E121" s="30">
        <v>26</v>
      </c>
      <c r="F121" s="12"/>
      <c r="G121" s="182">
        <v>974</v>
      </c>
      <c r="H121" s="18"/>
    </row>
    <row r="122" spans="1:27" ht="13.5" customHeight="1" x14ac:dyDescent="0.2">
      <c r="A122" s="180">
        <v>43651</v>
      </c>
      <c r="B122" s="56"/>
      <c r="C122" s="36" t="s">
        <v>2364</v>
      </c>
      <c r="D122" s="11"/>
      <c r="E122" s="30"/>
      <c r="F122" s="277">
        <v>500</v>
      </c>
      <c r="G122" s="182">
        <v>1474</v>
      </c>
      <c r="H122" s="18"/>
    </row>
    <row r="123" spans="1:27" ht="13.5" customHeight="1" x14ac:dyDescent="0.2">
      <c r="A123" s="180"/>
      <c r="B123" s="56"/>
      <c r="C123" s="36" t="s">
        <v>1002</v>
      </c>
      <c r="D123" s="11"/>
      <c r="E123" s="30">
        <v>2257.5700000000002</v>
      </c>
      <c r="F123" s="12"/>
      <c r="G123" s="182">
        <v>-783.57000000000016</v>
      </c>
      <c r="H123" s="18"/>
    </row>
    <row r="124" spans="1:27" ht="13.5" customHeight="1" x14ac:dyDescent="0.2">
      <c r="A124" s="180"/>
      <c r="B124" s="56"/>
      <c r="C124" s="34" t="s">
        <v>2436</v>
      </c>
      <c r="D124" s="11"/>
      <c r="E124" s="30"/>
      <c r="F124" s="12">
        <v>5075</v>
      </c>
      <c r="G124" s="182">
        <v>4291.43</v>
      </c>
      <c r="H124" s="18"/>
    </row>
    <row r="125" spans="1:27" ht="13.5" customHeight="1" x14ac:dyDescent="0.2">
      <c r="A125" s="180">
        <v>43654</v>
      </c>
      <c r="B125" s="56"/>
      <c r="C125" s="36" t="s">
        <v>2437</v>
      </c>
      <c r="D125" s="11"/>
      <c r="E125" s="30">
        <v>25.99</v>
      </c>
      <c r="F125" s="12"/>
      <c r="G125" s="182">
        <v>4265.4400000000005</v>
      </c>
      <c r="H125" s="18"/>
    </row>
    <row r="126" spans="1:27" s="64" customFormat="1" ht="13.5" customHeight="1" x14ac:dyDescent="0.2">
      <c r="A126" s="184">
        <v>43656</v>
      </c>
      <c r="B126" s="63"/>
      <c r="C126" s="32" t="s">
        <v>2438</v>
      </c>
      <c r="D126" s="11"/>
      <c r="E126" s="51">
        <v>130.19999999999999</v>
      </c>
      <c r="F126" s="13"/>
      <c r="G126" s="182">
        <v>4135.2400000000007</v>
      </c>
      <c r="H126" s="18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s="64" customFormat="1" ht="13.5" customHeight="1" x14ac:dyDescent="0.2">
      <c r="A127" s="184"/>
      <c r="B127" s="63"/>
      <c r="C127" s="36" t="s">
        <v>1981</v>
      </c>
      <c r="D127" s="11"/>
      <c r="E127" s="51"/>
      <c r="F127" s="277">
        <v>2500</v>
      </c>
      <c r="G127" s="182">
        <v>6635.2400000000007</v>
      </c>
      <c r="H127" s="18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s="64" customFormat="1" ht="13.5" customHeight="1" x14ac:dyDescent="0.2">
      <c r="A128" s="184"/>
      <c r="B128" s="63"/>
      <c r="C128" s="36" t="s">
        <v>1981</v>
      </c>
      <c r="D128" s="11"/>
      <c r="E128" s="51"/>
      <c r="F128" s="277">
        <v>2000</v>
      </c>
      <c r="G128" s="182">
        <v>8635.2400000000016</v>
      </c>
      <c r="H128" s="18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s="64" customFormat="1" ht="13.5" customHeight="1" x14ac:dyDescent="0.2">
      <c r="A129" s="184"/>
      <c r="B129" s="63"/>
      <c r="C129" s="32" t="s">
        <v>2439</v>
      </c>
      <c r="D129" s="11"/>
      <c r="E129" s="51">
        <v>75.069999999999993</v>
      </c>
      <c r="F129" s="13"/>
      <c r="G129" s="182">
        <v>8560.1700000000019</v>
      </c>
      <c r="H129" s="18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s="64" customFormat="1" ht="13.5" customHeight="1" x14ac:dyDescent="0.2">
      <c r="A130" s="184">
        <v>43657</v>
      </c>
      <c r="B130" s="63"/>
      <c r="C130" s="138" t="s">
        <v>2440</v>
      </c>
      <c r="D130" s="11"/>
      <c r="E130" s="51">
        <v>120</v>
      </c>
      <c r="F130" s="13"/>
      <c r="G130" s="182">
        <v>8440.1700000000019</v>
      </c>
      <c r="H130" s="18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s="64" customFormat="1" ht="13.5" customHeight="1" x14ac:dyDescent="0.2">
      <c r="A131" s="184">
        <v>43658</v>
      </c>
      <c r="B131" s="63"/>
      <c r="C131" s="138" t="s">
        <v>2441</v>
      </c>
      <c r="D131" s="11"/>
      <c r="E131" s="51">
        <v>383.2</v>
      </c>
      <c r="F131" s="13"/>
      <c r="G131" s="182">
        <v>8056.9700000000021</v>
      </c>
      <c r="H131" s="18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s="64" customFormat="1" ht="13.5" customHeight="1" x14ac:dyDescent="0.2">
      <c r="A132" s="184"/>
      <c r="B132" s="63"/>
      <c r="C132" s="138" t="s">
        <v>2442</v>
      </c>
      <c r="D132" s="11"/>
      <c r="E132" s="51">
        <v>26</v>
      </c>
      <c r="F132" s="13"/>
      <c r="G132" s="182">
        <v>8030.9700000000021</v>
      </c>
      <c r="H132" s="18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s="64" customFormat="1" ht="13.5" customHeight="1" x14ac:dyDescent="0.2">
      <c r="A133" s="184"/>
      <c r="B133" s="63"/>
      <c r="C133" s="138" t="s">
        <v>2443</v>
      </c>
      <c r="D133" s="11"/>
      <c r="E133" s="51"/>
      <c r="F133" s="13">
        <v>326.39999999999998</v>
      </c>
      <c r="G133" s="182">
        <v>8357.3700000000026</v>
      </c>
      <c r="H133" s="18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s="64" customFormat="1" ht="13.5" customHeight="1" x14ac:dyDescent="0.2">
      <c r="A134" s="184">
        <v>43662</v>
      </c>
      <c r="B134" s="63"/>
      <c r="C134" s="36" t="s">
        <v>1981</v>
      </c>
      <c r="D134" s="11"/>
      <c r="E134" s="51"/>
      <c r="F134" s="277">
        <v>4000</v>
      </c>
      <c r="G134" s="182">
        <v>12357.370000000003</v>
      </c>
      <c r="H134" s="18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s="64" customFormat="1" ht="13.5" customHeight="1" x14ac:dyDescent="0.2">
      <c r="A135" s="184"/>
      <c r="B135" s="63"/>
      <c r="C135" s="32" t="s">
        <v>2444</v>
      </c>
      <c r="D135" s="11"/>
      <c r="E135" s="51">
        <v>87.14</v>
      </c>
      <c r="F135" s="13"/>
      <c r="G135" s="182">
        <v>12270.230000000003</v>
      </c>
      <c r="H135" s="18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s="64" customFormat="1" ht="13.5" customHeight="1" x14ac:dyDescent="0.2">
      <c r="A136" s="184"/>
      <c r="B136" s="63"/>
      <c r="C136" s="32" t="s">
        <v>2445</v>
      </c>
      <c r="D136" s="11"/>
      <c r="E136" s="51">
        <v>186.73</v>
      </c>
      <c r="F136" s="13"/>
      <c r="G136" s="182">
        <v>12083.500000000004</v>
      </c>
      <c r="H136" s="18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s="64" customFormat="1" ht="13.5" customHeight="1" x14ac:dyDescent="0.2">
      <c r="A137" s="184"/>
      <c r="B137" s="63"/>
      <c r="C137" s="32" t="s">
        <v>2446</v>
      </c>
      <c r="D137" s="11"/>
      <c r="E137" s="51">
        <v>50</v>
      </c>
      <c r="F137" s="13"/>
      <c r="G137" s="182">
        <v>12033.500000000004</v>
      </c>
      <c r="H137" s="18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s="64" customFormat="1" ht="13.5" customHeight="1" x14ac:dyDescent="0.2">
      <c r="A138" s="184">
        <v>43663</v>
      </c>
      <c r="B138" s="63"/>
      <c r="C138" s="138" t="s">
        <v>2447</v>
      </c>
      <c r="D138" s="11"/>
      <c r="E138" s="51">
        <v>10.5</v>
      </c>
      <c r="F138" s="13"/>
      <c r="G138" s="182">
        <v>12023.000000000004</v>
      </c>
      <c r="H138" s="18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s="64" customFormat="1" ht="13.5" customHeight="1" x14ac:dyDescent="0.2">
      <c r="A139" s="184"/>
      <c r="B139" s="63"/>
      <c r="C139" s="138" t="s">
        <v>2448</v>
      </c>
      <c r="D139" s="11"/>
      <c r="E139" s="51">
        <v>23</v>
      </c>
      <c r="F139" s="13"/>
      <c r="G139" s="182">
        <v>12000.000000000004</v>
      </c>
      <c r="H139" s="18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s="64" customFormat="1" ht="13.5" customHeight="1" x14ac:dyDescent="0.2">
      <c r="A140" s="184">
        <v>43677</v>
      </c>
      <c r="B140" s="63"/>
      <c r="C140" s="138" t="s">
        <v>2449</v>
      </c>
      <c r="D140" s="11"/>
      <c r="E140" s="51">
        <v>540</v>
      </c>
      <c r="F140" s="13"/>
      <c r="G140" s="205">
        <v>11460.000000000004</v>
      </c>
      <c r="H140" s="124" t="s">
        <v>3544</v>
      </c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3.5" customHeight="1" thickBot="1" x14ac:dyDescent="0.25">
      <c r="A141" s="180"/>
      <c r="B141" s="56"/>
      <c r="C141" s="56"/>
      <c r="D141" s="11"/>
      <c r="E141" s="653">
        <f>-SUM(E120:E140)</f>
        <v>-8941.4</v>
      </c>
      <c r="F141" s="647">
        <f>SUM(F124,F133)</f>
        <v>5401.4</v>
      </c>
      <c r="G141" s="182"/>
    </row>
    <row r="142" spans="1:27" ht="13.5" customHeight="1" thickBot="1" x14ac:dyDescent="0.25">
      <c r="A142" s="2" t="s">
        <v>2</v>
      </c>
      <c r="B142" s="3"/>
      <c r="C142" s="3" t="s">
        <v>3</v>
      </c>
      <c r="D142" s="550"/>
      <c r="E142" s="3"/>
      <c r="F142" s="3"/>
      <c r="G142" s="5" t="s">
        <v>7</v>
      </c>
    </row>
    <row r="143" spans="1:27" ht="13.5" customHeight="1" x14ac:dyDescent="0.2">
      <c r="A143" s="8">
        <v>43647</v>
      </c>
      <c r="B143" s="70"/>
      <c r="C143" s="10" t="s">
        <v>537</v>
      </c>
      <c r="D143" s="11"/>
      <c r="E143" s="67"/>
      <c r="F143" s="67"/>
      <c r="G143" s="205">
        <v>986.2</v>
      </c>
      <c r="H143" s="18"/>
    </row>
    <row r="144" spans="1:27" ht="13.5" customHeight="1" x14ac:dyDescent="0.2">
      <c r="A144" s="171"/>
      <c r="B144" s="46"/>
      <c r="C144" s="34" t="s">
        <v>136</v>
      </c>
      <c r="D144" s="11" t="s">
        <v>19</v>
      </c>
      <c r="E144" s="322">
        <v>-45.9</v>
      </c>
      <c r="F144" s="69" t="s">
        <v>549</v>
      </c>
      <c r="G144" s="182"/>
      <c r="H144" s="18"/>
    </row>
    <row r="145" spans="1:8" ht="13.5" customHeight="1" x14ac:dyDescent="0.2">
      <c r="A145" s="171"/>
      <c r="B145" s="46"/>
      <c r="C145" s="32" t="s">
        <v>1597</v>
      </c>
      <c r="D145" s="11" t="s">
        <v>19</v>
      </c>
      <c r="E145" s="69">
        <v>-0.12</v>
      </c>
      <c r="F145" s="69" t="s">
        <v>549</v>
      </c>
      <c r="G145" s="182"/>
      <c r="H145" s="18"/>
    </row>
    <row r="146" spans="1:8" ht="13.5" customHeight="1" x14ac:dyDescent="0.2">
      <c r="A146" s="171"/>
      <c r="B146" s="46"/>
      <c r="C146" s="36" t="s">
        <v>1598</v>
      </c>
      <c r="D146" s="11" t="s">
        <v>19</v>
      </c>
      <c r="E146" s="69">
        <v>-2.98</v>
      </c>
      <c r="F146" s="69" t="s">
        <v>549</v>
      </c>
      <c r="G146" s="182">
        <v>937.2</v>
      </c>
      <c r="H146" s="18"/>
    </row>
    <row r="147" spans="1:8" ht="13.5" customHeight="1" x14ac:dyDescent="0.2">
      <c r="A147" s="180" t="s">
        <v>2450</v>
      </c>
      <c r="B147" s="46"/>
      <c r="C147" s="34" t="s">
        <v>2451</v>
      </c>
      <c r="D147" s="11" t="s">
        <v>19</v>
      </c>
      <c r="E147" s="69">
        <v>-44.99</v>
      </c>
      <c r="F147" s="69" t="s">
        <v>549</v>
      </c>
      <c r="G147" s="182"/>
      <c r="H147" s="18"/>
    </row>
    <row r="148" spans="1:8" ht="13.5" customHeight="1" x14ac:dyDescent="0.2">
      <c r="A148" s="180"/>
      <c r="B148" s="46"/>
      <c r="C148" s="34" t="s">
        <v>2452</v>
      </c>
      <c r="D148" s="11" t="s">
        <v>19</v>
      </c>
      <c r="E148" s="61">
        <v>-58.48</v>
      </c>
      <c r="F148" s="61" t="s">
        <v>549</v>
      </c>
      <c r="G148" s="182"/>
      <c r="H148" s="18"/>
    </row>
    <row r="149" spans="1:8" ht="13.5" customHeight="1" x14ac:dyDescent="0.2">
      <c r="A149" s="180"/>
      <c r="B149" s="46"/>
      <c r="C149" s="34" t="s">
        <v>2452</v>
      </c>
      <c r="D149" s="11" t="s">
        <v>19</v>
      </c>
      <c r="E149" s="69">
        <v>-50.47</v>
      </c>
      <c r="F149" s="69" t="s">
        <v>549</v>
      </c>
      <c r="G149" s="182"/>
      <c r="H149" s="18"/>
    </row>
    <row r="150" spans="1:8" ht="13.5" customHeight="1" x14ac:dyDescent="0.2">
      <c r="A150" s="180"/>
      <c r="B150" s="9"/>
      <c r="C150" s="34" t="s">
        <v>2453</v>
      </c>
      <c r="D150" s="11" t="s">
        <v>2454</v>
      </c>
      <c r="E150" s="61">
        <v>-400</v>
      </c>
      <c r="F150" s="61" t="s">
        <v>549</v>
      </c>
      <c r="G150" s="182"/>
      <c r="H150" s="18"/>
    </row>
    <row r="151" spans="1:8" ht="13.5" customHeight="1" x14ac:dyDescent="0.2">
      <c r="A151" s="180"/>
      <c r="B151" s="9"/>
      <c r="C151" s="36" t="s">
        <v>20</v>
      </c>
      <c r="D151" s="11" t="s">
        <v>19</v>
      </c>
      <c r="E151" s="61" t="s">
        <v>549</v>
      </c>
      <c r="F151" s="61">
        <v>0.02</v>
      </c>
      <c r="G151" s="182">
        <v>383.28</v>
      </c>
      <c r="H151" s="18"/>
    </row>
    <row r="152" spans="1:8" ht="13.5" customHeight="1" x14ac:dyDescent="0.2">
      <c r="A152" s="180" t="s">
        <v>2455</v>
      </c>
      <c r="B152" s="9"/>
      <c r="C152" s="34" t="s">
        <v>2456</v>
      </c>
      <c r="D152" s="11" t="s">
        <v>1622</v>
      </c>
      <c r="E152" s="61">
        <v>-785</v>
      </c>
      <c r="F152" s="61" t="s">
        <v>549</v>
      </c>
      <c r="G152" s="182"/>
      <c r="H152" s="18"/>
    </row>
    <row r="153" spans="1:8" ht="13.5" customHeight="1" x14ac:dyDescent="0.2">
      <c r="A153" s="180"/>
      <c r="B153" s="9"/>
      <c r="C153" s="36" t="s">
        <v>20</v>
      </c>
      <c r="D153" s="11" t="s">
        <v>19</v>
      </c>
      <c r="E153" s="61" t="s">
        <v>549</v>
      </c>
      <c r="F153" s="61">
        <v>0.03</v>
      </c>
      <c r="G153" s="182">
        <v>-401.69</v>
      </c>
      <c r="H153" s="18"/>
    </row>
    <row r="154" spans="1:8" ht="13.5" customHeight="1" x14ac:dyDescent="0.2">
      <c r="A154" s="180" t="s">
        <v>2457</v>
      </c>
      <c r="B154" s="9"/>
      <c r="C154" s="34" t="s">
        <v>2458</v>
      </c>
      <c r="D154" s="11" t="s">
        <v>2459</v>
      </c>
      <c r="E154" s="61">
        <v>-131.80000000000001</v>
      </c>
      <c r="F154" s="61" t="s">
        <v>549</v>
      </c>
      <c r="G154" s="182">
        <v>-533.49</v>
      </c>
      <c r="H154" s="18"/>
    </row>
    <row r="155" spans="1:8" ht="13.5" customHeight="1" x14ac:dyDescent="0.2">
      <c r="A155" s="180" t="s">
        <v>2460</v>
      </c>
      <c r="B155" s="46"/>
      <c r="C155" s="34" t="s">
        <v>136</v>
      </c>
      <c r="D155" s="11" t="s">
        <v>2461</v>
      </c>
      <c r="E155" s="69" t="s">
        <v>549</v>
      </c>
      <c r="F155" s="322">
        <v>45.9</v>
      </c>
      <c r="G155" s="182"/>
      <c r="H155" s="18"/>
    </row>
    <row r="156" spans="1:8" ht="13.5" customHeight="1" x14ac:dyDescent="0.2">
      <c r="A156" s="180"/>
      <c r="B156" s="46"/>
      <c r="C156" s="34" t="s">
        <v>2462</v>
      </c>
      <c r="D156" s="11" t="s">
        <v>2463</v>
      </c>
      <c r="E156" s="69">
        <v>-71.19</v>
      </c>
      <c r="F156" s="69" t="s">
        <v>549</v>
      </c>
      <c r="G156" s="182"/>
      <c r="H156" s="18"/>
    </row>
    <row r="157" spans="1:8" ht="13.5" customHeight="1" x14ac:dyDescent="0.2">
      <c r="A157" s="180"/>
      <c r="B157" s="46"/>
      <c r="C157" s="34" t="s">
        <v>53</v>
      </c>
      <c r="D157" s="11" t="s">
        <v>2464</v>
      </c>
      <c r="E157" s="69">
        <v>-532.21</v>
      </c>
      <c r="F157" s="69" t="s">
        <v>549</v>
      </c>
      <c r="G157" s="182"/>
      <c r="H157" s="18"/>
    </row>
    <row r="158" spans="1:8" ht="13.5" customHeight="1" x14ac:dyDescent="0.2">
      <c r="A158" s="171"/>
      <c r="B158" s="46"/>
      <c r="C158" s="34" t="s">
        <v>1625</v>
      </c>
      <c r="D158" s="11" t="s">
        <v>2465</v>
      </c>
      <c r="E158" s="69" t="s">
        <v>549</v>
      </c>
      <c r="F158" s="322">
        <v>3000</v>
      </c>
      <c r="G158" s="182"/>
      <c r="H158" s="18"/>
    </row>
    <row r="159" spans="1:8" ht="13.5" customHeight="1" x14ac:dyDescent="0.2">
      <c r="A159" s="171"/>
      <c r="B159" s="46"/>
      <c r="C159" s="34" t="s">
        <v>2466</v>
      </c>
      <c r="D159" s="11" t="s">
        <v>2467</v>
      </c>
      <c r="E159" s="69">
        <v>-960</v>
      </c>
      <c r="F159" s="69" t="s">
        <v>549</v>
      </c>
      <c r="G159" s="182">
        <v>949.01</v>
      </c>
      <c r="H159" s="18"/>
    </row>
    <row r="160" spans="1:8" ht="13.5" customHeight="1" x14ac:dyDescent="0.2">
      <c r="A160" s="171" t="s">
        <v>2468</v>
      </c>
      <c r="B160" s="46"/>
      <c r="C160" s="34" t="s">
        <v>55</v>
      </c>
      <c r="D160" s="11" t="s">
        <v>19</v>
      </c>
      <c r="E160" s="69">
        <v>-400</v>
      </c>
      <c r="F160" s="69" t="s">
        <v>549</v>
      </c>
      <c r="G160" s="182"/>
      <c r="H160" s="18"/>
    </row>
    <row r="161" spans="1:8" ht="13.5" customHeight="1" x14ac:dyDescent="0.2">
      <c r="A161" s="171"/>
      <c r="B161" s="46"/>
      <c r="C161" s="34" t="s">
        <v>2469</v>
      </c>
      <c r="D161" s="11" t="s">
        <v>19</v>
      </c>
      <c r="E161" s="69">
        <v>-376.13</v>
      </c>
      <c r="F161" s="69" t="s">
        <v>549</v>
      </c>
      <c r="G161" s="182"/>
      <c r="H161" s="18"/>
    </row>
    <row r="162" spans="1:8" ht="13.5" customHeight="1" x14ac:dyDescent="0.2">
      <c r="A162" s="171"/>
      <c r="B162" s="46"/>
      <c r="C162" s="36" t="s">
        <v>20</v>
      </c>
      <c r="D162" s="11" t="s">
        <v>19</v>
      </c>
      <c r="E162" s="69" t="s">
        <v>549</v>
      </c>
      <c r="F162" s="69">
        <v>0.01</v>
      </c>
      <c r="G162" s="182">
        <v>172.89</v>
      </c>
      <c r="H162" s="18"/>
    </row>
    <row r="163" spans="1:8" ht="13.5" customHeight="1" x14ac:dyDescent="0.2">
      <c r="A163" s="171" t="s">
        <v>2470</v>
      </c>
      <c r="B163" s="46"/>
      <c r="C163" s="34" t="s">
        <v>62</v>
      </c>
      <c r="D163" s="11" t="s">
        <v>19</v>
      </c>
      <c r="E163" s="69">
        <v>-650.36</v>
      </c>
      <c r="F163" s="69" t="s">
        <v>549</v>
      </c>
      <c r="G163" s="182"/>
      <c r="H163" s="18"/>
    </row>
    <row r="164" spans="1:8" ht="13.5" customHeight="1" x14ac:dyDescent="0.2">
      <c r="A164" s="171"/>
      <c r="B164" s="46"/>
      <c r="C164" s="34" t="s">
        <v>2471</v>
      </c>
      <c r="D164" s="11" t="s">
        <v>863</v>
      </c>
      <c r="E164" s="69">
        <v>-467</v>
      </c>
      <c r="F164" s="69" t="s">
        <v>549</v>
      </c>
      <c r="G164" s="182"/>
      <c r="H164" s="18"/>
    </row>
    <row r="165" spans="1:8" ht="13.5" customHeight="1" x14ac:dyDescent="0.2">
      <c r="A165" s="171"/>
      <c r="B165" s="46"/>
      <c r="C165" s="36" t="s">
        <v>2371</v>
      </c>
      <c r="D165" s="11" t="s">
        <v>2472</v>
      </c>
      <c r="E165" s="69" t="s">
        <v>549</v>
      </c>
      <c r="F165" s="322">
        <v>1690</v>
      </c>
      <c r="G165" s="182">
        <v>745.53</v>
      </c>
      <c r="H165" s="18"/>
    </row>
    <row r="166" spans="1:8" ht="13.5" customHeight="1" x14ac:dyDescent="0.2">
      <c r="A166" s="171" t="s">
        <v>2473</v>
      </c>
      <c r="B166" s="46"/>
      <c r="C166" s="34" t="s">
        <v>2474</v>
      </c>
      <c r="D166" s="11" t="s">
        <v>2475</v>
      </c>
      <c r="E166" s="69">
        <v>-930</v>
      </c>
      <c r="F166" s="69" t="s">
        <v>549</v>
      </c>
      <c r="G166" s="182">
        <v>-184.47</v>
      </c>
      <c r="H166" s="18"/>
    </row>
    <row r="167" spans="1:8" ht="13.5" customHeight="1" x14ac:dyDescent="0.2">
      <c r="A167" s="171" t="s">
        <v>2476</v>
      </c>
      <c r="B167" s="46"/>
      <c r="C167" s="34" t="s">
        <v>87</v>
      </c>
      <c r="D167" s="11" t="s">
        <v>19</v>
      </c>
      <c r="E167" s="69">
        <v>-42.31</v>
      </c>
      <c r="F167" s="69" t="s">
        <v>549</v>
      </c>
      <c r="G167" s="182">
        <v>-226.78</v>
      </c>
      <c r="H167" s="18"/>
    </row>
    <row r="168" spans="1:8" ht="13.5" customHeight="1" x14ac:dyDescent="0.2">
      <c r="A168" s="171" t="s">
        <v>2477</v>
      </c>
      <c r="B168" s="46"/>
      <c r="C168" s="34" t="s">
        <v>86</v>
      </c>
      <c r="D168" s="11" t="s">
        <v>19</v>
      </c>
      <c r="E168" s="69">
        <v>-75.900000000000006</v>
      </c>
      <c r="F168" s="69" t="s">
        <v>549</v>
      </c>
      <c r="G168" s="182"/>
      <c r="H168" s="18"/>
    </row>
    <row r="169" spans="1:8" ht="13.5" customHeight="1" x14ac:dyDescent="0.2">
      <c r="A169" s="171"/>
      <c r="B169" s="46"/>
      <c r="C169" s="21" t="s">
        <v>113</v>
      </c>
      <c r="D169" s="11" t="s">
        <v>2478</v>
      </c>
      <c r="E169" s="69">
        <v>-267</v>
      </c>
      <c r="F169" s="69" t="s">
        <v>549</v>
      </c>
      <c r="G169" s="182"/>
      <c r="H169" s="18"/>
    </row>
    <row r="170" spans="1:8" ht="13.5" customHeight="1" x14ac:dyDescent="0.2">
      <c r="A170" s="171"/>
      <c r="B170" s="46"/>
      <c r="C170" s="36" t="s">
        <v>2394</v>
      </c>
      <c r="D170" s="11" t="s">
        <v>2479</v>
      </c>
      <c r="E170" s="69" t="s">
        <v>549</v>
      </c>
      <c r="F170" s="322">
        <v>3710</v>
      </c>
      <c r="G170" s="182"/>
      <c r="H170" s="18"/>
    </row>
    <row r="171" spans="1:8" ht="13.5" customHeight="1" x14ac:dyDescent="0.2">
      <c r="A171" s="171"/>
      <c r="B171" s="46"/>
      <c r="C171" s="33" t="s">
        <v>81</v>
      </c>
      <c r="D171" s="11" t="s">
        <v>19</v>
      </c>
      <c r="E171" s="69">
        <v>-49.9</v>
      </c>
      <c r="F171" s="69" t="s">
        <v>549</v>
      </c>
      <c r="G171" s="182"/>
      <c r="H171" s="18"/>
    </row>
    <row r="172" spans="1:8" ht="13.5" customHeight="1" x14ac:dyDescent="0.2">
      <c r="A172" s="171"/>
      <c r="B172" s="46"/>
      <c r="C172" s="34" t="s">
        <v>673</v>
      </c>
      <c r="D172" s="11" t="s">
        <v>19</v>
      </c>
      <c r="E172" s="69">
        <v>-99.98</v>
      </c>
      <c r="F172" s="69" t="s">
        <v>549</v>
      </c>
      <c r="G172" s="182">
        <v>2990.44</v>
      </c>
      <c r="H172" s="18"/>
    </row>
    <row r="173" spans="1:8" ht="13.5" customHeight="1" x14ac:dyDescent="0.2">
      <c r="A173" s="171" t="s">
        <v>2480</v>
      </c>
      <c r="B173" s="46"/>
      <c r="C173" s="34" t="s">
        <v>2268</v>
      </c>
      <c r="D173" s="11" t="s">
        <v>19</v>
      </c>
      <c r="E173" s="69">
        <v>-44.53</v>
      </c>
      <c r="F173" s="69" t="s">
        <v>549</v>
      </c>
      <c r="G173" s="182"/>
      <c r="H173" s="18"/>
    </row>
    <row r="174" spans="1:8" ht="13.5" customHeight="1" x14ac:dyDescent="0.2">
      <c r="A174" s="171"/>
      <c r="B174" s="46"/>
      <c r="C174" s="34" t="s">
        <v>2266</v>
      </c>
      <c r="D174" s="11" t="s">
        <v>19</v>
      </c>
      <c r="E174" s="69">
        <v>-44.16</v>
      </c>
      <c r="F174" s="69" t="s">
        <v>549</v>
      </c>
      <c r="G174" s="182">
        <v>2901.75</v>
      </c>
      <c r="H174" s="18"/>
    </row>
    <row r="175" spans="1:8" ht="13.5" customHeight="1" x14ac:dyDescent="0.2">
      <c r="A175" s="171" t="s">
        <v>2481</v>
      </c>
      <c r="B175" s="46"/>
      <c r="C175" s="34" t="s">
        <v>68</v>
      </c>
      <c r="D175" s="11" t="s">
        <v>19</v>
      </c>
      <c r="E175" s="69">
        <v>-132.83000000000001</v>
      </c>
      <c r="F175" s="69" t="s">
        <v>549</v>
      </c>
      <c r="G175" s="182">
        <v>2768.92</v>
      </c>
      <c r="H175" s="18"/>
    </row>
    <row r="176" spans="1:8" ht="13.5" customHeight="1" x14ac:dyDescent="0.2">
      <c r="A176" s="171" t="s">
        <v>2482</v>
      </c>
      <c r="B176" s="46"/>
      <c r="C176" s="33" t="s">
        <v>736</v>
      </c>
      <c r="D176" s="11" t="s">
        <v>19</v>
      </c>
      <c r="E176" s="69">
        <v>-44.99</v>
      </c>
      <c r="F176" s="69" t="s">
        <v>549</v>
      </c>
      <c r="G176" s="182"/>
      <c r="H176" s="18"/>
    </row>
    <row r="177" spans="1:8" ht="13.5" customHeight="1" x14ac:dyDescent="0.2">
      <c r="A177" s="171"/>
      <c r="B177" s="46"/>
      <c r="C177" s="36" t="s">
        <v>129</v>
      </c>
      <c r="D177" s="11" t="s">
        <v>19</v>
      </c>
      <c r="E177" s="69">
        <v>-48.2</v>
      </c>
      <c r="F177" s="69" t="s">
        <v>549</v>
      </c>
      <c r="G177" s="182"/>
      <c r="H177" s="18"/>
    </row>
    <row r="178" spans="1:8" ht="13.5" customHeight="1" x14ac:dyDescent="0.2">
      <c r="A178" s="171"/>
      <c r="B178" s="46"/>
      <c r="C178" s="36" t="s">
        <v>127</v>
      </c>
      <c r="D178" s="11" t="s">
        <v>19</v>
      </c>
      <c r="E178" s="69">
        <v>-48.2</v>
      </c>
      <c r="F178" s="69" t="s">
        <v>549</v>
      </c>
      <c r="G178" s="182"/>
      <c r="H178" s="18"/>
    </row>
    <row r="179" spans="1:8" ht="13.5" customHeight="1" x14ac:dyDescent="0.2">
      <c r="A179" s="171"/>
      <c r="B179" s="46"/>
      <c r="C179" s="36" t="s">
        <v>130</v>
      </c>
      <c r="D179" s="11" t="s">
        <v>19</v>
      </c>
      <c r="E179" s="69">
        <v>-124.83</v>
      </c>
      <c r="F179" s="69" t="s">
        <v>549</v>
      </c>
      <c r="G179" s="182"/>
      <c r="H179" s="18"/>
    </row>
    <row r="180" spans="1:8" ht="13.5" customHeight="1" x14ac:dyDescent="0.2">
      <c r="A180" s="171"/>
      <c r="B180" s="46"/>
      <c r="C180" s="33" t="s">
        <v>737</v>
      </c>
      <c r="D180" s="11" t="s">
        <v>19</v>
      </c>
      <c r="E180" s="69">
        <v>-151.84</v>
      </c>
      <c r="F180" s="69" t="s">
        <v>549</v>
      </c>
      <c r="G180" s="182"/>
      <c r="H180" s="18"/>
    </row>
    <row r="181" spans="1:8" ht="13.5" customHeight="1" x14ac:dyDescent="0.2">
      <c r="A181" s="171"/>
      <c r="B181" s="46"/>
      <c r="C181" s="34" t="s">
        <v>132</v>
      </c>
      <c r="D181" s="11" t="s">
        <v>2483</v>
      </c>
      <c r="E181" s="69">
        <v>-3074.61</v>
      </c>
      <c r="F181" s="69" t="s">
        <v>549</v>
      </c>
      <c r="G181" s="182"/>
      <c r="H181" s="18"/>
    </row>
    <row r="182" spans="1:8" ht="13.5" customHeight="1" x14ac:dyDescent="0.2">
      <c r="A182" s="171"/>
      <c r="B182" s="46"/>
      <c r="C182" s="34" t="s">
        <v>2484</v>
      </c>
      <c r="D182" s="11" t="s">
        <v>108</v>
      </c>
      <c r="E182" s="69">
        <v>-119.9</v>
      </c>
      <c r="F182" s="69" t="s">
        <v>549</v>
      </c>
      <c r="G182" s="182"/>
      <c r="H182" s="18"/>
    </row>
    <row r="183" spans="1:8" ht="13.5" customHeight="1" x14ac:dyDescent="0.2">
      <c r="A183" s="171"/>
      <c r="B183" s="46"/>
      <c r="C183" s="34" t="s">
        <v>1625</v>
      </c>
      <c r="D183" s="11" t="s">
        <v>2485</v>
      </c>
      <c r="E183" s="69" t="s">
        <v>549</v>
      </c>
      <c r="F183" s="322">
        <v>3000</v>
      </c>
      <c r="G183" s="182"/>
      <c r="H183" s="18"/>
    </row>
    <row r="184" spans="1:8" ht="13.5" customHeight="1" x14ac:dyDescent="0.2">
      <c r="A184" s="171"/>
      <c r="B184" s="46"/>
      <c r="C184" s="34" t="s">
        <v>2486</v>
      </c>
      <c r="D184" s="11" t="s">
        <v>2487</v>
      </c>
      <c r="E184" s="69">
        <v>-119.99</v>
      </c>
      <c r="F184" s="69" t="s">
        <v>549</v>
      </c>
      <c r="G184" s="182"/>
      <c r="H184" s="18"/>
    </row>
    <row r="185" spans="1:8" ht="13.5" customHeight="1" x14ac:dyDescent="0.2">
      <c r="A185" s="171"/>
      <c r="B185" s="46"/>
      <c r="C185" s="36" t="s">
        <v>20</v>
      </c>
      <c r="D185" s="11" t="s">
        <v>19</v>
      </c>
      <c r="E185" s="69" t="s">
        <v>549</v>
      </c>
      <c r="F185" s="69">
        <v>0.01</v>
      </c>
      <c r="G185" s="182">
        <v>2036.37</v>
      </c>
      <c r="H185" s="18"/>
    </row>
    <row r="186" spans="1:8" ht="13.5" customHeight="1" x14ac:dyDescent="0.2">
      <c r="A186" s="171" t="s">
        <v>2488</v>
      </c>
      <c r="B186" s="46"/>
      <c r="C186" s="36" t="s">
        <v>2412</v>
      </c>
      <c r="D186" s="11" t="s">
        <v>2489</v>
      </c>
      <c r="E186" s="69" t="s">
        <v>549</v>
      </c>
      <c r="F186" s="322">
        <v>203.5</v>
      </c>
      <c r="G186" s="182">
        <v>2239.87</v>
      </c>
      <c r="H186" s="18" t="s">
        <v>3544</v>
      </c>
    </row>
    <row r="187" spans="1:8" ht="13.5" customHeight="1" x14ac:dyDescent="0.2">
      <c r="A187" s="171" t="s">
        <v>2490</v>
      </c>
      <c r="B187" s="46"/>
      <c r="C187" s="34" t="s">
        <v>2491</v>
      </c>
      <c r="D187" s="11" t="s">
        <v>19</v>
      </c>
      <c r="E187" s="69">
        <v>-730</v>
      </c>
      <c r="F187" s="69" t="s">
        <v>549</v>
      </c>
      <c r="G187" s="182"/>
      <c r="H187" s="18"/>
    </row>
    <row r="188" spans="1:8" ht="13.5" customHeight="1" x14ac:dyDescent="0.2">
      <c r="A188" s="171"/>
      <c r="B188" s="46"/>
      <c r="C188" s="34" t="s">
        <v>2492</v>
      </c>
      <c r="D188" s="11" t="s">
        <v>19</v>
      </c>
      <c r="E188" s="69">
        <v>-100</v>
      </c>
      <c r="F188" s="69" t="s">
        <v>549</v>
      </c>
      <c r="G188" s="182"/>
      <c r="H188" s="18"/>
    </row>
    <row r="189" spans="1:8" ht="13.5" customHeight="1" x14ac:dyDescent="0.2">
      <c r="A189" s="171"/>
      <c r="B189" s="46"/>
      <c r="C189" s="36" t="s">
        <v>20</v>
      </c>
      <c r="D189" s="11" t="s">
        <v>19</v>
      </c>
      <c r="E189" s="69" t="s">
        <v>549</v>
      </c>
      <c r="F189" s="69">
        <v>0.02</v>
      </c>
      <c r="G189" s="182">
        <v>1409.89</v>
      </c>
      <c r="H189" s="18"/>
    </row>
    <row r="190" spans="1:8" ht="13.5" customHeight="1" x14ac:dyDescent="0.2">
      <c r="A190" s="171" t="s">
        <v>2493</v>
      </c>
      <c r="B190" s="46"/>
      <c r="C190" s="34" t="s">
        <v>136</v>
      </c>
      <c r="D190" s="11" t="s">
        <v>19</v>
      </c>
      <c r="E190" s="69">
        <v>-45.9</v>
      </c>
      <c r="F190" s="69" t="s">
        <v>549</v>
      </c>
      <c r="G190" s="182">
        <v>1363.99</v>
      </c>
      <c r="H190" s="18"/>
    </row>
    <row r="191" spans="1:8" ht="13.5" customHeight="1" x14ac:dyDescent="0.2">
      <c r="A191" s="171" t="s">
        <v>2494</v>
      </c>
      <c r="B191" s="46"/>
      <c r="C191" s="34" t="s">
        <v>82</v>
      </c>
      <c r="D191" s="11" t="s">
        <v>19</v>
      </c>
      <c r="E191" s="69">
        <v>-859.41</v>
      </c>
      <c r="F191" s="69" t="s">
        <v>549</v>
      </c>
      <c r="G191" s="182"/>
      <c r="H191" s="18"/>
    </row>
    <row r="192" spans="1:8" ht="13.5" customHeight="1" x14ac:dyDescent="0.2">
      <c r="A192" s="171"/>
      <c r="B192" s="46"/>
      <c r="C192" s="34" t="s">
        <v>1625</v>
      </c>
      <c r="D192" s="11" t="s">
        <v>2495</v>
      </c>
      <c r="E192" s="69" t="s">
        <v>549</v>
      </c>
      <c r="F192" s="322">
        <v>1000</v>
      </c>
      <c r="G192" s="182"/>
      <c r="H192" s="18"/>
    </row>
    <row r="193" spans="1:12" ht="13.5" customHeight="1" x14ac:dyDescent="0.2">
      <c r="A193" s="171"/>
      <c r="B193" s="46"/>
      <c r="C193" s="34" t="s">
        <v>2496</v>
      </c>
      <c r="D193" s="11" t="s">
        <v>19</v>
      </c>
      <c r="E193" s="69">
        <v>-890</v>
      </c>
      <c r="F193" s="69" t="s">
        <v>549</v>
      </c>
      <c r="G193" s="182"/>
      <c r="H193" s="18"/>
    </row>
    <row r="194" spans="1:12" ht="13.5" customHeight="1" x14ac:dyDescent="0.2">
      <c r="A194" s="171"/>
      <c r="B194" s="46"/>
      <c r="C194" s="36" t="s">
        <v>20</v>
      </c>
      <c r="D194" s="11"/>
      <c r="E194" s="69"/>
      <c r="F194" s="69">
        <v>0.03</v>
      </c>
      <c r="G194" s="182">
        <v>614.61</v>
      </c>
      <c r="H194" s="18"/>
    </row>
    <row r="195" spans="1:12" ht="13.5" customHeight="1" x14ac:dyDescent="0.2">
      <c r="A195" s="171">
        <v>43675</v>
      </c>
      <c r="B195" s="46"/>
      <c r="C195" s="34" t="s">
        <v>18</v>
      </c>
      <c r="D195" s="11"/>
      <c r="E195" s="69">
        <v>-353.97</v>
      </c>
      <c r="F195" s="69"/>
      <c r="G195" s="182"/>
      <c r="H195" s="18"/>
    </row>
    <row r="196" spans="1:12" ht="13.5" customHeight="1" x14ac:dyDescent="0.2">
      <c r="A196" s="171"/>
      <c r="B196" s="46"/>
      <c r="C196" s="36" t="s">
        <v>20</v>
      </c>
      <c r="D196" s="11"/>
      <c r="E196" s="69"/>
      <c r="F196" s="69">
        <v>0.02</v>
      </c>
      <c r="G196" s="205">
        <v>260.66000000000003</v>
      </c>
      <c r="H196" s="124"/>
    </row>
    <row r="197" spans="1:12" ht="13.5" customHeight="1" thickBot="1" x14ac:dyDescent="0.25">
      <c r="A197" s="171"/>
      <c r="B197" s="46"/>
      <c r="C197" s="34"/>
      <c r="D197" s="553"/>
      <c r="E197" s="654">
        <f>SUM(E145:E196)</f>
        <v>-13329.179999999997</v>
      </c>
      <c r="F197" s="654">
        <f>SUM(F151:F153,F162,F185,F194:F196,F189)</f>
        <v>0.14000000000000001</v>
      </c>
      <c r="G197" s="182"/>
    </row>
    <row r="198" spans="1:12" ht="13.5" customHeight="1" thickBot="1" x14ac:dyDescent="0.25">
      <c r="A198" s="2" t="s">
        <v>2</v>
      </c>
      <c r="B198" s="3"/>
      <c r="C198" s="3" t="s">
        <v>481</v>
      </c>
      <c r="D198" s="550"/>
      <c r="E198" s="3"/>
      <c r="F198" s="3"/>
      <c r="G198" s="5" t="s">
        <v>7</v>
      </c>
      <c r="H198" s="1415" t="s">
        <v>482</v>
      </c>
      <c r="I198" s="1416"/>
      <c r="J198" s="1417"/>
    </row>
    <row r="199" spans="1:12" ht="13.5" customHeight="1" x14ac:dyDescent="0.2">
      <c r="A199" s="8">
        <v>43647</v>
      </c>
      <c r="B199" s="70"/>
      <c r="C199" s="10" t="s">
        <v>537</v>
      </c>
      <c r="D199" s="554"/>
      <c r="E199" s="67"/>
      <c r="F199" s="67"/>
      <c r="G199" s="205">
        <v>0</v>
      </c>
      <c r="H199" s="179"/>
      <c r="I199" s="57"/>
      <c r="J199" s="58">
        <v>7931.31</v>
      </c>
      <c r="L199" s="18"/>
    </row>
    <row r="200" spans="1:12" ht="13.5" customHeight="1" x14ac:dyDescent="0.2">
      <c r="A200" s="555"/>
      <c r="B200" s="553" t="s">
        <v>483</v>
      </c>
      <c r="C200" s="456" t="s">
        <v>2497</v>
      </c>
      <c r="D200" s="553" t="s">
        <v>2498</v>
      </c>
      <c r="E200" s="556">
        <v>-46.05</v>
      </c>
      <c r="F200" s="60"/>
      <c r="G200" s="182" t="s">
        <v>483</v>
      </c>
      <c r="H200" s="59"/>
      <c r="I200" s="60"/>
      <c r="J200" s="61">
        <v>7931.31</v>
      </c>
      <c r="L200" s="18"/>
    </row>
    <row r="201" spans="1:12" ht="13.5" customHeight="1" x14ac:dyDescent="0.2">
      <c r="A201" s="555"/>
      <c r="B201" s="553" t="s">
        <v>483</v>
      </c>
      <c r="C201" s="36" t="s">
        <v>174</v>
      </c>
      <c r="D201" s="553" t="s">
        <v>488</v>
      </c>
      <c r="E201" s="60"/>
      <c r="F201" s="556">
        <v>46.05</v>
      </c>
      <c r="G201" s="182">
        <v>0</v>
      </c>
      <c r="H201" s="59">
        <v>46.05</v>
      </c>
      <c r="I201" s="60"/>
      <c r="J201" s="61">
        <v>7885.26</v>
      </c>
      <c r="L201" s="18"/>
    </row>
    <row r="202" spans="1:12" ht="13.5" customHeight="1" x14ac:dyDescent="0.2">
      <c r="A202" s="555" t="s">
        <v>2499</v>
      </c>
      <c r="B202" s="553" t="s">
        <v>483</v>
      </c>
      <c r="C202" s="32" t="s">
        <v>199</v>
      </c>
      <c r="D202" s="553" t="s">
        <v>488</v>
      </c>
      <c r="E202" s="556">
        <v>-141.9</v>
      </c>
      <c r="F202" s="60"/>
      <c r="G202" s="182" t="s">
        <v>483</v>
      </c>
      <c r="H202" s="59"/>
      <c r="I202" s="60"/>
      <c r="J202" s="61">
        <v>7885.26</v>
      </c>
      <c r="L202" s="18"/>
    </row>
    <row r="203" spans="1:12" ht="13.5" customHeight="1" x14ac:dyDescent="0.2">
      <c r="A203" s="555"/>
      <c r="B203" s="553" t="s">
        <v>483</v>
      </c>
      <c r="C203" s="36" t="s">
        <v>174</v>
      </c>
      <c r="D203" s="553" t="s">
        <v>488</v>
      </c>
      <c r="E203" s="60"/>
      <c r="F203" s="556">
        <v>141.9</v>
      </c>
      <c r="G203" s="182">
        <v>0</v>
      </c>
      <c r="H203" s="59">
        <v>141.9</v>
      </c>
      <c r="I203" s="60"/>
      <c r="J203" s="61">
        <v>7743.3600000000006</v>
      </c>
      <c r="L203" s="18"/>
    </row>
    <row r="204" spans="1:12" ht="13.5" customHeight="1" x14ac:dyDescent="0.2">
      <c r="A204" s="555" t="s">
        <v>2500</v>
      </c>
      <c r="B204" s="553" t="s">
        <v>483</v>
      </c>
      <c r="C204" s="36" t="s">
        <v>177</v>
      </c>
      <c r="D204" s="553" t="s">
        <v>488</v>
      </c>
      <c r="E204" s="556">
        <v>-232.49</v>
      </c>
      <c r="F204" s="60"/>
      <c r="G204" s="182">
        <v>-232.49</v>
      </c>
      <c r="H204" s="59"/>
      <c r="I204" s="60"/>
      <c r="J204" s="61">
        <v>7743.3600000000006</v>
      </c>
      <c r="L204" s="18"/>
    </row>
    <row r="205" spans="1:12" ht="13.5" customHeight="1" x14ac:dyDescent="0.2">
      <c r="A205" s="171"/>
      <c r="B205" s="46" t="s">
        <v>483</v>
      </c>
      <c r="C205" s="34" t="s">
        <v>173</v>
      </c>
      <c r="D205" s="11" t="s">
        <v>2501</v>
      </c>
      <c r="E205" s="557">
        <v>-886.88</v>
      </c>
      <c r="F205" s="69"/>
      <c r="G205" s="182" t="s">
        <v>483</v>
      </c>
      <c r="H205" s="59"/>
      <c r="I205" s="60"/>
      <c r="J205" s="61">
        <v>7743.3600000000006</v>
      </c>
      <c r="L205" s="18"/>
    </row>
    <row r="206" spans="1:12" ht="13.5" customHeight="1" x14ac:dyDescent="0.2">
      <c r="A206" s="171"/>
      <c r="B206" s="46" t="s">
        <v>483</v>
      </c>
      <c r="C206" s="34" t="s">
        <v>172</v>
      </c>
      <c r="D206" s="11" t="s">
        <v>2502</v>
      </c>
      <c r="E206" s="557">
        <v>-608.67999999999995</v>
      </c>
      <c r="F206" s="69"/>
      <c r="G206" s="182" t="s">
        <v>483</v>
      </c>
      <c r="H206" s="59"/>
      <c r="I206" s="60"/>
      <c r="J206" s="61">
        <v>7743.3600000000006</v>
      </c>
      <c r="L206" s="18"/>
    </row>
    <row r="207" spans="1:12" ht="13.5" customHeight="1" x14ac:dyDescent="0.2">
      <c r="A207" s="171"/>
      <c r="B207" s="46" t="s">
        <v>483</v>
      </c>
      <c r="C207" s="36" t="s">
        <v>174</v>
      </c>
      <c r="D207" s="11" t="s">
        <v>488</v>
      </c>
      <c r="E207" s="69"/>
      <c r="F207" s="557">
        <v>1728.05</v>
      </c>
      <c r="G207" s="182">
        <v>0</v>
      </c>
      <c r="H207" s="59">
        <v>1728.05</v>
      </c>
      <c r="I207" s="60"/>
      <c r="J207" s="61">
        <v>6015.31</v>
      </c>
      <c r="L207" s="18"/>
    </row>
    <row r="208" spans="1:12" ht="13.5" customHeight="1" x14ac:dyDescent="0.2">
      <c r="A208" s="171" t="s">
        <v>2503</v>
      </c>
      <c r="B208" s="46" t="s">
        <v>483</v>
      </c>
      <c r="C208" s="34" t="s">
        <v>1625</v>
      </c>
      <c r="D208" s="11" t="s">
        <v>2504</v>
      </c>
      <c r="E208" s="322">
        <v>-3000</v>
      </c>
      <c r="F208" s="557"/>
      <c r="G208" s="182"/>
      <c r="H208" s="59"/>
      <c r="I208" s="60"/>
      <c r="J208" s="61">
        <v>6015.31</v>
      </c>
      <c r="L208" s="18"/>
    </row>
    <row r="209" spans="1:12" ht="13.5" customHeight="1" x14ac:dyDescent="0.2">
      <c r="A209" s="171"/>
      <c r="B209" s="46" t="s">
        <v>483</v>
      </c>
      <c r="C209" s="36" t="s">
        <v>174</v>
      </c>
      <c r="D209" s="11" t="s">
        <v>488</v>
      </c>
      <c r="E209" s="69"/>
      <c r="F209" s="557">
        <v>3000</v>
      </c>
      <c r="G209" s="182">
        <v>0</v>
      </c>
      <c r="H209" s="59">
        <v>3000</v>
      </c>
      <c r="I209" s="60"/>
      <c r="J209" s="61">
        <v>3015.3100000000004</v>
      </c>
      <c r="L209" s="18"/>
    </row>
    <row r="210" spans="1:12" ht="13.5" customHeight="1" x14ac:dyDescent="0.2">
      <c r="A210" s="171" t="s">
        <v>2505</v>
      </c>
      <c r="B210" s="46" t="s">
        <v>483</v>
      </c>
      <c r="C210" s="36" t="s">
        <v>180</v>
      </c>
      <c r="D210" s="11" t="s">
        <v>488</v>
      </c>
      <c r="E210" s="557">
        <v>-211.26</v>
      </c>
      <c r="F210" s="69"/>
      <c r="G210" s="182">
        <v>-211.26</v>
      </c>
      <c r="H210" s="59"/>
      <c r="I210" s="60"/>
      <c r="J210" s="61">
        <v>3015.3100000000004</v>
      </c>
      <c r="L210" s="18"/>
    </row>
    <row r="211" spans="1:12" ht="13.5" customHeight="1" x14ac:dyDescent="0.2">
      <c r="A211" s="171"/>
      <c r="B211" s="46" t="s">
        <v>483</v>
      </c>
      <c r="C211" s="36" t="s">
        <v>174</v>
      </c>
      <c r="D211" s="11" t="s">
        <v>488</v>
      </c>
      <c r="E211" s="69"/>
      <c r="F211" s="557">
        <v>211.26</v>
      </c>
      <c r="G211" s="182">
        <v>0</v>
      </c>
      <c r="H211" s="59">
        <v>211.26</v>
      </c>
      <c r="I211" s="60"/>
      <c r="J211" s="61">
        <v>2804.05</v>
      </c>
      <c r="L211" s="18"/>
    </row>
    <row r="212" spans="1:12" ht="13.5" customHeight="1" x14ac:dyDescent="0.2">
      <c r="A212" s="171" t="s">
        <v>2506</v>
      </c>
      <c r="B212" s="46" t="s">
        <v>483</v>
      </c>
      <c r="C212" s="34" t="s">
        <v>2507</v>
      </c>
      <c r="D212" s="11" t="s">
        <v>575</v>
      </c>
      <c r="E212" s="557">
        <v>-287.8</v>
      </c>
      <c r="F212" s="69"/>
      <c r="G212" s="182" t="s">
        <v>483</v>
      </c>
      <c r="H212" s="59"/>
      <c r="I212" s="60"/>
      <c r="J212" s="61">
        <v>2804.05</v>
      </c>
      <c r="L212" s="18"/>
    </row>
    <row r="213" spans="1:12" ht="13.5" customHeight="1" x14ac:dyDescent="0.2">
      <c r="A213" s="171"/>
      <c r="B213" s="46" t="s">
        <v>483</v>
      </c>
      <c r="C213" s="36" t="s">
        <v>174</v>
      </c>
      <c r="D213" s="11" t="s">
        <v>488</v>
      </c>
      <c r="E213" s="69"/>
      <c r="F213" s="557">
        <v>287.8</v>
      </c>
      <c r="G213" s="182">
        <v>0</v>
      </c>
      <c r="H213" s="59">
        <v>287.8</v>
      </c>
      <c r="I213" s="60"/>
      <c r="J213" s="61">
        <v>2516.25</v>
      </c>
      <c r="L213" s="18"/>
    </row>
    <row r="214" spans="1:12" ht="13.5" customHeight="1" x14ac:dyDescent="0.2">
      <c r="A214" s="171" t="s">
        <v>2508</v>
      </c>
      <c r="B214" s="46" t="s">
        <v>483</v>
      </c>
      <c r="C214" s="34" t="s">
        <v>2509</v>
      </c>
      <c r="D214" s="11" t="s">
        <v>2510</v>
      </c>
      <c r="E214" s="557">
        <v>-100</v>
      </c>
      <c r="F214" s="69"/>
      <c r="G214" s="182" t="s">
        <v>483</v>
      </c>
      <c r="H214" s="59"/>
      <c r="I214" s="60"/>
      <c r="J214" s="61">
        <v>2516.25</v>
      </c>
      <c r="L214" s="18"/>
    </row>
    <row r="215" spans="1:12" ht="13.5" customHeight="1" x14ac:dyDescent="0.2">
      <c r="A215" s="171"/>
      <c r="B215" s="46" t="s">
        <v>483</v>
      </c>
      <c r="C215" s="34" t="s">
        <v>174</v>
      </c>
      <c r="D215" s="11" t="s">
        <v>488</v>
      </c>
      <c r="E215" s="69"/>
      <c r="F215" s="557">
        <v>100</v>
      </c>
      <c r="G215" s="182">
        <v>0</v>
      </c>
      <c r="H215" s="59">
        <v>100</v>
      </c>
      <c r="I215" s="60"/>
      <c r="J215" s="61">
        <v>2416.25</v>
      </c>
      <c r="L215" s="18"/>
    </row>
    <row r="216" spans="1:12" ht="13.5" customHeight="1" x14ac:dyDescent="0.2">
      <c r="A216" s="171" t="s">
        <v>2511</v>
      </c>
      <c r="B216" s="46" t="s">
        <v>483</v>
      </c>
      <c r="C216" s="34" t="s">
        <v>2512</v>
      </c>
      <c r="D216" s="11" t="s">
        <v>2513</v>
      </c>
      <c r="E216" s="557">
        <v>-119.8</v>
      </c>
      <c r="F216" s="69"/>
      <c r="G216" s="182" t="s">
        <v>483</v>
      </c>
      <c r="H216" s="59"/>
      <c r="I216" s="60"/>
      <c r="J216" s="61">
        <v>2416.25</v>
      </c>
      <c r="L216" s="18"/>
    </row>
    <row r="217" spans="1:12" ht="13.5" customHeight="1" x14ac:dyDescent="0.2">
      <c r="A217" s="171"/>
      <c r="B217" s="46" t="s">
        <v>483</v>
      </c>
      <c r="C217" s="34" t="s">
        <v>2514</v>
      </c>
      <c r="D217" s="11" t="s">
        <v>2515</v>
      </c>
      <c r="E217" s="557">
        <v>-39.799999999999997</v>
      </c>
      <c r="F217" s="69"/>
      <c r="G217" s="182" t="s">
        <v>483</v>
      </c>
      <c r="H217" s="59"/>
      <c r="I217" s="60"/>
      <c r="J217" s="61">
        <v>2416.25</v>
      </c>
      <c r="L217" s="18"/>
    </row>
    <row r="218" spans="1:12" ht="13.5" customHeight="1" x14ac:dyDescent="0.2">
      <c r="A218" s="171"/>
      <c r="B218" s="46" t="s">
        <v>483</v>
      </c>
      <c r="C218" s="36" t="s">
        <v>174</v>
      </c>
      <c r="D218" s="11" t="s">
        <v>488</v>
      </c>
      <c r="E218" s="69"/>
      <c r="F218" s="557">
        <v>159.6</v>
      </c>
      <c r="G218" s="182">
        <v>0</v>
      </c>
      <c r="H218" s="59">
        <v>159.6</v>
      </c>
      <c r="I218" s="60"/>
      <c r="J218" s="61">
        <v>2256.65</v>
      </c>
      <c r="L218" s="18"/>
    </row>
    <row r="219" spans="1:12" ht="13.5" customHeight="1" x14ac:dyDescent="0.2">
      <c r="A219" s="171" t="s">
        <v>2516</v>
      </c>
      <c r="B219" s="46" t="s">
        <v>483</v>
      </c>
      <c r="C219" s="32" t="s">
        <v>2517</v>
      </c>
      <c r="D219" s="11" t="s">
        <v>1388</v>
      </c>
      <c r="E219" s="557">
        <v>-754</v>
      </c>
      <c r="F219" s="69"/>
      <c r="G219" s="182" t="s">
        <v>483</v>
      </c>
      <c r="H219" s="59"/>
      <c r="I219" s="60"/>
      <c r="J219" s="61">
        <v>2256.65</v>
      </c>
      <c r="L219" s="18"/>
    </row>
    <row r="220" spans="1:12" ht="13.5" customHeight="1" x14ac:dyDescent="0.2">
      <c r="A220" s="171"/>
      <c r="B220" s="46" t="s">
        <v>483</v>
      </c>
      <c r="C220" s="36" t="s">
        <v>2518</v>
      </c>
      <c r="D220" s="11" t="s">
        <v>488</v>
      </c>
      <c r="E220" s="69"/>
      <c r="F220" s="557">
        <v>4731.47</v>
      </c>
      <c r="G220" s="182" t="s">
        <v>483</v>
      </c>
      <c r="H220" s="59"/>
      <c r="I220" s="60"/>
      <c r="J220" s="61">
        <v>2256.65</v>
      </c>
      <c r="L220" s="18"/>
    </row>
    <row r="221" spans="1:12" ht="13.5" customHeight="1" x14ac:dyDescent="0.2">
      <c r="A221" s="171"/>
      <c r="B221" s="46" t="s">
        <v>483</v>
      </c>
      <c r="C221" s="36" t="s">
        <v>189</v>
      </c>
      <c r="D221" s="11" t="s">
        <v>488</v>
      </c>
      <c r="E221" s="557">
        <v>-3977.47</v>
      </c>
      <c r="F221" s="69"/>
      <c r="G221" s="182">
        <v>0</v>
      </c>
      <c r="H221" s="59"/>
      <c r="I221" s="60">
        <v>3977.47</v>
      </c>
      <c r="J221" s="61">
        <v>6234.12</v>
      </c>
      <c r="L221" s="18"/>
    </row>
    <row r="222" spans="1:12" ht="13.5" customHeight="1" x14ac:dyDescent="0.2">
      <c r="A222" s="171" t="s">
        <v>2519</v>
      </c>
      <c r="B222" s="46" t="s">
        <v>483</v>
      </c>
      <c r="C222" s="36" t="s">
        <v>86</v>
      </c>
      <c r="D222" s="11" t="s">
        <v>488</v>
      </c>
      <c r="E222" s="557">
        <v>-2.4500000000000002</v>
      </c>
      <c r="F222" s="69"/>
      <c r="G222" s="182" t="s">
        <v>483</v>
      </c>
      <c r="H222" s="59"/>
      <c r="I222" s="60"/>
      <c r="J222" s="61">
        <v>6234.12</v>
      </c>
      <c r="L222" s="18"/>
    </row>
    <row r="223" spans="1:12" ht="13.5" customHeight="1" x14ac:dyDescent="0.2">
      <c r="A223" s="171"/>
      <c r="B223" s="46" t="s">
        <v>483</v>
      </c>
      <c r="C223" s="36" t="s">
        <v>174</v>
      </c>
      <c r="D223" s="11" t="s">
        <v>488</v>
      </c>
      <c r="E223" s="69"/>
      <c r="F223" s="557">
        <v>2.4500000000000002</v>
      </c>
      <c r="G223" s="182">
        <v>0</v>
      </c>
      <c r="H223" s="59">
        <v>2.4500000000000002</v>
      </c>
      <c r="I223" s="60"/>
      <c r="J223" s="61">
        <v>6231.67</v>
      </c>
      <c r="L223" s="18"/>
    </row>
    <row r="224" spans="1:12" ht="13.5" customHeight="1" x14ac:dyDescent="0.2">
      <c r="A224" s="171" t="s">
        <v>2520</v>
      </c>
      <c r="B224" s="46" t="s">
        <v>483</v>
      </c>
      <c r="C224" s="34" t="s">
        <v>2521</v>
      </c>
      <c r="D224" s="11" t="s">
        <v>2522</v>
      </c>
      <c r="E224" s="557">
        <v>-110.37</v>
      </c>
      <c r="F224" s="69"/>
      <c r="G224" s="182" t="s">
        <v>483</v>
      </c>
      <c r="H224" s="59"/>
      <c r="I224" s="60"/>
      <c r="J224" s="61">
        <v>6231.67</v>
      </c>
      <c r="L224" s="18"/>
    </row>
    <row r="225" spans="1:12" ht="13.5" customHeight="1" x14ac:dyDescent="0.2">
      <c r="A225" s="171"/>
      <c r="B225" s="46" t="s">
        <v>483</v>
      </c>
      <c r="C225" s="36" t="s">
        <v>174</v>
      </c>
      <c r="D225" s="11" t="s">
        <v>488</v>
      </c>
      <c r="E225" s="69"/>
      <c r="F225" s="557">
        <v>110.37</v>
      </c>
      <c r="G225" s="182">
        <v>0</v>
      </c>
      <c r="H225" s="59">
        <v>110.37</v>
      </c>
      <c r="I225" s="60"/>
      <c r="J225" s="61">
        <v>6121.3</v>
      </c>
      <c r="L225" s="18"/>
    </row>
    <row r="226" spans="1:12" ht="13.5" customHeight="1" x14ac:dyDescent="0.2">
      <c r="A226" s="171" t="s">
        <v>2523</v>
      </c>
      <c r="B226" s="46" t="s">
        <v>591</v>
      </c>
      <c r="C226" s="36" t="s">
        <v>2397</v>
      </c>
      <c r="D226" s="11" t="s">
        <v>2524</v>
      </c>
      <c r="E226" s="557"/>
      <c r="F226" s="322">
        <v>8584.75</v>
      </c>
      <c r="G226" s="182" t="s">
        <v>483</v>
      </c>
      <c r="H226" s="59"/>
      <c r="I226" s="60"/>
      <c r="J226" s="61">
        <v>6121.3</v>
      </c>
      <c r="L226" s="18"/>
    </row>
    <row r="227" spans="1:12" ht="13.5" customHeight="1" x14ac:dyDescent="0.2">
      <c r="A227" s="171"/>
      <c r="B227" s="46" t="s">
        <v>483</v>
      </c>
      <c r="C227" s="32" t="s">
        <v>2525</v>
      </c>
      <c r="D227" s="11" t="s">
        <v>2526</v>
      </c>
      <c r="E227" s="557">
        <v>-793.85</v>
      </c>
      <c r="F227" s="69"/>
      <c r="G227" s="182" t="s">
        <v>483</v>
      </c>
      <c r="H227" s="59"/>
      <c r="I227" s="60"/>
      <c r="J227" s="61">
        <v>6121.3</v>
      </c>
      <c r="L227" s="18"/>
    </row>
    <row r="228" spans="1:12" ht="13.5" customHeight="1" x14ac:dyDescent="0.2">
      <c r="A228" s="171"/>
      <c r="B228" s="46" t="s">
        <v>483</v>
      </c>
      <c r="C228" s="32" t="s">
        <v>2527</v>
      </c>
      <c r="D228" s="11" t="s">
        <v>2528</v>
      </c>
      <c r="E228" s="557">
        <v>-421.52</v>
      </c>
      <c r="F228" s="69"/>
      <c r="G228" s="182" t="s">
        <v>483</v>
      </c>
      <c r="H228" s="59"/>
      <c r="I228" s="60"/>
      <c r="J228" s="61">
        <v>6121.3</v>
      </c>
      <c r="L228" s="18"/>
    </row>
    <row r="229" spans="1:12" ht="13.5" customHeight="1" x14ac:dyDescent="0.2">
      <c r="A229" s="171"/>
      <c r="B229" s="46" t="s">
        <v>483</v>
      </c>
      <c r="C229" s="36" t="s">
        <v>174</v>
      </c>
      <c r="D229" s="11" t="s">
        <v>488</v>
      </c>
      <c r="E229" s="69"/>
      <c r="F229" s="557">
        <v>1215.3699999999999</v>
      </c>
      <c r="G229" s="182">
        <v>8584.75</v>
      </c>
      <c r="H229" s="59">
        <v>1215.3699999999999</v>
      </c>
      <c r="I229" s="60"/>
      <c r="J229" s="61">
        <v>4905.93</v>
      </c>
      <c r="L229" s="18"/>
    </row>
    <row r="230" spans="1:12" ht="13.5" customHeight="1" x14ac:dyDescent="0.2">
      <c r="A230" s="171" t="s">
        <v>2529</v>
      </c>
      <c r="B230" s="46" t="s">
        <v>483</v>
      </c>
      <c r="C230" s="32" t="s">
        <v>198</v>
      </c>
      <c r="D230" s="11" t="s">
        <v>2530</v>
      </c>
      <c r="E230" s="557">
        <v>-1273.6099999999999</v>
      </c>
      <c r="F230" s="69"/>
      <c r="G230" s="182" t="s">
        <v>483</v>
      </c>
      <c r="H230" s="59"/>
      <c r="I230" s="60"/>
      <c r="J230" s="61">
        <v>4905.93</v>
      </c>
      <c r="L230" s="18"/>
    </row>
    <row r="231" spans="1:12" ht="13.5" customHeight="1" x14ac:dyDescent="0.2">
      <c r="A231" s="171"/>
      <c r="B231" s="46" t="s">
        <v>483</v>
      </c>
      <c r="C231" s="36" t="s">
        <v>189</v>
      </c>
      <c r="D231" s="11" t="s">
        <v>488</v>
      </c>
      <c r="E231" s="557">
        <v>-7311.14</v>
      </c>
      <c r="F231" s="69"/>
      <c r="G231" s="182">
        <v>0</v>
      </c>
      <c r="H231" s="59"/>
      <c r="I231" s="60">
        <v>7311.14</v>
      </c>
      <c r="J231" s="61">
        <v>12217.07</v>
      </c>
      <c r="L231" s="18"/>
    </row>
    <row r="232" spans="1:12" ht="13.5" customHeight="1" x14ac:dyDescent="0.2">
      <c r="A232" s="171" t="s">
        <v>2531</v>
      </c>
      <c r="B232" s="46" t="s">
        <v>483</v>
      </c>
      <c r="C232" s="36" t="s">
        <v>86</v>
      </c>
      <c r="D232" s="11" t="s">
        <v>488</v>
      </c>
      <c r="E232" s="557">
        <v>-85</v>
      </c>
      <c r="F232" s="69"/>
      <c r="G232" s="182" t="s">
        <v>483</v>
      </c>
      <c r="H232" s="59"/>
      <c r="I232" s="60"/>
      <c r="J232" s="61">
        <v>12217.07</v>
      </c>
      <c r="L232" s="18"/>
    </row>
    <row r="233" spans="1:12" ht="13.5" customHeight="1" x14ac:dyDescent="0.2">
      <c r="A233" s="171"/>
      <c r="B233" s="46" t="s">
        <v>483</v>
      </c>
      <c r="C233" s="36" t="s">
        <v>2532</v>
      </c>
      <c r="D233" s="11" t="s">
        <v>488</v>
      </c>
      <c r="E233" s="557">
        <v>-500</v>
      </c>
      <c r="F233" s="69"/>
      <c r="G233" s="182" t="s">
        <v>483</v>
      </c>
      <c r="H233" s="59"/>
      <c r="I233" s="60"/>
      <c r="J233" s="61">
        <v>12217.07</v>
      </c>
      <c r="L233" s="18"/>
    </row>
    <row r="234" spans="1:12" ht="13.5" customHeight="1" x14ac:dyDescent="0.2">
      <c r="A234" s="171"/>
      <c r="B234" s="46" t="s">
        <v>483</v>
      </c>
      <c r="C234" s="36" t="s">
        <v>2533</v>
      </c>
      <c r="D234" s="11" t="s">
        <v>488</v>
      </c>
      <c r="E234" s="557">
        <v>-331.81</v>
      </c>
      <c r="F234" s="69"/>
      <c r="G234" s="182" t="s">
        <v>483</v>
      </c>
      <c r="H234" s="59"/>
      <c r="I234" s="60"/>
      <c r="J234" s="61">
        <v>12217.07</v>
      </c>
      <c r="L234" s="18"/>
    </row>
    <row r="235" spans="1:12" ht="13.5" customHeight="1" x14ac:dyDescent="0.2">
      <c r="A235" s="171"/>
      <c r="B235" s="46" t="s">
        <v>483</v>
      </c>
      <c r="C235" s="32" t="s">
        <v>194</v>
      </c>
      <c r="D235" s="11" t="s">
        <v>488</v>
      </c>
      <c r="E235" s="557">
        <v>-84.54</v>
      </c>
      <c r="F235" s="69"/>
      <c r="G235" s="182" t="s">
        <v>483</v>
      </c>
      <c r="H235" s="59"/>
      <c r="I235" s="60"/>
      <c r="J235" s="61">
        <v>12217.07</v>
      </c>
      <c r="L235" s="18"/>
    </row>
    <row r="236" spans="1:12" ht="13.5" customHeight="1" x14ac:dyDescent="0.2">
      <c r="A236" s="171"/>
      <c r="B236" s="46" t="s">
        <v>483</v>
      </c>
      <c r="C236" s="32" t="s">
        <v>195</v>
      </c>
      <c r="D236" s="11" t="s">
        <v>488</v>
      </c>
      <c r="E236" s="557">
        <v>-390.19</v>
      </c>
      <c r="F236" s="69"/>
      <c r="G236" s="182" t="s">
        <v>483</v>
      </c>
      <c r="H236" s="59"/>
      <c r="I236" s="60"/>
      <c r="J236" s="61">
        <v>12217.07</v>
      </c>
      <c r="L236" s="18"/>
    </row>
    <row r="237" spans="1:12" ht="13.5" customHeight="1" x14ac:dyDescent="0.2">
      <c r="A237" s="171"/>
      <c r="B237" s="46" t="s">
        <v>483</v>
      </c>
      <c r="C237" s="34" t="s">
        <v>196</v>
      </c>
      <c r="D237" s="11" t="s">
        <v>488</v>
      </c>
      <c r="E237" s="557">
        <v>-1123.76</v>
      </c>
      <c r="F237" s="69"/>
      <c r="G237" s="182" t="s">
        <v>483</v>
      </c>
      <c r="H237" s="59"/>
      <c r="I237" s="60"/>
      <c r="J237" s="61">
        <v>12217.07</v>
      </c>
      <c r="L237" s="18"/>
    </row>
    <row r="238" spans="1:12" ht="13.5" customHeight="1" x14ac:dyDescent="0.2">
      <c r="A238" s="171"/>
      <c r="B238" s="46" t="s">
        <v>483</v>
      </c>
      <c r="C238" s="34" t="s">
        <v>197</v>
      </c>
      <c r="D238" s="11" t="s">
        <v>488</v>
      </c>
      <c r="E238" s="557">
        <v>-1872.93</v>
      </c>
      <c r="F238" s="69"/>
      <c r="G238" s="182" t="s">
        <v>483</v>
      </c>
      <c r="H238" s="59"/>
      <c r="I238" s="60"/>
      <c r="J238" s="61">
        <v>12217.07</v>
      </c>
      <c r="L238" s="18"/>
    </row>
    <row r="239" spans="1:12" ht="13.5" customHeight="1" x14ac:dyDescent="0.2">
      <c r="A239" s="171"/>
      <c r="B239" s="46" t="s">
        <v>483</v>
      </c>
      <c r="C239" s="34" t="s">
        <v>1625</v>
      </c>
      <c r="D239" s="11" t="s">
        <v>2534</v>
      </c>
      <c r="E239" s="322">
        <v>-3000</v>
      </c>
      <c r="F239" s="557"/>
      <c r="G239" s="182" t="s">
        <v>483</v>
      </c>
      <c r="H239" s="59"/>
      <c r="I239" s="60"/>
      <c r="J239" s="61">
        <v>12217.07</v>
      </c>
      <c r="L239" s="18"/>
    </row>
    <row r="240" spans="1:12" ht="13.5" customHeight="1" x14ac:dyDescent="0.2">
      <c r="A240" s="171"/>
      <c r="B240" s="46" t="s">
        <v>483</v>
      </c>
      <c r="C240" s="36" t="s">
        <v>174</v>
      </c>
      <c r="D240" s="11" t="s">
        <v>488</v>
      </c>
      <c r="E240" s="69"/>
      <c r="F240" s="557">
        <v>7388.23</v>
      </c>
      <c r="G240" s="182">
        <v>0</v>
      </c>
      <c r="H240" s="59">
        <v>7388.23</v>
      </c>
      <c r="I240" s="60"/>
      <c r="J240" s="61">
        <v>4828.84</v>
      </c>
      <c r="L240" s="18"/>
    </row>
    <row r="241" spans="1:12" ht="13.5" customHeight="1" x14ac:dyDescent="0.2">
      <c r="A241" s="171" t="s">
        <v>2535</v>
      </c>
      <c r="B241" s="46" t="s">
        <v>483</v>
      </c>
      <c r="C241" s="36" t="s">
        <v>86</v>
      </c>
      <c r="D241" s="11" t="s">
        <v>488</v>
      </c>
      <c r="E241" s="557">
        <v>-12.5</v>
      </c>
      <c r="F241" s="69"/>
      <c r="G241" s="182" t="s">
        <v>483</v>
      </c>
      <c r="H241" s="59"/>
      <c r="I241" s="60"/>
      <c r="J241" s="61">
        <v>4828.84</v>
      </c>
      <c r="L241" s="18"/>
    </row>
    <row r="242" spans="1:12" ht="13.5" customHeight="1" x14ac:dyDescent="0.2">
      <c r="A242" s="171"/>
      <c r="B242" s="46" t="s">
        <v>483</v>
      </c>
      <c r="C242" s="36" t="s">
        <v>174</v>
      </c>
      <c r="D242" s="11" t="s">
        <v>488</v>
      </c>
      <c r="E242" s="69"/>
      <c r="F242" s="557">
        <v>12.5</v>
      </c>
      <c r="G242" s="182">
        <v>0</v>
      </c>
      <c r="H242" s="59">
        <v>12.5</v>
      </c>
      <c r="I242" s="60"/>
      <c r="J242" s="61">
        <v>4816.34</v>
      </c>
      <c r="L242" s="18"/>
    </row>
    <row r="243" spans="1:12" ht="13.5" customHeight="1" x14ac:dyDescent="0.2">
      <c r="A243" s="171" t="s">
        <v>2536</v>
      </c>
      <c r="B243" s="46" t="s">
        <v>483</v>
      </c>
      <c r="C243" s="34" t="s">
        <v>2537</v>
      </c>
      <c r="D243" s="11" t="s">
        <v>2538</v>
      </c>
      <c r="E243" s="322">
        <v>-1000</v>
      </c>
      <c r="F243" s="557"/>
      <c r="G243" s="182" t="s">
        <v>483</v>
      </c>
      <c r="H243" s="59"/>
      <c r="I243" s="60"/>
      <c r="J243" s="61">
        <v>4816.34</v>
      </c>
      <c r="L243" s="18"/>
    </row>
    <row r="244" spans="1:12" ht="13.5" customHeight="1" x14ac:dyDescent="0.2">
      <c r="A244" s="171"/>
      <c r="B244" s="46" t="s">
        <v>483</v>
      </c>
      <c r="C244" s="34" t="s">
        <v>2514</v>
      </c>
      <c r="D244" s="11" t="s">
        <v>2539</v>
      </c>
      <c r="E244" s="557">
        <v>-458</v>
      </c>
      <c r="F244" s="69"/>
      <c r="G244" s="182" t="s">
        <v>483</v>
      </c>
      <c r="H244" s="59"/>
      <c r="I244" s="60"/>
      <c r="J244" s="61">
        <v>4816.34</v>
      </c>
      <c r="L244" s="18"/>
    </row>
    <row r="245" spans="1:12" ht="13.5" customHeight="1" x14ac:dyDescent="0.2">
      <c r="A245" s="171"/>
      <c r="B245" s="46" t="s">
        <v>483</v>
      </c>
      <c r="C245" s="36" t="s">
        <v>174</v>
      </c>
      <c r="D245" s="11" t="s">
        <v>488</v>
      </c>
      <c r="E245" s="69"/>
      <c r="F245" s="557">
        <v>1458</v>
      </c>
      <c r="G245" s="182">
        <v>0</v>
      </c>
      <c r="H245" s="59">
        <v>1458</v>
      </c>
      <c r="I245" s="60"/>
      <c r="J245" s="61">
        <v>3358.34</v>
      </c>
      <c r="L245" s="18"/>
    </row>
    <row r="246" spans="1:12" ht="13.5" customHeight="1" x14ac:dyDescent="0.2">
      <c r="A246" s="171" t="s">
        <v>2540</v>
      </c>
      <c r="B246" s="46" t="s">
        <v>483</v>
      </c>
      <c r="C246" s="34" t="s">
        <v>2541</v>
      </c>
      <c r="D246" s="11" t="s">
        <v>488</v>
      </c>
      <c r="E246" s="557">
        <v>-900</v>
      </c>
      <c r="F246" s="69"/>
      <c r="G246" s="182"/>
      <c r="H246" s="59"/>
      <c r="I246" s="60"/>
      <c r="J246" s="61">
        <v>3358.34</v>
      </c>
      <c r="L246" s="18"/>
    </row>
    <row r="247" spans="1:12" ht="13.5" customHeight="1" x14ac:dyDescent="0.2">
      <c r="A247" s="171"/>
      <c r="B247" s="46" t="s">
        <v>483</v>
      </c>
      <c r="C247" s="36" t="s">
        <v>174</v>
      </c>
      <c r="D247" s="11" t="s">
        <v>488</v>
      </c>
      <c r="E247" s="69"/>
      <c r="F247" s="557">
        <v>900</v>
      </c>
      <c r="G247" s="182">
        <v>0</v>
      </c>
      <c r="H247" s="59">
        <v>900</v>
      </c>
      <c r="I247" s="60"/>
      <c r="J247" s="61">
        <v>2458.34</v>
      </c>
      <c r="L247" s="18"/>
    </row>
    <row r="248" spans="1:12" ht="13.5" customHeight="1" x14ac:dyDescent="0.2">
      <c r="A248" s="171" t="s">
        <v>2542</v>
      </c>
      <c r="B248" s="46" t="s">
        <v>483</v>
      </c>
      <c r="C248" s="32" t="s">
        <v>813</v>
      </c>
      <c r="D248" s="11" t="s">
        <v>494</v>
      </c>
      <c r="E248" s="557">
        <v>-75</v>
      </c>
      <c r="F248" s="69"/>
      <c r="G248" s="182" t="s">
        <v>483</v>
      </c>
      <c r="H248" s="59"/>
      <c r="I248" s="60"/>
      <c r="J248" s="61">
        <v>2458.34</v>
      </c>
      <c r="L248" s="18"/>
    </row>
    <row r="249" spans="1:12" ht="13.5" customHeight="1" x14ac:dyDescent="0.2">
      <c r="A249" s="171"/>
      <c r="B249" s="46" t="s">
        <v>483</v>
      </c>
      <c r="C249" s="36" t="s">
        <v>174</v>
      </c>
      <c r="D249" s="11" t="s">
        <v>488</v>
      </c>
      <c r="E249" s="69"/>
      <c r="F249" s="557">
        <v>75</v>
      </c>
      <c r="G249" s="205">
        <v>0</v>
      </c>
      <c r="H249" s="59">
        <v>75</v>
      </c>
      <c r="I249" s="60"/>
      <c r="J249" s="61">
        <v>2383.34</v>
      </c>
      <c r="L249" s="18"/>
    </row>
    <row r="250" spans="1:12" ht="13.5" customHeight="1" x14ac:dyDescent="0.2">
      <c r="A250" s="171"/>
      <c r="B250" s="46"/>
      <c r="C250" s="32" t="s">
        <v>20</v>
      </c>
      <c r="D250" s="11"/>
      <c r="E250" s="69"/>
      <c r="F250" s="69"/>
      <c r="G250" s="182"/>
      <c r="H250" s="59"/>
      <c r="I250" s="60">
        <v>0.83999999999969077</v>
      </c>
      <c r="J250" s="186">
        <v>2384.1799999999998</v>
      </c>
      <c r="L250" s="124"/>
    </row>
    <row r="251" spans="1:12" ht="13.5" customHeight="1" thickBot="1" x14ac:dyDescent="0.25">
      <c r="A251" s="171"/>
      <c r="B251" s="46"/>
      <c r="C251" s="34"/>
      <c r="D251" s="11"/>
      <c r="E251" s="654">
        <f>SUM(E200:E206,E210:E238,E241,E244:E250)</f>
        <v>-23152.800000000003</v>
      </c>
      <c r="F251" s="654">
        <f>SUM(F201:F225,F229:F250)</f>
        <v>21568.050000000003</v>
      </c>
      <c r="G251" s="182"/>
      <c r="H251" s="179"/>
      <c r="I251" s="57"/>
      <c r="J251" s="67"/>
    </row>
    <row r="252" spans="1:12" ht="13.5" customHeight="1" thickBot="1" x14ac:dyDescent="0.25">
      <c r="A252" s="2" t="s">
        <v>2</v>
      </c>
      <c r="B252" s="3"/>
      <c r="C252" s="3" t="s">
        <v>525</v>
      </c>
      <c r="D252" s="550"/>
      <c r="E252" s="3"/>
      <c r="F252" s="3"/>
      <c r="G252" s="5" t="s">
        <v>7</v>
      </c>
    </row>
    <row r="253" spans="1:12" ht="13.5" customHeight="1" x14ac:dyDescent="0.2">
      <c r="A253" s="8">
        <v>43647</v>
      </c>
      <c r="B253" s="70"/>
      <c r="C253" s="10" t="s">
        <v>537</v>
      </c>
      <c r="D253" s="554"/>
      <c r="E253" s="67"/>
      <c r="F253" s="67"/>
      <c r="G253" s="205">
        <v>360.04999999999848</v>
      </c>
    </row>
    <row r="254" spans="1:12" customFormat="1" ht="13.5" customHeight="1" x14ac:dyDescent="0.2">
      <c r="A254" s="180">
        <v>43650</v>
      </c>
      <c r="B254" s="221"/>
      <c r="C254" s="34" t="s">
        <v>613</v>
      </c>
      <c r="D254" s="472"/>
      <c r="E254" s="557">
        <v>34</v>
      </c>
      <c r="F254" s="198"/>
      <c r="G254" s="203">
        <v>326.04999999999848</v>
      </c>
    </row>
    <row r="255" spans="1:12" ht="13.5" customHeight="1" x14ac:dyDescent="0.2">
      <c r="A255" s="171">
        <v>43651</v>
      </c>
      <c r="B255" s="46"/>
      <c r="C255" s="34" t="s">
        <v>815</v>
      </c>
      <c r="D255" s="462"/>
      <c r="E255" s="557">
        <v>888.22</v>
      </c>
      <c r="F255" s="69"/>
      <c r="G255" s="203">
        <v>-562.17000000000155</v>
      </c>
    </row>
    <row r="256" spans="1:12" ht="13.5" customHeight="1" x14ac:dyDescent="0.2">
      <c r="A256" s="180">
        <v>43672</v>
      </c>
      <c r="B256" s="9"/>
      <c r="C256" s="32" t="s">
        <v>2543</v>
      </c>
      <c r="D256" s="558"/>
      <c r="E256" s="61"/>
      <c r="F256" s="559">
        <v>1000</v>
      </c>
      <c r="G256" s="205">
        <v>437.82999999999845</v>
      </c>
    </row>
    <row r="257" spans="1:12" ht="13.5" customHeight="1" thickBot="1" x14ac:dyDescent="0.25">
      <c r="A257" s="70"/>
      <c r="B257" s="70"/>
      <c r="C257" s="63"/>
      <c r="D257" s="560"/>
      <c r="E257" s="13"/>
      <c r="F257" s="13"/>
      <c r="G257" s="182"/>
    </row>
    <row r="258" spans="1:12" s="97" customFormat="1" ht="13.5" customHeight="1" thickBot="1" x14ac:dyDescent="0.25">
      <c r="A258" s="561" t="s">
        <v>2</v>
      </c>
      <c r="B258" s="562"/>
      <c r="C258" s="562" t="s">
        <v>534</v>
      </c>
      <c r="D258" s="563" t="s">
        <v>4</v>
      </c>
      <c r="E258" s="562" t="s">
        <v>5</v>
      </c>
      <c r="F258" s="562" t="s">
        <v>6</v>
      </c>
      <c r="G258" s="564" t="s">
        <v>7</v>
      </c>
      <c r="H258" s="565"/>
      <c r="I258" s="565"/>
      <c r="J258" s="566"/>
      <c r="L258" s="567"/>
    </row>
    <row r="259" spans="1:12" s="97" customFormat="1" ht="13.5" customHeight="1" x14ac:dyDescent="0.2">
      <c r="A259" s="568">
        <v>42370</v>
      </c>
      <c r="B259" s="569"/>
      <c r="C259" s="570" t="s">
        <v>8</v>
      </c>
      <c r="D259" s="571"/>
      <c r="E259" s="572"/>
      <c r="F259" s="573"/>
      <c r="G259" s="574">
        <v>0</v>
      </c>
      <c r="H259" s="575"/>
      <c r="I259" s="576"/>
      <c r="J259" s="577"/>
      <c r="L259" s="567"/>
    </row>
    <row r="260" spans="1:12" s="97" customFormat="1" ht="13.5" customHeight="1" x14ac:dyDescent="0.2">
      <c r="A260" s="578">
        <v>43284</v>
      </c>
      <c r="B260" s="569"/>
      <c r="C260" s="569" t="s">
        <v>535</v>
      </c>
      <c r="D260" s="571"/>
      <c r="E260" s="572"/>
      <c r="F260" s="579">
        <v>500</v>
      </c>
      <c r="G260" s="580">
        <v>500</v>
      </c>
      <c r="H260" s="575"/>
      <c r="I260" s="576"/>
      <c r="J260" s="577"/>
      <c r="L260" s="567"/>
    </row>
    <row r="261" spans="1:12" s="97" customFormat="1" ht="13.5" customHeight="1" x14ac:dyDescent="0.2">
      <c r="A261" s="578">
        <v>43346</v>
      </c>
      <c r="B261" s="569"/>
      <c r="C261" s="569" t="s">
        <v>535</v>
      </c>
      <c r="D261" s="571"/>
      <c r="E261" s="572"/>
      <c r="F261" s="579">
        <v>3000</v>
      </c>
      <c r="G261" s="580">
        <v>3500</v>
      </c>
      <c r="H261" s="575"/>
      <c r="I261" s="576"/>
      <c r="J261" s="577"/>
      <c r="L261" s="567"/>
    </row>
    <row r="262" spans="1:12" s="97" customFormat="1" ht="13.5" customHeight="1" x14ac:dyDescent="0.2">
      <c r="A262" s="578">
        <v>43374</v>
      </c>
      <c r="B262" s="569"/>
      <c r="C262" s="569" t="s">
        <v>535</v>
      </c>
      <c r="D262" s="571"/>
      <c r="E262" s="572"/>
      <c r="F262" s="579">
        <v>2000</v>
      </c>
      <c r="G262" s="580">
        <v>5500</v>
      </c>
      <c r="H262" s="575"/>
      <c r="I262" s="576"/>
      <c r="J262" s="577"/>
      <c r="L262" s="567"/>
    </row>
    <row r="263" spans="1:12" s="97" customFormat="1" ht="13.5" customHeight="1" x14ac:dyDescent="0.2">
      <c r="A263" s="578">
        <v>43409</v>
      </c>
      <c r="B263" s="569"/>
      <c r="C263" s="569" t="s">
        <v>535</v>
      </c>
      <c r="D263" s="571"/>
      <c r="E263" s="572"/>
      <c r="F263" s="579">
        <v>1000</v>
      </c>
      <c r="G263" s="580">
        <v>6500</v>
      </c>
      <c r="H263" s="575"/>
      <c r="I263" s="576"/>
      <c r="J263" s="577"/>
      <c r="L263" s="567"/>
    </row>
    <row r="264" spans="1:12" s="97" customFormat="1" ht="13.5" customHeight="1" x14ac:dyDescent="0.2">
      <c r="A264" s="578">
        <v>43804</v>
      </c>
      <c r="B264" s="569"/>
      <c r="C264" s="569" t="s">
        <v>535</v>
      </c>
      <c r="D264" s="571"/>
      <c r="E264" s="572"/>
      <c r="F264" s="579">
        <v>500</v>
      </c>
      <c r="G264" s="580">
        <v>7000</v>
      </c>
      <c r="H264" s="575"/>
      <c r="I264" s="576"/>
      <c r="J264" s="577"/>
      <c r="L264" s="567"/>
    </row>
    <row r="265" spans="1:12" s="97" customFormat="1" ht="13.5" customHeight="1" x14ac:dyDescent="0.2">
      <c r="A265" s="578">
        <v>43469</v>
      </c>
      <c r="B265" s="569"/>
      <c r="C265" s="569" t="s">
        <v>1390</v>
      </c>
      <c r="D265" s="581"/>
      <c r="E265" s="572"/>
      <c r="F265" s="579">
        <v>1500</v>
      </c>
      <c r="G265" s="580">
        <v>8500</v>
      </c>
      <c r="H265" s="575"/>
      <c r="I265" s="576"/>
      <c r="J265" s="577"/>
      <c r="L265" s="567"/>
    </row>
    <row r="266" spans="1:12" s="97" customFormat="1" ht="13.5" customHeight="1" x14ac:dyDescent="0.2">
      <c r="A266" s="578">
        <v>43475</v>
      </c>
      <c r="B266" s="569"/>
      <c r="C266" s="569" t="s">
        <v>1391</v>
      </c>
      <c r="D266" s="581"/>
      <c r="E266" s="572"/>
      <c r="F266" s="579">
        <v>5000</v>
      </c>
      <c r="G266" s="580">
        <v>13500</v>
      </c>
      <c r="H266" s="575"/>
      <c r="I266" s="576"/>
      <c r="J266" s="577"/>
      <c r="L266" s="567"/>
    </row>
    <row r="267" spans="1:12" s="97" customFormat="1" ht="13.5" customHeight="1" x14ac:dyDescent="0.2">
      <c r="A267" s="578">
        <v>43482</v>
      </c>
      <c r="B267" s="569"/>
      <c r="C267" s="569" t="s">
        <v>1391</v>
      </c>
      <c r="D267" s="581"/>
      <c r="E267" s="572"/>
      <c r="F267" s="579">
        <v>5000</v>
      </c>
      <c r="G267" s="580">
        <v>18500</v>
      </c>
      <c r="H267" s="575"/>
      <c r="I267" s="576"/>
      <c r="J267" s="577"/>
      <c r="L267" s="567"/>
    </row>
    <row r="268" spans="1:12" s="97" customFormat="1" ht="13.5" customHeight="1" x14ac:dyDescent="0.2">
      <c r="A268" s="578">
        <v>43500</v>
      </c>
      <c r="B268" s="569"/>
      <c r="C268" s="569" t="s">
        <v>1391</v>
      </c>
      <c r="D268" s="581"/>
      <c r="E268" s="572"/>
      <c r="F268" s="579">
        <v>3000</v>
      </c>
      <c r="G268" s="580">
        <v>21500</v>
      </c>
      <c r="H268" s="575"/>
      <c r="I268" s="576"/>
      <c r="J268" s="577"/>
      <c r="L268" s="567"/>
    </row>
    <row r="269" spans="1:12" s="97" customFormat="1" ht="13.5" customHeight="1" x14ac:dyDescent="0.2">
      <c r="A269" s="578">
        <v>43501</v>
      </c>
      <c r="B269" s="569"/>
      <c r="C269" s="569" t="s">
        <v>1391</v>
      </c>
      <c r="D269" s="581"/>
      <c r="E269" s="572"/>
      <c r="F269" s="579">
        <v>4000</v>
      </c>
      <c r="G269" s="580">
        <v>25500</v>
      </c>
      <c r="H269" s="575"/>
      <c r="I269" s="576"/>
      <c r="J269" s="577"/>
      <c r="L269" s="567"/>
    </row>
    <row r="270" spans="1:12" s="97" customFormat="1" ht="13.5" customHeight="1" x14ac:dyDescent="0.2">
      <c r="A270" s="578">
        <v>43503</v>
      </c>
      <c r="B270" s="569"/>
      <c r="C270" s="569" t="s">
        <v>1391</v>
      </c>
      <c r="D270" s="581"/>
      <c r="E270" s="572"/>
      <c r="F270" s="579">
        <v>2000</v>
      </c>
      <c r="G270" s="580">
        <v>27500</v>
      </c>
      <c r="H270" s="575"/>
      <c r="I270" s="576"/>
      <c r="J270" s="577"/>
      <c r="L270" s="567"/>
    </row>
    <row r="271" spans="1:12" s="97" customFormat="1" ht="13.5" customHeight="1" x14ac:dyDescent="0.2">
      <c r="A271" s="578">
        <v>43504</v>
      </c>
      <c r="B271" s="569"/>
      <c r="C271" s="569" t="s">
        <v>1390</v>
      </c>
      <c r="D271" s="581"/>
      <c r="E271" s="572"/>
      <c r="F271" s="579">
        <v>1500</v>
      </c>
      <c r="G271" s="580">
        <v>29000</v>
      </c>
      <c r="H271" s="575"/>
      <c r="I271" s="576"/>
      <c r="J271" s="577"/>
      <c r="L271" s="567"/>
    </row>
    <row r="272" spans="1:12" s="97" customFormat="1" ht="13.5" customHeight="1" x14ac:dyDescent="0.2">
      <c r="A272" s="578">
        <v>43522</v>
      </c>
      <c r="B272" s="569"/>
      <c r="C272" s="569" t="s">
        <v>1544</v>
      </c>
      <c r="D272" s="581"/>
      <c r="E272" s="582">
        <v>5000</v>
      </c>
      <c r="F272" s="573"/>
      <c r="G272" s="580">
        <v>24000</v>
      </c>
      <c r="H272" s="575"/>
      <c r="I272" s="576"/>
      <c r="J272" s="577"/>
      <c r="L272" s="567"/>
    </row>
    <row r="273" spans="1:12" s="97" customFormat="1" ht="13.5" customHeight="1" x14ac:dyDescent="0.2">
      <c r="A273" s="578">
        <v>43531</v>
      </c>
      <c r="B273" s="569"/>
      <c r="C273" s="569" t="s">
        <v>1390</v>
      </c>
      <c r="D273" s="581"/>
      <c r="E273" s="572"/>
      <c r="F273" s="579">
        <v>3000</v>
      </c>
      <c r="G273" s="580">
        <v>27000</v>
      </c>
      <c r="H273" s="575"/>
      <c r="I273" s="576"/>
      <c r="J273" s="577"/>
      <c r="L273" s="567"/>
    </row>
    <row r="274" spans="1:12" s="97" customFormat="1" ht="13.5" customHeight="1" x14ac:dyDescent="0.2">
      <c r="A274" s="578">
        <v>43536</v>
      </c>
      <c r="B274" s="569"/>
      <c r="C274" s="569" t="s">
        <v>1391</v>
      </c>
      <c r="D274" s="581"/>
      <c r="E274" s="572"/>
      <c r="F274" s="579">
        <v>3000</v>
      </c>
      <c r="G274" s="580">
        <v>30000</v>
      </c>
      <c r="H274" s="575"/>
      <c r="I274" s="576"/>
      <c r="J274" s="577"/>
      <c r="L274" s="567"/>
    </row>
    <row r="275" spans="1:12" s="97" customFormat="1" ht="13.5" customHeight="1" x14ac:dyDescent="0.2">
      <c r="A275" s="578">
        <v>43560</v>
      </c>
      <c r="B275" s="569"/>
      <c r="C275" s="569" t="s">
        <v>1390</v>
      </c>
      <c r="D275" s="581"/>
      <c r="E275" s="572"/>
      <c r="F275" s="579">
        <v>2000</v>
      </c>
      <c r="G275" s="580">
        <v>32000</v>
      </c>
      <c r="H275" s="575"/>
      <c r="I275" s="576"/>
      <c r="J275" s="577"/>
      <c r="L275" s="567"/>
    </row>
    <row r="276" spans="1:12" s="97" customFormat="1" ht="13.5" customHeight="1" x14ac:dyDescent="0.2">
      <c r="A276" s="578">
        <v>43565</v>
      </c>
      <c r="B276" s="569"/>
      <c r="C276" s="569" t="s">
        <v>1390</v>
      </c>
      <c r="D276" s="581"/>
      <c r="E276" s="572"/>
      <c r="F276" s="579">
        <v>8000</v>
      </c>
      <c r="G276" s="580">
        <v>40000</v>
      </c>
      <c r="H276" s="575"/>
      <c r="I276" s="576"/>
      <c r="J276" s="577"/>
      <c r="L276" s="567"/>
    </row>
    <row r="277" spans="1:12" s="97" customFormat="1" ht="13.5" customHeight="1" x14ac:dyDescent="0.2">
      <c r="A277" s="578">
        <v>43571</v>
      </c>
      <c r="B277" s="569"/>
      <c r="C277" s="569" t="s">
        <v>1544</v>
      </c>
      <c r="D277" s="581"/>
      <c r="E277" s="582">
        <v>4000</v>
      </c>
      <c r="F277" s="573"/>
      <c r="G277" s="580">
        <v>36000</v>
      </c>
      <c r="H277" s="575"/>
      <c r="I277" s="576"/>
      <c r="J277" s="577"/>
      <c r="L277" s="567"/>
    </row>
    <row r="278" spans="1:12" s="97" customFormat="1" ht="13.5" customHeight="1" x14ac:dyDescent="0.2">
      <c r="A278" s="578">
        <v>43580</v>
      </c>
      <c r="B278" s="569"/>
      <c r="C278" s="569" t="s">
        <v>1544</v>
      </c>
      <c r="D278" s="581"/>
      <c r="E278" s="582">
        <v>2000</v>
      </c>
      <c r="F278" s="573"/>
      <c r="G278" s="580">
        <v>34000</v>
      </c>
      <c r="H278" s="575"/>
      <c r="I278" s="576"/>
      <c r="J278" s="577"/>
      <c r="L278" s="567"/>
    </row>
    <row r="279" spans="1:12" s="97" customFormat="1" ht="13.5" customHeight="1" x14ac:dyDescent="0.2">
      <c r="A279" s="578">
        <v>43593</v>
      </c>
      <c r="B279" s="569"/>
      <c r="C279" s="569" t="s">
        <v>1390</v>
      </c>
      <c r="D279" s="581"/>
      <c r="E279" s="572"/>
      <c r="F279" s="579">
        <v>500</v>
      </c>
      <c r="G279" s="580">
        <v>34500</v>
      </c>
      <c r="H279" s="575"/>
      <c r="I279" s="576"/>
      <c r="J279" s="577"/>
      <c r="L279" s="567"/>
    </row>
    <row r="280" spans="1:12" s="97" customFormat="1" ht="13.5" customHeight="1" x14ac:dyDescent="0.2">
      <c r="A280" s="578">
        <v>43620</v>
      </c>
      <c r="B280" s="569"/>
      <c r="C280" s="569" t="s">
        <v>1390</v>
      </c>
      <c r="D280" s="581"/>
      <c r="E280" s="572"/>
      <c r="F280" s="579">
        <v>2500</v>
      </c>
      <c r="G280" s="580">
        <v>37000</v>
      </c>
      <c r="H280" s="575"/>
      <c r="I280" s="576"/>
      <c r="J280" s="577"/>
      <c r="L280" s="567"/>
    </row>
    <row r="281" spans="1:12" s="97" customFormat="1" ht="13.5" customHeight="1" x14ac:dyDescent="0.2">
      <c r="A281" s="578">
        <v>43633</v>
      </c>
      <c r="B281" s="569"/>
      <c r="C281" s="569" t="s">
        <v>1544</v>
      </c>
      <c r="D281" s="581"/>
      <c r="E281" s="582">
        <v>4000</v>
      </c>
      <c r="F281" s="573"/>
      <c r="G281" s="580">
        <v>33000</v>
      </c>
      <c r="H281" s="583"/>
      <c r="I281" s="584"/>
      <c r="J281" s="583"/>
      <c r="L281" s="567"/>
    </row>
    <row r="282" spans="1:12" s="97" customFormat="1" ht="13.5" customHeight="1" x14ac:dyDescent="0.2">
      <c r="A282" s="578">
        <v>43651</v>
      </c>
      <c r="B282" s="585"/>
      <c r="C282" s="569" t="s">
        <v>1544</v>
      </c>
      <c r="D282" s="586"/>
      <c r="E282" s="579">
        <v>3000</v>
      </c>
      <c r="F282" s="573"/>
      <c r="G282" s="580">
        <v>30000</v>
      </c>
    </row>
    <row r="283" spans="1:12" s="97" customFormat="1" ht="13.5" customHeight="1" x14ac:dyDescent="0.2">
      <c r="A283" s="578">
        <v>43668</v>
      </c>
      <c r="B283" s="585"/>
      <c r="C283" s="569" t="s">
        <v>1544</v>
      </c>
      <c r="D283" s="586"/>
      <c r="E283" s="579">
        <v>3000</v>
      </c>
      <c r="F283" s="573"/>
      <c r="G283" s="574">
        <v>27000</v>
      </c>
    </row>
    <row r="284" spans="1:12" s="97" customFormat="1" ht="13.5" customHeight="1" thickBot="1" x14ac:dyDescent="0.25">
      <c r="A284" s="587"/>
      <c r="B284" s="588"/>
      <c r="C284" s="589"/>
      <c r="D284" s="590"/>
      <c r="E284" s="591"/>
      <c r="F284" s="591"/>
      <c r="G284" s="592"/>
      <c r="I284" s="1"/>
      <c r="J284" s="1"/>
    </row>
    <row r="285" spans="1:12" ht="13.5" customHeight="1" thickBot="1" x14ac:dyDescent="0.25">
      <c r="A285" s="213"/>
      <c r="B285" s="214"/>
      <c r="C285" s="215" t="s">
        <v>539</v>
      </c>
      <c r="D285" s="593"/>
      <c r="E285" s="187"/>
      <c r="F285" s="187"/>
      <c r="G285" s="217" t="s">
        <v>7</v>
      </c>
      <c r="I285" s="30">
        <f>SUM(G3,G119,G143,G199,)</f>
        <v>10967.570000000002</v>
      </c>
      <c r="J285" t="s">
        <v>8082</v>
      </c>
      <c r="L285" s="40"/>
    </row>
    <row r="286" spans="1:12" ht="13.5" customHeight="1" x14ac:dyDescent="0.2">
      <c r="A286" s="74" t="s">
        <v>540</v>
      </c>
      <c r="B286" s="74"/>
      <c r="C286" s="218" t="s">
        <v>541</v>
      </c>
      <c r="D286" s="594"/>
      <c r="E286" s="220"/>
      <c r="F286" s="220"/>
      <c r="G286" s="75">
        <v>0</v>
      </c>
      <c r="I286" s="1159"/>
      <c r="L286" s="40"/>
    </row>
    <row r="287" spans="1:12" ht="13.5" customHeight="1" x14ac:dyDescent="0.2">
      <c r="A287" s="221" t="s">
        <v>540</v>
      </c>
      <c r="B287" s="70"/>
      <c r="C287" s="63" t="s">
        <v>542</v>
      </c>
      <c r="D287" s="560"/>
      <c r="E287" s="13"/>
      <c r="F287" s="13"/>
      <c r="G287" s="75">
        <v>2384.1799999999998</v>
      </c>
      <c r="I287" s="30">
        <f>SUM(G196,G140,G249,G116)</f>
        <v>17991.740000000005</v>
      </c>
      <c r="J287" t="s">
        <v>8083</v>
      </c>
      <c r="L287" s="40"/>
    </row>
    <row r="288" spans="1:12" ht="13.5" customHeight="1" x14ac:dyDescent="0.2">
      <c r="A288" s="70"/>
      <c r="B288" s="70"/>
      <c r="C288" s="222" t="s">
        <v>543</v>
      </c>
      <c r="D288" s="560"/>
      <c r="E288" s="13"/>
      <c r="F288" s="13"/>
      <c r="G288" s="14">
        <v>2384.1799999999998</v>
      </c>
      <c r="I288" s="1159"/>
      <c r="L288" s="40"/>
    </row>
    <row r="289" spans="1:12" ht="13.5" customHeight="1" x14ac:dyDescent="0.2">
      <c r="A289" s="70"/>
      <c r="B289" s="70"/>
      <c r="C289" s="63"/>
      <c r="D289" s="560"/>
      <c r="E289" s="13"/>
      <c r="F289" s="13"/>
      <c r="G289" s="14"/>
      <c r="I289" s="30">
        <f>SUM(F251,E251,F197,E197,F141,E141,F117,E117,)</f>
        <v>7024.1700000000055</v>
      </c>
      <c r="J289" t="s">
        <v>1800</v>
      </c>
      <c r="L289" s="40"/>
    </row>
    <row r="290" spans="1:12" ht="13.5" customHeight="1" x14ac:dyDescent="0.2">
      <c r="A290" s="70"/>
      <c r="B290" s="70"/>
      <c r="C290" s="222" t="s">
        <v>544</v>
      </c>
      <c r="D290" s="560"/>
      <c r="E290" s="13"/>
      <c r="F290" s="13"/>
      <c r="G290" s="14">
        <v>17991.740000000005</v>
      </c>
      <c r="I290" s="1159"/>
      <c r="L290" s="40"/>
    </row>
    <row r="291" spans="1:12" ht="13.5" customHeight="1" x14ac:dyDescent="0.2">
      <c r="A291" s="70"/>
      <c r="B291" s="70"/>
      <c r="C291" s="63"/>
      <c r="D291" s="560"/>
      <c r="E291" s="13"/>
      <c r="F291" s="13"/>
      <c r="G291" s="75"/>
      <c r="I291" s="1159"/>
      <c r="L291" s="40"/>
    </row>
    <row r="292" spans="1:12" ht="13.5" customHeight="1" x14ac:dyDescent="0.2">
      <c r="A292" s="76"/>
      <c r="B292" s="76"/>
      <c r="C292" s="222" t="s">
        <v>545</v>
      </c>
      <c r="D292" s="486"/>
      <c r="E292" s="78"/>
      <c r="F292" s="78"/>
      <c r="G292" s="14">
        <v>20375.920000000006</v>
      </c>
      <c r="I292" s="1159"/>
      <c r="L292" s="40"/>
    </row>
    <row r="293" spans="1:12" ht="13.5" customHeight="1" x14ac:dyDescent="0.2">
      <c r="A293" s="76"/>
      <c r="B293" s="76"/>
      <c r="C293" s="78"/>
      <c r="D293" s="486"/>
      <c r="E293" s="78"/>
      <c r="F293" s="78"/>
      <c r="G293" s="75"/>
      <c r="I293" s="615">
        <f>I285+I289-I287</f>
        <v>0</v>
      </c>
      <c r="J293" t="s">
        <v>8084</v>
      </c>
      <c r="L293" s="40"/>
    </row>
    <row r="294" spans="1:12" ht="13.5" customHeight="1" x14ac:dyDescent="0.2">
      <c r="A294" s="70"/>
      <c r="B294" s="70"/>
      <c r="C294" s="63"/>
      <c r="D294" s="560"/>
      <c r="E294" s="13"/>
      <c r="F294" s="13"/>
      <c r="G294" s="75"/>
      <c r="L294" s="40"/>
    </row>
    <row r="295" spans="1:12" ht="13.5" customHeight="1" x14ac:dyDescent="0.2">
      <c r="A295" s="70"/>
      <c r="B295" s="70"/>
      <c r="C295" s="63"/>
      <c r="D295" s="560"/>
      <c r="E295" s="13"/>
      <c r="F295" s="13"/>
      <c r="G295" s="182"/>
      <c r="L295" s="40"/>
    </row>
    <row r="296" spans="1:12" ht="13.5" customHeight="1" x14ac:dyDescent="0.2">
      <c r="A296" s="70"/>
      <c r="B296" s="70"/>
      <c r="C296" s="63"/>
      <c r="D296" s="560"/>
      <c r="E296" s="13"/>
      <c r="F296" s="13"/>
      <c r="G296" s="182"/>
    </row>
    <row r="297" spans="1:12" ht="13.5" customHeight="1" x14ac:dyDescent="0.2">
      <c r="A297" s="70"/>
      <c r="B297" s="70"/>
      <c r="C297" s="63"/>
      <c r="D297" s="560"/>
      <c r="E297" s="13"/>
      <c r="F297" s="13"/>
      <c r="G297" s="182"/>
    </row>
    <row r="298" spans="1:12" ht="13.5" customHeight="1" x14ac:dyDescent="0.2">
      <c r="A298" s="70"/>
      <c r="B298" s="70"/>
      <c r="C298" s="63"/>
      <c r="D298" s="560"/>
      <c r="E298" s="13"/>
      <c r="F298" s="13"/>
      <c r="G298" s="182"/>
    </row>
    <row r="299" spans="1:12" ht="13.5" customHeight="1" x14ac:dyDescent="0.2">
      <c r="A299" s="70"/>
      <c r="B299" s="70"/>
      <c r="C299" s="63"/>
      <c r="D299" s="560"/>
      <c r="E299" s="13"/>
      <c r="F299" s="13"/>
      <c r="G299" s="182"/>
    </row>
    <row r="300" spans="1:12" ht="13.5" customHeight="1" x14ac:dyDescent="0.2">
      <c r="A300" s="70"/>
      <c r="B300" s="70"/>
      <c r="C300" s="63"/>
      <c r="D300" s="560"/>
      <c r="E300" s="13"/>
      <c r="F300" s="13"/>
      <c r="G300" s="182"/>
    </row>
    <row r="301" spans="1:12" ht="13.5" customHeight="1" x14ac:dyDescent="0.2">
      <c r="A301" s="70"/>
      <c r="B301" s="70"/>
      <c r="C301" s="63"/>
      <c r="D301" s="560"/>
      <c r="E301" s="13"/>
      <c r="F301" s="13"/>
      <c r="G301" s="182"/>
    </row>
    <row r="302" spans="1:12" ht="13.5" customHeight="1" x14ac:dyDescent="0.2">
      <c r="A302" s="70"/>
      <c r="B302" s="70"/>
      <c r="C302" s="63"/>
      <c r="D302" s="560"/>
      <c r="E302" s="13"/>
      <c r="F302" s="13"/>
      <c r="G302" s="182"/>
    </row>
    <row r="303" spans="1:12" ht="13.5" customHeight="1" x14ac:dyDescent="0.2">
      <c r="A303" s="70"/>
      <c r="B303" s="70"/>
      <c r="C303" s="63"/>
      <c r="D303" s="560"/>
      <c r="E303" s="13"/>
      <c r="F303" s="13"/>
      <c r="G303" s="182"/>
    </row>
    <row r="304" spans="1:12" ht="13.5" customHeight="1" x14ac:dyDescent="0.2">
      <c r="A304" s="70"/>
      <c r="B304" s="70"/>
      <c r="C304" s="63"/>
      <c r="D304" s="560"/>
      <c r="E304" s="13"/>
      <c r="F304" s="13"/>
      <c r="G304" s="182"/>
    </row>
    <row r="305" spans="1:7" ht="13.5" customHeight="1" x14ac:dyDescent="0.2">
      <c r="A305" s="70"/>
      <c r="B305" s="70"/>
      <c r="C305" s="63"/>
      <c r="D305" s="560"/>
      <c r="E305" s="13"/>
      <c r="F305" s="13"/>
      <c r="G305" s="182"/>
    </row>
    <row r="306" spans="1:7" ht="13.5" customHeight="1" x14ac:dyDescent="0.2">
      <c r="A306" s="70"/>
      <c r="B306" s="70"/>
      <c r="C306" s="63"/>
      <c r="D306" s="560"/>
      <c r="E306" s="13"/>
      <c r="F306" s="13"/>
      <c r="G306" s="182"/>
    </row>
    <row r="307" spans="1:7" ht="13.5" customHeight="1" x14ac:dyDescent="0.2">
      <c r="A307" s="70"/>
      <c r="B307" s="70"/>
      <c r="C307" s="63"/>
      <c r="D307" s="560"/>
      <c r="E307" s="13"/>
      <c r="F307" s="13"/>
      <c r="G307" s="182"/>
    </row>
    <row r="308" spans="1:7" ht="13.5" customHeight="1" x14ac:dyDescent="0.2">
      <c r="A308" s="70"/>
      <c r="B308" s="70"/>
      <c r="C308" s="63"/>
      <c r="D308" s="560"/>
      <c r="E308" s="13"/>
      <c r="F308" s="13"/>
      <c r="G308" s="182"/>
    </row>
    <row r="309" spans="1:7" ht="13.5" customHeight="1" x14ac:dyDescent="0.2">
      <c r="A309" s="70"/>
      <c r="B309" s="70"/>
      <c r="C309" s="63"/>
      <c r="D309" s="560"/>
      <c r="E309" s="13"/>
      <c r="F309" s="13"/>
      <c r="G309" s="182"/>
    </row>
    <row r="310" spans="1:7" ht="13.5" customHeight="1" x14ac:dyDescent="0.2">
      <c r="A310" s="70"/>
      <c r="B310" s="70"/>
      <c r="C310" s="63"/>
      <c r="D310" s="560"/>
      <c r="E310" s="13"/>
      <c r="F310" s="13"/>
      <c r="G310" s="182"/>
    </row>
    <row r="311" spans="1:7" ht="13.5" customHeight="1" x14ac:dyDescent="0.2">
      <c r="A311" s="70"/>
      <c r="B311" s="70"/>
      <c r="C311" s="63"/>
      <c r="D311" s="560"/>
      <c r="E311" s="13"/>
      <c r="F311" s="13"/>
      <c r="G311" s="182"/>
    </row>
    <row r="312" spans="1:7" ht="13.5" customHeight="1" x14ac:dyDescent="0.2">
      <c r="A312" s="70"/>
      <c r="B312" s="70"/>
      <c r="C312" s="63"/>
      <c r="D312" s="560"/>
      <c r="E312" s="13"/>
      <c r="F312" s="13"/>
      <c r="G312" s="182"/>
    </row>
    <row r="313" spans="1:7" ht="13.5" customHeight="1" x14ac:dyDescent="0.2">
      <c r="A313" s="70"/>
      <c r="B313" s="70"/>
      <c r="C313" s="63"/>
      <c r="D313" s="560"/>
      <c r="E313" s="13"/>
      <c r="F313" s="13"/>
      <c r="G313" s="182"/>
    </row>
    <row r="314" spans="1:7" ht="13.5" customHeight="1" x14ac:dyDescent="0.2">
      <c r="A314" s="70"/>
      <c r="B314" s="70"/>
      <c r="C314" s="63"/>
      <c r="D314" s="560"/>
      <c r="E314" s="13"/>
      <c r="F314" s="13"/>
      <c r="G314" s="182"/>
    </row>
    <row r="315" spans="1:7" ht="13.5" customHeight="1" x14ac:dyDescent="0.2">
      <c r="A315" s="70"/>
      <c r="B315" s="70"/>
      <c r="C315" s="63"/>
      <c r="D315" s="560"/>
      <c r="E315" s="13"/>
      <c r="F315" s="13"/>
      <c r="G315" s="182"/>
    </row>
    <row r="316" spans="1:7" ht="13.5" customHeight="1" x14ac:dyDescent="0.2">
      <c r="A316" s="70"/>
      <c r="B316" s="70"/>
      <c r="C316" s="63"/>
      <c r="D316" s="560"/>
      <c r="E316" s="13"/>
      <c r="F316" s="13"/>
      <c r="G316" s="182"/>
    </row>
    <row r="317" spans="1:7" ht="13.5" customHeight="1" x14ac:dyDescent="0.2">
      <c r="A317" s="70"/>
      <c r="B317" s="70"/>
      <c r="C317" s="63"/>
      <c r="D317" s="560"/>
      <c r="E317" s="13"/>
      <c r="F317" s="13"/>
      <c r="G317" s="182"/>
    </row>
    <row r="318" spans="1:7" ht="13.5" customHeight="1" x14ac:dyDescent="0.2">
      <c r="A318" s="70"/>
      <c r="B318" s="70"/>
      <c r="C318" s="63"/>
      <c r="D318" s="560"/>
      <c r="E318" s="13"/>
      <c r="F318" s="13"/>
      <c r="G318" s="182"/>
    </row>
    <row r="319" spans="1:7" ht="13.5" customHeight="1" x14ac:dyDescent="0.2">
      <c r="A319" s="70"/>
      <c r="B319" s="70"/>
      <c r="C319" s="63"/>
      <c r="D319" s="560"/>
      <c r="E319" s="13"/>
      <c r="F319" s="13"/>
      <c r="G319" s="182"/>
    </row>
    <row r="320" spans="1:7" ht="13.5" customHeight="1" x14ac:dyDescent="0.2">
      <c r="A320" s="70"/>
      <c r="B320" s="70"/>
      <c r="C320" s="63"/>
      <c r="D320" s="560"/>
      <c r="E320" s="13"/>
      <c r="F320" s="13"/>
      <c r="G320" s="182"/>
    </row>
    <row r="321" spans="1:7" ht="13.5" customHeight="1" x14ac:dyDescent="0.2">
      <c r="A321" s="70"/>
      <c r="B321" s="70"/>
      <c r="C321" s="63"/>
      <c r="D321" s="560"/>
      <c r="E321" s="13"/>
      <c r="F321" s="13"/>
      <c r="G321" s="182"/>
    </row>
    <row r="322" spans="1:7" ht="13.5" customHeight="1" x14ac:dyDescent="0.2">
      <c r="A322" s="131"/>
      <c r="B322" s="70"/>
      <c r="C322" s="64"/>
      <c r="D322" s="560"/>
      <c r="E322" s="13"/>
      <c r="F322" s="13"/>
      <c r="G322" s="182"/>
    </row>
    <row r="323" spans="1:7" ht="13.5" customHeight="1" x14ac:dyDescent="0.2">
      <c r="A323" s="70"/>
      <c r="B323" s="70"/>
      <c r="C323" s="63"/>
      <c r="D323" s="560"/>
      <c r="E323" s="13"/>
      <c r="F323" s="13"/>
      <c r="G323" s="182"/>
    </row>
    <row r="324" spans="1:7" ht="13.5" customHeight="1" x14ac:dyDescent="0.2">
      <c r="A324" s="70"/>
      <c r="B324" s="70"/>
      <c r="C324" s="63"/>
      <c r="D324" s="560"/>
      <c r="E324" s="13"/>
      <c r="F324" s="13"/>
      <c r="G324" s="182"/>
    </row>
    <row r="325" spans="1:7" ht="13.5" customHeight="1" x14ac:dyDescent="0.2">
      <c r="A325" s="131"/>
      <c r="B325" s="70"/>
      <c r="C325" s="85"/>
      <c r="D325" s="560"/>
      <c r="E325" s="13"/>
      <c r="F325" s="13"/>
      <c r="G325" s="182"/>
    </row>
    <row r="326" spans="1:7" ht="13.5" customHeight="1" x14ac:dyDescent="0.2">
      <c r="A326" s="131"/>
      <c r="B326" s="70"/>
      <c r="C326" s="63"/>
      <c r="D326" s="560"/>
      <c r="E326" s="13"/>
      <c r="F326" s="13"/>
      <c r="G326" s="182"/>
    </row>
    <row r="327" spans="1:7" ht="13.5" customHeight="1" x14ac:dyDescent="0.2">
      <c r="A327" s="131"/>
      <c r="B327" s="70"/>
      <c r="C327" s="63"/>
      <c r="D327" s="560"/>
      <c r="E327" s="13"/>
      <c r="F327" s="13"/>
      <c r="G327" s="182"/>
    </row>
    <row r="328" spans="1:7" ht="13.5" customHeight="1" x14ac:dyDescent="0.2">
      <c r="A328" s="131"/>
      <c r="B328" s="70"/>
      <c r="C328" s="64"/>
      <c r="D328" s="560"/>
      <c r="E328" s="13"/>
      <c r="F328" s="13"/>
      <c r="G328" s="182"/>
    </row>
    <row r="329" spans="1:7" ht="13.5" customHeight="1" x14ac:dyDescent="0.2">
      <c r="A329" s="70"/>
      <c r="B329" s="70"/>
      <c r="C329" s="63"/>
      <c r="D329" s="560"/>
      <c r="E329" s="13"/>
      <c r="F329" s="13"/>
      <c r="G329" s="182"/>
    </row>
    <row r="330" spans="1:7" ht="13.5" customHeight="1" x14ac:dyDescent="0.2">
      <c r="A330" s="131"/>
      <c r="B330" s="70"/>
      <c r="C330" s="63"/>
      <c r="D330" s="560"/>
      <c r="E330" s="13"/>
      <c r="F330" s="13"/>
      <c r="G330" s="182"/>
    </row>
    <row r="331" spans="1:7" ht="13.5" customHeight="1" x14ac:dyDescent="0.2">
      <c r="A331" s="131"/>
      <c r="B331" s="70"/>
      <c r="C331" s="64"/>
      <c r="D331" s="560"/>
      <c r="E331" s="13"/>
      <c r="F331" s="13"/>
      <c r="G331" s="182"/>
    </row>
    <row r="332" spans="1:7" ht="13.5" customHeight="1" x14ac:dyDescent="0.2">
      <c r="A332" s="70"/>
      <c r="B332" s="70"/>
      <c r="C332" s="63"/>
      <c r="D332" s="560"/>
      <c r="E332" s="13"/>
      <c r="F332" s="13"/>
      <c r="G332" s="182"/>
    </row>
    <row r="333" spans="1:7" ht="13.5" customHeight="1" x14ac:dyDescent="0.2">
      <c r="A333" s="131"/>
      <c r="B333" s="70"/>
      <c r="C333" s="63"/>
      <c r="D333" s="560"/>
      <c r="E333" s="13"/>
      <c r="F333" s="13"/>
      <c r="G333" s="182"/>
    </row>
    <row r="334" spans="1:7" ht="13.5" customHeight="1" x14ac:dyDescent="0.2">
      <c r="A334" s="131"/>
      <c r="B334" s="70"/>
      <c r="C334" s="64"/>
      <c r="D334" s="560"/>
      <c r="E334" s="13"/>
      <c r="F334" s="13"/>
      <c r="G334" s="182"/>
    </row>
    <row r="335" spans="1:7" ht="13.5" customHeight="1" x14ac:dyDescent="0.2">
      <c r="A335" s="70"/>
      <c r="B335" s="70"/>
      <c r="C335" s="63"/>
      <c r="D335" s="560"/>
      <c r="E335" s="13"/>
      <c r="F335" s="13"/>
      <c r="G335" s="182"/>
    </row>
    <row r="336" spans="1:7" ht="13.5" customHeight="1" x14ac:dyDescent="0.2">
      <c r="A336" s="70"/>
      <c r="B336" s="70"/>
      <c r="C336" s="63"/>
      <c r="D336" s="560"/>
      <c r="E336" s="13"/>
      <c r="F336" s="13"/>
      <c r="G336" s="182"/>
    </row>
    <row r="337" spans="1:7" ht="13.5" customHeight="1" x14ac:dyDescent="0.2">
      <c r="A337" s="70"/>
      <c r="B337" s="70"/>
      <c r="C337" s="63"/>
      <c r="D337" s="560"/>
      <c r="E337" s="13"/>
      <c r="F337" s="13"/>
      <c r="G337" s="182"/>
    </row>
    <row r="338" spans="1:7" ht="13.5" customHeight="1" x14ac:dyDescent="0.2">
      <c r="A338" s="131"/>
      <c r="B338" s="70"/>
      <c r="C338" s="86"/>
      <c r="D338" s="560"/>
      <c r="E338" s="13"/>
      <c r="F338" s="13"/>
      <c r="G338" s="182"/>
    </row>
    <row r="339" spans="1:7" ht="13.5" customHeight="1" x14ac:dyDescent="0.2">
      <c r="A339" s="131"/>
      <c r="B339" s="70"/>
      <c r="C339" s="85"/>
      <c r="D339" s="560"/>
      <c r="E339" s="13"/>
      <c r="F339" s="13"/>
      <c r="G339" s="182"/>
    </row>
    <row r="340" spans="1:7" ht="13.5" customHeight="1" x14ac:dyDescent="0.2">
      <c r="A340" s="131"/>
      <c r="B340" s="70"/>
      <c r="C340" s="87"/>
      <c r="D340" s="560"/>
      <c r="E340" s="13"/>
      <c r="F340" s="13"/>
      <c r="G340" s="182"/>
    </row>
    <row r="341" spans="1:7" ht="13.5" customHeight="1" x14ac:dyDescent="0.2">
      <c r="A341" s="131"/>
      <c r="B341" s="70"/>
      <c r="C341" s="88"/>
      <c r="D341" s="560"/>
      <c r="E341" s="13"/>
      <c r="F341" s="13"/>
      <c r="G341" s="182"/>
    </row>
    <row r="342" spans="1:7" ht="13.5" customHeight="1" x14ac:dyDescent="0.2">
      <c r="A342" s="91"/>
      <c r="B342" s="9"/>
      <c r="C342" s="56"/>
      <c r="D342" s="551"/>
      <c r="E342" s="12"/>
      <c r="F342" s="12"/>
      <c r="G342" s="182"/>
    </row>
    <row r="343" spans="1:7" ht="13.5" customHeight="1" x14ac:dyDescent="0.2">
      <c r="A343" s="9"/>
      <c r="B343" s="9"/>
      <c r="C343" s="56"/>
      <c r="D343" s="551"/>
      <c r="E343" s="12"/>
      <c r="F343" s="12"/>
      <c r="G343" s="182"/>
    </row>
    <row r="344" spans="1:7" ht="13.5" customHeight="1" x14ac:dyDescent="0.2">
      <c r="A344" s="9"/>
      <c r="B344" s="9"/>
      <c r="C344" s="56"/>
      <c r="D344" s="551"/>
      <c r="E344" s="12"/>
      <c r="F344" s="12"/>
      <c r="G344" s="182"/>
    </row>
    <row r="345" spans="1:7" ht="13.5" customHeight="1" x14ac:dyDescent="0.2">
      <c r="A345" s="91"/>
      <c r="B345" s="9"/>
      <c r="D345" s="551"/>
      <c r="E345" s="12"/>
      <c r="F345" s="12"/>
      <c r="G345" s="182"/>
    </row>
    <row r="346" spans="1:7" ht="13.5" customHeight="1" x14ac:dyDescent="0.2">
      <c r="A346" s="9"/>
      <c r="B346" s="9"/>
      <c r="C346" s="56"/>
      <c r="D346" s="551"/>
      <c r="E346" s="12"/>
      <c r="F346" s="12"/>
      <c r="G346" s="182"/>
    </row>
    <row r="347" spans="1:7" ht="13.5" customHeight="1" x14ac:dyDescent="0.2">
      <c r="A347" s="9"/>
      <c r="B347" s="9"/>
      <c r="C347" s="56"/>
      <c r="D347" s="551"/>
      <c r="E347" s="12"/>
      <c r="F347" s="12"/>
      <c r="G347" s="182"/>
    </row>
    <row r="348" spans="1:7" ht="13.5" customHeight="1" x14ac:dyDescent="0.2">
      <c r="A348" s="9"/>
      <c r="B348" s="9"/>
      <c r="C348" s="56"/>
      <c r="D348" s="551"/>
      <c r="E348" s="12"/>
      <c r="F348" s="12"/>
      <c r="G348" s="182"/>
    </row>
    <row r="349" spans="1:7" ht="13.5" customHeight="1" x14ac:dyDescent="0.2">
      <c r="A349" s="91"/>
      <c r="B349" s="9"/>
      <c r="C349" s="27"/>
      <c r="D349" s="551"/>
      <c r="E349" s="12"/>
      <c r="F349" s="12"/>
      <c r="G349" s="182"/>
    </row>
    <row r="350" spans="1:7" ht="13.5" customHeight="1" x14ac:dyDescent="0.2">
      <c r="A350" s="91"/>
      <c r="B350" s="9"/>
      <c r="C350" s="27"/>
      <c r="D350" s="551"/>
      <c r="E350" s="12"/>
      <c r="F350" s="12"/>
      <c r="G350" s="182"/>
    </row>
    <row r="351" spans="1:7" ht="13.5" customHeight="1" x14ac:dyDescent="0.2">
      <c r="A351" s="91"/>
      <c r="B351" s="9"/>
      <c r="D351" s="551"/>
      <c r="E351" s="12"/>
      <c r="F351" s="12"/>
      <c r="G351" s="182"/>
    </row>
    <row r="352" spans="1:7" ht="13.5" customHeight="1" x14ac:dyDescent="0.2">
      <c r="A352" s="9"/>
      <c r="B352" s="9"/>
      <c r="C352" s="56"/>
      <c r="D352" s="551"/>
      <c r="E352" s="12"/>
      <c r="F352" s="12"/>
      <c r="G352" s="182"/>
    </row>
    <row r="353" spans="1:7" ht="13.5" customHeight="1" x14ac:dyDescent="0.2">
      <c r="A353" s="9"/>
      <c r="B353" s="9"/>
      <c r="C353" s="56"/>
      <c r="D353" s="551"/>
      <c r="E353" s="12"/>
      <c r="F353" s="12"/>
      <c r="G353" s="182"/>
    </row>
    <row r="354" spans="1:7" ht="13.5" customHeight="1" x14ac:dyDescent="0.2">
      <c r="A354" s="9"/>
      <c r="B354" s="9"/>
      <c r="C354" s="56"/>
      <c r="D354" s="551"/>
      <c r="E354" s="12"/>
      <c r="F354" s="12"/>
      <c r="G354" s="182"/>
    </row>
    <row r="355" spans="1:7" ht="13.5" customHeight="1" x14ac:dyDescent="0.2">
      <c r="A355" s="9"/>
      <c r="B355" s="9"/>
      <c r="C355" s="56"/>
      <c r="D355" s="551"/>
      <c r="E355" s="12"/>
      <c r="F355" s="12"/>
      <c r="G355" s="182"/>
    </row>
    <row r="356" spans="1:7" x14ac:dyDescent="0.2">
      <c r="A356" s="132"/>
      <c r="B356" s="93"/>
      <c r="C356" s="94"/>
      <c r="D356" s="477"/>
      <c r="E356" s="27"/>
      <c r="F356" s="27"/>
      <c r="G356" s="182"/>
    </row>
  </sheetData>
  <mergeCells count="3">
    <mergeCell ref="A1:C1"/>
    <mergeCell ref="D1:G1"/>
    <mergeCell ref="H198:J198"/>
  </mergeCells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V335"/>
  <sheetViews>
    <sheetView topLeftCell="A51" zoomScaleNormal="100" workbookViewId="0">
      <selection activeCell="B71" sqref="B71"/>
    </sheetView>
  </sheetViews>
  <sheetFormatPr defaultColWidth="9" defaultRowHeight="12.75" x14ac:dyDescent="0.2"/>
  <cols>
    <col min="1" max="1" width="13" style="1" customWidth="1"/>
    <col min="2" max="2" width="99.25" style="1" customWidth="1"/>
    <col min="3" max="3" width="12.125" style="27" customWidth="1"/>
    <col min="4" max="4" width="13.125" style="622" customWidth="1"/>
    <col min="5" max="5" width="9.75" style="1" customWidth="1"/>
    <col min="6" max="6" width="15.375" style="1" customWidth="1"/>
    <col min="7" max="7" width="12.75" style="1" customWidth="1"/>
    <col min="8" max="9" width="9" style="1"/>
    <col min="10" max="10" width="11.625" style="1" customWidth="1"/>
    <col min="11" max="16384" width="9" style="1"/>
  </cols>
  <sheetData>
    <row r="1" spans="1:10" x14ac:dyDescent="0.2">
      <c r="F1" s="97" t="s">
        <v>218</v>
      </c>
      <c r="G1" s="97" t="s">
        <v>219</v>
      </c>
      <c r="H1" s="97" t="s">
        <v>220</v>
      </c>
      <c r="I1" s="97" t="s">
        <v>221</v>
      </c>
      <c r="J1" s="97" t="s">
        <v>222</v>
      </c>
    </row>
    <row r="2" spans="1:10" ht="13.5" customHeight="1" x14ac:dyDescent="0.2">
      <c r="A2" s="126" t="s">
        <v>240</v>
      </c>
      <c r="B2" s="36" t="s">
        <v>2373</v>
      </c>
      <c r="D2" s="622">
        <v>950.00000000000011</v>
      </c>
      <c r="F2" s="615">
        <v>1058.6300000000001</v>
      </c>
      <c r="G2" s="25">
        <v>90</v>
      </c>
      <c r="H2" s="402"/>
      <c r="I2" s="402">
        <v>18.63</v>
      </c>
      <c r="J2" s="104">
        <f>F2-G2-H2-I2</f>
        <v>950.00000000000011</v>
      </c>
    </row>
    <row r="3" spans="1:10" ht="13.5" customHeight="1" x14ac:dyDescent="0.2">
      <c r="A3" s="126" t="s">
        <v>240</v>
      </c>
      <c r="B3" s="36" t="s">
        <v>2339</v>
      </c>
      <c r="D3" s="622">
        <v>1050</v>
      </c>
      <c r="F3" s="615">
        <v>1168.05</v>
      </c>
      <c r="G3" s="25">
        <v>90</v>
      </c>
      <c r="H3" s="402"/>
      <c r="I3" s="402">
        <v>28.05</v>
      </c>
      <c r="J3" s="104">
        <f t="shared" ref="J3:J18" si="0">F3-G3-H3-I3</f>
        <v>1050</v>
      </c>
    </row>
    <row r="4" spans="1:10" ht="13.5" customHeight="1" x14ac:dyDescent="0.2">
      <c r="A4" s="126" t="s">
        <v>240</v>
      </c>
      <c r="B4" s="36" t="s">
        <v>2418</v>
      </c>
      <c r="D4" s="622">
        <v>1010</v>
      </c>
      <c r="F4" s="615">
        <v>1100</v>
      </c>
      <c r="G4" s="25">
        <v>90</v>
      </c>
      <c r="H4" s="402"/>
      <c r="I4" s="402"/>
      <c r="J4" s="104">
        <f t="shared" si="0"/>
        <v>1010</v>
      </c>
    </row>
    <row r="5" spans="1:10" ht="13.5" customHeight="1" x14ac:dyDescent="0.2">
      <c r="A5" s="126" t="s">
        <v>240</v>
      </c>
      <c r="B5" s="36" t="s">
        <v>2338</v>
      </c>
      <c r="D5" s="622">
        <v>1010</v>
      </c>
      <c r="F5" s="615">
        <v>1100</v>
      </c>
      <c r="G5" s="25">
        <v>90</v>
      </c>
      <c r="H5" s="402"/>
      <c r="I5" s="402"/>
      <c r="J5" s="104">
        <f t="shared" si="0"/>
        <v>1010</v>
      </c>
    </row>
    <row r="6" spans="1:10" ht="13.5" customHeight="1" x14ac:dyDescent="0.2">
      <c r="A6" s="126" t="s">
        <v>240</v>
      </c>
      <c r="B6" s="36" t="s">
        <v>2404</v>
      </c>
      <c r="D6" s="622">
        <v>1020</v>
      </c>
      <c r="F6" s="615">
        <v>1130.72</v>
      </c>
      <c r="G6" s="25">
        <v>90</v>
      </c>
      <c r="H6" s="402">
        <v>20.72</v>
      </c>
      <c r="I6" s="402"/>
      <c r="J6" s="104">
        <f t="shared" si="0"/>
        <v>1020</v>
      </c>
    </row>
    <row r="7" spans="1:10" ht="13.5" customHeight="1" x14ac:dyDescent="0.2">
      <c r="A7" s="126" t="s">
        <v>240</v>
      </c>
      <c r="B7" s="34" t="s">
        <v>2395</v>
      </c>
      <c r="D7" s="622">
        <v>1400</v>
      </c>
      <c r="F7" s="615">
        <v>1518.28</v>
      </c>
      <c r="G7" s="25">
        <v>90</v>
      </c>
      <c r="H7" s="402"/>
      <c r="I7" s="402">
        <v>28.28</v>
      </c>
      <c r="J7" s="104">
        <f>F7-G7-H7-I7</f>
        <v>1400</v>
      </c>
    </row>
    <row r="8" spans="1:10" ht="13.5" customHeight="1" x14ac:dyDescent="0.2">
      <c r="A8" s="126" t="s">
        <v>240</v>
      </c>
      <c r="B8" s="36" t="s">
        <v>2396</v>
      </c>
      <c r="D8" s="622">
        <v>1400</v>
      </c>
      <c r="F8" s="615">
        <v>1490</v>
      </c>
      <c r="G8" s="25">
        <v>90</v>
      </c>
      <c r="H8" s="403"/>
      <c r="I8" s="403"/>
      <c r="J8" s="104">
        <f>F8-G8-H8-I8</f>
        <v>1400</v>
      </c>
    </row>
    <row r="9" spans="1:10" ht="13.5" customHeight="1" x14ac:dyDescent="0.2">
      <c r="A9" s="126" t="s">
        <v>240</v>
      </c>
      <c r="B9" s="36" t="s">
        <v>2369</v>
      </c>
      <c r="D9" s="622">
        <v>1400</v>
      </c>
      <c r="F9" s="615">
        <v>1490</v>
      </c>
      <c r="G9" s="25">
        <v>90</v>
      </c>
      <c r="H9" s="403"/>
      <c r="I9" s="403"/>
      <c r="J9" s="104">
        <f t="shared" si="0"/>
        <v>1400</v>
      </c>
    </row>
    <row r="10" spans="1:10" ht="13.5" customHeight="1" x14ac:dyDescent="0.2">
      <c r="A10" s="126" t="s">
        <v>240</v>
      </c>
      <c r="B10" s="36" t="s">
        <v>2363</v>
      </c>
      <c r="D10" s="622">
        <v>1500</v>
      </c>
      <c r="F10" s="615">
        <v>1500</v>
      </c>
      <c r="G10" s="25"/>
      <c r="H10" s="403"/>
      <c r="I10" s="403"/>
      <c r="J10" s="104">
        <f t="shared" si="0"/>
        <v>1500</v>
      </c>
    </row>
    <row r="11" spans="1:10" ht="13.5" customHeight="1" x14ac:dyDescent="0.2">
      <c r="A11" s="126" t="s">
        <v>240</v>
      </c>
      <c r="B11" s="36" t="s">
        <v>619</v>
      </c>
      <c r="D11" s="622">
        <v>1080</v>
      </c>
      <c r="F11" s="615">
        <v>1080</v>
      </c>
      <c r="G11" s="25"/>
      <c r="H11" s="403"/>
      <c r="I11" s="403"/>
      <c r="J11" s="104">
        <f t="shared" si="0"/>
        <v>1080</v>
      </c>
    </row>
    <row r="12" spans="1:10" ht="13.5" customHeight="1" x14ac:dyDescent="0.2">
      <c r="A12" s="126" t="s">
        <v>240</v>
      </c>
      <c r="B12" s="36" t="s">
        <v>2332</v>
      </c>
      <c r="D12" s="622">
        <v>900</v>
      </c>
      <c r="F12" s="615">
        <v>900</v>
      </c>
      <c r="G12" s="25"/>
      <c r="H12" s="403"/>
      <c r="I12" s="403"/>
      <c r="J12" s="104">
        <f t="shared" si="0"/>
        <v>900</v>
      </c>
    </row>
    <row r="13" spans="1:10" ht="13.5" customHeight="1" x14ac:dyDescent="0.2">
      <c r="A13" s="126" t="s">
        <v>240</v>
      </c>
      <c r="B13" s="36" t="s">
        <v>3507</v>
      </c>
      <c r="D13" s="622">
        <v>3350</v>
      </c>
      <c r="F13" s="615">
        <v>3710</v>
      </c>
      <c r="G13" s="25">
        <v>360</v>
      </c>
      <c r="H13" s="403"/>
      <c r="I13" s="403"/>
      <c r="J13" s="104">
        <f t="shared" si="0"/>
        <v>3350</v>
      </c>
    </row>
    <row r="14" spans="1:10" ht="13.5" customHeight="1" x14ac:dyDescent="0.2">
      <c r="A14" s="126" t="s">
        <v>240</v>
      </c>
      <c r="B14" s="36" t="s">
        <v>2362</v>
      </c>
      <c r="D14" s="622">
        <v>1000</v>
      </c>
      <c r="F14" s="615">
        <v>1000</v>
      </c>
      <c r="G14" s="25"/>
      <c r="H14" s="403"/>
      <c r="I14" s="403"/>
      <c r="J14" s="104">
        <f t="shared" si="0"/>
        <v>1000</v>
      </c>
    </row>
    <row r="15" spans="1:10" ht="13.5" customHeight="1" x14ac:dyDescent="0.2">
      <c r="A15" s="126" t="s">
        <v>240</v>
      </c>
      <c r="B15" s="34" t="s">
        <v>2391</v>
      </c>
      <c r="D15" s="622">
        <v>3500</v>
      </c>
      <c r="F15" s="615">
        <v>3590.73</v>
      </c>
      <c r="G15" s="25"/>
      <c r="H15" s="403"/>
      <c r="I15" s="403">
        <v>90.73</v>
      </c>
      <c r="J15" s="104">
        <f t="shared" si="0"/>
        <v>3500</v>
      </c>
    </row>
    <row r="16" spans="1:10" ht="13.5" customHeight="1" x14ac:dyDescent="0.2">
      <c r="A16" s="126" t="s">
        <v>240</v>
      </c>
      <c r="B16" s="34" t="s">
        <v>2372</v>
      </c>
      <c r="D16" s="622">
        <v>2050</v>
      </c>
      <c r="F16" s="615">
        <v>2105.2800000000002</v>
      </c>
      <c r="G16" s="25"/>
      <c r="H16" s="403"/>
      <c r="I16" s="403">
        <v>55.28</v>
      </c>
      <c r="J16" s="104">
        <f t="shared" si="0"/>
        <v>2050</v>
      </c>
    </row>
    <row r="17" spans="1:10" ht="13.5" customHeight="1" x14ac:dyDescent="0.2">
      <c r="A17" s="126" t="s">
        <v>240</v>
      </c>
      <c r="B17" s="34" t="s">
        <v>2436</v>
      </c>
      <c r="D17" s="622">
        <v>5075</v>
      </c>
      <c r="F17" s="615">
        <v>5075</v>
      </c>
      <c r="G17" s="25"/>
      <c r="H17" s="403"/>
      <c r="I17" s="403"/>
      <c r="J17" s="104">
        <f t="shared" si="0"/>
        <v>5075</v>
      </c>
    </row>
    <row r="18" spans="1:10" ht="13.5" customHeight="1" x14ac:dyDescent="0.2">
      <c r="A18" s="126" t="s">
        <v>240</v>
      </c>
      <c r="B18" s="34" t="s">
        <v>2430</v>
      </c>
      <c r="D18" s="30">
        <v>1465</v>
      </c>
      <c r="F18" s="615">
        <v>1465</v>
      </c>
      <c r="G18" s="25"/>
      <c r="H18" s="403"/>
      <c r="I18" s="403"/>
      <c r="J18" s="104">
        <f t="shared" si="0"/>
        <v>1465</v>
      </c>
    </row>
    <row r="19" spans="1:10" ht="13.5" customHeight="1" x14ac:dyDescent="0.2">
      <c r="A19" s="126" t="s">
        <v>240</v>
      </c>
      <c r="B19" s="34" t="s">
        <v>2342</v>
      </c>
      <c r="D19" s="686">
        <v>250</v>
      </c>
      <c r="F19" s="377"/>
      <c r="G19" s="107">
        <f>SUM(G2:G18)</f>
        <v>1080</v>
      </c>
      <c r="H19" s="107">
        <f>SUM(H2:H18)</f>
        <v>20.72</v>
      </c>
      <c r="I19" s="107">
        <f>SUM(I2:I18)</f>
        <v>220.97</v>
      </c>
    </row>
    <row r="20" spans="1:10" ht="13.5" customHeight="1" x14ac:dyDescent="0.2">
      <c r="A20" s="126" t="s">
        <v>240</v>
      </c>
      <c r="B20" s="34" t="s">
        <v>2366</v>
      </c>
      <c r="D20" s="686">
        <v>250</v>
      </c>
    </row>
    <row r="21" spans="1:10" ht="13.5" customHeight="1" x14ac:dyDescent="0.2">
      <c r="A21" s="126" t="s">
        <v>240</v>
      </c>
      <c r="B21" s="34" t="s">
        <v>2370</v>
      </c>
      <c r="D21" s="686">
        <v>200</v>
      </c>
    </row>
    <row r="22" spans="1:10" ht="13.5" customHeight="1" x14ac:dyDescent="0.2">
      <c r="A22" s="126" t="s">
        <v>240</v>
      </c>
      <c r="B22" s="34" t="s">
        <v>2415</v>
      </c>
      <c r="D22" s="686">
        <v>200</v>
      </c>
    </row>
    <row r="23" spans="1:10" ht="13.5" customHeight="1" x14ac:dyDescent="0.2">
      <c r="A23" s="126" t="s">
        <v>240</v>
      </c>
      <c r="B23" s="34" t="s">
        <v>2340</v>
      </c>
      <c r="D23" s="686">
        <v>150</v>
      </c>
    </row>
    <row r="24" spans="1:10" ht="13.5" customHeight="1" x14ac:dyDescent="0.2">
      <c r="A24" s="126" t="s">
        <v>240</v>
      </c>
      <c r="B24" s="34" t="s">
        <v>2406</v>
      </c>
      <c r="D24" s="686">
        <v>200</v>
      </c>
    </row>
    <row r="25" spans="1:10" ht="13.5" customHeight="1" x14ac:dyDescent="0.2">
      <c r="A25" s="126" t="s">
        <v>240</v>
      </c>
      <c r="B25" s="34" t="s">
        <v>2410</v>
      </c>
      <c r="D25" s="686">
        <v>200</v>
      </c>
    </row>
    <row r="26" spans="1:10" ht="13.5" customHeight="1" x14ac:dyDescent="0.2">
      <c r="A26" s="126" t="s">
        <v>240</v>
      </c>
      <c r="B26" s="34" t="s">
        <v>2411</v>
      </c>
      <c r="D26" s="686">
        <v>200</v>
      </c>
    </row>
    <row r="27" spans="1:10" ht="13.5" customHeight="1" x14ac:dyDescent="0.2">
      <c r="A27" s="126" t="s">
        <v>240</v>
      </c>
      <c r="B27" s="34" t="s">
        <v>2405</v>
      </c>
      <c r="D27" s="686">
        <v>203.5</v>
      </c>
    </row>
    <row r="28" spans="1:10" ht="13.5" customHeight="1" x14ac:dyDescent="0.2">
      <c r="A28" s="126" t="s">
        <v>240</v>
      </c>
      <c r="B28" s="34" t="s">
        <v>2409</v>
      </c>
      <c r="D28" s="686">
        <v>200</v>
      </c>
    </row>
    <row r="29" spans="1:10" ht="13.5" customHeight="1" x14ac:dyDescent="0.2">
      <c r="A29" s="126" t="s">
        <v>240</v>
      </c>
      <c r="B29" s="34" t="s">
        <v>2408</v>
      </c>
      <c r="D29" s="686">
        <v>200</v>
      </c>
    </row>
    <row r="30" spans="1:10" ht="13.5" customHeight="1" x14ac:dyDescent="0.2">
      <c r="A30" s="126" t="s">
        <v>240</v>
      </c>
      <c r="B30" s="34" t="s">
        <v>2407</v>
      </c>
      <c r="D30" s="686">
        <v>200</v>
      </c>
    </row>
    <row r="31" spans="1:10" ht="13.5" customHeight="1" x14ac:dyDescent="0.2">
      <c r="A31" s="126" t="s">
        <v>240</v>
      </c>
      <c r="B31" s="34" t="s">
        <v>2346</v>
      </c>
      <c r="D31" s="686">
        <v>250</v>
      </c>
    </row>
    <row r="32" spans="1:10" ht="13.5" customHeight="1" x14ac:dyDescent="0.2">
      <c r="A32" s="126" t="s">
        <v>240</v>
      </c>
      <c r="B32" s="34" t="s">
        <v>2367</v>
      </c>
      <c r="D32" s="686">
        <v>200</v>
      </c>
    </row>
    <row r="33" spans="1:10" ht="13.5" customHeight="1" x14ac:dyDescent="0.2">
      <c r="A33" s="126" t="s">
        <v>240</v>
      </c>
      <c r="B33" s="34" t="s">
        <v>2434</v>
      </c>
      <c r="D33" s="686">
        <v>200</v>
      </c>
    </row>
    <row r="34" spans="1:10" ht="13.5" customHeight="1" x14ac:dyDescent="0.2">
      <c r="A34" s="126" t="s">
        <v>240</v>
      </c>
      <c r="B34" s="34" t="s">
        <v>2341</v>
      </c>
      <c r="D34" s="686">
        <v>200</v>
      </c>
    </row>
    <row r="35" spans="1:10" ht="13.5" customHeight="1" x14ac:dyDescent="0.2">
      <c r="A35" s="126" t="s">
        <v>240</v>
      </c>
      <c r="B35" s="36" t="s">
        <v>2416</v>
      </c>
      <c r="D35" s="686">
        <v>80</v>
      </c>
    </row>
    <row r="36" spans="1:10" ht="13.5" customHeight="1" x14ac:dyDescent="0.2">
      <c r="A36" s="126" t="s">
        <v>240</v>
      </c>
      <c r="B36" s="34" t="s">
        <v>2337</v>
      </c>
      <c r="D36" s="686">
        <v>220</v>
      </c>
    </row>
    <row r="37" spans="1:10" ht="13.5" customHeight="1" x14ac:dyDescent="0.2">
      <c r="A37" s="126" t="s">
        <v>240</v>
      </c>
      <c r="B37" s="36" t="s">
        <v>2343</v>
      </c>
      <c r="D37" s="686">
        <v>60</v>
      </c>
      <c r="E37" s="616">
        <f>SUM(D19:D37)</f>
        <v>3663.5</v>
      </c>
    </row>
    <row r="38" spans="1:10" ht="13.5" customHeight="1" x14ac:dyDescent="0.2">
      <c r="A38" s="126" t="s">
        <v>240</v>
      </c>
      <c r="B38" s="36" t="s">
        <v>3508</v>
      </c>
      <c r="D38" s="626">
        <f>I19</f>
        <v>220.97</v>
      </c>
      <c r="E38" s="617"/>
    </row>
    <row r="39" spans="1:10" ht="13.5" customHeight="1" x14ac:dyDescent="0.2">
      <c r="A39" s="126"/>
      <c r="B39" s="36"/>
      <c r="D39" s="640">
        <f>SUM(D2:D38)</f>
        <v>33044.47</v>
      </c>
    </row>
    <row r="40" spans="1:10" ht="13.5" customHeight="1" x14ac:dyDescent="0.2">
      <c r="A40" s="126"/>
      <c r="B40" s="36"/>
    </row>
    <row r="41" spans="1:10" ht="13.5" customHeight="1" x14ac:dyDescent="0.2">
      <c r="A41" s="126" t="s">
        <v>240</v>
      </c>
      <c r="B41" s="36" t="s">
        <v>2392</v>
      </c>
      <c r="D41" s="622">
        <v>7750</v>
      </c>
      <c r="F41" s="100">
        <v>8059.75</v>
      </c>
      <c r="G41" s="109"/>
      <c r="H41" s="109"/>
      <c r="I41" s="109">
        <v>309.75</v>
      </c>
      <c r="J41" s="618">
        <f>F41-G41-H41-I41</f>
        <v>7750</v>
      </c>
    </row>
    <row r="42" spans="1:10" ht="13.5" customHeight="1" x14ac:dyDescent="0.2">
      <c r="A42" s="126" t="s">
        <v>240</v>
      </c>
      <c r="B42" s="36" t="s">
        <v>2393</v>
      </c>
      <c r="D42" s="622">
        <v>525</v>
      </c>
      <c r="F42" s="100">
        <v>525</v>
      </c>
      <c r="G42" s="109"/>
      <c r="H42" s="109"/>
      <c r="I42" s="109"/>
      <c r="J42" s="618">
        <f>F42-G42-H42-I42</f>
        <v>525</v>
      </c>
    </row>
    <row r="43" spans="1:10" ht="13.5" customHeight="1" x14ac:dyDescent="0.2">
      <c r="A43" s="126" t="s">
        <v>240</v>
      </c>
      <c r="B43" s="36" t="s">
        <v>2518</v>
      </c>
      <c r="D43" s="622">
        <v>4731.47</v>
      </c>
      <c r="E43" s="18"/>
      <c r="F43" s="100">
        <v>4731.47</v>
      </c>
      <c r="G43" s="109"/>
      <c r="H43" s="109"/>
      <c r="I43" s="109"/>
      <c r="J43" s="618">
        <v>4731.47</v>
      </c>
    </row>
    <row r="44" spans="1:10" ht="13.5" customHeight="1" x14ac:dyDescent="0.2">
      <c r="A44" s="126" t="s">
        <v>240</v>
      </c>
      <c r="B44" s="36" t="s">
        <v>3542</v>
      </c>
      <c r="D44" s="622">
        <f>I45</f>
        <v>309.75</v>
      </c>
      <c r="E44" s="18"/>
      <c r="F44" s="668"/>
      <c r="G44" s="642"/>
      <c r="H44" s="642"/>
      <c r="I44" s="642"/>
      <c r="J44" s="405"/>
    </row>
    <row r="45" spans="1:10" ht="13.5" customHeight="1" x14ac:dyDescent="0.2">
      <c r="A45" s="244"/>
      <c r="B45" s="36"/>
      <c r="D45" s="640">
        <f>SUM(D41:D44)</f>
        <v>13316.220000000001</v>
      </c>
      <c r="E45" s="18"/>
      <c r="F45" s="18">
        <f>SUM(F41:F43)</f>
        <v>13316.220000000001</v>
      </c>
      <c r="G45" s="107">
        <f>SUM(G41:G43)</f>
        <v>0</v>
      </c>
      <c r="H45" s="107">
        <f>SUM(H41:H43)</f>
        <v>0</v>
      </c>
      <c r="I45" s="107">
        <f>SUM(I41:I43)</f>
        <v>309.75</v>
      </c>
      <c r="J45" s="107">
        <f>SUM(J41:J43)</f>
        <v>13006.470000000001</v>
      </c>
    </row>
    <row r="46" spans="1:10" ht="13.5" customHeight="1" x14ac:dyDescent="0.2">
      <c r="A46" s="244"/>
      <c r="B46" s="36"/>
      <c r="E46" s="18"/>
    </row>
    <row r="47" spans="1:10" ht="13.5" customHeight="1" x14ac:dyDescent="0.2">
      <c r="A47" s="126" t="s">
        <v>241</v>
      </c>
      <c r="B47" s="36" t="s">
        <v>189</v>
      </c>
      <c r="C47" s="60">
        <v>7311.14</v>
      </c>
      <c r="E47" s="18"/>
    </row>
    <row r="48" spans="1:10" ht="13.5" customHeight="1" x14ac:dyDescent="0.2">
      <c r="A48" s="126" t="s">
        <v>241</v>
      </c>
      <c r="B48" s="36" t="s">
        <v>189</v>
      </c>
      <c r="C48" s="60">
        <v>3977.47</v>
      </c>
      <c r="E48" s="18"/>
    </row>
    <row r="49" spans="1:5" ht="13.5" customHeight="1" x14ac:dyDescent="0.2">
      <c r="A49" s="126" t="s">
        <v>241</v>
      </c>
      <c r="B49" s="36" t="s">
        <v>174</v>
      </c>
      <c r="C49" s="27">
        <v>-2.4500000000000002</v>
      </c>
      <c r="E49" s="18"/>
    </row>
    <row r="50" spans="1:5" ht="13.5" customHeight="1" x14ac:dyDescent="0.2">
      <c r="A50" s="126" t="s">
        <v>241</v>
      </c>
      <c r="B50" s="36" t="s">
        <v>174</v>
      </c>
      <c r="C50" s="27">
        <v>-12.5</v>
      </c>
      <c r="E50" s="18"/>
    </row>
    <row r="51" spans="1:5" ht="13.5" customHeight="1" x14ac:dyDescent="0.2">
      <c r="A51" s="126" t="s">
        <v>241</v>
      </c>
      <c r="B51" s="36" t="s">
        <v>174</v>
      </c>
      <c r="C51" s="27">
        <v>-46.05</v>
      </c>
      <c r="E51" s="18"/>
    </row>
    <row r="52" spans="1:5" ht="13.5" customHeight="1" x14ac:dyDescent="0.2">
      <c r="A52" s="126" t="s">
        <v>241</v>
      </c>
      <c r="B52" s="36" t="s">
        <v>174</v>
      </c>
      <c r="C52" s="27">
        <v>-75</v>
      </c>
      <c r="E52" s="18"/>
    </row>
    <row r="53" spans="1:5" ht="13.5" customHeight="1" x14ac:dyDescent="0.2">
      <c r="A53" s="126" t="s">
        <v>241</v>
      </c>
      <c r="B53" s="36" t="s">
        <v>174</v>
      </c>
      <c r="C53" s="27">
        <v>-100</v>
      </c>
      <c r="E53" s="18"/>
    </row>
    <row r="54" spans="1:5" ht="13.5" customHeight="1" x14ac:dyDescent="0.2">
      <c r="A54" s="126" t="s">
        <v>241</v>
      </c>
      <c r="B54" s="36" t="s">
        <v>174</v>
      </c>
      <c r="C54" s="27">
        <v>-110.37</v>
      </c>
      <c r="E54" s="18"/>
    </row>
    <row r="55" spans="1:5" ht="13.5" customHeight="1" x14ac:dyDescent="0.2">
      <c r="A55" s="126" t="s">
        <v>241</v>
      </c>
      <c r="B55" s="36" t="s">
        <v>174</v>
      </c>
      <c r="C55" s="27">
        <v>-141.9</v>
      </c>
      <c r="E55" s="18"/>
    </row>
    <row r="56" spans="1:5" ht="13.5" customHeight="1" x14ac:dyDescent="0.2">
      <c r="A56" s="126" t="s">
        <v>241</v>
      </c>
      <c r="B56" s="36" t="s">
        <v>174</v>
      </c>
      <c r="C56" s="27">
        <v>-159.6</v>
      </c>
      <c r="E56" s="18"/>
    </row>
    <row r="57" spans="1:5" ht="13.5" customHeight="1" x14ac:dyDescent="0.2">
      <c r="A57" s="126" t="s">
        <v>241</v>
      </c>
      <c r="B57" s="36" t="s">
        <v>174</v>
      </c>
      <c r="C57" s="27">
        <v>-211.26</v>
      </c>
      <c r="E57" s="18"/>
    </row>
    <row r="58" spans="1:5" ht="13.5" customHeight="1" x14ac:dyDescent="0.2">
      <c r="A58" s="126" t="s">
        <v>241</v>
      </c>
      <c r="B58" s="36" t="s">
        <v>174</v>
      </c>
      <c r="C58" s="27">
        <v>-287.8</v>
      </c>
      <c r="E58" s="18"/>
    </row>
    <row r="59" spans="1:5" ht="13.5" customHeight="1" x14ac:dyDescent="0.2">
      <c r="A59" s="126" t="s">
        <v>241</v>
      </c>
      <c r="B59" s="36" t="s">
        <v>174</v>
      </c>
      <c r="C59" s="27">
        <v>-900</v>
      </c>
      <c r="E59" s="18"/>
    </row>
    <row r="60" spans="1:5" ht="13.5" customHeight="1" x14ac:dyDescent="0.2">
      <c r="A60" s="126" t="s">
        <v>241</v>
      </c>
      <c r="B60" s="36" t="s">
        <v>174</v>
      </c>
      <c r="C60" s="27">
        <v>-1215.3699999999999</v>
      </c>
      <c r="E60" s="18"/>
    </row>
    <row r="61" spans="1:5" ht="13.5" customHeight="1" x14ac:dyDescent="0.2">
      <c r="A61" s="126" t="s">
        <v>241</v>
      </c>
      <c r="B61" s="36" t="s">
        <v>174</v>
      </c>
      <c r="C61" s="27">
        <v>-1458</v>
      </c>
      <c r="E61" s="18"/>
    </row>
    <row r="62" spans="1:5" ht="13.5" customHeight="1" x14ac:dyDescent="0.2">
      <c r="A62" s="126" t="s">
        <v>241</v>
      </c>
      <c r="B62" s="36" t="s">
        <v>174</v>
      </c>
      <c r="C62" s="27">
        <v>-1728.05</v>
      </c>
      <c r="E62" s="18"/>
    </row>
    <row r="63" spans="1:5" ht="13.5" customHeight="1" x14ac:dyDescent="0.2">
      <c r="A63" s="126" t="s">
        <v>241</v>
      </c>
      <c r="B63" s="36" t="s">
        <v>174</v>
      </c>
      <c r="C63" s="27">
        <v>-3000</v>
      </c>
      <c r="E63" s="18"/>
    </row>
    <row r="64" spans="1:5" ht="13.5" customHeight="1" x14ac:dyDescent="0.2">
      <c r="A64" s="126" t="s">
        <v>241</v>
      </c>
      <c r="B64" s="36" t="s">
        <v>174</v>
      </c>
      <c r="C64" s="27">
        <v>-7388.23</v>
      </c>
      <c r="E64" s="18"/>
    </row>
    <row r="65" spans="1:5" ht="13.5" customHeight="1" x14ac:dyDescent="0.2">
      <c r="A65" s="126"/>
      <c r="B65" s="36"/>
      <c r="C65" s="620">
        <f>SUM(C47:C64)</f>
        <v>-5547.9699999999993</v>
      </c>
      <c r="E65" s="18"/>
    </row>
    <row r="66" spans="1:5" ht="13.5" customHeight="1" x14ac:dyDescent="0.2">
      <c r="A66" s="126"/>
      <c r="B66" s="36"/>
      <c r="E66" s="18"/>
    </row>
    <row r="67" spans="1:5" ht="13.5" customHeight="1" x14ac:dyDescent="0.2">
      <c r="A67" s="126" t="s">
        <v>224</v>
      </c>
      <c r="B67" s="36" t="s">
        <v>62</v>
      </c>
      <c r="C67" s="60">
        <v>650.36</v>
      </c>
    </row>
    <row r="68" spans="1:5" ht="13.5" customHeight="1" x14ac:dyDescent="0.2">
      <c r="A68" s="126" t="s">
        <v>224</v>
      </c>
      <c r="B68" s="36" t="s">
        <v>68</v>
      </c>
      <c r="C68" s="60">
        <v>132.83000000000001</v>
      </c>
    </row>
    <row r="69" spans="1:5" ht="13.5" customHeight="1" x14ac:dyDescent="0.2">
      <c r="A69" s="126" t="s">
        <v>224</v>
      </c>
      <c r="B69" s="32" t="s">
        <v>1597</v>
      </c>
      <c r="C69" s="60">
        <v>0.12</v>
      </c>
    </row>
    <row r="70" spans="1:5" ht="13.5" customHeight="1" x14ac:dyDescent="0.2">
      <c r="A70" s="126" t="s">
        <v>224</v>
      </c>
      <c r="B70" s="32" t="s">
        <v>199</v>
      </c>
      <c r="C70" s="60">
        <v>141.9</v>
      </c>
      <c r="E70" s="18"/>
    </row>
    <row r="71" spans="1:5" ht="13.5" customHeight="1" x14ac:dyDescent="0.2">
      <c r="A71" s="126" t="s">
        <v>224</v>
      </c>
      <c r="B71" s="36" t="s">
        <v>1598</v>
      </c>
      <c r="C71" s="60">
        <v>2.98</v>
      </c>
    </row>
    <row r="72" spans="1:5" ht="13.5" customHeight="1" x14ac:dyDescent="0.2">
      <c r="A72" s="126" t="s">
        <v>224</v>
      </c>
      <c r="B72" s="36" t="s">
        <v>3509</v>
      </c>
      <c r="C72" s="60">
        <v>400</v>
      </c>
    </row>
    <row r="73" spans="1:5" ht="13.5" customHeight="1" x14ac:dyDescent="0.2">
      <c r="A73" s="126"/>
      <c r="B73" s="36"/>
      <c r="C73" s="621">
        <f>SUM(C67:C72)</f>
        <v>1328.19</v>
      </c>
    </row>
    <row r="74" spans="1:5" ht="13.5" customHeight="1" x14ac:dyDescent="0.2">
      <c r="A74" s="126"/>
      <c r="B74" s="36"/>
      <c r="C74" s="60"/>
    </row>
    <row r="75" spans="1:5" ht="13.5" customHeight="1" x14ac:dyDescent="0.2">
      <c r="A75" s="126" t="s">
        <v>224</v>
      </c>
      <c r="B75" s="36" t="s">
        <v>2374</v>
      </c>
      <c r="C75" s="30">
        <v>300</v>
      </c>
      <c r="D75" s="638">
        <f>SUM(C75:C76)-D76</f>
        <v>400</v>
      </c>
    </row>
    <row r="76" spans="1:5" ht="13.5" customHeight="1" x14ac:dyDescent="0.2">
      <c r="A76" s="126" t="s">
        <v>224</v>
      </c>
      <c r="B76" s="36" t="s">
        <v>2419</v>
      </c>
      <c r="C76" s="30">
        <v>300</v>
      </c>
      <c r="D76" s="638">
        <f t="array" ref="D76">SUM(C75:C76/3)</f>
        <v>200</v>
      </c>
    </row>
    <row r="77" spans="1:5" ht="13.5" customHeight="1" x14ac:dyDescent="0.2">
      <c r="A77" s="126"/>
      <c r="B77" s="32"/>
      <c r="C77" s="60"/>
      <c r="E77" s="18"/>
    </row>
    <row r="78" spans="1:5" ht="13.5" customHeight="1" x14ac:dyDescent="0.2">
      <c r="A78" s="126"/>
      <c r="B78" s="32"/>
      <c r="C78" s="60"/>
      <c r="E78" s="18"/>
    </row>
    <row r="79" spans="1:5" ht="13.5" customHeight="1" x14ac:dyDescent="0.2">
      <c r="A79" s="244" t="s">
        <v>225</v>
      </c>
      <c r="B79" s="32" t="s">
        <v>2517</v>
      </c>
      <c r="C79" s="621">
        <v>754</v>
      </c>
      <c r="E79" s="18"/>
    </row>
    <row r="80" spans="1:5" ht="13.5" customHeight="1" x14ac:dyDescent="0.2">
      <c r="A80" s="244"/>
      <c r="B80" s="32"/>
      <c r="C80" s="60"/>
      <c r="E80" s="18"/>
    </row>
    <row r="81" spans="1:8" ht="13.5" customHeight="1" x14ac:dyDescent="0.2">
      <c r="A81" s="244"/>
      <c r="B81" s="32"/>
      <c r="C81" s="60"/>
      <c r="E81" s="18"/>
    </row>
    <row r="82" spans="1:8" ht="13.5" customHeight="1" x14ac:dyDescent="0.2">
      <c r="A82" s="244" t="s">
        <v>428</v>
      </c>
      <c r="B82" s="36" t="s">
        <v>196</v>
      </c>
      <c r="C82" s="60">
        <v>1123.76</v>
      </c>
      <c r="E82" s="18"/>
    </row>
    <row r="83" spans="1:8" ht="13.5" customHeight="1" x14ac:dyDescent="0.2">
      <c r="A83" s="244" t="s">
        <v>428</v>
      </c>
      <c r="B83" s="36" t="s">
        <v>197</v>
      </c>
      <c r="C83" s="60">
        <v>1872.93</v>
      </c>
      <c r="E83" s="18"/>
    </row>
    <row r="84" spans="1:8" ht="13.5" customHeight="1" x14ac:dyDescent="0.2">
      <c r="A84" s="244"/>
      <c r="B84" s="36"/>
      <c r="C84" s="621">
        <f>SUM(C82:C83)</f>
        <v>2996.69</v>
      </c>
      <c r="E84" s="18"/>
    </row>
    <row r="85" spans="1:8" ht="13.5" customHeight="1" x14ac:dyDescent="0.2">
      <c r="A85" s="244"/>
      <c r="B85" s="36"/>
      <c r="C85" s="60"/>
      <c r="E85" s="18"/>
    </row>
    <row r="86" spans="1:8" ht="13.5" customHeight="1" x14ac:dyDescent="0.2">
      <c r="A86" s="126" t="s">
        <v>242</v>
      </c>
      <c r="B86" s="36" t="s">
        <v>2456</v>
      </c>
      <c r="C86" s="60">
        <v>785</v>
      </c>
    </row>
    <row r="87" spans="1:8" ht="13.5" customHeight="1" x14ac:dyDescent="0.2">
      <c r="A87" s="126" t="s">
        <v>242</v>
      </c>
      <c r="B87" s="36" t="s">
        <v>3510</v>
      </c>
      <c r="C87" s="60">
        <v>-20.72</v>
      </c>
    </row>
    <row r="88" spans="1:8" ht="13.5" customHeight="1" x14ac:dyDescent="0.2">
      <c r="A88" s="126" t="s">
        <v>242</v>
      </c>
      <c r="B88" s="36" t="s">
        <v>127</v>
      </c>
      <c r="C88" s="60">
        <v>48.2</v>
      </c>
    </row>
    <row r="89" spans="1:8" ht="13.5" customHeight="1" x14ac:dyDescent="0.2">
      <c r="A89" s="126" t="s">
        <v>242</v>
      </c>
      <c r="B89" s="33" t="s">
        <v>736</v>
      </c>
      <c r="C89" s="60">
        <v>44.99</v>
      </c>
    </row>
    <row r="90" spans="1:8" ht="13.5" customHeight="1" x14ac:dyDescent="0.2">
      <c r="A90" s="126" t="s">
        <v>242</v>
      </c>
      <c r="B90" s="36" t="s">
        <v>129</v>
      </c>
      <c r="C90" s="60">
        <v>48.2</v>
      </c>
      <c r="F90" s="126" t="s">
        <v>242</v>
      </c>
      <c r="G90" s="36" t="s">
        <v>2484</v>
      </c>
      <c r="H90" s="60">
        <v>119.9</v>
      </c>
    </row>
    <row r="91" spans="1:8" ht="13.5" customHeight="1" x14ac:dyDescent="0.2">
      <c r="A91" s="126" t="s">
        <v>242</v>
      </c>
      <c r="B91" s="33" t="s">
        <v>737</v>
      </c>
      <c r="C91" s="60">
        <v>151.84</v>
      </c>
      <c r="F91" s="126" t="s">
        <v>242</v>
      </c>
      <c r="G91" s="32" t="s">
        <v>813</v>
      </c>
      <c r="H91" s="60">
        <v>75</v>
      </c>
    </row>
    <row r="92" spans="1:8" ht="13.5" customHeight="1" x14ac:dyDescent="0.2">
      <c r="A92" s="126" t="s">
        <v>242</v>
      </c>
      <c r="B92" s="36" t="s">
        <v>87</v>
      </c>
      <c r="C92" s="60">
        <v>42.31</v>
      </c>
    </row>
    <row r="93" spans="1:8" ht="13.5" customHeight="1" x14ac:dyDescent="0.2">
      <c r="A93" s="126" t="s">
        <v>242</v>
      </c>
      <c r="B93" s="32" t="s">
        <v>2440</v>
      </c>
      <c r="C93" s="51">
        <v>120</v>
      </c>
    </row>
    <row r="94" spans="1:8" ht="13.5" customHeight="1" x14ac:dyDescent="0.2">
      <c r="A94" s="126" t="s">
        <v>242</v>
      </c>
      <c r="B94" s="32" t="s">
        <v>2443</v>
      </c>
      <c r="C94" s="27">
        <v>-326.39999999999998</v>
      </c>
    </row>
    <row r="95" spans="1:8" ht="13.5" customHeight="1" x14ac:dyDescent="0.2">
      <c r="A95" s="126" t="s">
        <v>242</v>
      </c>
      <c r="B95" s="32" t="s">
        <v>624</v>
      </c>
      <c r="C95" s="27">
        <f t="array" ref="C95">SUM(H90:H91/2)</f>
        <v>97.45</v>
      </c>
    </row>
    <row r="96" spans="1:8" ht="13.5" customHeight="1" x14ac:dyDescent="0.2">
      <c r="A96" s="126"/>
      <c r="B96" s="32"/>
      <c r="C96" s="620">
        <f>SUM(C86:C95)</f>
        <v>990.87</v>
      </c>
    </row>
    <row r="97" spans="1:22" ht="13.5" customHeight="1" x14ac:dyDescent="0.2">
      <c r="A97" s="126"/>
      <c r="B97" s="32"/>
    </row>
    <row r="98" spans="1:22" ht="13.5" customHeight="1" x14ac:dyDescent="0.2">
      <c r="A98" s="126" t="s">
        <v>242</v>
      </c>
      <c r="B98" s="36" t="s">
        <v>2433</v>
      </c>
      <c r="C98" s="30">
        <v>60</v>
      </c>
    </row>
    <row r="99" spans="1:22" ht="13.5" customHeight="1" x14ac:dyDescent="0.2">
      <c r="A99" s="126" t="s">
        <v>242</v>
      </c>
      <c r="B99" s="36" t="s">
        <v>2414</v>
      </c>
      <c r="C99" s="30">
        <v>21</v>
      </c>
      <c r="E99" s="18"/>
    </row>
    <row r="100" spans="1:22" ht="13.5" customHeight="1" x14ac:dyDescent="0.2">
      <c r="A100" s="126" t="s">
        <v>242</v>
      </c>
      <c r="B100" s="36" t="s">
        <v>2354</v>
      </c>
      <c r="C100" s="30">
        <v>155</v>
      </c>
      <c r="U100" s="64"/>
      <c r="V100" s="64"/>
    </row>
    <row r="101" spans="1:22" ht="13.5" customHeight="1" x14ac:dyDescent="0.2">
      <c r="A101" s="126" t="s">
        <v>242</v>
      </c>
      <c r="B101" s="36" t="s">
        <v>2347</v>
      </c>
      <c r="C101" s="30">
        <v>75</v>
      </c>
    </row>
    <row r="102" spans="1:22" ht="13.5" customHeight="1" x14ac:dyDescent="0.2">
      <c r="A102" s="126" t="s">
        <v>242</v>
      </c>
      <c r="B102" s="36" t="s">
        <v>180</v>
      </c>
      <c r="C102" s="60">
        <v>211.26</v>
      </c>
    </row>
    <row r="103" spans="1:22" ht="13.5" customHeight="1" x14ac:dyDescent="0.2">
      <c r="A103" s="126" t="s">
        <v>242</v>
      </c>
      <c r="B103" s="36" t="s">
        <v>2432</v>
      </c>
      <c r="C103" s="30">
        <v>0.2</v>
      </c>
      <c r="U103" s="64"/>
      <c r="V103" s="64"/>
    </row>
    <row r="104" spans="1:22" ht="13.5" customHeight="1" x14ac:dyDescent="0.2">
      <c r="A104" s="126" t="s">
        <v>242</v>
      </c>
      <c r="B104" s="36" t="s">
        <v>2431</v>
      </c>
      <c r="C104" s="30">
        <v>14.2</v>
      </c>
      <c r="E104" s="18"/>
    </row>
    <row r="105" spans="1:22" ht="13.5" customHeight="1" x14ac:dyDescent="0.2">
      <c r="A105" s="126" t="s">
        <v>242</v>
      </c>
      <c r="B105" s="36" t="s">
        <v>423</v>
      </c>
      <c r="C105" s="30">
        <f>C95</f>
        <v>97.45</v>
      </c>
      <c r="E105" s="18"/>
    </row>
    <row r="106" spans="1:22" ht="13.5" customHeight="1" x14ac:dyDescent="0.2">
      <c r="A106" s="126"/>
      <c r="B106" s="36"/>
      <c r="C106" s="620">
        <f>SUM(C98:C105)</f>
        <v>634.11000000000013</v>
      </c>
    </row>
    <row r="107" spans="1:22" ht="13.5" customHeight="1" x14ac:dyDescent="0.2">
      <c r="A107" s="126"/>
      <c r="B107" s="36"/>
      <c r="C107" s="30"/>
    </row>
    <row r="108" spans="1:22" ht="13.5" customHeight="1" x14ac:dyDescent="0.2">
      <c r="A108" s="126" t="s">
        <v>243</v>
      </c>
      <c r="B108" s="36" t="s">
        <v>9</v>
      </c>
      <c r="C108" s="615">
        <v>900</v>
      </c>
    </row>
    <row r="109" spans="1:22" ht="13.5" customHeight="1" x14ac:dyDescent="0.2">
      <c r="A109" s="126" t="s">
        <v>243</v>
      </c>
      <c r="B109" s="36" t="s">
        <v>630</v>
      </c>
      <c r="C109" s="615">
        <v>200</v>
      </c>
    </row>
    <row r="110" spans="1:22" ht="13.5" customHeight="1" x14ac:dyDescent="0.2">
      <c r="A110" s="126" t="s">
        <v>243</v>
      </c>
      <c r="B110" s="36" t="s">
        <v>2491</v>
      </c>
      <c r="C110" s="60">
        <v>730</v>
      </c>
    </row>
    <row r="111" spans="1:22" ht="13.5" customHeight="1" x14ac:dyDescent="0.2">
      <c r="A111" s="126" t="s">
        <v>243</v>
      </c>
      <c r="B111" s="33" t="s">
        <v>81</v>
      </c>
      <c r="C111" s="60">
        <v>49.9</v>
      </c>
    </row>
    <row r="112" spans="1:22" ht="13.5" customHeight="1" x14ac:dyDescent="0.2">
      <c r="A112" s="126" t="s">
        <v>243</v>
      </c>
      <c r="B112" s="36" t="s">
        <v>673</v>
      </c>
      <c r="C112" s="60">
        <v>99.98</v>
      </c>
    </row>
    <row r="113" spans="1:22" ht="13.5" customHeight="1" x14ac:dyDescent="0.2">
      <c r="A113" s="126" t="s">
        <v>243</v>
      </c>
      <c r="B113" s="56" t="s">
        <v>113</v>
      </c>
      <c r="C113" s="60">
        <v>267</v>
      </c>
    </row>
    <row r="114" spans="1:22" ht="13.5" customHeight="1" x14ac:dyDescent="0.2">
      <c r="A114" s="126" t="s">
        <v>243</v>
      </c>
      <c r="B114" s="36" t="s">
        <v>2352</v>
      </c>
      <c r="C114" s="30">
        <v>35</v>
      </c>
    </row>
    <row r="115" spans="1:22" ht="13.5" customHeight="1" x14ac:dyDescent="0.2">
      <c r="A115" s="126" t="s">
        <v>243</v>
      </c>
      <c r="B115" s="36" t="s">
        <v>2336</v>
      </c>
      <c r="C115" s="30">
        <v>33.369999999999997</v>
      </c>
    </row>
    <row r="116" spans="1:22" ht="13.5" customHeight="1" x14ac:dyDescent="0.2">
      <c r="A116" s="126" t="s">
        <v>243</v>
      </c>
      <c r="B116" s="36" t="s">
        <v>2081</v>
      </c>
      <c r="C116" s="30">
        <v>40.68</v>
      </c>
    </row>
    <row r="117" spans="1:22" ht="13.5" customHeight="1" x14ac:dyDescent="0.2">
      <c r="A117" s="126" t="s">
        <v>243</v>
      </c>
      <c r="B117" s="36" t="s">
        <v>2368</v>
      </c>
      <c r="C117" s="30">
        <v>15.36</v>
      </c>
      <c r="U117" s="64"/>
      <c r="V117" s="64"/>
    </row>
    <row r="118" spans="1:22" ht="13.5" customHeight="1" x14ac:dyDescent="0.2">
      <c r="A118" s="126" t="s">
        <v>243</v>
      </c>
      <c r="B118" s="36" t="s">
        <v>2423</v>
      </c>
      <c r="C118" s="30">
        <v>33.1</v>
      </c>
    </row>
    <row r="119" spans="1:22" ht="13.5" customHeight="1" x14ac:dyDescent="0.2">
      <c r="A119" s="126" t="s">
        <v>243</v>
      </c>
      <c r="B119" s="36" t="s">
        <v>2417</v>
      </c>
      <c r="C119" s="30">
        <v>5.5</v>
      </c>
    </row>
    <row r="120" spans="1:22" ht="13.5" customHeight="1" x14ac:dyDescent="0.2">
      <c r="A120" s="126" t="s">
        <v>243</v>
      </c>
      <c r="B120" s="36" t="s">
        <v>2425</v>
      </c>
      <c r="C120" s="30">
        <v>15</v>
      </c>
    </row>
    <row r="121" spans="1:22" ht="13.5" customHeight="1" x14ac:dyDescent="0.2">
      <c r="A121" s="126" t="s">
        <v>243</v>
      </c>
      <c r="B121" s="36" t="s">
        <v>2399</v>
      </c>
      <c r="C121" s="30">
        <v>120</v>
      </c>
    </row>
    <row r="122" spans="1:22" ht="13.5" customHeight="1" x14ac:dyDescent="0.2">
      <c r="A122" s="126" t="s">
        <v>243</v>
      </c>
      <c r="B122" s="36" t="s">
        <v>2172</v>
      </c>
      <c r="C122" s="30">
        <v>1230</v>
      </c>
    </row>
    <row r="123" spans="1:22" ht="13.5" customHeight="1" x14ac:dyDescent="0.2">
      <c r="A123" s="126" t="s">
        <v>243</v>
      </c>
      <c r="B123" s="36" t="s">
        <v>2345</v>
      </c>
      <c r="C123" s="30">
        <v>2490</v>
      </c>
    </row>
    <row r="124" spans="1:22" ht="13.5" customHeight="1" x14ac:dyDescent="0.2">
      <c r="A124" s="126" t="s">
        <v>243</v>
      </c>
      <c r="B124" s="36" t="s">
        <v>2403</v>
      </c>
      <c r="C124" s="30">
        <v>70</v>
      </c>
    </row>
    <row r="125" spans="1:22" ht="13.5" customHeight="1" x14ac:dyDescent="0.2">
      <c r="A125" s="126" t="s">
        <v>243</v>
      </c>
      <c r="B125" s="36" t="s">
        <v>2532</v>
      </c>
      <c r="C125" s="60">
        <v>500</v>
      </c>
    </row>
    <row r="126" spans="1:22" ht="13.5" customHeight="1" x14ac:dyDescent="0.2">
      <c r="A126" s="126" t="s">
        <v>243</v>
      </c>
      <c r="B126" s="36" t="s">
        <v>1834</v>
      </c>
      <c r="C126" s="30">
        <v>16.8</v>
      </c>
      <c r="U126" s="64"/>
      <c r="V126" s="64"/>
    </row>
    <row r="127" spans="1:22" ht="13.5" customHeight="1" x14ac:dyDescent="0.2">
      <c r="A127" s="126" t="s">
        <v>243</v>
      </c>
      <c r="B127" s="36" t="s">
        <v>1834</v>
      </c>
      <c r="C127" s="30">
        <v>29.8</v>
      </c>
      <c r="E127" s="18"/>
    </row>
    <row r="128" spans="1:22" ht="13.5" customHeight="1" x14ac:dyDescent="0.2">
      <c r="A128" s="126" t="s">
        <v>243</v>
      </c>
      <c r="B128" s="36" t="s">
        <v>1834</v>
      </c>
      <c r="C128" s="30">
        <v>40.299999999999997</v>
      </c>
    </row>
    <row r="129" spans="1:22" ht="13.5" customHeight="1" x14ac:dyDescent="0.2">
      <c r="A129" s="126" t="s">
        <v>243</v>
      </c>
      <c r="B129" s="36" t="s">
        <v>1834</v>
      </c>
      <c r="C129" s="30">
        <v>48.8</v>
      </c>
      <c r="D129" s="626"/>
    </row>
    <row r="130" spans="1:22" ht="13.5" customHeight="1" x14ac:dyDescent="0.2">
      <c r="A130" s="126" t="s">
        <v>243</v>
      </c>
      <c r="B130" s="36" t="s">
        <v>1834</v>
      </c>
      <c r="C130" s="30">
        <v>49.4</v>
      </c>
      <c r="D130" s="626"/>
    </row>
    <row r="131" spans="1:22" ht="13.5" customHeight="1" x14ac:dyDescent="0.2">
      <c r="A131" s="126" t="s">
        <v>243</v>
      </c>
      <c r="B131" s="36" t="s">
        <v>1666</v>
      </c>
      <c r="C131" s="30">
        <v>55.9</v>
      </c>
    </row>
    <row r="132" spans="1:22" ht="13.5" customHeight="1" x14ac:dyDescent="0.2">
      <c r="A132"/>
      <c r="B132" s="36"/>
      <c r="C132" s="620">
        <f>SUM(C108:C131)</f>
        <v>7075.8899999999994</v>
      </c>
      <c r="D132" s="622">
        <f>SUM(C132/2)</f>
        <v>3537.9449999999997</v>
      </c>
    </row>
    <row r="133" spans="1:22" ht="13.5" customHeight="1" x14ac:dyDescent="0.2">
      <c r="A133"/>
      <c r="B133" s="36"/>
      <c r="C133" s="30"/>
      <c r="U133" s="64"/>
      <c r="V133" s="64"/>
    </row>
    <row r="134" spans="1:22" ht="13.5" customHeight="1" x14ac:dyDescent="0.2">
      <c r="A134" s="244" t="s">
        <v>230</v>
      </c>
      <c r="B134" s="36" t="s">
        <v>177</v>
      </c>
      <c r="C134" s="621">
        <v>232.49</v>
      </c>
      <c r="D134" s="622">
        <f>C134*D142</f>
        <v>23.579649475650051</v>
      </c>
      <c r="E134" s="1" t="s">
        <v>1785</v>
      </c>
      <c r="U134" s="64"/>
      <c r="V134" s="64"/>
    </row>
    <row r="135" spans="1:22" ht="13.5" customHeight="1" x14ac:dyDescent="0.2">
      <c r="A135" s="244"/>
      <c r="B135" s="36"/>
      <c r="C135" s="60"/>
      <c r="D135" s="622">
        <f>SUM(C137-D134)</f>
        <v>1250.0303505243498</v>
      </c>
      <c r="E135" s="1" t="s">
        <v>540</v>
      </c>
      <c r="U135" s="64"/>
      <c r="V135" s="64"/>
    </row>
    <row r="136" spans="1:22" s="64" customFormat="1" ht="13.5" customHeight="1" x14ac:dyDescent="0.2">
      <c r="A136" s="244"/>
      <c r="B136" s="36"/>
      <c r="C136" s="60"/>
      <c r="D136" s="622"/>
      <c r="E136" s="18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</row>
    <row r="137" spans="1:22" s="64" customFormat="1" ht="13.5" customHeight="1" x14ac:dyDescent="0.2">
      <c r="A137" s="244" t="s">
        <v>231</v>
      </c>
      <c r="B137" s="32" t="s">
        <v>198</v>
      </c>
      <c r="C137" s="621">
        <v>1273.6099999999999</v>
      </c>
      <c r="D137" s="622"/>
      <c r="E137" s="18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</row>
    <row r="138" spans="1:22" s="64" customFormat="1" ht="13.5" customHeight="1" x14ac:dyDescent="0.2">
      <c r="A138" s="244"/>
      <c r="B138" s="32"/>
      <c r="C138" s="60"/>
      <c r="D138" s="622"/>
      <c r="E138" s="18"/>
      <c r="F138" s="126" t="s">
        <v>417</v>
      </c>
      <c r="G138" s="36" t="s">
        <v>2509</v>
      </c>
      <c r="H138" s="60">
        <v>100</v>
      </c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</row>
    <row r="139" spans="1:22" s="64" customFormat="1" ht="13.5" customHeight="1" x14ac:dyDescent="0.2">
      <c r="A139" s="244" t="s">
        <v>232</v>
      </c>
      <c r="B139" s="32" t="s">
        <v>3511</v>
      </c>
      <c r="C139" s="621">
        <f t="array" ref="C139">SUM(H138:H140/2)</f>
        <v>797.78</v>
      </c>
      <c r="D139" s="622">
        <f>SUM(C137*D142)</f>
        <v>129.17234018100848</v>
      </c>
      <c r="E139" s="18" t="s">
        <v>1785</v>
      </c>
      <c r="F139" s="126" t="s">
        <v>417</v>
      </c>
      <c r="G139" s="36" t="s">
        <v>173</v>
      </c>
      <c r="H139" s="60">
        <v>886.88</v>
      </c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</row>
    <row r="140" spans="1:22" s="64" customFormat="1" ht="13.5" customHeight="1" x14ac:dyDescent="0.2">
      <c r="A140" s="244"/>
      <c r="B140" s="32"/>
      <c r="C140" s="60"/>
      <c r="D140" s="622">
        <f>SUM(C137-D139)</f>
        <v>1144.4376598189915</v>
      </c>
      <c r="E140" s="18" t="s">
        <v>540</v>
      </c>
      <c r="F140" s="126" t="s">
        <v>417</v>
      </c>
      <c r="G140" s="34" t="s">
        <v>172</v>
      </c>
      <c r="H140" s="60">
        <v>608.67999999999995</v>
      </c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</row>
    <row r="141" spans="1:22" ht="13.5" customHeight="1" x14ac:dyDescent="0.2">
      <c r="A141" s="244"/>
      <c r="B141" s="32"/>
      <c r="C141" s="60"/>
      <c r="E141" s="18"/>
    </row>
    <row r="142" spans="1:22" ht="13.5" customHeight="1" x14ac:dyDescent="0.2">
      <c r="A142" s="126" t="s">
        <v>417</v>
      </c>
      <c r="B142" s="32" t="s">
        <v>2525</v>
      </c>
      <c r="C142" s="60">
        <v>793.85</v>
      </c>
      <c r="D142" s="638">
        <f>SUM(C139/(C139+C160))</f>
        <v>0.10142220945266485</v>
      </c>
      <c r="E142" s="18"/>
    </row>
    <row r="143" spans="1:22" ht="13.5" customHeight="1" x14ac:dyDescent="0.2">
      <c r="A143" s="126" t="s">
        <v>417</v>
      </c>
      <c r="B143" s="32" t="s">
        <v>2527</v>
      </c>
      <c r="C143" s="60">
        <v>421.52</v>
      </c>
      <c r="E143" s="18"/>
    </row>
    <row r="144" spans="1:22" ht="13.5" customHeight="1" x14ac:dyDescent="0.2">
      <c r="A144" s="126" t="s">
        <v>417</v>
      </c>
      <c r="B144" s="36" t="s">
        <v>2389</v>
      </c>
      <c r="C144" s="30">
        <v>25</v>
      </c>
      <c r="E144" s="18"/>
    </row>
    <row r="145" spans="1:22" ht="13.5" customHeight="1" x14ac:dyDescent="0.2">
      <c r="A145" s="126" t="s">
        <v>417</v>
      </c>
      <c r="B145" s="34" t="s">
        <v>2541</v>
      </c>
      <c r="C145" s="60">
        <v>900</v>
      </c>
      <c r="E145" s="18"/>
    </row>
    <row r="146" spans="1:22" ht="13.5" customHeight="1" x14ac:dyDescent="0.2">
      <c r="A146" s="126" t="s">
        <v>417</v>
      </c>
      <c r="B146" s="34" t="s">
        <v>2359</v>
      </c>
      <c r="C146" s="30">
        <v>60</v>
      </c>
      <c r="E146" s="18"/>
    </row>
    <row r="147" spans="1:22" ht="13.5" customHeight="1" x14ac:dyDescent="0.2">
      <c r="A147" s="126" t="s">
        <v>417</v>
      </c>
      <c r="B147" s="34" t="s">
        <v>2360</v>
      </c>
      <c r="C147" s="30">
        <v>240</v>
      </c>
      <c r="E147" s="18"/>
    </row>
    <row r="148" spans="1:22" s="64" customFormat="1" ht="13.5" customHeight="1" x14ac:dyDescent="0.2">
      <c r="A148" s="126" t="s">
        <v>417</v>
      </c>
      <c r="B148" s="34" t="s">
        <v>2386</v>
      </c>
      <c r="C148" s="30">
        <v>300</v>
      </c>
      <c r="D148" s="622"/>
      <c r="E148" s="18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</row>
    <row r="149" spans="1:22" s="64" customFormat="1" ht="13.5" customHeight="1" x14ac:dyDescent="0.2">
      <c r="A149" s="126" t="s">
        <v>417</v>
      </c>
      <c r="B149" s="36" t="s">
        <v>2400</v>
      </c>
      <c r="C149" s="30">
        <v>300</v>
      </c>
      <c r="D149" s="622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</row>
    <row r="150" spans="1:22" s="64" customFormat="1" ht="13.5" customHeight="1" x14ac:dyDescent="0.2">
      <c r="A150" s="126" t="s">
        <v>417</v>
      </c>
      <c r="B150" s="36" t="s">
        <v>2427</v>
      </c>
      <c r="C150" s="30">
        <v>300</v>
      </c>
      <c r="D150" s="622"/>
      <c r="E150" s="18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</row>
    <row r="151" spans="1:22" s="64" customFormat="1" ht="13.5" customHeight="1" x14ac:dyDescent="0.2">
      <c r="A151" s="126" t="s">
        <v>417</v>
      </c>
      <c r="B151" s="36" t="s">
        <v>2375</v>
      </c>
      <c r="C151" s="30">
        <v>210</v>
      </c>
      <c r="D151" s="622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2" s="64" customFormat="1" ht="13.5" customHeight="1" x14ac:dyDescent="0.2">
      <c r="A152" s="126" t="s">
        <v>417</v>
      </c>
      <c r="B152" s="34" t="s">
        <v>2358</v>
      </c>
      <c r="C152" s="30">
        <v>500</v>
      </c>
      <c r="D152" s="622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</row>
    <row r="153" spans="1:22" s="64" customFormat="1" ht="13.5" customHeight="1" x14ac:dyDescent="0.2">
      <c r="A153" s="126" t="s">
        <v>417</v>
      </c>
      <c r="B153" s="34" t="s">
        <v>2388</v>
      </c>
      <c r="C153" s="30">
        <v>120</v>
      </c>
      <c r="D153" s="622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</row>
    <row r="154" spans="1:22" s="64" customFormat="1" ht="13.5" customHeight="1" x14ac:dyDescent="0.2">
      <c r="A154" s="126" t="s">
        <v>417</v>
      </c>
      <c r="B154" s="34" t="s">
        <v>2402</v>
      </c>
      <c r="C154" s="30">
        <v>300</v>
      </c>
      <c r="D154" s="622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</row>
    <row r="155" spans="1:22" s="64" customFormat="1" ht="13.5" customHeight="1" x14ac:dyDescent="0.2">
      <c r="A155" s="126" t="s">
        <v>417</v>
      </c>
      <c r="B155" s="36" t="s">
        <v>2429</v>
      </c>
      <c r="C155" s="30">
        <v>300</v>
      </c>
      <c r="D155" s="622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</row>
    <row r="156" spans="1:22" s="64" customFormat="1" ht="13.5" customHeight="1" x14ac:dyDescent="0.2">
      <c r="A156" s="126" t="s">
        <v>417</v>
      </c>
      <c r="B156" s="36" t="s">
        <v>2387</v>
      </c>
      <c r="C156" s="30">
        <v>500</v>
      </c>
      <c r="D156" s="622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</row>
    <row r="157" spans="1:22" s="64" customFormat="1" ht="13.5" customHeight="1" x14ac:dyDescent="0.2">
      <c r="A157" s="126" t="s">
        <v>417</v>
      </c>
      <c r="B157" s="34" t="s">
        <v>2401</v>
      </c>
      <c r="C157" s="30">
        <v>500</v>
      </c>
      <c r="D157" s="622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</row>
    <row r="158" spans="1:22" s="64" customFormat="1" ht="13.5" customHeight="1" x14ac:dyDescent="0.2">
      <c r="A158" s="126" t="s">
        <v>417</v>
      </c>
      <c r="B158" s="34" t="s">
        <v>2428</v>
      </c>
      <c r="C158" s="30">
        <v>500</v>
      </c>
      <c r="D158" s="622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</row>
    <row r="159" spans="1:22" s="64" customFormat="1" ht="13.5" customHeight="1" x14ac:dyDescent="0.2">
      <c r="A159" s="126" t="s">
        <v>417</v>
      </c>
      <c r="B159" s="34" t="s">
        <v>3512</v>
      </c>
      <c r="C159" s="200">
        <f>C139</f>
        <v>797.78</v>
      </c>
      <c r="D159" s="622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</row>
    <row r="160" spans="1:22" s="64" customFormat="1" ht="13.5" customHeight="1" x14ac:dyDescent="0.2">
      <c r="A160" s="126"/>
      <c r="B160" s="34"/>
      <c r="C160" s="620">
        <f>SUM(C142:C159)</f>
        <v>7068.15</v>
      </c>
      <c r="D160" s="622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</row>
    <row r="161" spans="1:22" ht="13.5" customHeight="1" x14ac:dyDescent="0.2">
      <c r="A161" s="126"/>
      <c r="B161" s="34"/>
      <c r="C161" s="30"/>
    </row>
    <row r="162" spans="1:22" ht="13.5" customHeight="1" x14ac:dyDescent="0.2">
      <c r="A162" s="126" t="s">
        <v>245</v>
      </c>
      <c r="B162" s="34" t="s">
        <v>2348</v>
      </c>
      <c r="C162" s="30">
        <v>1.2</v>
      </c>
    </row>
    <row r="163" spans="1:22" ht="13.5" customHeight="1" x14ac:dyDescent="0.2">
      <c r="A163" s="126" t="s">
        <v>245</v>
      </c>
      <c r="B163" s="34" t="s">
        <v>422</v>
      </c>
      <c r="C163" s="30">
        <f t="array" ref="C163">SUM(H170:H173/2)</f>
        <v>246.815</v>
      </c>
    </row>
    <row r="164" spans="1:22" ht="13.5" customHeight="1" x14ac:dyDescent="0.2">
      <c r="A164" s="126"/>
      <c r="B164" s="34"/>
      <c r="C164" s="620">
        <f>SUM(C162:C163)</f>
        <v>248.01499999999999</v>
      </c>
    </row>
    <row r="165" spans="1:22" ht="13.5" customHeight="1" x14ac:dyDescent="0.2">
      <c r="A165" s="126"/>
      <c r="B165" s="34"/>
      <c r="C165" s="30"/>
    </row>
    <row r="166" spans="1:22" ht="13.5" customHeight="1" x14ac:dyDescent="0.2">
      <c r="A166" s="126" t="s">
        <v>245</v>
      </c>
      <c r="B166" s="34" t="s">
        <v>2383</v>
      </c>
      <c r="C166" s="30">
        <v>1.5</v>
      </c>
    </row>
    <row r="167" spans="1:22" ht="13.5" customHeight="1" x14ac:dyDescent="0.2">
      <c r="A167" s="126" t="s">
        <v>245</v>
      </c>
      <c r="B167" s="34" t="s">
        <v>2458</v>
      </c>
      <c r="C167" s="60">
        <v>131.80000000000001</v>
      </c>
    </row>
    <row r="168" spans="1:22" ht="13.5" customHeight="1" x14ac:dyDescent="0.2">
      <c r="A168" s="126" t="s">
        <v>245</v>
      </c>
      <c r="B168" s="34" t="s">
        <v>2357</v>
      </c>
      <c r="C168" s="30">
        <v>10</v>
      </c>
    </row>
    <row r="169" spans="1:22" ht="13.5" customHeight="1" x14ac:dyDescent="0.2">
      <c r="A169" s="126" t="s">
        <v>245</v>
      </c>
      <c r="B169" s="34" t="s">
        <v>2421</v>
      </c>
      <c r="C169" s="30">
        <v>3.28</v>
      </c>
    </row>
    <row r="170" spans="1:22" ht="13.5" customHeight="1" x14ac:dyDescent="0.2">
      <c r="A170" s="126" t="s">
        <v>245</v>
      </c>
      <c r="B170" s="34" t="s">
        <v>2082</v>
      </c>
      <c r="C170" s="30">
        <v>11.8</v>
      </c>
      <c r="F170" s="126" t="s">
        <v>245</v>
      </c>
      <c r="G170" s="34" t="s">
        <v>2533</v>
      </c>
      <c r="H170" s="60">
        <v>331.81</v>
      </c>
    </row>
    <row r="171" spans="1:22" ht="13.5" customHeight="1" x14ac:dyDescent="0.2">
      <c r="A171" s="126" t="s">
        <v>245</v>
      </c>
      <c r="B171" s="34" t="s">
        <v>2380</v>
      </c>
      <c r="C171" s="30">
        <v>2</v>
      </c>
      <c r="E171" s="18"/>
      <c r="F171" s="126" t="s">
        <v>245</v>
      </c>
      <c r="G171" s="36" t="s">
        <v>2006</v>
      </c>
      <c r="H171" s="30">
        <v>88.82</v>
      </c>
    </row>
    <row r="172" spans="1:22" ht="13.5" customHeight="1" x14ac:dyDescent="0.2">
      <c r="A172" s="126" t="s">
        <v>245</v>
      </c>
      <c r="B172" s="36" t="s">
        <v>2377</v>
      </c>
      <c r="C172" s="30">
        <v>19.8</v>
      </c>
      <c r="F172" s="126" t="s">
        <v>245</v>
      </c>
      <c r="G172" s="138" t="s">
        <v>2446</v>
      </c>
      <c r="H172" s="51">
        <v>50</v>
      </c>
    </row>
    <row r="173" spans="1:22" ht="13.5" customHeight="1" x14ac:dyDescent="0.2">
      <c r="A173" s="126" t="s">
        <v>245</v>
      </c>
      <c r="B173" s="34" t="s">
        <v>2250</v>
      </c>
      <c r="C173" s="30">
        <v>1.73</v>
      </c>
      <c r="F173" s="126" t="s">
        <v>245</v>
      </c>
      <c r="G173" s="32" t="s">
        <v>2448</v>
      </c>
      <c r="H173" s="51">
        <v>23</v>
      </c>
      <c r="U173" s="64"/>
      <c r="V173" s="64"/>
    </row>
    <row r="174" spans="1:22" ht="13.5" customHeight="1" x14ac:dyDescent="0.2">
      <c r="A174" s="126" t="s">
        <v>245</v>
      </c>
      <c r="B174" s="34" t="s">
        <v>2378</v>
      </c>
      <c r="C174" s="30">
        <v>14</v>
      </c>
    </row>
    <row r="175" spans="1:22" ht="13.5" customHeight="1" x14ac:dyDescent="0.2">
      <c r="A175" s="126" t="s">
        <v>245</v>
      </c>
      <c r="B175" s="34" t="s">
        <v>2385</v>
      </c>
      <c r="C175" s="30">
        <v>0.4</v>
      </c>
    </row>
    <row r="176" spans="1:22" ht="13.5" customHeight="1" x14ac:dyDescent="0.2">
      <c r="A176" s="126" t="s">
        <v>245</v>
      </c>
      <c r="B176" s="34" t="s">
        <v>2365</v>
      </c>
      <c r="C176" s="30">
        <v>26.94</v>
      </c>
    </row>
    <row r="177" spans="1:3" ht="13.5" customHeight="1" x14ac:dyDescent="0.2">
      <c r="A177" s="126" t="s">
        <v>245</v>
      </c>
      <c r="B177" s="34" t="s">
        <v>2422</v>
      </c>
      <c r="C177" s="30">
        <v>24.74</v>
      </c>
    </row>
    <row r="178" spans="1:3" ht="13.5" customHeight="1" x14ac:dyDescent="0.2">
      <c r="A178" s="126" t="s">
        <v>245</v>
      </c>
      <c r="B178" s="34" t="s">
        <v>2350</v>
      </c>
      <c r="C178" s="30">
        <v>119.6</v>
      </c>
    </row>
    <row r="179" spans="1:3" ht="13.5" customHeight="1" x14ac:dyDescent="0.2">
      <c r="A179" s="126" t="s">
        <v>245</v>
      </c>
      <c r="B179" s="36" t="s">
        <v>2426</v>
      </c>
      <c r="C179" s="30">
        <v>22</v>
      </c>
    </row>
    <row r="180" spans="1:3" ht="13.5" customHeight="1" x14ac:dyDescent="0.2">
      <c r="A180" s="126" t="s">
        <v>245</v>
      </c>
      <c r="B180" s="34" t="s">
        <v>2353</v>
      </c>
      <c r="C180" s="30">
        <v>7</v>
      </c>
    </row>
    <row r="181" spans="1:3" ht="13.5" customHeight="1" x14ac:dyDescent="0.2">
      <c r="A181" s="126" t="s">
        <v>245</v>
      </c>
      <c r="B181" s="34" t="s">
        <v>2349</v>
      </c>
      <c r="C181" s="30">
        <v>11.98</v>
      </c>
    </row>
    <row r="182" spans="1:3" ht="13.5" customHeight="1" x14ac:dyDescent="0.2">
      <c r="A182" s="126" t="s">
        <v>245</v>
      </c>
      <c r="B182" s="34" t="s">
        <v>2420</v>
      </c>
      <c r="C182" s="30">
        <v>3.54</v>
      </c>
    </row>
    <row r="183" spans="1:3" ht="13.5" customHeight="1" x14ac:dyDescent="0.2">
      <c r="A183" s="126" t="s">
        <v>245</v>
      </c>
      <c r="B183" s="34" t="s">
        <v>2356</v>
      </c>
      <c r="C183" s="30">
        <v>34</v>
      </c>
    </row>
    <row r="184" spans="1:3" ht="13.5" customHeight="1" x14ac:dyDescent="0.2">
      <c r="A184" s="126" t="s">
        <v>245</v>
      </c>
      <c r="B184" s="36" t="s">
        <v>2355</v>
      </c>
      <c r="C184" s="30">
        <v>9.75</v>
      </c>
    </row>
    <row r="185" spans="1:3" ht="13.5" customHeight="1" x14ac:dyDescent="0.2">
      <c r="A185" s="126" t="s">
        <v>245</v>
      </c>
      <c r="B185" s="36" t="s">
        <v>2379</v>
      </c>
      <c r="C185" s="30">
        <v>4.95</v>
      </c>
    </row>
    <row r="186" spans="1:3" ht="13.5" customHeight="1" x14ac:dyDescent="0.2">
      <c r="A186" s="126" t="s">
        <v>245</v>
      </c>
      <c r="B186" s="36" t="s">
        <v>2351</v>
      </c>
      <c r="C186" s="30">
        <v>36.130000000000003</v>
      </c>
    </row>
    <row r="187" spans="1:3" ht="13.5" customHeight="1" x14ac:dyDescent="0.2">
      <c r="A187" s="126" t="s">
        <v>245</v>
      </c>
      <c r="B187" s="36" t="s">
        <v>2361</v>
      </c>
      <c r="C187" s="30">
        <v>10.56</v>
      </c>
    </row>
    <row r="188" spans="1:3" ht="13.5" customHeight="1" x14ac:dyDescent="0.2">
      <c r="A188" s="126" t="s">
        <v>245</v>
      </c>
      <c r="B188" s="36" t="s">
        <v>2384</v>
      </c>
      <c r="C188" s="30">
        <v>8</v>
      </c>
    </row>
    <row r="189" spans="1:3" ht="13.5" customHeight="1" x14ac:dyDescent="0.2">
      <c r="A189" s="126" t="s">
        <v>245</v>
      </c>
      <c r="B189" s="34" t="s">
        <v>2381</v>
      </c>
      <c r="C189" s="30">
        <v>10</v>
      </c>
    </row>
    <row r="190" spans="1:3" ht="13.5" customHeight="1" x14ac:dyDescent="0.2">
      <c r="A190" s="126" t="s">
        <v>245</v>
      </c>
      <c r="B190" s="34" t="s">
        <v>2376</v>
      </c>
      <c r="C190" s="30">
        <v>4.5</v>
      </c>
    </row>
    <row r="191" spans="1:3" ht="13.5" customHeight="1" x14ac:dyDescent="0.2">
      <c r="A191" s="126" t="s">
        <v>245</v>
      </c>
      <c r="B191" s="34" t="s">
        <v>2382</v>
      </c>
      <c r="C191" s="30">
        <v>6.45</v>
      </c>
    </row>
    <row r="192" spans="1:3" ht="13.5" customHeight="1" x14ac:dyDescent="0.2">
      <c r="A192" s="126" t="s">
        <v>245</v>
      </c>
      <c r="B192" s="32" t="s">
        <v>2435</v>
      </c>
      <c r="C192" s="30">
        <v>26</v>
      </c>
    </row>
    <row r="193" spans="1:5" ht="13.5" customHeight="1" x14ac:dyDescent="0.2">
      <c r="A193" s="126" t="s">
        <v>245</v>
      </c>
      <c r="B193" s="36" t="s">
        <v>2521</v>
      </c>
      <c r="C193" s="60">
        <v>110.37</v>
      </c>
    </row>
    <row r="194" spans="1:5" ht="13.5" customHeight="1" x14ac:dyDescent="0.2">
      <c r="A194" s="126" t="s">
        <v>245</v>
      </c>
      <c r="B194" s="138" t="s">
        <v>2447</v>
      </c>
      <c r="C194" s="51">
        <v>10.5</v>
      </c>
    </row>
    <row r="195" spans="1:5" ht="13.5" customHeight="1" x14ac:dyDescent="0.2">
      <c r="A195" s="126" t="s">
        <v>245</v>
      </c>
      <c r="B195" s="34" t="s">
        <v>2451</v>
      </c>
      <c r="C195" s="60">
        <v>44.99</v>
      </c>
    </row>
    <row r="196" spans="1:5" ht="13.5" customHeight="1" x14ac:dyDescent="0.2">
      <c r="A196" s="126" t="s">
        <v>245</v>
      </c>
      <c r="B196" s="36" t="s">
        <v>2469</v>
      </c>
      <c r="C196" s="60">
        <v>376.13</v>
      </c>
    </row>
    <row r="197" spans="1:5" ht="13.5" customHeight="1" x14ac:dyDescent="0.2">
      <c r="A197" s="126" t="s">
        <v>245</v>
      </c>
      <c r="B197" s="34" t="s">
        <v>2512</v>
      </c>
      <c r="C197" s="60">
        <v>119.8</v>
      </c>
    </row>
    <row r="198" spans="1:5" ht="13.5" customHeight="1" x14ac:dyDescent="0.2">
      <c r="A198" s="126" t="s">
        <v>245</v>
      </c>
      <c r="B198" s="456" t="s">
        <v>2497</v>
      </c>
      <c r="C198" s="60">
        <v>46.05</v>
      </c>
    </row>
    <row r="199" spans="1:5" ht="13.5" customHeight="1" x14ac:dyDescent="0.2">
      <c r="A199" s="126" t="s">
        <v>245</v>
      </c>
      <c r="B199" s="34" t="s">
        <v>2507</v>
      </c>
      <c r="C199" s="60">
        <v>287.8</v>
      </c>
    </row>
    <row r="200" spans="1:5" ht="13.5" customHeight="1" x14ac:dyDescent="0.2">
      <c r="A200" s="126" t="s">
        <v>245</v>
      </c>
      <c r="B200" s="32" t="s">
        <v>2449</v>
      </c>
      <c r="C200" s="51">
        <v>540</v>
      </c>
    </row>
    <row r="201" spans="1:5" ht="13.5" customHeight="1" x14ac:dyDescent="0.2">
      <c r="A201" s="126" t="s">
        <v>245</v>
      </c>
      <c r="B201" s="34" t="s">
        <v>2514</v>
      </c>
      <c r="C201" s="60">
        <v>458</v>
      </c>
    </row>
    <row r="202" spans="1:5" ht="13.5" customHeight="1" x14ac:dyDescent="0.2">
      <c r="A202" s="126" t="s">
        <v>245</v>
      </c>
      <c r="B202" s="36" t="s">
        <v>2514</v>
      </c>
      <c r="C202" s="60">
        <v>39.799999999999997</v>
      </c>
      <c r="E202" s="18"/>
    </row>
    <row r="203" spans="1:5" ht="13.5" customHeight="1" x14ac:dyDescent="0.2">
      <c r="A203" s="126" t="s">
        <v>245</v>
      </c>
      <c r="B203" s="34" t="s">
        <v>423</v>
      </c>
      <c r="C203" s="60">
        <f>C163</f>
        <v>246.815</v>
      </c>
      <c r="E203" s="18"/>
    </row>
    <row r="204" spans="1:5" ht="13.5" customHeight="1" x14ac:dyDescent="0.2">
      <c r="A204" s="126"/>
      <c r="B204" s="34"/>
      <c r="C204" s="621">
        <f>SUM(C166:C203)</f>
        <v>2842.7050000000004</v>
      </c>
    </row>
    <row r="205" spans="1:5" ht="13.5" customHeight="1" x14ac:dyDescent="0.2">
      <c r="A205" s="126"/>
      <c r="B205" s="34"/>
      <c r="C205" s="60"/>
    </row>
    <row r="206" spans="1:5" ht="13.5" customHeight="1" x14ac:dyDescent="0.2">
      <c r="A206" s="244" t="s">
        <v>246</v>
      </c>
      <c r="B206" s="138" t="s">
        <v>195</v>
      </c>
      <c r="C206" s="60">
        <v>390.19</v>
      </c>
    </row>
    <row r="207" spans="1:5" ht="13.5" customHeight="1" x14ac:dyDescent="0.2">
      <c r="A207" t="s">
        <v>246</v>
      </c>
      <c r="B207" s="138" t="s">
        <v>194</v>
      </c>
      <c r="C207" s="60">
        <v>84.54</v>
      </c>
      <c r="E207" s="18"/>
    </row>
    <row r="208" spans="1:5" ht="13.5" customHeight="1" x14ac:dyDescent="0.2">
      <c r="A208"/>
      <c r="B208" s="138"/>
      <c r="C208" s="621">
        <f>SUM(C206:C207)</f>
        <v>474.73</v>
      </c>
      <c r="E208" s="18"/>
    </row>
    <row r="209" spans="1:5" ht="13.5" customHeight="1" x14ac:dyDescent="0.2">
      <c r="A209"/>
      <c r="B209" s="138"/>
      <c r="C209" s="60"/>
      <c r="E209" s="18"/>
    </row>
    <row r="210" spans="1:5" ht="13.5" customHeight="1" x14ac:dyDescent="0.2">
      <c r="A210" s="126" t="s">
        <v>248</v>
      </c>
      <c r="B210" s="36" t="s">
        <v>1002</v>
      </c>
      <c r="C210" s="30">
        <v>2257.5700000000002</v>
      </c>
    </row>
    <row r="211" spans="1:5" ht="13.5" customHeight="1" x14ac:dyDescent="0.2">
      <c r="A211" s="126" t="s">
        <v>248</v>
      </c>
      <c r="B211" s="36" t="s">
        <v>132</v>
      </c>
      <c r="C211" s="60">
        <v>3074.61</v>
      </c>
    </row>
    <row r="212" spans="1:5" ht="13.5" customHeight="1" x14ac:dyDescent="0.2">
      <c r="A212" s="126" t="s">
        <v>248</v>
      </c>
      <c r="B212" s="36" t="s">
        <v>130</v>
      </c>
      <c r="C212" s="60">
        <v>124.83</v>
      </c>
      <c r="E212" s="18"/>
    </row>
    <row r="213" spans="1:5" ht="13.5" customHeight="1" x14ac:dyDescent="0.2">
      <c r="A213" s="126" t="s">
        <v>248</v>
      </c>
      <c r="B213" s="36" t="s">
        <v>53</v>
      </c>
      <c r="C213" s="60">
        <v>532.21</v>
      </c>
      <c r="E213" s="18"/>
    </row>
    <row r="214" spans="1:5" ht="13.5" customHeight="1" x14ac:dyDescent="0.2">
      <c r="A214" s="126" t="s">
        <v>248</v>
      </c>
      <c r="B214" s="34" t="s">
        <v>55</v>
      </c>
      <c r="C214" s="60">
        <v>400</v>
      </c>
      <c r="E214" s="18"/>
    </row>
    <row r="215" spans="1:5" ht="13.5" customHeight="1" x14ac:dyDescent="0.2">
      <c r="A215" s="126" t="s">
        <v>248</v>
      </c>
      <c r="B215" s="34" t="s">
        <v>136</v>
      </c>
      <c r="C215" s="60">
        <v>45.9</v>
      </c>
      <c r="E215" s="18"/>
    </row>
    <row r="216" spans="1:5" ht="13.5" customHeight="1" x14ac:dyDescent="0.2">
      <c r="A216" s="126" t="s">
        <v>248</v>
      </c>
      <c r="B216" s="36" t="s">
        <v>2496</v>
      </c>
      <c r="C216" s="60">
        <v>890</v>
      </c>
      <c r="E216" s="18"/>
    </row>
    <row r="217" spans="1:5" ht="13.5" customHeight="1" x14ac:dyDescent="0.2">
      <c r="A217" s="126" t="s">
        <v>248</v>
      </c>
      <c r="B217" s="36" t="s">
        <v>2452</v>
      </c>
      <c r="C217" s="60">
        <v>58.48</v>
      </c>
      <c r="E217" s="18"/>
    </row>
    <row r="218" spans="1:5" ht="13.5" customHeight="1" x14ac:dyDescent="0.2">
      <c r="A218" s="126" t="s">
        <v>248</v>
      </c>
      <c r="B218" s="36" t="s">
        <v>2452</v>
      </c>
      <c r="C218" s="60">
        <v>50.47</v>
      </c>
      <c r="E218" s="18"/>
    </row>
    <row r="219" spans="1:5" ht="13.5" customHeight="1" x14ac:dyDescent="0.2">
      <c r="A219" s="126" t="s">
        <v>248</v>
      </c>
      <c r="B219" s="36" t="s">
        <v>2266</v>
      </c>
      <c r="C219" s="60">
        <v>44.16</v>
      </c>
    </row>
    <row r="220" spans="1:5" ht="13.5" customHeight="1" x14ac:dyDescent="0.2">
      <c r="A220" s="126" t="s">
        <v>248</v>
      </c>
      <c r="B220" s="34" t="s">
        <v>2453</v>
      </c>
      <c r="C220" s="60">
        <v>400</v>
      </c>
    </row>
    <row r="221" spans="1:5" ht="13.5" customHeight="1" x14ac:dyDescent="0.2">
      <c r="A221" s="126" t="s">
        <v>248</v>
      </c>
      <c r="B221" s="36" t="s">
        <v>82</v>
      </c>
      <c r="C221" s="60">
        <v>859.41</v>
      </c>
    </row>
    <row r="222" spans="1:5" ht="13.5" customHeight="1" x14ac:dyDescent="0.2">
      <c r="A222" s="126" t="s">
        <v>248</v>
      </c>
      <c r="B222" s="34" t="s">
        <v>2492</v>
      </c>
      <c r="C222" s="60">
        <v>100</v>
      </c>
    </row>
    <row r="223" spans="1:5" ht="13.5" customHeight="1" x14ac:dyDescent="0.2">
      <c r="A223" s="126" t="s">
        <v>248</v>
      </c>
      <c r="B223" s="34" t="s">
        <v>18</v>
      </c>
      <c r="C223" s="60">
        <v>353.97</v>
      </c>
    </row>
    <row r="224" spans="1:5" ht="13.5" customHeight="1" x14ac:dyDescent="0.2">
      <c r="A224" s="126" t="s">
        <v>248</v>
      </c>
      <c r="B224" s="34" t="s">
        <v>2474</v>
      </c>
      <c r="C224" s="60">
        <v>930</v>
      </c>
    </row>
    <row r="225" spans="1:3" ht="13.5" customHeight="1" x14ac:dyDescent="0.2">
      <c r="A225" s="126"/>
      <c r="B225" s="34"/>
      <c r="C225" s="621">
        <f>SUM(C210:C224)</f>
        <v>10121.609999999999</v>
      </c>
    </row>
    <row r="226" spans="1:3" ht="13.5" customHeight="1" x14ac:dyDescent="0.2">
      <c r="A226" s="126"/>
      <c r="B226" s="34"/>
      <c r="C226" s="60"/>
    </row>
    <row r="227" spans="1:3" ht="13.5" customHeight="1" x14ac:dyDescent="0.2">
      <c r="A227" s="126" t="s">
        <v>248</v>
      </c>
      <c r="B227" s="34" t="s">
        <v>1553</v>
      </c>
      <c r="C227" s="30">
        <v>5000</v>
      </c>
    </row>
    <row r="228" spans="1:3" ht="13.5" customHeight="1" x14ac:dyDescent="0.2">
      <c r="A228" s="126" t="s">
        <v>248</v>
      </c>
      <c r="B228" s="36" t="s">
        <v>2471</v>
      </c>
      <c r="C228" s="60">
        <v>467</v>
      </c>
    </row>
    <row r="229" spans="1:3" ht="13.5" customHeight="1" x14ac:dyDescent="0.2">
      <c r="A229" s="126" t="s">
        <v>248</v>
      </c>
      <c r="B229" s="36" t="s">
        <v>2462</v>
      </c>
      <c r="C229" s="60">
        <v>71.19</v>
      </c>
    </row>
    <row r="230" spans="1:3" ht="13.5" customHeight="1" x14ac:dyDescent="0.2">
      <c r="A230" s="126" t="s">
        <v>248</v>
      </c>
      <c r="B230" s="36" t="s">
        <v>2268</v>
      </c>
      <c r="C230" s="60">
        <v>44.53</v>
      </c>
    </row>
    <row r="231" spans="1:3" ht="13.5" customHeight="1" x14ac:dyDescent="0.2">
      <c r="A231" s="126" t="s">
        <v>248</v>
      </c>
      <c r="B231" s="36" t="s">
        <v>2486</v>
      </c>
      <c r="C231" s="60">
        <v>119.99</v>
      </c>
    </row>
    <row r="232" spans="1:3" ht="13.5" customHeight="1" x14ac:dyDescent="0.2">
      <c r="A232" s="126"/>
      <c r="B232" s="36"/>
      <c r="C232" s="621">
        <f>SUM(C227:C231)</f>
        <v>5702.7099999999991</v>
      </c>
    </row>
    <row r="233" spans="1:3" ht="13.5" customHeight="1" x14ac:dyDescent="0.2">
      <c r="A233" s="126"/>
      <c r="B233" s="36"/>
      <c r="C233" s="60"/>
    </row>
    <row r="234" spans="1:3" ht="13.5" customHeight="1" x14ac:dyDescent="0.2">
      <c r="A234" s="244" t="s">
        <v>249</v>
      </c>
      <c r="B234" s="36" t="s">
        <v>2344</v>
      </c>
      <c r="C234" s="30">
        <v>70</v>
      </c>
    </row>
    <row r="235" spans="1:3" ht="13.5" customHeight="1" x14ac:dyDescent="0.2">
      <c r="A235" s="244" t="s">
        <v>249</v>
      </c>
      <c r="B235" s="36" t="s">
        <v>2398</v>
      </c>
      <c r="C235" s="30">
        <v>65</v>
      </c>
    </row>
    <row r="236" spans="1:3" ht="13.5" customHeight="1" x14ac:dyDescent="0.2">
      <c r="A236" s="244"/>
      <c r="B236" s="34"/>
      <c r="C236" s="620">
        <f>SUM(C234:C235)</f>
        <v>135</v>
      </c>
    </row>
    <row r="237" spans="1:3" ht="13.5" customHeight="1" x14ac:dyDescent="0.2">
      <c r="A237" s="244"/>
      <c r="B237" s="34"/>
      <c r="C237" s="30"/>
    </row>
    <row r="238" spans="1:3" ht="13.5" customHeight="1" x14ac:dyDescent="0.2">
      <c r="A238" s="126" t="s">
        <v>250</v>
      </c>
      <c r="B238" s="34" t="s">
        <v>20</v>
      </c>
      <c r="C238" s="27">
        <v>-0.01</v>
      </c>
    </row>
    <row r="239" spans="1:3" ht="13.5" customHeight="1" x14ac:dyDescent="0.2">
      <c r="A239" s="126" t="s">
        <v>250</v>
      </c>
      <c r="B239" s="36" t="s">
        <v>20</v>
      </c>
      <c r="C239" s="27">
        <v>-0.01</v>
      </c>
    </row>
    <row r="240" spans="1:3" ht="13.5" customHeight="1" x14ac:dyDescent="0.2">
      <c r="A240" s="126" t="s">
        <v>250</v>
      </c>
      <c r="B240" s="36" t="s">
        <v>20</v>
      </c>
      <c r="C240" s="27">
        <v>-0.02</v>
      </c>
    </row>
    <row r="241" spans="1:22" ht="13.5" customHeight="1" x14ac:dyDescent="0.2">
      <c r="A241" s="126" t="s">
        <v>250</v>
      </c>
      <c r="B241" s="36" t="s">
        <v>20</v>
      </c>
      <c r="C241" s="27">
        <v>-0.02</v>
      </c>
    </row>
    <row r="242" spans="1:22" ht="13.5" customHeight="1" x14ac:dyDescent="0.2">
      <c r="A242" s="126" t="s">
        <v>250</v>
      </c>
      <c r="B242" s="36" t="s">
        <v>20</v>
      </c>
      <c r="C242" s="27">
        <v>-0.03</v>
      </c>
    </row>
    <row r="243" spans="1:22" ht="13.5" customHeight="1" x14ac:dyDescent="0.2">
      <c r="A243" s="126" t="s">
        <v>250</v>
      </c>
      <c r="B243" s="36" t="s">
        <v>20</v>
      </c>
      <c r="C243" s="27">
        <v>-0.02</v>
      </c>
      <c r="U243" s="64"/>
      <c r="V243" s="64"/>
    </row>
    <row r="244" spans="1:22" ht="13.5" customHeight="1" x14ac:dyDescent="0.2">
      <c r="A244" s="126" t="s">
        <v>250</v>
      </c>
      <c r="B244" s="36" t="s">
        <v>20</v>
      </c>
      <c r="C244" s="27">
        <v>-0.03</v>
      </c>
      <c r="U244" s="64"/>
      <c r="V244" s="64"/>
    </row>
    <row r="245" spans="1:22" ht="13.5" customHeight="1" x14ac:dyDescent="0.2">
      <c r="A245" s="126" t="s">
        <v>250</v>
      </c>
      <c r="B245" s="36" t="s">
        <v>86</v>
      </c>
      <c r="C245" s="60">
        <v>85</v>
      </c>
      <c r="U245" s="64"/>
      <c r="V245" s="64"/>
    </row>
    <row r="246" spans="1:22" ht="13.5" customHeight="1" x14ac:dyDescent="0.2">
      <c r="A246" s="126" t="s">
        <v>250</v>
      </c>
      <c r="B246" s="36" t="s">
        <v>86</v>
      </c>
      <c r="C246" s="60">
        <v>75.900000000000006</v>
      </c>
    </row>
    <row r="247" spans="1:22" ht="13.5" customHeight="1" x14ac:dyDescent="0.2">
      <c r="A247" s="126" t="s">
        <v>250</v>
      </c>
      <c r="B247" s="36" t="s">
        <v>86</v>
      </c>
      <c r="C247" s="60">
        <v>12.5</v>
      </c>
    </row>
    <row r="248" spans="1:22" ht="13.5" customHeight="1" x14ac:dyDescent="0.2">
      <c r="A248" s="126" t="s">
        <v>250</v>
      </c>
      <c r="B248" s="36" t="s">
        <v>86</v>
      </c>
      <c r="C248" s="60">
        <v>2.4500000000000002</v>
      </c>
    </row>
    <row r="249" spans="1:22" ht="13.5" customHeight="1" x14ac:dyDescent="0.2">
      <c r="A249" s="126"/>
      <c r="B249" s="34"/>
      <c r="C249" s="621">
        <f>SUM(C238:C248)</f>
        <v>175.70999999999998</v>
      </c>
      <c r="D249" s="622">
        <f>SUM(C249/2)</f>
        <v>87.85499999999999</v>
      </c>
    </row>
    <row r="250" spans="1:22" ht="13.5" customHeight="1" x14ac:dyDescent="0.2">
      <c r="A250" s="126"/>
      <c r="B250" s="34"/>
      <c r="C250" s="60"/>
    </row>
    <row r="251" spans="1:22" ht="13.5" customHeight="1" x14ac:dyDescent="0.2">
      <c r="A251" s="126" t="s">
        <v>251</v>
      </c>
      <c r="B251" s="138" t="s">
        <v>2438</v>
      </c>
      <c r="C251" s="51">
        <v>130.19999999999999</v>
      </c>
    </row>
    <row r="252" spans="1:22" ht="13.5" customHeight="1" x14ac:dyDescent="0.2">
      <c r="A252" s="126" t="s">
        <v>251</v>
      </c>
      <c r="B252" s="138" t="s">
        <v>2445</v>
      </c>
      <c r="C252" s="51">
        <v>186.73</v>
      </c>
    </row>
    <row r="253" spans="1:22" ht="13.5" customHeight="1" x14ac:dyDescent="0.2">
      <c r="A253" s="126" t="s">
        <v>251</v>
      </c>
      <c r="B253" s="32" t="s">
        <v>2439</v>
      </c>
      <c r="C253" s="51">
        <v>75.069999999999993</v>
      </c>
      <c r="E253" s="124"/>
    </row>
    <row r="254" spans="1:22" ht="13.5" customHeight="1" x14ac:dyDescent="0.2">
      <c r="A254" s="126" t="s">
        <v>251</v>
      </c>
      <c r="B254" s="32" t="s">
        <v>2444</v>
      </c>
      <c r="C254" s="51">
        <v>87.14</v>
      </c>
      <c r="E254" s="18"/>
    </row>
    <row r="255" spans="1:22" ht="13.5" customHeight="1" x14ac:dyDescent="0.2">
      <c r="A255" s="126"/>
      <c r="B255" s="32"/>
      <c r="C255" s="620">
        <f>SUM(C251:C254)</f>
        <v>479.13999999999993</v>
      </c>
      <c r="D255" s="622">
        <f>SUM(C255/2)</f>
        <v>239.56999999999996</v>
      </c>
    </row>
    <row r="256" spans="1:22" ht="13.5" customHeight="1" x14ac:dyDescent="0.2">
      <c r="A256" s="126"/>
      <c r="B256" s="32"/>
      <c r="C256" s="51"/>
      <c r="E256" s="18"/>
    </row>
    <row r="257" spans="1:22" ht="13.5" customHeight="1" x14ac:dyDescent="0.2">
      <c r="A257" s="126" t="s">
        <v>421</v>
      </c>
      <c r="B257" s="32" t="s">
        <v>2442</v>
      </c>
      <c r="C257" s="51">
        <v>26</v>
      </c>
      <c r="E257" s="18"/>
    </row>
    <row r="258" spans="1:22" ht="13.5" customHeight="1" x14ac:dyDescent="0.2">
      <c r="A258" s="126" t="s">
        <v>421</v>
      </c>
      <c r="B258" s="138" t="s">
        <v>2441</v>
      </c>
      <c r="C258" s="51">
        <v>383.2</v>
      </c>
      <c r="E258" s="18"/>
    </row>
    <row r="259" spans="1:22" ht="13.5" customHeight="1" x14ac:dyDescent="0.2">
      <c r="A259" s="126" t="s">
        <v>421</v>
      </c>
      <c r="B259" s="36" t="s">
        <v>2466</v>
      </c>
      <c r="C259" s="60">
        <v>960</v>
      </c>
      <c r="E259" s="18"/>
      <c r="G259" s="365"/>
    </row>
    <row r="260" spans="1:22" ht="13.5" customHeight="1" x14ac:dyDescent="0.2">
      <c r="A260" s="126" t="s">
        <v>421</v>
      </c>
      <c r="B260" s="34" t="s">
        <v>2424</v>
      </c>
      <c r="C260" s="30">
        <v>80</v>
      </c>
    </row>
    <row r="261" spans="1:22" ht="13.5" customHeight="1" x14ac:dyDescent="0.2">
      <c r="A261" s="126" t="s">
        <v>421</v>
      </c>
      <c r="B261" s="36" t="s">
        <v>2413</v>
      </c>
      <c r="C261" s="30">
        <v>77.900000000000006</v>
      </c>
    </row>
    <row r="262" spans="1:22" ht="13.5" customHeight="1" x14ac:dyDescent="0.2">
      <c r="A262" s="126" t="s">
        <v>421</v>
      </c>
      <c r="B262" s="36" t="s">
        <v>2437</v>
      </c>
      <c r="C262" s="30">
        <v>25.99</v>
      </c>
      <c r="U262" s="64"/>
      <c r="V262" s="64"/>
    </row>
    <row r="263" spans="1:22" ht="13.5" customHeight="1" x14ac:dyDescent="0.2">
      <c r="B263" s="63"/>
      <c r="C263" s="620">
        <f>SUM(C257:C262)</f>
        <v>1553.0900000000001</v>
      </c>
      <c r="F263" s="667">
        <f>SUM(C263,C255,C249,C236,C232,C225,C208,C204,C164,C160,C139,C137,C134,C132,C106,C96,C84,C79,C73,C65)-SUM(D45,D39)</f>
        <v>-7024.169999999991</v>
      </c>
    </row>
    <row r="264" spans="1:22" ht="13.5" customHeight="1" x14ac:dyDescent="0.2">
      <c r="B264" s="36"/>
    </row>
    <row r="265" spans="1:22" ht="13.5" customHeight="1" x14ac:dyDescent="0.2">
      <c r="B265" s="34"/>
    </row>
    <row r="266" spans="1:22" ht="13.5" customHeight="1" x14ac:dyDescent="0.2">
      <c r="B266" s="63"/>
    </row>
    <row r="267" spans="1:22" ht="13.5" customHeight="1" x14ac:dyDescent="0.2">
      <c r="B267" s="63"/>
    </row>
    <row r="268" spans="1:22" ht="13.5" customHeight="1" x14ac:dyDescent="0.2">
      <c r="B268" s="63"/>
    </row>
    <row r="269" spans="1:22" ht="13.5" customHeight="1" x14ac:dyDescent="0.2">
      <c r="B269" s="63"/>
    </row>
    <row r="270" spans="1:22" ht="15" customHeight="1" x14ac:dyDescent="0.2">
      <c r="B270" s="63"/>
      <c r="U270" s="64"/>
      <c r="V270" s="64"/>
    </row>
    <row r="271" spans="1:22" ht="13.5" customHeight="1" x14ac:dyDescent="0.2">
      <c r="B271" s="63"/>
    </row>
    <row r="272" spans="1:22" ht="13.5" customHeight="1" x14ac:dyDescent="0.2">
      <c r="B272" s="63"/>
    </row>
    <row r="273" spans="2:2" ht="13.5" customHeight="1" x14ac:dyDescent="0.2">
      <c r="B273" s="63"/>
    </row>
    <row r="274" spans="2:2" ht="13.5" customHeight="1" x14ac:dyDescent="0.2">
      <c r="B274" s="63"/>
    </row>
    <row r="275" spans="2:2" ht="13.5" customHeight="1" x14ac:dyDescent="0.2">
      <c r="B275" s="63"/>
    </row>
    <row r="276" spans="2:2" ht="13.5" customHeight="1" x14ac:dyDescent="0.2">
      <c r="B276" s="63"/>
    </row>
    <row r="277" spans="2:2" ht="13.5" customHeight="1" x14ac:dyDescent="0.2">
      <c r="B277" s="63"/>
    </row>
    <row r="278" spans="2:2" ht="13.5" customHeight="1" x14ac:dyDescent="0.2">
      <c r="B278" s="63"/>
    </row>
    <row r="279" spans="2:2" ht="13.5" customHeight="1" x14ac:dyDescent="0.2">
      <c r="B279" s="63"/>
    </row>
    <row r="280" spans="2:2" ht="13.5" customHeight="1" x14ac:dyDescent="0.2">
      <c r="B280" s="63"/>
    </row>
    <row r="281" spans="2:2" ht="13.5" customHeight="1" x14ac:dyDescent="0.2">
      <c r="B281" s="63"/>
    </row>
    <row r="282" spans="2:2" ht="13.5" customHeight="1" x14ac:dyDescent="0.2">
      <c r="B282" s="63"/>
    </row>
    <row r="283" spans="2:2" ht="13.5" customHeight="1" x14ac:dyDescent="0.2">
      <c r="B283" s="63"/>
    </row>
    <row r="284" spans="2:2" ht="13.5" customHeight="1" x14ac:dyDescent="0.2">
      <c r="B284" s="63"/>
    </row>
    <row r="285" spans="2:2" ht="13.5" customHeight="1" x14ac:dyDescent="0.2">
      <c r="B285" s="63"/>
    </row>
    <row r="286" spans="2:2" ht="13.5" customHeight="1" x14ac:dyDescent="0.2">
      <c r="B286" s="63"/>
    </row>
    <row r="287" spans="2:2" ht="13.5" customHeight="1" x14ac:dyDescent="0.2">
      <c r="B287" s="63"/>
    </row>
    <row r="288" spans="2:2" ht="13.5" customHeight="1" x14ac:dyDescent="0.2">
      <c r="B288" s="63"/>
    </row>
    <row r="289" spans="2:2" ht="13.5" customHeight="1" x14ac:dyDescent="0.2">
      <c r="B289" s="63"/>
    </row>
    <row r="290" spans="2:2" ht="13.5" customHeight="1" x14ac:dyDescent="0.2">
      <c r="B290" s="63"/>
    </row>
    <row r="291" spans="2:2" ht="13.5" customHeight="1" x14ac:dyDescent="0.2">
      <c r="B291" s="63"/>
    </row>
    <row r="292" spans="2:2" ht="13.5" customHeight="1" x14ac:dyDescent="0.2">
      <c r="B292" s="63"/>
    </row>
    <row r="293" spans="2:2" ht="13.5" customHeight="1" x14ac:dyDescent="0.2">
      <c r="B293" s="64"/>
    </row>
    <row r="294" spans="2:2" ht="13.5" customHeight="1" x14ac:dyDescent="0.2">
      <c r="B294" s="63"/>
    </row>
    <row r="295" spans="2:2" ht="13.5" customHeight="1" x14ac:dyDescent="0.2">
      <c r="B295" s="63"/>
    </row>
    <row r="296" spans="2:2" ht="13.5" customHeight="1" x14ac:dyDescent="0.2">
      <c r="B296" s="85"/>
    </row>
    <row r="297" spans="2:2" ht="13.5" customHeight="1" x14ac:dyDescent="0.2">
      <c r="B297" s="63"/>
    </row>
    <row r="298" spans="2:2" ht="13.5" customHeight="1" x14ac:dyDescent="0.2">
      <c r="B298" s="63"/>
    </row>
    <row r="299" spans="2:2" ht="13.5" customHeight="1" x14ac:dyDescent="0.2">
      <c r="B299" s="64"/>
    </row>
    <row r="300" spans="2:2" ht="13.5" customHeight="1" x14ac:dyDescent="0.2">
      <c r="B300" s="63"/>
    </row>
    <row r="301" spans="2:2" ht="13.5" customHeight="1" x14ac:dyDescent="0.2">
      <c r="B301" s="63"/>
    </row>
    <row r="302" spans="2:2" ht="13.5" customHeight="1" x14ac:dyDescent="0.2">
      <c r="B302" s="64"/>
    </row>
    <row r="303" spans="2:2" ht="13.5" customHeight="1" x14ac:dyDescent="0.2">
      <c r="B303" s="63"/>
    </row>
    <row r="304" spans="2:2" ht="13.5" customHeight="1" x14ac:dyDescent="0.2">
      <c r="B304" s="63"/>
    </row>
    <row r="305" spans="2:2" ht="13.5" customHeight="1" x14ac:dyDescent="0.2">
      <c r="B305" s="64"/>
    </row>
    <row r="306" spans="2:2" ht="13.5" customHeight="1" x14ac:dyDescent="0.2">
      <c r="B306" s="63"/>
    </row>
    <row r="307" spans="2:2" ht="13.5" customHeight="1" x14ac:dyDescent="0.2">
      <c r="B307" s="63"/>
    </row>
    <row r="308" spans="2:2" ht="13.5" customHeight="1" x14ac:dyDescent="0.2">
      <c r="B308" s="63"/>
    </row>
    <row r="309" spans="2:2" ht="13.5" customHeight="1" x14ac:dyDescent="0.2">
      <c r="B309" s="86"/>
    </row>
    <row r="310" spans="2:2" ht="13.5" customHeight="1" x14ac:dyDescent="0.2">
      <c r="B310" s="85"/>
    </row>
    <row r="311" spans="2:2" ht="13.5" customHeight="1" x14ac:dyDescent="0.2">
      <c r="B311" s="87"/>
    </row>
    <row r="312" spans="2:2" ht="13.5" customHeight="1" x14ac:dyDescent="0.2">
      <c r="B312" s="88"/>
    </row>
    <row r="313" spans="2:2" ht="13.5" customHeight="1" x14ac:dyDescent="0.2">
      <c r="B313" s="56"/>
    </row>
    <row r="314" spans="2:2" ht="13.5" customHeight="1" x14ac:dyDescent="0.2">
      <c r="B314" s="56"/>
    </row>
    <row r="315" spans="2:2" ht="13.5" customHeight="1" x14ac:dyDescent="0.2">
      <c r="B315" s="56"/>
    </row>
    <row r="316" spans="2:2" ht="13.5" customHeight="1" x14ac:dyDescent="0.2"/>
    <row r="317" spans="2:2" ht="13.5" customHeight="1" x14ac:dyDescent="0.2">
      <c r="B317" s="56"/>
    </row>
    <row r="318" spans="2:2" ht="13.5" customHeight="1" x14ac:dyDescent="0.2">
      <c r="B318" s="56"/>
    </row>
    <row r="319" spans="2:2" ht="13.5" customHeight="1" x14ac:dyDescent="0.2">
      <c r="B319" s="56"/>
    </row>
    <row r="320" spans="2:2" ht="13.5" customHeight="1" x14ac:dyDescent="0.2">
      <c r="B320" s="27"/>
    </row>
    <row r="321" spans="2:2" ht="13.5" customHeight="1" x14ac:dyDescent="0.2">
      <c r="B321" s="27"/>
    </row>
    <row r="322" spans="2:2" ht="13.5" customHeight="1" x14ac:dyDescent="0.2"/>
    <row r="323" spans="2:2" ht="13.5" customHeight="1" x14ac:dyDescent="0.2">
      <c r="B323" s="56"/>
    </row>
    <row r="324" spans="2:2" ht="13.5" customHeight="1" x14ac:dyDescent="0.2">
      <c r="B324" s="56"/>
    </row>
    <row r="325" spans="2:2" ht="13.5" customHeight="1" x14ac:dyDescent="0.2">
      <c r="B325" s="56"/>
    </row>
    <row r="326" spans="2:2" ht="13.5" customHeight="1" x14ac:dyDescent="0.2">
      <c r="B326" s="56"/>
    </row>
    <row r="327" spans="2:2" ht="13.5" customHeight="1" x14ac:dyDescent="0.2">
      <c r="B327" s="94"/>
    </row>
    <row r="328" spans="2:2" ht="13.5" customHeight="1" x14ac:dyDescent="0.2"/>
    <row r="329" spans="2:2" ht="13.5" customHeight="1" x14ac:dyDescent="0.2"/>
    <row r="330" spans="2:2" ht="13.5" customHeight="1" x14ac:dyDescent="0.2"/>
    <row r="331" spans="2:2" ht="13.5" customHeight="1" x14ac:dyDescent="0.2"/>
    <row r="332" spans="2:2" ht="13.5" customHeight="1" x14ac:dyDescent="0.2"/>
    <row r="333" spans="2:2" ht="13.5" customHeight="1" x14ac:dyDescent="0.2"/>
    <row r="334" spans="2:2" ht="13.5" customHeight="1" x14ac:dyDescent="0.2"/>
    <row r="335" spans="2:2" ht="13.5" customHeight="1" x14ac:dyDescent="0.2"/>
  </sheetData>
  <sortState xmlns:xlrd2="http://schemas.microsoft.com/office/spreadsheetml/2017/richdata2" ref="A2:V336">
    <sortCondition ref="A2:A336"/>
    <sortCondition ref="B2:B336"/>
  </sortState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A361"/>
  <sheetViews>
    <sheetView topLeftCell="C281" zoomScale="80" zoomScaleNormal="80" workbookViewId="0">
      <selection activeCell="I287" sqref="I287:J296"/>
    </sheetView>
  </sheetViews>
  <sheetFormatPr defaultColWidth="9" defaultRowHeight="12.75" x14ac:dyDescent="0.2"/>
  <cols>
    <col min="1" max="1" width="14" style="1" customWidth="1"/>
    <col min="2" max="2" width="1.875" style="1" customWidth="1"/>
    <col min="3" max="3" width="99.25" style="1" customWidth="1"/>
    <col min="4" max="4" width="12" style="137" customWidth="1"/>
    <col min="5" max="5" width="12.375" style="1" customWidth="1"/>
    <col min="6" max="6" width="10.75" style="1" customWidth="1"/>
    <col min="7" max="7" width="11.875" style="1" customWidth="1"/>
    <col min="8" max="8" width="13.625" style="1" customWidth="1"/>
    <col min="9" max="9" width="12.125" style="1" customWidth="1"/>
    <col min="10" max="10" width="13.875" style="1" customWidth="1"/>
    <col min="11" max="11" width="14.75" style="1" customWidth="1"/>
    <col min="12" max="16384" width="9" style="1"/>
  </cols>
  <sheetData>
    <row r="1" spans="1:8" ht="13.5" customHeight="1" thickBot="1" x14ac:dyDescent="0.25">
      <c r="A1" s="1407" t="s">
        <v>2334</v>
      </c>
      <c r="B1" s="1407"/>
      <c r="C1" s="1408"/>
      <c r="D1" s="1409" t="s">
        <v>0</v>
      </c>
      <c r="E1" s="1410"/>
      <c r="F1" s="1410"/>
      <c r="G1" s="1411"/>
    </row>
    <row r="2" spans="1:8" ht="13.5" customHeight="1" thickBot="1" x14ac:dyDescent="0.25">
      <c r="A2" s="2" t="s">
        <v>2</v>
      </c>
      <c r="B2" s="3"/>
      <c r="C2" s="3" t="s">
        <v>2335</v>
      </c>
      <c r="D2" s="595" t="s">
        <v>4</v>
      </c>
      <c r="E2" s="3" t="s">
        <v>5</v>
      </c>
      <c r="F2" s="3" t="s">
        <v>6</v>
      </c>
      <c r="G2" s="5" t="s">
        <v>7</v>
      </c>
    </row>
    <row r="3" spans="1:8" ht="13.5" customHeight="1" x14ac:dyDescent="0.2">
      <c r="A3" s="8">
        <v>43678</v>
      </c>
      <c r="B3" s="56"/>
      <c r="C3" s="10" t="s">
        <v>8</v>
      </c>
      <c r="D3" s="42">
        <v>0</v>
      </c>
      <c r="E3" s="51"/>
      <c r="F3" s="12"/>
      <c r="G3" s="178">
        <v>6271.0800000000036</v>
      </c>
      <c r="H3" s="18"/>
    </row>
    <row r="4" spans="1:8" ht="13.5" customHeight="1" x14ac:dyDescent="0.2">
      <c r="A4" s="180">
        <v>43678</v>
      </c>
      <c r="B4" s="56"/>
      <c r="C4" s="36" t="s">
        <v>2544</v>
      </c>
      <c r="D4" s="42"/>
      <c r="E4" s="30"/>
      <c r="F4" s="12">
        <v>220</v>
      </c>
      <c r="G4" s="182"/>
      <c r="H4" s="18"/>
    </row>
    <row r="5" spans="1:8" ht="13.5" customHeight="1" x14ac:dyDescent="0.2">
      <c r="A5" s="180"/>
      <c r="B5" s="56"/>
      <c r="C5" s="36" t="s">
        <v>2545</v>
      </c>
      <c r="D5" s="42"/>
      <c r="E5" s="30"/>
      <c r="F5" s="12">
        <v>1168.05</v>
      </c>
      <c r="G5" s="182"/>
      <c r="H5" s="18"/>
    </row>
    <row r="6" spans="1:8" ht="13.5" customHeight="1" x14ac:dyDescent="0.2">
      <c r="A6" s="180"/>
      <c r="B6" s="56"/>
      <c r="C6" s="36" t="s">
        <v>2546</v>
      </c>
      <c r="D6" s="42"/>
      <c r="E6" s="30"/>
      <c r="F6" s="12">
        <v>150</v>
      </c>
      <c r="G6" s="182"/>
      <c r="H6" s="18"/>
    </row>
    <row r="7" spans="1:8" ht="13.5" customHeight="1" x14ac:dyDescent="0.2">
      <c r="A7" s="180"/>
      <c r="B7" s="56"/>
      <c r="C7" s="36" t="s">
        <v>2547</v>
      </c>
      <c r="D7" s="42"/>
      <c r="E7" s="30"/>
      <c r="F7" s="12">
        <v>900</v>
      </c>
      <c r="G7" s="182">
        <v>8709.1300000000047</v>
      </c>
      <c r="H7" s="18"/>
    </row>
    <row r="8" spans="1:8" ht="13.5" customHeight="1" x14ac:dyDescent="0.2">
      <c r="A8" s="180">
        <v>43679</v>
      </c>
      <c r="B8" s="56"/>
      <c r="C8" s="36" t="s">
        <v>2548</v>
      </c>
      <c r="D8" s="42"/>
      <c r="E8" s="30">
        <v>300</v>
      </c>
      <c r="F8" s="12"/>
      <c r="G8" s="182"/>
      <c r="H8" s="18"/>
    </row>
    <row r="9" spans="1:8" ht="13.5" customHeight="1" x14ac:dyDescent="0.2">
      <c r="A9" s="180"/>
      <c r="B9" s="56"/>
      <c r="C9" s="34" t="s">
        <v>2549</v>
      </c>
      <c r="D9" s="42"/>
      <c r="E9" s="30">
        <v>500</v>
      </c>
      <c r="F9" s="12"/>
      <c r="G9" s="182"/>
      <c r="H9" s="18"/>
    </row>
    <row r="10" spans="1:8" ht="13.5" customHeight="1" x14ac:dyDescent="0.2">
      <c r="A10" s="180"/>
      <c r="B10" s="56"/>
      <c r="C10" s="36" t="s">
        <v>2550</v>
      </c>
      <c r="D10" s="42"/>
      <c r="E10" s="30">
        <v>300</v>
      </c>
      <c r="F10" s="12"/>
      <c r="G10" s="182"/>
      <c r="H10" s="18"/>
    </row>
    <row r="11" spans="1:8" ht="13.5" customHeight="1" x14ac:dyDescent="0.2">
      <c r="A11" s="180"/>
      <c r="B11" s="56"/>
      <c r="C11" s="36" t="s">
        <v>2551</v>
      </c>
      <c r="D11" s="42"/>
      <c r="E11" s="30">
        <v>79.67</v>
      </c>
      <c r="F11" s="30"/>
      <c r="G11" s="182">
        <v>7529.4600000000046</v>
      </c>
      <c r="H11" s="18"/>
    </row>
    <row r="12" spans="1:8" ht="13.5" customHeight="1" x14ac:dyDescent="0.2">
      <c r="A12" s="180">
        <v>43682</v>
      </c>
      <c r="B12" s="56"/>
      <c r="C12" s="36" t="s">
        <v>2552</v>
      </c>
      <c r="D12" s="42"/>
      <c r="E12" s="30">
        <v>1915</v>
      </c>
      <c r="F12" s="30"/>
      <c r="G12" s="182"/>
      <c r="H12" s="18"/>
    </row>
    <row r="13" spans="1:8" ht="13.5" customHeight="1" x14ac:dyDescent="0.2">
      <c r="A13" s="180"/>
      <c r="B13" s="56"/>
      <c r="C13" s="36" t="s">
        <v>2553</v>
      </c>
      <c r="D13" s="42"/>
      <c r="E13" s="30"/>
      <c r="F13" s="30">
        <v>1000</v>
      </c>
      <c r="G13" s="182"/>
      <c r="H13" s="18"/>
    </row>
    <row r="14" spans="1:8" ht="13.5" customHeight="1" x14ac:dyDescent="0.2">
      <c r="A14" s="180"/>
      <c r="B14" s="56"/>
      <c r="C14" s="36" t="s">
        <v>2364</v>
      </c>
      <c r="D14" s="42"/>
      <c r="E14" s="552">
        <v>600</v>
      </c>
      <c r="F14" s="30"/>
      <c r="G14" s="182">
        <v>6014.4600000000046</v>
      </c>
      <c r="H14" s="18"/>
    </row>
    <row r="15" spans="1:8" ht="13.5" customHeight="1" x14ac:dyDescent="0.2">
      <c r="A15" s="180">
        <v>43683</v>
      </c>
      <c r="B15" s="56"/>
      <c r="C15" s="34" t="s">
        <v>2554</v>
      </c>
      <c r="D15" s="42"/>
      <c r="E15" s="30">
        <v>49.69</v>
      </c>
      <c r="F15" s="30"/>
      <c r="G15" s="182"/>
      <c r="H15" s="18"/>
    </row>
    <row r="16" spans="1:8" ht="13.5" customHeight="1" x14ac:dyDescent="0.2">
      <c r="A16" s="180"/>
      <c r="B16" s="56"/>
      <c r="C16" s="34" t="s">
        <v>2082</v>
      </c>
      <c r="D16" s="42"/>
      <c r="E16" s="30">
        <v>11.85</v>
      </c>
      <c r="F16" s="30"/>
      <c r="G16" s="182"/>
      <c r="H16" s="18"/>
    </row>
    <row r="17" spans="1:8" ht="13.5" customHeight="1" x14ac:dyDescent="0.2">
      <c r="A17" s="180"/>
      <c r="B17" s="56"/>
      <c r="C17" s="34" t="s">
        <v>2555</v>
      </c>
      <c r="D17" s="42"/>
      <c r="E17" s="30">
        <v>11.98</v>
      </c>
      <c r="F17" s="30"/>
      <c r="G17" s="182"/>
      <c r="H17" s="18"/>
    </row>
    <row r="18" spans="1:8" ht="13.5" customHeight="1" x14ac:dyDescent="0.2">
      <c r="A18" s="180"/>
      <c r="B18" s="56"/>
      <c r="C18" s="36" t="s">
        <v>2556</v>
      </c>
      <c r="D18" s="42"/>
      <c r="E18" s="30">
        <v>5.9</v>
      </c>
      <c r="F18" s="30"/>
      <c r="G18" s="182"/>
      <c r="H18" s="18"/>
    </row>
    <row r="19" spans="1:8" ht="13.5" customHeight="1" x14ac:dyDescent="0.2">
      <c r="A19" s="180"/>
      <c r="B19" s="56"/>
      <c r="C19" s="36" t="s">
        <v>2557</v>
      </c>
      <c r="D19" s="42"/>
      <c r="E19" s="30">
        <v>5.6</v>
      </c>
      <c r="F19" s="30"/>
      <c r="G19" s="182"/>
      <c r="H19" s="18"/>
    </row>
    <row r="20" spans="1:8" ht="13.5" customHeight="1" x14ac:dyDescent="0.2">
      <c r="A20" s="180"/>
      <c r="B20" s="56"/>
      <c r="C20" s="36" t="s">
        <v>2558</v>
      </c>
      <c r="D20" s="42"/>
      <c r="E20" s="30">
        <v>0.7</v>
      </c>
      <c r="F20" s="30"/>
      <c r="G20" s="182"/>
      <c r="H20" s="18"/>
    </row>
    <row r="21" spans="1:8" ht="13.5" customHeight="1" x14ac:dyDescent="0.2">
      <c r="A21" s="180"/>
      <c r="B21" s="56"/>
      <c r="C21" s="36" t="s">
        <v>2559</v>
      </c>
      <c r="D21" s="42"/>
      <c r="E21" s="30">
        <v>80</v>
      </c>
      <c r="F21" s="30"/>
      <c r="G21" s="182"/>
      <c r="H21" s="18"/>
    </row>
    <row r="22" spans="1:8" ht="13.5" customHeight="1" x14ac:dyDescent="0.2">
      <c r="A22" s="180"/>
      <c r="B22" s="56"/>
      <c r="C22" s="36" t="s">
        <v>2558</v>
      </c>
      <c r="D22" s="42"/>
      <c r="E22" s="30">
        <v>0.7</v>
      </c>
      <c r="F22" s="30"/>
      <c r="G22" s="182"/>
      <c r="H22" s="18"/>
    </row>
    <row r="23" spans="1:8" ht="13.5" customHeight="1" x14ac:dyDescent="0.2">
      <c r="A23" s="180"/>
      <c r="B23" s="56"/>
      <c r="C23" s="36" t="s">
        <v>1834</v>
      </c>
      <c r="D23" s="42"/>
      <c r="E23" s="30">
        <v>30</v>
      </c>
      <c r="F23" s="30"/>
      <c r="G23" s="182"/>
      <c r="H23" s="18"/>
    </row>
    <row r="24" spans="1:8" ht="13.5" customHeight="1" x14ac:dyDescent="0.2">
      <c r="A24" s="180"/>
      <c r="B24" s="56"/>
      <c r="C24" s="36" t="s">
        <v>2560</v>
      </c>
      <c r="D24" s="42"/>
      <c r="E24" s="30">
        <v>16</v>
      </c>
      <c r="F24" s="30"/>
      <c r="G24" s="182"/>
      <c r="H24" s="18"/>
    </row>
    <row r="25" spans="1:8" ht="13.5" customHeight="1" x14ac:dyDescent="0.2">
      <c r="A25" s="180"/>
      <c r="B25" s="56"/>
      <c r="C25" s="36" t="s">
        <v>2561</v>
      </c>
      <c r="D25" s="42"/>
      <c r="E25" s="30">
        <v>57</v>
      </c>
      <c r="F25" s="30"/>
      <c r="G25" s="182"/>
      <c r="H25" s="18"/>
    </row>
    <row r="26" spans="1:8" ht="13.5" customHeight="1" x14ac:dyDescent="0.2">
      <c r="A26" s="180"/>
      <c r="B26" s="56"/>
      <c r="C26" s="36" t="s">
        <v>2562</v>
      </c>
      <c r="D26" s="42"/>
      <c r="E26" s="30"/>
      <c r="F26" s="30">
        <v>250</v>
      </c>
      <c r="G26" s="182"/>
      <c r="H26" s="18"/>
    </row>
    <row r="27" spans="1:8" ht="13.5" customHeight="1" x14ac:dyDescent="0.2">
      <c r="A27" s="180"/>
      <c r="B27" s="56"/>
      <c r="C27" s="36" t="s">
        <v>2563</v>
      </c>
      <c r="D27" s="42"/>
      <c r="E27" s="30"/>
      <c r="F27" s="12">
        <v>60</v>
      </c>
      <c r="G27" s="182"/>
      <c r="H27" s="18"/>
    </row>
    <row r="28" spans="1:8" ht="13.5" customHeight="1" x14ac:dyDescent="0.2">
      <c r="A28" s="180">
        <v>43684</v>
      </c>
      <c r="B28" s="56"/>
      <c r="C28" s="36" t="s">
        <v>2564</v>
      </c>
      <c r="D28" s="42"/>
      <c r="E28" s="30"/>
      <c r="F28" s="12">
        <v>1500</v>
      </c>
      <c r="G28" s="182">
        <v>7555.0400000000054</v>
      </c>
      <c r="H28" s="18"/>
    </row>
    <row r="29" spans="1:8" ht="13.5" customHeight="1" x14ac:dyDescent="0.2">
      <c r="A29" s="180"/>
      <c r="B29" s="56"/>
      <c r="C29" s="36" t="s">
        <v>2565</v>
      </c>
      <c r="D29" s="42"/>
      <c r="E29" s="30"/>
      <c r="F29" s="12">
        <v>250</v>
      </c>
      <c r="G29" s="182"/>
      <c r="H29" s="18"/>
    </row>
    <row r="30" spans="1:8" ht="13.5" customHeight="1" x14ac:dyDescent="0.2">
      <c r="A30" s="180"/>
      <c r="B30" s="56"/>
      <c r="C30" s="36" t="s">
        <v>2345</v>
      </c>
      <c r="D30" s="42"/>
      <c r="E30" s="30">
        <v>2575</v>
      </c>
      <c r="F30" s="12"/>
      <c r="G30" s="182">
        <v>5230.0400000000054</v>
      </c>
      <c r="H30" s="18"/>
    </row>
    <row r="31" spans="1:8" ht="13.5" customHeight="1" x14ac:dyDescent="0.2">
      <c r="A31" s="180">
        <v>43685</v>
      </c>
      <c r="B31" s="56"/>
      <c r="C31" s="36" t="s">
        <v>2566</v>
      </c>
      <c r="D31" s="42"/>
      <c r="E31" s="30">
        <v>62.7</v>
      </c>
      <c r="F31" s="12"/>
      <c r="G31" s="182"/>
      <c r="H31" s="18"/>
    </row>
    <row r="32" spans="1:8" ht="13.5" customHeight="1" x14ac:dyDescent="0.2">
      <c r="A32" s="180"/>
      <c r="B32" s="56"/>
      <c r="C32" s="36" t="s">
        <v>2567</v>
      </c>
      <c r="D32" s="42"/>
      <c r="E32" s="30">
        <v>300</v>
      </c>
      <c r="F32" s="12"/>
      <c r="G32" s="182"/>
      <c r="H32" s="18"/>
    </row>
    <row r="33" spans="1:8" ht="13.5" customHeight="1" x14ac:dyDescent="0.2">
      <c r="A33" s="180"/>
      <c r="B33" s="56"/>
      <c r="C33" s="36" t="s">
        <v>2364</v>
      </c>
      <c r="D33" s="42"/>
      <c r="E33" s="552">
        <v>500</v>
      </c>
      <c r="F33" s="12"/>
      <c r="G33" s="182">
        <v>4367.3400000000056</v>
      </c>
      <c r="H33" s="18"/>
    </row>
    <row r="34" spans="1:8" ht="13.5" customHeight="1" x14ac:dyDescent="0.2">
      <c r="A34" s="180">
        <v>43686</v>
      </c>
      <c r="B34" s="56"/>
      <c r="C34" s="36" t="s">
        <v>2568</v>
      </c>
      <c r="D34" s="42"/>
      <c r="E34" s="30"/>
      <c r="F34" s="12">
        <v>200</v>
      </c>
      <c r="G34" s="182"/>
      <c r="H34" s="18"/>
    </row>
    <row r="35" spans="1:8" ht="13.5" customHeight="1" x14ac:dyDescent="0.2">
      <c r="A35" s="180"/>
      <c r="B35" s="56"/>
      <c r="C35" s="36" t="s">
        <v>2569</v>
      </c>
      <c r="D35" s="42"/>
      <c r="E35" s="165">
        <v>400</v>
      </c>
      <c r="F35" s="12"/>
      <c r="G35" s="182"/>
      <c r="H35" s="18"/>
    </row>
    <row r="36" spans="1:8" ht="13.5" customHeight="1" x14ac:dyDescent="0.2">
      <c r="A36" s="180"/>
      <c r="B36" s="56"/>
      <c r="C36" s="36" t="s">
        <v>2570</v>
      </c>
      <c r="D36" s="42"/>
      <c r="E36" s="30">
        <v>300</v>
      </c>
      <c r="F36" s="12"/>
      <c r="G36" s="182"/>
      <c r="H36" s="18"/>
    </row>
    <row r="37" spans="1:8" ht="13.5" customHeight="1" x14ac:dyDescent="0.2">
      <c r="A37" s="180"/>
      <c r="B37" s="56"/>
      <c r="C37" s="36" t="s">
        <v>2571</v>
      </c>
      <c r="D37" s="42"/>
      <c r="E37" s="30">
        <v>500</v>
      </c>
      <c r="F37" s="12"/>
      <c r="G37" s="182"/>
      <c r="H37" s="18"/>
    </row>
    <row r="38" spans="1:8" ht="13.5" customHeight="1" x14ac:dyDescent="0.2">
      <c r="A38" s="180"/>
      <c r="B38" s="56"/>
      <c r="C38" s="36" t="s">
        <v>2572</v>
      </c>
      <c r="D38" s="42"/>
      <c r="E38" s="30">
        <v>240</v>
      </c>
      <c r="F38" s="12"/>
      <c r="G38" s="182"/>
      <c r="H38" s="18"/>
    </row>
    <row r="39" spans="1:8" ht="13.5" customHeight="1" x14ac:dyDescent="0.2">
      <c r="A39" s="180"/>
      <c r="B39" s="56"/>
      <c r="C39" s="36" t="s">
        <v>2573</v>
      </c>
      <c r="D39" s="42"/>
      <c r="E39" s="30"/>
      <c r="F39" s="12">
        <v>5075</v>
      </c>
      <c r="G39" s="182"/>
      <c r="H39" s="18"/>
    </row>
    <row r="40" spans="1:8" ht="13.5" customHeight="1" x14ac:dyDescent="0.2">
      <c r="A40" s="180"/>
      <c r="B40" s="56"/>
      <c r="C40" s="36" t="s">
        <v>2574</v>
      </c>
      <c r="D40" s="42"/>
      <c r="E40" s="30"/>
      <c r="F40" s="12">
        <v>1518</v>
      </c>
      <c r="G40" s="182">
        <v>9720.3400000000056</v>
      </c>
      <c r="H40" s="18"/>
    </row>
    <row r="41" spans="1:8" ht="13.5" customHeight="1" x14ac:dyDescent="0.2">
      <c r="A41" s="180">
        <v>43689</v>
      </c>
      <c r="B41" s="56"/>
      <c r="C41" s="36" t="s">
        <v>2575</v>
      </c>
      <c r="D41" s="42"/>
      <c r="E41" s="30"/>
      <c r="F41" s="12">
        <v>2260.15</v>
      </c>
      <c r="G41" s="182"/>
      <c r="H41" s="18"/>
    </row>
    <row r="42" spans="1:8" ht="13.5" customHeight="1" x14ac:dyDescent="0.2">
      <c r="A42" s="180"/>
      <c r="B42" s="56"/>
      <c r="C42" s="36" t="s">
        <v>2576</v>
      </c>
      <c r="D42" s="42"/>
      <c r="E42" s="165">
        <v>1490</v>
      </c>
      <c r="F42" s="12"/>
      <c r="G42" s="182"/>
      <c r="H42" s="18"/>
    </row>
    <row r="43" spans="1:8" ht="13.5" customHeight="1" x14ac:dyDescent="0.2">
      <c r="A43" s="180"/>
      <c r="B43" s="56"/>
      <c r="C43" s="36" t="s">
        <v>2577</v>
      </c>
      <c r="D43" s="42"/>
      <c r="E43" s="30"/>
      <c r="F43" s="12">
        <v>3855.73</v>
      </c>
      <c r="G43" s="182"/>
      <c r="H43" s="18"/>
    </row>
    <row r="44" spans="1:8" ht="13.5" customHeight="1" x14ac:dyDescent="0.2">
      <c r="A44" s="180"/>
      <c r="B44" s="56"/>
      <c r="C44" s="36" t="s">
        <v>2578</v>
      </c>
      <c r="D44" s="42"/>
      <c r="E44" s="30"/>
      <c r="F44" s="12">
        <v>200</v>
      </c>
      <c r="G44" s="182"/>
      <c r="H44" s="18"/>
    </row>
    <row r="45" spans="1:8" ht="13.5" customHeight="1" x14ac:dyDescent="0.2">
      <c r="A45" s="180"/>
      <c r="B45" s="56"/>
      <c r="C45" s="36" t="s">
        <v>2579</v>
      </c>
      <c r="D45" s="42"/>
      <c r="E45" s="30"/>
      <c r="F45" s="12">
        <v>250</v>
      </c>
      <c r="G45" s="182"/>
      <c r="H45" s="18"/>
    </row>
    <row r="46" spans="1:8" ht="13.5" customHeight="1" x14ac:dyDescent="0.2">
      <c r="A46" s="180"/>
      <c r="B46" s="56"/>
      <c r="C46" s="36" t="s">
        <v>2364</v>
      </c>
      <c r="D46" s="42"/>
      <c r="E46" s="552">
        <v>7000</v>
      </c>
      <c r="F46" s="12"/>
      <c r="G46" s="182">
        <v>7796.2200000000048</v>
      </c>
      <c r="H46" s="18"/>
    </row>
    <row r="47" spans="1:8" ht="13.5" customHeight="1" x14ac:dyDescent="0.2">
      <c r="A47" s="180">
        <v>43691</v>
      </c>
      <c r="B47" s="56"/>
      <c r="C47" s="36" t="s">
        <v>2580</v>
      </c>
      <c r="D47" s="42"/>
      <c r="E47" s="30"/>
      <c r="F47" s="12">
        <v>1058.6300000000001</v>
      </c>
      <c r="G47" s="182"/>
      <c r="H47" s="18"/>
    </row>
    <row r="48" spans="1:8" ht="13.5" customHeight="1" x14ac:dyDescent="0.2">
      <c r="A48" s="180"/>
      <c r="B48" s="56"/>
      <c r="C48" s="36" t="s">
        <v>2581</v>
      </c>
      <c r="D48" s="42"/>
      <c r="E48" s="30">
        <v>2.5</v>
      </c>
      <c r="F48" s="12"/>
      <c r="G48" s="182"/>
      <c r="H48" s="18"/>
    </row>
    <row r="49" spans="1:8" ht="13.5" customHeight="1" x14ac:dyDescent="0.2">
      <c r="A49" s="180"/>
      <c r="B49" s="56"/>
      <c r="C49" s="36" t="s">
        <v>2582</v>
      </c>
      <c r="D49" s="42"/>
      <c r="E49" s="30"/>
      <c r="F49" s="12">
        <v>450</v>
      </c>
      <c r="G49" s="182"/>
      <c r="H49" s="18"/>
    </row>
    <row r="50" spans="1:8" ht="13.5" customHeight="1" x14ac:dyDescent="0.2">
      <c r="A50" s="180"/>
      <c r="B50" s="56"/>
      <c r="C50" s="36" t="s">
        <v>2583</v>
      </c>
      <c r="D50" s="42"/>
      <c r="E50" s="30">
        <v>532.80999999999995</v>
      </c>
      <c r="F50" s="12"/>
      <c r="G50" s="182">
        <v>8769.5400000000063</v>
      </c>
      <c r="H50" s="18"/>
    </row>
    <row r="51" spans="1:8" ht="13.5" customHeight="1" x14ac:dyDescent="0.2">
      <c r="A51" s="180">
        <v>43693</v>
      </c>
      <c r="B51" s="56"/>
      <c r="C51" s="36" t="s">
        <v>2584</v>
      </c>
      <c r="D51" s="42"/>
      <c r="E51" s="30"/>
      <c r="F51" s="12">
        <v>525</v>
      </c>
      <c r="G51" s="182"/>
      <c r="H51" s="18"/>
    </row>
    <row r="52" spans="1:8" ht="13.5" customHeight="1" x14ac:dyDescent="0.2">
      <c r="A52" s="180"/>
      <c r="B52" s="56"/>
      <c r="C52" s="36" t="s">
        <v>2585</v>
      </c>
      <c r="D52" s="42"/>
      <c r="E52" s="30"/>
      <c r="F52" s="12">
        <v>8059.75</v>
      </c>
      <c r="G52" s="182"/>
      <c r="H52" s="18"/>
    </row>
    <row r="53" spans="1:8" ht="13.5" customHeight="1" x14ac:dyDescent="0.2">
      <c r="A53" s="180"/>
      <c r="B53" s="56"/>
      <c r="C53" s="36" t="s">
        <v>2586</v>
      </c>
      <c r="D53" s="42"/>
      <c r="E53" s="30">
        <v>300</v>
      </c>
      <c r="F53" s="12"/>
      <c r="G53" s="182"/>
      <c r="H53" s="18"/>
    </row>
    <row r="54" spans="1:8" ht="13.5" customHeight="1" x14ac:dyDescent="0.2">
      <c r="A54" s="180"/>
      <c r="B54" s="56"/>
      <c r="C54" s="36" t="s">
        <v>2587</v>
      </c>
      <c r="D54" s="42"/>
      <c r="E54" s="30">
        <v>500</v>
      </c>
      <c r="F54" s="12"/>
      <c r="G54" s="182"/>
      <c r="H54" s="18"/>
    </row>
    <row r="55" spans="1:8" ht="13.5" customHeight="1" x14ac:dyDescent="0.2">
      <c r="A55" s="180"/>
      <c r="B55" s="56"/>
      <c r="C55" s="36" t="s">
        <v>2588</v>
      </c>
      <c r="D55" s="42"/>
      <c r="E55" s="30">
        <v>300</v>
      </c>
      <c r="F55" s="12"/>
      <c r="G55" s="182"/>
      <c r="H55" s="18"/>
    </row>
    <row r="56" spans="1:8" ht="13.5" customHeight="1" x14ac:dyDescent="0.2">
      <c r="A56" s="180"/>
      <c r="B56" s="56"/>
      <c r="C56" s="36" t="s">
        <v>2589</v>
      </c>
      <c r="D56" s="42"/>
      <c r="E56" s="30">
        <v>16.5</v>
      </c>
      <c r="F56" s="12"/>
      <c r="G56" s="182"/>
      <c r="H56" s="18"/>
    </row>
    <row r="57" spans="1:8" ht="13.5" customHeight="1" x14ac:dyDescent="0.2">
      <c r="A57" s="180"/>
      <c r="B57" s="56"/>
      <c r="C57" s="36" t="s">
        <v>2590</v>
      </c>
      <c r="D57" s="42"/>
      <c r="E57" s="30">
        <v>51.96</v>
      </c>
      <c r="F57" s="12"/>
      <c r="G57" s="182"/>
      <c r="H57" s="18"/>
    </row>
    <row r="58" spans="1:8" ht="13.5" customHeight="1" x14ac:dyDescent="0.2">
      <c r="A58" s="180"/>
      <c r="B58" s="56"/>
      <c r="C58" s="36" t="s">
        <v>2591</v>
      </c>
      <c r="D58" s="42"/>
      <c r="E58" s="30">
        <v>256.94</v>
      </c>
      <c r="F58" s="12"/>
      <c r="G58" s="182"/>
      <c r="H58" s="18"/>
    </row>
    <row r="59" spans="1:8" ht="13.5" customHeight="1" x14ac:dyDescent="0.2">
      <c r="A59" s="180"/>
      <c r="B59" s="56"/>
      <c r="C59" s="36" t="s">
        <v>2592</v>
      </c>
      <c r="D59" s="42"/>
      <c r="E59" s="30">
        <v>38.96</v>
      </c>
      <c r="F59" s="12"/>
      <c r="G59" s="182">
        <v>15889.930000000009</v>
      </c>
      <c r="H59" s="18"/>
    </row>
    <row r="60" spans="1:8" ht="13.5" customHeight="1" x14ac:dyDescent="0.2">
      <c r="A60" s="180">
        <v>43697</v>
      </c>
      <c r="B60" s="56"/>
      <c r="C60" s="36" t="s">
        <v>2593</v>
      </c>
      <c r="D60" s="42"/>
      <c r="E60" s="30">
        <v>250</v>
      </c>
      <c r="F60" s="12"/>
      <c r="G60" s="182"/>
      <c r="H60" s="18"/>
    </row>
    <row r="61" spans="1:8" s="169" customFormat="1" ht="13.5" customHeight="1" x14ac:dyDescent="0.2">
      <c r="A61" s="690"/>
      <c r="B61" s="691"/>
      <c r="C61" s="41" t="s">
        <v>2594</v>
      </c>
      <c r="D61" s="692"/>
      <c r="E61" s="165">
        <v>9849.75</v>
      </c>
      <c r="F61" s="168"/>
      <c r="G61" s="693">
        <v>5790.21000000001</v>
      </c>
      <c r="H61" s="321"/>
    </row>
    <row r="62" spans="1:8" ht="13.5" customHeight="1" x14ac:dyDescent="0.2">
      <c r="A62" s="180">
        <v>43698</v>
      </c>
      <c r="B62" s="56"/>
      <c r="C62" s="36" t="s">
        <v>2595</v>
      </c>
      <c r="D62" s="42"/>
      <c r="E62" s="30">
        <v>19.989999999999998</v>
      </c>
      <c r="F62" s="12"/>
      <c r="G62" s="182"/>
      <c r="H62" s="18"/>
    </row>
    <row r="63" spans="1:8" ht="13.5" customHeight="1" x14ac:dyDescent="0.2">
      <c r="A63" s="180"/>
      <c r="B63" s="56"/>
      <c r="C63" s="36" t="s">
        <v>2596</v>
      </c>
      <c r="D63" s="42"/>
      <c r="E63" s="30">
        <v>142.85</v>
      </c>
      <c r="F63" s="12"/>
      <c r="G63" s="182"/>
      <c r="H63" s="18"/>
    </row>
    <row r="64" spans="1:8" ht="13.5" customHeight="1" x14ac:dyDescent="0.2">
      <c r="A64" s="180"/>
      <c r="B64" s="56"/>
      <c r="C64" s="36" t="s">
        <v>2597</v>
      </c>
      <c r="D64" s="42"/>
      <c r="E64" s="30">
        <v>105</v>
      </c>
      <c r="F64" s="12"/>
      <c r="G64" s="182"/>
      <c r="H64" s="18"/>
    </row>
    <row r="65" spans="1:8" ht="13.5" customHeight="1" x14ac:dyDescent="0.2">
      <c r="A65" s="180"/>
      <c r="B65" s="56"/>
      <c r="C65" s="36" t="s">
        <v>2598</v>
      </c>
      <c r="D65" s="42"/>
      <c r="E65" s="30">
        <v>34.97</v>
      </c>
      <c r="F65" s="12"/>
      <c r="G65" s="182"/>
      <c r="H65" s="18"/>
    </row>
    <row r="66" spans="1:8" ht="13.5" customHeight="1" x14ac:dyDescent="0.2">
      <c r="A66" s="180"/>
      <c r="B66" s="56"/>
      <c r="C66" s="36" t="s">
        <v>2599</v>
      </c>
      <c r="D66" s="42"/>
      <c r="E66" s="30">
        <v>73.97</v>
      </c>
      <c r="F66" s="12"/>
      <c r="G66" s="182"/>
      <c r="H66" s="18"/>
    </row>
    <row r="67" spans="1:8" ht="13.5" customHeight="1" x14ac:dyDescent="0.2">
      <c r="A67" s="180"/>
      <c r="B67" s="56"/>
      <c r="C67" s="36" t="s">
        <v>2600</v>
      </c>
      <c r="D67" s="42"/>
      <c r="E67" s="30"/>
      <c r="F67" s="12">
        <v>220</v>
      </c>
      <c r="G67" s="182"/>
      <c r="H67" s="18"/>
    </row>
    <row r="68" spans="1:8" ht="13.5" customHeight="1" x14ac:dyDescent="0.2">
      <c r="A68" s="180"/>
      <c r="B68" s="56"/>
      <c r="C68" s="36" t="s">
        <v>2601</v>
      </c>
      <c r="D68" s="42"/>
      <c r="E68" s="30"/>
      <c r="F68" s="12">
        <v>80</v>
      </c>
      <c r="G68" s="182">
        <v>5713.4300000000094</v>
      </c>
      <c r="H68" s="18"/>
    </row>
    <row r="69" spans="1:8" ht="13.5" customHeight="1" x14ac:dyDescent="0.2">
      <c r="A69" s="180">
        <v>43699</v>
      </c>
      <c r="B69" s="56"/>
      <c r="C69" s="36" t="s">
        <v>1666</v>
      </c>
      <c r="D69" s="42"/>
      <c r="E69" s="30">
        <v>55.9</v>
      </c>
      <c r="F69" s="12"/>
      <c r="G69" s="182"/>
      <c r="H69" s="18"/>
    </row>
    <row r="70" spans="1:8" ht="13.5" customHeight="1" x14ac:dyDescent="0.2">
      <c r="A70" s="180"/>
      <c r="B70" s="56"/>
      <c r="C70" s="36" t="s">
        <v>2602</v>
      </c>
      <c r="D70" s="42"/>
      <c r="E70" s="30">
        <v>5.5</v>
      </c>
      <c r="F70" s="12"/>
      <c r="G70" s="182"/>
      <c r="H70" s="18"/>
    </row>
    <row r="71" spans="1:8" ht="13.5" customHeight="1" x14ac:dyDescent="0.2">
      <c r="A71" s="180"/>
      <c r="B71" s="56"/>
      <c r="C71" s="36" t="s">
        <v>2603</v>
      </c>
      <c r="D71" s="42" t="s">
        <v>483</v>
      </c>
      <c r="E71" s="30">
        <v>8</v>
      </c>
      <c r="F71" s="12"/>
      <c r="G71" s="182"/>
      <c r="H71" s="18"/>
    </row>
    <row r="72" spans="1:8" ht="13.5" customHeight="1" x14ac:dyDescent="0.2">
      <c r="A72" s="180"/>
      <c r="B72" s="56"/>
      <c r="C72" s="36" t="s">
        <v>2604</v>
      </c>
      <c r="D72" s="42"/>
      <c r="E72" s="30">
        <v>14</v>
      </c>
      <c r="F72" s="12"/>
      <c r="G72" s="182"/>
      <c r="H72" s="18"/>
    </row>
    <row r="73" spans="1:8" ht="13.5" customHeight="1" x14ac:dyDescent="0.2">
      <c r="A73" s="180"/>
      <c r="B73" s="56"/>
      <c r="C73" s="36" t="s">
        <v>1912</v>
      </c>
      <c r="D73" s="42"/>
      <c r="E73" s="30">
        <v>3</v>
      </c>
      <c r="F73" s="12"/>
      <c r="G73" s="182"/>
      <c r="H73" s="18"/>
    </row>
    <row r="74" spans="1:8" ht="13.5" customHeight="1" x14ac:dyDescent="0.2">
      <c r="A74" s="180"/>
      <c r="B74" s="56"/>
      <c r="C74" s="36" t="s">
        <v>2605</v>
      </c>
      <c r="D74" s="42"/>
      <c r="E74" s="30">
        <v>39.54</v>
      </c>
      <c r="F74" s="12"/>
      <c r="G74" s="182"/>
      <c r="H74" s="18"/>
    </row>
    <row r="75" spans="1:8" ht="13.5" customHeight="1" x14ac:dyDescent="0.2">
      <c r="A75" s="180"/>
      <c r="B75" s="56"/>
      <c r="C75" s="36" t="s">
        <v>2606</v>
      </c>
      <c r="D75" s="42"/>
      <c r="E75" s="30">
        <v>22.84</v>
      </c>
      <c r="F75" s="12"/>
      <c r="G75" s="182"/>
      <c r="H75" s="18"/>
    </row>
    <row r="76" spans="1:8" ht="13.5" customHeight="1" x14ac:dyDescent="0.2">
      <c r="A76" s="180"/>
      <c r="B76" s="56"/>
      <c r="C76" s="36" t="s">
        <v>2607</v>
      </c>
      <c r="D76" s="42"/>
      <c r="E76" s="30">
        <v>4.5</v>
      </c>
      <c r="F76" s="12"/>
      <c r="G76" s="182"/>
      <c r="H76" s="18"/>
    </row>
    <row r="77" spans="1:8" ht="13.5" customHeight="1" x14ac:dyDescent="0.2">
      <c r="A77" s="180"/>
      <c r="B77" s="56"/>
      <c r="C77" s="36" t="s">
        <v>1834</v>
      </c>
      <c r="D77" s="42"/>
      <c r="E77" s="30">
        <v>46.7</v>
      </c>
      <c r="F77" s="12"/>
      <c r="G77" s="182"/>
      <c r="H77" s="18"/>
    </row>
    <row r="78" spans="1:8" ht="13.5" customHeight="1" x14ac:dyDescent="0.2">
      <c r="A78" s="180"/>
      <c r="B78" s="56"/>
      <c r="C78" s="36" t="s">
        <v>2608</v>
      </c>
      <c r="D78" s="42"/>
      <c r="E78" s="30">
        <v>17.5</v>
      </c>
      <c r="F78" s="12"/>
      <c r="G78" s="182"/>
      <c r="H78" s="18"/>
    </row>
    <row r="79" spans="1:8" ht="13.5" customHeight="1" x14ac:dyDescent="0.2">
      <c r="A79" s="180"/>
      <c r="B79" s="56"/>
      <c r="C79" s="36" t="s">
        <v>2609</v>
      </c>
      <c r="D79" s="42"/>
      <c r="E79" s="30">
        <v>8</v>
      </c>
      <c r="F79" s="12"/>
      <c r="G79" s="182"/>
      <c r="H79" s="18"/>
    </row>
    <row r="80" spans="1:8" ht="13.5" customHeight="1" x14ac:dyDescent="0.2">
      <c r="A80" s="180"/>
      <c r="B80" s="56"/>
      <c r="C80" s="36" t="s">
        <v>2610</v>
      </c>
      <c r="D80" s="42"/>
      <c r="E80" s="30">
        <v>50.48</v>
      </c>
      <c r="F80" s="12"/>
      <c r="G80" s="182"/>
      <c r="H80" s="18"/>
    </row>
    <row r="81" spans="1:8" ht="13.5" customHeight="1" x14ac:dyDescent="0.2">
      <c r="A81" s="180"/>
      <c r="B81" s="56"/>
      <c r="C81" s="36" t="s">
        <v>2611</v>
      </c>
      <c r="D81" s="42"/>
      <c r="E81" s="30">
        <v>13.9</v>
      </c>
      <c r="F81" s="12"/>
      <c r="G81" s="182"/>
      <c r="H81" s="18"/>
    </row>
    <row r="82" spans="1:8" ht="13.5" customHeight="1" x14ac:dyDescent="0.2">
      <c r="A82" s="180"/>
      <c r="B82" s="56"/>
      <c r="C82" s="36" t="s">
        <v>2612</v>
      </c>
      <c r="D82" s="42"/>
      <c r="E82" s="30">
        <v>13.2</v>
      </c>
      <c r="F82" s="12"/>
      <c r="G82" s="182"/>
      <c r="H82" s="18"/>
    </row>
    <row r="83" spans="1:8" ht="13.5" customHeight="1" x14ac:dyDescent="0.2">
      <c r="A83" s="180"/>
      <c r="B83" s="56"/>
      <c r="C83" s="36" t="s">
        <v>2613</v>
      </c>
      <c r="D83" s="42"/>
      <c r="E83" s="30">
        <v>12.9</v>
      </c>
      <c r="F83" s="12"/>
      <c r="G83" s="182"/>
      <c r="H83" s="18"/>
    </row>
    <row r="84" spans="1:8" ht="13.5" customHeight="1" x14ac:dyDescent="0.2">
      <c r="A84" s="180"/>
      <c r="B84" s="56"/>
      <c r="C84" s="36" t="s">
        <v>2614</v>
      </c>
      <c r="D84" s="42"/>
      <c r="E84" s="30">
        <v>25.24</v>
      </c>
      <c r="F84" s="12"/>
      <c r="G84" s="182"/>
      <c r="H84" s="18"/>
    </row>
    <row r="85" spans="1:8" ht="13.5" customHeight="1" x14ac:dyDescent="0.2">
      <c r="A85" s="180"/>
      <c r="B85" s="56"/>
      <c r="C85" s="36" t="s">
        <v>2615</v>
      </c>
      <c r="D85" s="42"/>
      <c r="E85" s="30">
        <v>7</v>
      </c>
      <c r="F85" s="12"/>
      <c r="G85" s="182"/>
      <c r="H85" s="18"/>
    </row>
    <row r="86" spans="1:8" ht="13.5" customHeight="1" x14ac:dyDescent="0.2">
      <c r="A86" s="180"/>
      <c r="B86" s="56"/>
      <c r="C86" s="36" t="s">
        <v>2616</v>
      </c>
      <c r="D86" s="42"/>
      <c r="E86" s="30">
        <v>5</v>
      </c>
      <c r="F86" s="12"/>
      <c r="G86" s="182"/>
      <c r="H86" s="18"/>
    </row>
    <row r="87" spans="1:8" ht="13.5" customHeight="1" x14ac:dyDescent="0.2">
      <c r="A87" s="180"/>
      <c r="B87" s="56"/>
      <c r="C87" s="36" t="s">
        <v>1834</v>
      </c>
      <c r="D87" s="42"/>
      <c r="E87" s="30">
        <v>40.299999999999997</v>
      </c>
      <c r="F87" s="12"/>
      <c r="G87" s="182"/>
      <c r="H87" s="18"/>
    </row>
    <row r="88" spans="1:8" ht="13.5" customHeight="1" x14ac:dyDescent="0.2">
      <c r="A88" s="180"/>
      <c r="B88" s="56"/>
      <c r="C88" s="36" t="s">
        <v>2617</v>
      </c>
      <c r="D88" s="42"/>
      <c r="E88" s="30">
        <v>2.5</v>
      </c>
      <c r="F88" s="12"/>
      <c r="G88" s="182"/>
      <c r="H88" s="18"/>
    </row>
    <row r="89" spans="1:8" ht="13.5" customHeight="1" x14ac:dyDescent="0.2">
      <c r="A89" s="180"/>
      <c r="B89" s="56"/>
      <c r="C89" s="36" t="s">
        <v>2618</v>
      </c>
      <c r="D89" s="42"/>
      <c r="E89" s="30">
        <v>3.28</v>
      </c>
      <c r="F89" s="12"/>
      <c r="G89" s="182"/>
      <c r="H89" s="18"/>
    </row>
    <row r="90" spans="1:8" ht="13.5" customHeight="1" x14ac:dyDescent="0.2">
      <c r="A90" s="180"/>
      <c r="B90" s="56"/>
      <c r="C90" s="36" t="s">
        <v>2619</v>
      </c>
      <c r="D90" s="42"/>
      <c r="E90" s="30">
        <v>5.5</v>
      </c>
      <c r="F90" s="12"/>
      <c r="G90" s="182"/>
      <c r="H90" s="18"/>
    </row>
    <row r="91" spans="1:8" ht="13.5" customHeight="1" x14ac:dyDescent="0.2">
      <c r="A91" s="180"/>
      <c r="B91" s="56"/>
      <c r="C91" s="36" t="s">
        <v>2620</v>
      </c>
      <c r="D91" s="42"/>
      <c r="E91" s="30">
        <v>5</v>
      </c>
      <c r="F91" s="12"/>
      <c r="G91" s="182"/>
      <c r="H91" s="18"/>
    </row>
    <row r="92" spans="1:8" ht="13.5" customHeight="1" x14ac:dyDescent="0.2">
      <c r="A92" s="180"/>
      <c r="B92" s="56"/>
      <c r="C92" s="36" t="s">
        <v>2621</v>
      </c>
      <c r="D92" s="42"/>
      <c r="E92" s="30">
        <v>14.85</v>
      </c>
      <c r="F92" s="12"/>
      <c r="G92" s="182"/>
      <c r="H92" s="18"/>
    </row>
    <row r="93" spans="1:8" ht="13.5" customHeight="1" x14ac:dyDescent="0.2">
      <c r="A93" s="180"/>
      <c r="B93" s="56"/>
      <c r="C93" s="36" t="s">
        <v>2622</v>
      </c>
      <c r="D93" s="42"/>
      <c r="E93" s="30">
        <v>3.5</v>
      </c>
      <c r="F93" s="12"/>
      <c r="G93" s="182"/>
      <c r="H93" s="18"/>
    </row>
    <row r="94" spans="1:8" ht="13.5" customHeight="1" x14ac:dyDescent="0.2">
      <c r="A94" s="180"/>
      <c r="B94" s="56"/>
      <c r="C94" s="36" t="s">
        <v>2623</v>
      </c>
      <c r="D94" s="42"/>
      <c r="E94" s="30">
        <v>30</v>
      </c>
      <c r="F94" s="12"/>
      <c r="G94" s="182"/>
      <c r="H94" s="18"/>
    </row>
    <row r="95" spans="1:8" ht="13.5" customHeight="1" x14ac:dyDescent="0.2">
      <c r="A95" s="180"/>
      <c r="B95" s="56"/>
      <c r="C95" s="36" t="s">
        <v>2624</v>
      </c>
      <c r="D95" s="42"/>
      <c r="E95" s="30">
        <v>5</v>
      </c>
      <c r="F95" s="12"/>
      <c r="G95" s="182"/>
      <c r="H95" s="18"/>
    </row>
    <row r="96" spans="1:8" ht="13.5" customHeight="1" x14ac:dyDescent="0.2">
      <c r="A96" s="180"/>
      <c r="B96" s="56"/>
      <c r="C96" s="36" t="s">
        <v>2625</v>
      </c>
      <c r="D96" s="42"/>
      <c r="E96" s="30">
        <v>5.99</v>
      </c>
      <c r="F96" s="12"/>
      <c r="G96" s="182"/>
      <c r="H96" s="18"/>
    </row>
    <row r="97" spans="1:8" ht="13.5" customHeight="1" x14ac:dyDescent="0.2">
      <c r="A97" s="180"/>
      <c r="B97" s="56"/>
      <c r="C97" s="36" t="s">
        <v>2626</v>
      </c>
      <c r="D97" s="42"/>
      <c r="E97" s="30">
        <v>28.06</v>
      </c>
      <c r="F97" s="12"/>
      <c r="G97" s="182"/>
      <c r="H97" s="18"/>
    </row>
    <row r="98" spans="1:8" ht="13.5" customHeight="1" x14ac:dyDescent="0.2">
      <c r="A98" s="180"/>
      <c r="B98" s="56"/>
      <c r="C98" s="36" t="s">
        <v>2627</v>
      </c>
      <c r="D98" s="42"/>
      <c r="E98" s="30">
        <v>300</v>
      </c>
      <c r="F98" s="12"/>
      <c r="G98" s="182">
        <v>4916.2500000000109</v>
      </c>
      <c r="H98" s="18"/>
    </row>
    <row r="99" spans="1:8" ht="13.5" customHeight="1" x14ac:dyDescent="0.2">
      <c r="A99" s="180">
        <v>43700</v>
      </c>
      <c r="B99" s="56"/>
      <c r="C99" s="36" t="s">
        <v>2628</v>
      </c>
      <c r="D99" s="42"/>
      <c r="E99" s="30"/>
      <c r="F99" s="12">
        <v>900</v>
      </c>
      <c r="G99" s="182"/>
      <c r="H99" s="18"/>
    </row>
    <row r="100" spans="1:8" ht="13.5" customHeight="1" x14ac:dyDescent="0.2">
      <c r="A100" s="180"/>
      <c r="B100" s="56"/>
      <c r="C100" s="36" t="s">
        <v>2629</v>
      </c>
      <c r="D100" s="42"/>
      <c r="E100" s="30">
        <v>35.75</v>
      </c>
      <c r="F100" s="12"/>
      <c r="G100" s="182"/>
      <c r="H100" s="18"/>
    </row>
    <row r="101" spans="1:8" ht="13.5" customHeight="1" x14ac:dyDescent="0.2">
      <c r="A101" s="180"/>
      <c r="B101" s="56"/>
      <c r="C101" s="36" t="s">
        <v>2630</v>
      </c>
      <c r="D101" s="42"/>
      <c r="E101" s="30">
        <v>5</v>
      </c>
      <c r="F101" s="12"/>
      <c r="G101" s="182"/>
      <c r="H101" s="18"/>
    </row>
    <row r="102" spans="1:8" ht="13.5" customHeight="1" x14ac:dyDescent="0.2">
      <c r="A102" s="180"/>
      <c r="B102" s="56"/>
      <c r="C102" s="36" t="s">
        <v>2631</v>
      </c>
      <c r="D102" s="42"/>
      <c r="E102" s="30">
        <v>300</v>
      </c>
      <c r="F102" s="12"/>
      <c r="G102" s="182"/>
      <c r="H102" s="18"/>
    </row>
    <row r="103" spans="1:8" ht="13.5" customHeight="1" x14ac:dyDescent="0.2">
      <c r="A103" s="180"/>
      <c r="B103" s="56"/>
      <c r="C103" s="36" t="s">
        <v>2632</v>
      </c>
      <c r="D103" s="42"/>
      <c r="E103" s="30">
        <v>500</v>
      </c>
      <c r="F103" s="12"/>
      <c r="G103" s="182"/>
      <c r="H103" s="18"/>
    </row>
    <row r="104" spans="1:8" ht="13.5" customHeight="1" x14ac:dyDescent="0.2">
      <c r="A104" s="180"/>
      <c r="B104" s="56"/>
      <c r="C104" s="36" t="s">
        <v>2633</v>
      </c>
      <c r="D104" s="42"/>
      <c r="E104" s="30">
        <v>300</v>
      </c>
      <c r="F104" s="12"/>
      <c r="G104" s="182">
        <v>4675.5000000000109</v>
      </c>
      <c r="H104" s="18"/>
    </row>
    <row r="105" spans="1:8" ht="13.5" customHeight="1" x14ac:dyDescent="0.2">
      <c r="A105" s="180">
        <v>43703</v>
      </c>
      <c r="B105" s="56"/>
      <c r="C105" s="36" t="s">
        <v>2634</v>
      </c>
      <c r="D105" s="42"/>
      <c r="E105" s="30">
        <v>158</v>
      </c>
      <c r="F105" s="12"/>
      <c r="G105" s="182"/>
      <c r="H105" s="18"/>
    </row>
    <row r="106" spans="1:8" ht="13.5" customHeight="1" x14ac:dyDescent="0.2">
      <c r="A106" s="180"/>
      <c r="B106" s="56"/>
      <c r="C106" s="36" t="s">
        <v>2635</v>
      </c>
      <c r="D106" s="42"/>
      <c r="E106" s="30"/>
      <c r="F106" s="12">
        <v>1232.72</v>
      </c>
      <c r="G106" s="182"/>
      <c r="H106" s="18"/>
    </row>
    <row r="107" spans="1:8" ht="13.5" customHeight="1" x14ac:dyDescent="0.2">
      <c r="A107" s="180"/>
      <c r="B107" s="56"/>
      <c r="C107" s="36" t="s">
        <v>2636</v>
      </c>
      <c r="D107" s="42"/>
      <c r="E107" s="30">
        <v>255</v>
      </c>
      <c r="F107" s="12"/>
      <c r="G107" s="182">
        <v>5495.2200000000112</v>
      </c>
      <c r="H107" s="18"/>
    </row>
    <row r="108" spans="1:8" ht="13.5" customHeight="1" x14ac:dyDescent="0.2">
      <c r="A108" s="180">
        <v>43704</v>
      </c>
      <c r="B108" s="56"/>
      <c r="C108" s="36" t="s">
        <v>2637</v>
      </c>
      <c r="D108" s="42"/>
      <c r="E108" s="30">
        <v>375</v>
      </c>
      <c r="F108" s="12"/>
      <c r="G108" s="182"/>
      <c r="H108" s="18"/>
    </row>
    <row r="109" spans="1:8" ht="13.5" customHeight="1" x14ac:dyDescent="0.2">
      <c r="A109" s="180"/>
      <c r="B109" s="56"/>
      <c r="C109" s="36" t="s">
        <v>2638</v>
      </c>
      <c r="D109" s="42"/>
      <c r="E109" s="30"/>
      <c r="F109" s="12">
        <v>4500</v>
      </c>
      <c r="G109" s="182">
        <v>9620.2200000000121</v>
      </c>
      <c r="H109" s="18"/>
    </row>
    <row r="110" spans="1:8" ht="13.5" customHeight="1" x14ac:dyDescent="0.2">
      <c r="A110" s="180">
        <v>43707</v>
      </c>
      <c r="B110" s="56"/>
      <c r="C110" s="36" t="s">
        <v>2639</v>
      </c>
      <c r="D110" s="42"/>
      <c r="E110" s="165">
        <v>4500</v>
      </c>
      <c r="F110" s="12"/>
      <c r="G110" s="182"/>
      <c r="H110" s="18"/>
    </row>
    <row r="111" spans="1:8" ht="13.5" customHeight="1" x14ac:dyDescent="0.2">
      <c r="A111" s="180"/>
      <c r="B111" s="56"/>
      <c r="C111" s="36" t="s">
        <v>2640</v>
      </c>
      <c r="D111" s="42"/>
      <c r="E111" s="30">
        <v>300</v>
      </c>
      <c r="F111" s="12"/>
      <c r="G111" s="182"/>
      <c r="H111" s="18"/>
    </row>
    <row r="112" spans="1:8" ht="13.5" customHeight="1" x14ac:dyDescent="0.2">
      <c r="A112" s="180"/>
      <c r="B112" s="56"/>
      <c r="C112" s="36" t="s">
        <v>2641</v>
      </c>
      <c r="D112" s="42"/>
      <c r="E112" s="30">
        <v>500</v>
      </c>
      <c r="F112" s="12"/>
      <c r="G112" s="182"/>
      <c r="H112" s="18"/>
    </row>
    <row r="113" spans="1:27" ht="13.5" customHeight="1" x14ac:dyDescent="0.2">
      <c r="A113" s="180"/>
      <c r="B113" s="56"/>
      <c r="C113" s="36" t="s">
        <v>2642</v>
      </c>
      <c r="D113" s="42"/>
      <c r="E113" s="30">
        <v>300</v>
      </c>
      <c r="F113" s="12"/>
      <c r="G113" s="182"/>
      <c r="H113" s="18"/>
    </row>
    <row r="114" spans="1:27" ht="13.5" customHeight="1" x14ac:dyDescent="0.2">
      <c r="A114" s="180"/>
      <c r="B114" s="56"/>
      <c r="C114" s="36" t="s">
        <v>2643</v>
      </c>
      <c r="D114" s="42"/>
      <c r="E114" s="30">
        <v>60</v>
      </c>
      <c r="F114" s="12"/>
      <c r="G114" s="182"/>
      <c r="H114" s="18"/>
    </row>
    <row r="115" spans="1:27" ht="13.5" customHeight="1" x14ac:dyDescent="0.2">
      <c r="A115" s="180"/>
      <c r="B115" s="56"/>
      <c r="C115" s="36" t="s">
        <v>2644</v>
      </c>
      <c r="D115" s="42"/>
      <c r="E115" s="30">
        <v>100</v>
      </c>
      <c r="F115" s="12"/>
      <c r="G115" s="182"/>
      <c r="H115" s="18"/>
    </row>
    <row r="116" spans="1:27" ht="13.5" customHeight="1" x14ac:dyDescent="0.2">
      <c r="A116" s="180"/>
      <c r="B116" s="56"/>
      <c r="C116" s="36" t="s">
        <v>2645</v>
      </c>
      <c r="D116" s="42"/>
      <c r="E116" s="30">
        <v>70</v>
      </c>
      <c r="F116" s="12"/>
      <c r="G116" s="182"/>
      <c r="H116" s="18"/>
    </row>
    <row r="117" spans="1:27" ht="13.5" customHeight="1" x14ac:dyDescent="0.2">
      <c r="A117" s="180"/>
      <c r="B117" s="56"/>
      <c r="C117" s="36" t="s">
        <v>2646</v>
      </c>
      <c r="D117" s="42"/>
      <c r="E117" s="30">
        <v>130</v>
      </c>
      <c r="F117" s="12"/>
      <c r="G117" s="182"/>
      <c r="H117" s="18"/>
    </row>
    <row r="118" spans="1:27" s="64" customFormat="1" ht="13.5" customHeight="1" x14ac:dyDescent="0.2">
      <c r="A118" s="184"/>
      <c r="B118" s="63"/>
      <c r="C118" s="32" t="s">
        <v>2647</v>
      </c>
      <c r="D118" s="596"/>
      <c r="E118" s="51">
        <v>68.95</v>
      </c>
      <c r="F118" s="13"/>
      <c r="G118" s="178">
        <v>3591.2700000000123</v>
      </c>
      <c r="H118" s="124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s="64" customFormat="1" ht="13.5" customHeight="1" thickBot="1" x14ac:dyDescent="0.25">
      <c r="A119" s="184"/>
      <c r="B119" s="63"/>
      <c r="C119" s="63"/>
      <c r="D119" s="596"/>
      <c r="E119" s="669">
        <f>-SUM(E3:E118)</f>
        <v>-38562.87000000001</v>
      </c>
      <c r="F119" s="669">
        <f>SUM(F3:F118)</f>
        <v>35883.03</v>
      </c>
      <c r="G119" s="53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3.5" customHeight="1" thickBot="1" x14ac:dyDescent="0.25">
      <c r="A120" s="2" t="s">
        <v>2</v>
      </c>
      <c r="B120" s="3"/>
      <c r="C120" s="3" t="s">
        <v>536</v>
      </c>
      <c r="D120" s="595" t="s">
        <v>4</v>
      </c>
      <c r="E120" s="3" t="s">
        <v>5</v>
      </c>
      <c r="F120" s="3" t="s">
        <v>6</v>
      </c>
      <c r="G120" s="5" t="s">
        <v>7</v>
      </c>
    </row>
    <row r="121" spans="1:27" ht="13.5" customHeight="1" x14ac:dyDescent="0.2">
      <c r="A121" s="8">
        <v>43678</v>
      </c>
      <c r="B121" s="56"/>
      <c r="C121" s="10" t="s">
        <v>8</v>
      </c>
      <c r="D121" s="42"/>
      <c r="E121" s="51"/>
      <c r="F121" s="12"/>
      <c r="G121" s="205">
        <v>11460.000000000004</v>
      </c>
      <c r="H121" s="18"/>
    </row>
    <row r="122" spans="1:27" ht="13.5" customHeight="1" x14ac:dyDescent="0.2">
      <c r="A122" s="180">
        <v>43682</v>
      </c>
      <c r="B122" s="56"/>
      <c r="C122" s="32" t="s">
        <v>2648</v>
      </c>
      <c r="D122" s="42"/>
      <c r="E122" s="30">
        <v>5000</v>
      </c>
      <c r="F122" s="12"/>
      <c r="G122" s="203">
        <v>6460.0000000000036</v>
      </c>
      <c r="H122" s="18"/>
    </row>
    <row r="123" spans="1:27" customFormat="1" ht="13.5" customHeight="1" x14ac:dyDescent="0.2">
      <c r="A123" s="180"/>
      <c r="B123" s="36"/>
      <c r="C123" s="36" t="s">
        <v>2649</v>
      </c>
      <c r="D123" s="42"/>
      <c r="E123" s="597">
        <v>3000</v>
      </c>
      <c r="F123" s="43"/>
      <c r="G123" s="203">
        <v>3460.0000000000036</v>
      </c>
      <c r="H123" s="18"/>
    </row>
    <row r="124" spans="1:27" customFormat="1" ht="13.5" customHeight="1" x14ac:dyDescent="0.2">
      <c r="A124" s="180"/>
      <c r="B124" s="36"/>
      <c r="C124" s="34" t="s">
        <v>1625</v>
      </c>
      <c r="D124" s="42"/>
      <c r="E124" s="597">
        <v>2000</v>
      </c>
      <c r="F124" s="43"/>
      <c r="G124" s="203">
        <v>1460.0000000000036</v>
      </c>
      <c r="H124" s="18"/>
    </row>
    <row r="125" spans="1:27" ht="13.5" customHeight="1" x14ac:dyDescent="0.2">
      <c r="A125" s="180">
        <v>43683</v>
      </c>
      <c r="B125" s="56"/>
      <c r="C125" s="36" t="s">
        <v>1002</v>
      </c>
      <c r="D125" s="42"/>
      <c r="E125" s="30">
        <v>1460</v>
      </c>
      <c r="F125" s="12"/>
      <c r="G125" s="203">
        <v>3.637978807091713E-12</v>
      </c>
      <c r="H125" s="18"/>
    </row>
    <row r="126" spans="1:27" ht="13.5" customHeight="1" x14ac:dyDescent="0.2">
      <c r="A126" s="180"/>
      <c r="B126" s="56"/>
      <c r="C126" s="36" t="s">
        <v>2364</v>
      </c>
      <c r="D126" s="42"/>
      <c r="E126" s="30"/>
      <c r="F126" s="277">
        <v>600</v>
      </c>
      <c r="G126" s="203">
        <v>600.00000000000364</v>
      </c>
      <c r="H126" s="18"/>
    </row>
    <row r="127" spans="1:27" ht="13.5" customHeight="1" x14ac:dyDescent="0.2">
      <c r="A127" s="180"/>
      <c r="B127" s="56"/>
      <c r="C127" s="36" t="s">
        <v>2650</v>
      </c>
      <c r="D127" s="42"/>
      <c r="E127" s="30">
        <v>470</v>
      </c>
      <c r="F127" s="12"/>
      <c r="G127" s="203">
        <v>130.00000000000364</v>
      </c>
      <c r="H127" s="18"/>
    </row>
    <row r="128" spans="1:27" ht="13.5" customHeight="1" x14ac:dyDescent="0.2">
      <c r="A128" s="180"/>
      <c r="B128" s="56"/>
      <c r="C128" s="36" t="s">
        <v>2651</v>
      </c>
      <c r="D128" s="42"/>
      <c r="E128" s="30">
        <v>130</v>
      </c>
      <c r="F128" s="12"/>
      <c r="G128" s="203">
        <v>3.637978807091713E-12</v>
      </c>
      <c r="H128" s="18"/>
    </row>
    <row r="129" spans="1:27" ht="13.5" customHeight="1" x14ac:dyDescent="0.2">
      <c r="A129" s="180"/>
      <c r="B129" s="56"/>
      <c r="C129" s="36" t="s">
        <v>2652</v>
      </c>
      <c r="D129" s="42"/>
      <c r="E129" s="30">
        <v>2727.93</v>
      </c>
      <c r="F129" s="12"/>
      <c r="G129" s="203">
        <v>-2727.9299999999962</v>
      </c>
      <c r="H129" s="18"/>
    </row>
    <row r="130" spans="1:27" ht="13.5" customHeight="1" x14ac:dyDescent="0.2">
      <c r="A130" s="180"/>
      <c r="B130" s="56"/>
      <c r="C130" s="36" t="s">
        <v>2653</v>
      </c>
      <c r="D130" s="42"/>
      <c r="E130" s="30">
        <v>339.95</v>
      </c>
      <c r="F130" s="12"/>
      <c r="G130" s="203">
        <v>-3067.879999999996</v>
      </c>
      <c r="H130" s="18"/>
    </row>
    <row r="131" spans="1:27" s="64" customFormat="1" ht="13.5" customHeight="1" x14ac:dyDescent="0.2">
      <c r="A131" s="184"/>
      <c r="B131" s="63"/>
      <c r="C131" s="32" t="s">
        <v>2654</v>
      </c>
      <c r="D131" s="596"/>
      <c r="E131" s="51">
        <v>897</v>
      </c>
      <c r="F131" s="13"/>
      <c r="G131" s="203">
        <v>-3964.879999999996</v>
      </c>
      <c r="H131" s="18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s="64" customFormat="1" ht="13.5" customHeight="1" x14ac:dyDescent="0.2">
      <c r="A132" s="184"/>
      <c r="B132" s="63"/>
      <c r="C132" s="32" t="s">
        <v>2655</v>
      </c>
      <c r="D132" s="596"/>
      <c r="E132" s="51">
        <v>540.24</v>
      </c>
      <c r="F132" s="13"/>
      <c r="G132" s="203">
        <v>-4505.1199999999963</v>
      </c>
      <c r="H132" s="18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s="64" customFormat="1" ht="13.5" customHeight="1" x14ac:dyDescent="0.2">
      <c r="A133" s="184"/>
      <c r="B133" s="63"/>
      <c r="C133" s="32" t="s">
        <v>2656</v>
      </c>
      <c r="D133" s="596"/>
      <c r="E133" s="51">
        <v>144.93</v>
      </c>
      <c r="F133" s="13"/>
      <c r="G133" s="203">
        <v>-4650.0499999999965</v>
      </c>
      <c r="H133" s="18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s="64" customFormat="1" ht="13.5" customHeight="1" x14ac:dyDescent="0.2">
      <c r="A134" s="180">
        <v>43685</v>
      </c>
      <c r="B134" s="63"/>
      <c r="C134" s="36" t="s">
        <v>2364</v>
      </c>
      <c r="D134" s="596"/>
      <c r="E134" s="51"/>
      <c r="F134" s="277">
        <v>500</v>
      </c>
      <c r="G134" s="203">
        <v>-4150.0499999999965</v>
      </c>
      <c r="H134" s="18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s="64" customFormat="1" ht="13.5" customHeight="1" x14ac:dyDescent="0.2">
      <c r="A135" s="184">
        <v>43689</v>
      </c>
      <c r="B135" s="63"/>
      <c r="C135" s="32" t="s">
        <v>2657</v>
      </c>
      <c r="D135" s="596"/>
      <c r="E135" s="51">
        <v>55.13</v>
      </c>
      <c r="F135" s="13"/>
      <c r="G135" s="203">
        <v>-4205.1799999999967</v>
      </c>
      <c r="H135" s="18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s="64" customFormat="1" ht="13.5" customHeight="1" x14ac:dyDescent="0.2">
      <c r="A136" s="184"/>
      <c r="B136" s="63"/>
      <c r="C136" s="138" t="s">
        <v>2658</v>
      </c>
      <c r="D136" s="596"/>
      <c r="E136" s="51">
        <v>3.4</v>
      </c>
      <c r="F136" s="13"/>
      <c r="G136" s="203">
        <v>-4208.5799999999963</v>
      </c>
      <c r="H136" s="18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s="64" customFormat="1" ht="13.5" customHeight="1" x14ac:dyDescent="0.2">
      <c r="A137" s="184"/>
      <c r="B137" s="63"/>
      <c r="C137" s="138" t="s">
        <v>2659</v>
      </c>
      <c r="D137" s="596"/>
      <c r="E137" s="51">
        <v>50.4</v>
      </c>
      <c r="F137" s="13"/>
      <c r="G137" s="203">
        <v>-4258.9799999999959</v>
      </c>
      <c r="H137" s="18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s="64" customFormat="1" ht="13.5" customHeight="1" x14ac:dyDescent="0.2">
      <c r="A138" s="184"/>
      <c r="B138" s="63"/>
      <c r="C138" s="138" t="s">
        <v>2660</v>
      </c>
      <c r="D138" s="596"/>
      <c r="E138" s="51">
        <v>7.2</v>
      </c>
      <c r="F138" s="13"/>
      <c r="G138" s="203">
        <v>-4266.1799999999957</v>
      </c>
      <c r="H138" s="18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s="64" customFormat="1" ht="13.5" customHeight="1" x14ac:dyDescent="0.2">
      <c r="A139" s="184"/>
      <c r="B139" s="63"/>
      <c r="C139" s="36" t="s">
        <v>2364</v>
      </c>
      <c r="D139" s="596"/>
      <c r="E139" s="51"/>
      <c r="F139" s="277">
        <v>7000</v>
      </c>
      <c r="G139" s="203">
        <v>2733.8200000000043</v>
      </c>
      <c r="H139" s="18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s="64" customFormat="1" ht="13.5" customHeight="1" x14ac:dyDescent="0.2">
      <c r="A140" s="184">
        <v>43693</v>
      </c>
      <c r="B140" s="63"/>
      <c r="C140" s="138" t="s">
        <v>2661</v>
      </c>
      <c r="D140" s="596"/>
      <c r="E140" s="51"/>
      <c r="F140" s="13">
        <v>1500</v>
      </c>
      <c r="G140" s="203">
        <v>4233.8200000000043</v>
      </c>
      <c r="H140" s="18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s="64" customFormat="1" ht="13.5" customHeight="1" x14ac:dyDescent="0.2">
      <c r="A141" s="184"/>
      <c r="B141" s="63"/>
      <c r="C141" s="138" t="s">
        <v>2662</v>
      </c>
      <c r="D141" s="596"/>
      <c r="E141" s="51">
        <v>42.32</v>
      </c>
      <c r="F141" s="13"/>
      <c r="G141" s="203">
        <v>4191.5000000000045</v>
      </c>
      <c r="H141" s="18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s="64" customFormat="1" ht="13.5" customHeight="1" x14ac:dyDescent="0.2">
      <c r="A142" s="184">
        <v>43697</v>
      </c>
      <c r="B142" s="63"/>
      <c r="C142" s="32" t="s">
        <v>2663</v>
      </c>
      <c r="D142" s="596"/>
      <c r="E142" s="51">
        <v>270.06</v>
      </c>
      <c r="F142" s="13"/>
      <c r="G142" s="203">
        <v>3921.4400000000046</v>
      </c>
      <c r="H142" s="18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s="64" customFormat="1" ht="13.5" customHeight="1" x14ac:dyDescent="0.2">
      <c r="A143" s="184"/>
      <c r="B143" s="63"/>
      <c r="C143" s="36" t="s">
        <v>2664</v>
      </c>
      <c r="D143" s="596"/>
      <c r="E143" s="51">
        <v>31.8</v>
      </c>
      <c r="F143" s="13"/>
      <c r="G143" s="203">
        <v>3889.6400000000044</v>
      </c>
      <c r="H143" s="18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s="64" customFormat="1" ht="13.5" customHeight="1" x14ac:dyDescent="0.2">
      <c r="A144" s="184"/>
      <c r="B144" s="63"/>
      <c r="C144" s="32" t="s">
        <v>2665</v>
      </c>
      <c r="D144" s="596"/>
      <c r="E144" s="51">
        <v>148.06</v>
      </c>
      <c r="F144" s="13"/>
      <c r="G144" s="203">
        <v>3741.5800000000045</v>
      </c>
      <c r="H144" s="18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s="64" customFormat="1" ht="13.5" customHeight="1" x14ac:dyDescent="0.2">
      <c r="A145" s="184"/>
      <c r="B145" s="63"/>
      <c r="C145" s="138" t="s">
        <v>2666</v>
      </c>
      <c r="D145" s="596"/>
      <c r="E145" s="51">
        <v>1000</v>
      </c>
      <c r="F145" s="13"/>
      <c r="G145" s="203">
        <v>2741.5800000000045</v>
      </c>
      <c r="H145" s="18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s="64" customFormat="1" ht="13.5" customHeight="1" x14ac:dyDescent="0.2">
      <c r="A146" s="184">
        <v>43698</v>
      </c>
      <c r="B146" s="63"/>
      <c r="C146" s="138" t="s">
        <v>2649</v>
      </c>
      <c r="D146" s="596"/>
      <c r="E146" s="552">
        <v>2500</v>
      </c>
      <c r="F146" s="13"/>
      <c r="G146" s="203">
        <v>241.58000000000447</v>
      </c>
      <c r="H146" s="18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3.5" customHeight="1" x14ac:dyDescent="0.2">
      <c r="A147" s="180"/>
      <c r="B147" s="56"/>
      <c r="C147" s="34" t="s">
        <v>2667</v>
      </c>
      <c r="D147" s="42"/>
      <c r="E147" s="30">
        <v>25.45</v>
      </c>
      <c r="F147" s="12"/>
      <c r="G147" s="203">
        <v>216.13000000000449</v>
      </c>
      <c r="H147" s="18"/>
    </row>
    <row r="148" spans="1:27" ht="13.5" customHeight="1" x14ac:dyDescent="0.2">
      <c r="A148" s="180"/>
      <c r="B148" s="56"/>
      <c r="C148" s="34" t="s">
        <v>2668</v>
      </c>
      <c r="D148" s="42"/>
      <c r="E148" s="30">
        <v>565</v>
      </c>
      <c r="F148" s="12"/>
      <c r="G148" s="203">
        <v>-348.86999999999551</v>
      </c>
      <c r="H148" s="18"/>
    </row>
    <row r="149" spans="1:27" ht="13.5" customHeight="1" x14ac:dyDescent="0.2">
      <c r="A149" s="180">
        <v>43699</v>
      </c>
      <c r="B149" s="56"/>
      <c r="C149" s="34" t="s">
        <v>2669</v>
      </c>
      <c r="D149" s="42"/>
      <c r="E149" s="30">
        <v>800</v>
      </c>
      <c r="F149" s="12"/>
      <c r="G149" s="203">
        <v>-1148.8699999999956</v>
      </c>
      <c r="H149" s="18"/>
    </row>
    <row r="150" spans="1:27" ht="13.5" customHeight="1" x14ac:dyDescent="0.2">
      <c r="A150" s="180"/>
      <c r="B150" s="56"/>
      <c r="C150" s="34" t="s">
        <v>2670</v>
      </c>
      <c r="D150" s="42"/>
      <c r="E150" s="30">
        <v>23</v>
      </c>
      <c r="F150" s="12"/>
      <c r="G150" s="203">
        <v>-1171.8699999999956</v>
      </c>
      <c r="H150" s="18"/>
    </row>
    <row r="151" spans="1:27" ht="13.5" customHeight="1" x14ac:dyDescent="0.2">
      <c r="A151" s="180">
        <v>43708</v>
      </c>
      <c r="B151" s="56"/>
      <c r="C151" s="34" t="s">
        <v>2671</v>
      </c>
      <c r="D151" s="42"/>
      <c r="E151" s="30">
        <v>23.8</v>
      </c>
      <c r="F151" s="12"/>
      <c r="G151" s="203">
        <v>-1195.6699999999955</v>
      </c>
      <c r="H151" s="18"/>
    </row>
    <row r="152" spans="1:27" ht="13.5" customHeight="1" x14ac:dyDescent="0.2">
      <c r="A152" s="180"/>
      <c r="B152" s="56"/>
      <c r="C152" s="34" t="s">
        <v>2672</v>
      </c>
      <c r="D152" s="42"/>
      <c r="E152" s="30">
        <v>8.1</v>
      </c>
      <c r="F152" s="12"/>
      <c r="G152" s="203">
        <v>-1203.7699999999954</v>
      </c>
      <c r="H152" s="18"/>
    </row>
    <row r="153" spans="1:27" ht="13.5" customHeight="1" x14ac:dyDescent="0.2">
      <c r="A153" s="180"/>
      <c r="B153" s="56"/>
      <c r="C153" s="34" t="s">
        <v>2673</v>
      </c>
      <c r="D153" s="42"/>
      <c r="E153" s="30">
        <v>100</v>
      </c>
      <c r="F153" s="12"/>
      <c r="G153" s="203">
        <v>-1303.7699999999954</v>
      </c>
      <c r="H153" s="18"/>
    </row>
    <row r="154" spans="1:27" ht="13.5" customHeight="1" x14ac:dyDescent="0.2">
      <c r="A154" s="180"/>
      <c r="B154" s="56"/>
      <c r="C154" s="34" t="s">
        <v>2674</v>
      </c>
      <c r="D154" s="42"/>
      <c r="E154" s="30">
        <v>500</v>
      </c>
      <c r="F154" s="12"/>
      <c r="G154" s="205">
        <v>-1803.7699999999954</v>
      </c>
      <c r="H154" s="124"/>
    </row>
    <row r="155" spans="1:27" ht="13.5" customHeight="1" thickBot="1" x14ac:dyDescent="0.25">
      <c r="A155" s="180"/>
      <c r="B155" s="56"/>
      <c r="C155" s="56"/>
      <c r="D155" s="42"/>
      <c r="E155" s="671">
        <f>-SUM(E121:E154)</f>
        <v>-22863.770000000008</v>
      </c>
      <c r="F155" s="671">
        <f>SUM(F121:F154)</f>
        <v>9600</v>
      </c>
      <c r="G155" s="182"/>
    </row>
    <row r="156" spans="1:27" ht="13.5" customHeight="1" thickBot="1" x14ac:dyDescent="0.25">
      <c r="A156" s="2" t="s">
        <v>2</v>
      </c>
      <c r="B156" s="3"/>
      <c r="C156" s="3" t="s">
        <v>3</v>
      </c>
      <c r="D156" s="595"/>
      <c r="E156" s="3"/>
      <c r="F156" s="3"/>
      <c r="G156" s="5" t="s">
        <v>7</v>
      </c>
    </row>
    <row r="157" spans="1:27" ht="13.5" customHeight="1" x14ac:dyDescent="0.2">
      <c r="A157" s="8">
        <v>43678</v>
      </c>
      <c r="B157" s="70"/>
      <c r="C157" s="10" t="s">
        <v>537</v>
      </c>
      <c r="D157" s="598"/>
      <c r="E157" s="67"/>
      <c r="F157" s="67"/>
      <c r="G157" s="205">
        <v>260.66000000000003</v>
      </c>
      <c r="H157" s="18"/>
    </row>
    <row r="158" spans="1:27" ht="13.5" customHeight="1" x14ac:dyDescent="0.2">
      <c r="A158" s="171"/>
      <c r="B158" s="46"/>
      <c r="C158" s="34" t="s">
        <v>1597</v>
      </c>
      <c r="D158" s="46" t="s">
        <v>19</v>
      </c>
      <c r="E158" s="69">
        <v>-0.28000000000000003</v>
      </c>
      <c r="F158" s="69" t="s">
        <v>549</v>
      </c>
      <c r="G158" s="182">
        <v>260.38000000000005</v>
      </c>
      <c r="H158" s="18"/>
    </row>
    <row r="159" spans="1:27" ht="13.5" customHeight="1" x14ac:dyDescent="0.2">
      <c r="A159" s="171"/>
      <c r="B159" s="46"/>
      <c r="C159" s="34" t="s">
        <v>1598</v>
      </c>
      <c r="D159" s="46" t="s">
        <v>19</v>
      </c>
      <c r="E159" s="69">
        <v>-7.63</v>
      </c>
      <c r="F159" s="69" t="s">
        <v>549</v>
      </c>
      <c r="G159" s="182">
        <v>252.75000000000006</v>
      </c>
      <c r="H159" s="18"/>
    </row>
    <row r="160" spans="1:27" ht="13.5" customHeight="1" x14ac:dyDescent="0.2">
      <c r="A160" s="171" t="s">
        <v>2675</v>
      </c>
      <c r="B160" s="46"/>
      <c r="C160" s="34" t="s">
        <v>53</v>
      </c>
      <c r="D160" s="46" t="s">
        <v>863</v>
      </c>
      <c r="E160" s="69">
        <v>-532.21</v>
      </c>
      <c r="F160" s="69" t="s">
        <v>549</v>
      </c>
      <c r="G160" s="182">
        <v>-279.45999999999998</v>
      </c>
      <c r="H160" s="18"/>
    </row>
    <row r="161" spans="1:8" ht="13.5" customHeight="1" x14ac:dyDescent="0.2">
      <c r="A161" s="180"/>
      <c r="B161" s="46"/>
      <c r="C161" s="34" t="s">
        <v>2462</v>
      </c>
      <c r="D161" s="46" t="s">
        <v>19</v>
      </c>
      <c r="E161" s="69">
        <v>-71.489999999999995</v>
      </c>
      <c r="F161" s="69" t="s">
        <v>549</v>
      </c>
      <c r="G161" s="182">
        <v>-350.95</v>
      </c>
      <c r="H161" s="18"/>
    </row>
    <row r="162" spans="1:8" ht="13.5" customHeight="1" x14ac:dyDescent="0.2">
      <c r="A162" s="180"/>
      <c r="B162" s="46"/>
      <c r="C162" s="36" t="s">
        <v>2649</v>
      </c>
      <c r="D162" s="46" t="s">
        <v>2676</v>
      </c>
      <c r="E162" s="61" t="s">
        <v>549</v>
      </c>
      <c r="F162" s="599">
        <v>3000</v>
      </c>
      <c r="G162" s="182">
        <v>2649.05</v>
      </c>
      <c r="H162" s="18"/>
    </row>
    <row r="163" spans="1:8" ht="13.5" customHeight="1" x14ac:dyDescent="0.2">
      <c r="A163" s="180" t="s">
        <v>2677</v>
      </c>
      <c r="B163" s="46"/>
      <c r="C163" s="34" t="s">
        <v>55</v>
      </c>
      <c r="D163" s="46" t="s">
        <v>2483</v>
      </c>
      <c r="E163" s="69">
        <v>-400</v>
      </c>
      <c r="F163" s="69" t="s">
        <v>549</v>
      </c>
      <c r="G163" s="182">
        <v>2249.0500000000002</v>
      </c>
      <c r="H163" s="18"/>
    </row>
    <row r="164" spans="1:8" ht="13.5" customHeight="1" x14ac:dyDescent="0.2">
      <c r="A164" s="180" t="s">
        <v>2678</v>
      </c>
      <c r="B164" s="9"/>
      <c r="C164" s="34" t="s">
        <v>2679</v>
      </c>
      <c r="D164" s="46" t="s">
        <v>19</v>
      </c>
      <c r="E164" s="61">
        <v>-133.24</v>
      </c>
      <c r="F164" s="61" t="s">
        <v>549</v>
      </c>
      <c r="G164" s="182">
        <v>2115.8100000000004</v>
      </c>
      <c r="H164" s="18"/>
    </row>
    <row r="165" spans="1:8" ht="13.5" customHeight="1" x14ac:dyDescent="0.2">
      <c r="A165" s="180" t="s">
        <v>2680</v>
      </c>
      <c r="B165" s="9"/>
      <c r="C165" s="34" t="s">
        <v>82</v>
      </c>
      <c r="D165" s="46" t="s">
        <v>322</v>
      </c>
      <c r="E165" s="61">
        <v>-811.99</v>
      </c>
      <c r="F165" s="61" t="s">
        <v>549</v>
      </c>
      <c r="G165" s="182">
        <v>1303.8200000000004</v>
      </c>
      <c r="H165" s="18"/>
    </row>
    <row r="166" spans="1:8" ht="13.5" customHeight="1" x14ac:dyDescent="0.2">
      <c r="A166" s="180" t="s">
        <v>2681</v>
      </c>
      <c r="B166" s="9"/>
      <c r="C166" s="36" t="s">
        <v>2569</v>
      </c>
      <c r="D166" s="46" t="s">
        <v>2682</v>
      </c>
      <c r="E166" s="61" t="s">
        <v>549</v>
      </c>
      <c r="F166" s="600">
        <v>400</v>
      </c>
      <c r="G166" s="182">
        <v>1703.8200000000004</v>
      </c>
      <c r="H166" s="18"/>
    </row>
    <row r="167" spans="1:8" ht="13.5" customHeight="1" x14ac:dyDescent="0.2">
      <c r="A167" s="180" t="s">
        <v>2683</v>
      </c>
      <c r="B167" s="9"/>
      <c r="C167" s="34" t="s">
        <v>87</v>
      </c>
      <c r="D167" s="46" t="s">
        <v>19</v>
      </c>
      <c r="E167" s="61">
        <v>-44.5</v>
      </c>
      <c r="F167" s="61" t="s">
        <v>549</v>
      </c>
      <c r="G167" s="182">
        <v>1659.3200000000004</v>
      </c>
      <c r="H167" s="18"/>
    </row>
    <row r="168" spans="1:8" ht="13.5" customHeight="1" x14ac:dyDescent="0.2">
      <c r="A168" s="180"/>
      <c r="B168" s="9"/>
      <c r="C168" s="34" t="s">
        <v>68</v>
      </c>
      <c r="D168" s="46" t="s">
        <v>2684</v>
      </c>
      <c r="E168" s="61">
        <v>-129.9</v>
      </c>
      <c r="F168" s="61" t="s">
        <v>549</v>
      </c>
      <c r="G168" s="182">
        <v>1529.4200000000003</v>
      </c>
      <c r="H168" s="18"/>
    </row>
    <row r="169" spans="1:8" ht="13.5" customHeight="1" x14ac:dyDescent="0.2">
      <c r="A169" s="180"/>
      <c r="B169" s="46"/>
      <c r="C169" s="34" t="s">
        <v>2471</v>
      </c>
      <c r="D169" s="46" t="s">
        <v>1643</v>
      </c>
      <c r="E169" s="69">
        <v>-467</v>
      </c>
      <c r="F169" s="69" t="s">
        <v>549</v>
      </c>
      <c r="G169" s="182">
        <v>1062.4200000000003</v>
      </c>
      <c r="H169" s="18"/>
    </row>
    <row r="170" spans="1:8" ht="13.5" customHeight="1" x14ac:dyDescent="0.2">
      <c r="A170" s="180"/>
      <c r="B170" s="46"/>
      <c r="C170" s="36" t="s">
        <v>2576</v>
      </c>
      <c r="D170" s="46" t="s">
        <v>2685</v>
      </c>
      <c r="E170" s="69" t="s">
        <v>549</v>
      </c>
      <c r="F170" s="322">
        <v>1490</v>
      </c>
      <c r="G170" s="182">
        <v>2552.42</v>
      </c>
      <c r="H170" s="18"/>
    </row>
    <row r="171" spans="1:8" ht="13.5" customHeight="1" x14ac:dyDescent="0.2">
      <c r="A171" s="180" t="s">
        <v>2686</v>
      </c>
      <c r="B171" s="46"/>
      <c r="C171" s="34" t="s">
        <v>2687</v>
      </c>
      <c r="D171" s="46" t="s">
        <v>19</v>
      </c>
      <c r="E171" s="69">
        <v>-128.97999999999999</v>
      </c>
      <c r="F171" s="69" t="s">
        <v>549</v>
      </c>
      <c r="G171" s="182">
        <v>2423.44</v>
      </c>
      <c r="H171" s="18"/>
    </row>
    <row r="172" spans="1:8" ht="13.5" customHeight="1" x14ac:dyDescent="0.2">
      <c r="A172" s="171" t="s">
        <v>2688</v>
      </c>
      <c r="B172" s="46"/>
      <c r="C172" s="36" t="s">
        <v>86</v>
      </c>
      <c r="D172" s="46" t="s">
        <v>19</v>
      </c>
      <c r="E172" s="69">
        <v>-75.900000000000006</v>
      </c>
      <c r="F172" s="69" t="s">
        <v>549</v>
      </c>
      <c r="G172" s="182">
        <v>2347.54</v>
      </c>
      <c r="H172" s="18"/>
    </row>
    <row r="173" spans="1:8" ht="13.5" customHeight="1" x14ac:dyDescent="0.2">
      <c r="A173" s="171"/>
      <c r="B173" s="46"/>
      <c r="C173" s="33" t="s">
        <v>81</v>
      </c>
      <c r="D173" s="46" t="s">
        <v>2689</v>
      </c>
      <c r="E173" s="69">
        <v>-49.9</v>
      </c>
      <c r="F173" s="69" t="s">
        <v>549</v>
      </c>
      <c r="G173" s="182">
        <v>2297.64</v>
      </c>
      <c r="H173" s="18"/>
    </row>
    <row r="174" spans="1:8" ht="13.5" customHeight="1" x14ac:dyDescent="0.2">
      <c r="A174" s="171"/>
      <c r="B174" s="46"/>
      <c r="C174" s="34" t="s">
        <v>673</v>
      </c>
      <c r="D174" s="46" t="s">
        <v>2690</v>
      </c>
      <c r="E174" s="69">
        <v>-99.98</v>
      </c>
      <c r="F174" s="69" t="s">
        <v>549</v>
      </c>
      <c r="G174" s="182">
        <v>2197.66</v>
      </c>
      <c r="H174" s="18"/>
    </row>
    <row r="175" spans="1:8" ht="13.5" customHeight="1" x14ac:dyDescent="0.2">
      <c r="A175" s="171"/>
      <c r="B175" s="46"/>
      <c r="C175" s="36" t="s">
        <v>20</v>
      </c>
      <c r="D175" s="46" t="s">
        <v>19</v>
      </c>
      <c r="E175" s="69" t="s">
        <v>549</v>
      </c>
      <c r="F175" s="69">
        <v>0.01</v>
      </c>
      <c r="G175" s="182">
        <v>2197.67</v>
      </c>
      <c r="H175" s="18"/>
    </row>
    <row r="176" spans="1:8" ht="13.5" customHeight="1" x14ac:dyDescent="0.2">
      <c r="A176" s="171" t="s">
        <v>2691</v>
      </c>
      <c r="B176" s="46"/>
      <c r="C176" s="34" t="s">
        <v>18</v>
      </c>
      <c r="D176" s="46" t="s">
        <v>2692</v>
      </c>
      <c r="E176" s="69">
        <v>-353.97</v>
      </c>
      <c r="F176" s="69" t="s">
        <v>549</v>
      </c>
      <c r="G176" s="182">
        <v>1843.7</v>
      </c>
      <c r="H176" s="18"/>
    </row>
    <row r="177" spans="1:8" ht="13.5" customHeight="1" x14ac:dyDescent="0.2">
      <c r="A177" s="171"/>
      <c r="B177" s="46"/>
      <c r="C177" s="36" t="s">
        <v>20</v>
      </c>
      <c r="D177" s="46" t="s">
        <v>19</v>
      </c>
      <c r="E177" s="69" t="s">
        <v>549</v>
      </c>
      <c r="F177" s="69">
        <v>0.01</v>
      </c>
      <c r="G177" s="182">
        <v>1843.71</v>
      </c>
      <c r="H177" s="18"/>
    </row>
    <row r="178" spans="1:8" ht="13.5" customHeight="1" x14ac:dyDescent="0.2">
      <c r="A178" s="171" t="s">
        <v>2693</v>
      </c>
      <c r="B178" s="46"/>
      <c r="C178" s="34" t="s">
        <v>132</v>
      </c>
      <c r="D178" s="46" t="s">
        <v>912</v>
      </c>
      <c r="E178" s="69">
        <v>-1918.37</v>
      </c>
      <c r="F178" s="69" t="s">
        <v>549</v>
      </c>
      <c r="G178" s="182">
        <v>-74.659999999999854</v>
      </c>
      <c r="H178" s="18"/>
    </row>
    <row r="179" spans="1:8" ht="13.5" customHeight="1" x14ac:dyDescent="0.2">
      <c r="A179" s="171"/>
      <c r="B179" s="46"/>
      <c r="C179" s="34" t="s">
        <v>2694</v>
      </c>
      <c r="D179" s="46" t="s">
        <v>662</v>
      </c>
      <c r="E179" s="69">
        <v>-109.9</v>
      </c>
      <c r="F179" s="69" t="s">
        <v>549</v>
      </c>
      <c r="G179" s="182">
        <v>-184.55999999999986</v>
      </c>
      <c r="H179" s="18"/>
    </row>
    <row r="180" spans="1:8" ht="13.5" customHeight="1" x14ac:dyDescent="0.2">
      <c r="A180" s="171"/>
      <c r="B180" s="46"/>
      <c r="C180" s="36" t="s">
        <v>2594</v>
      </c>
      <c r="D180" s="46" t="s">
        <v>2695</v>
      </c>
      <c r="E180" s="69" t="s">
        <v>549</v>
      </c>
      <c r="F180" s="322">
        <v>1265</v>
      </c>
      <c r="G180" s="182">
        <v>1080.44</v>
      </c>
      <c r="H180" s="18"/>
    </row>
    <row r="181" spans="1:8" ht="13.5" customHeight="1" x14ac:dyDescent="0.2">
      <c r="A181" s="171"/>
      <c r="B181" s="46"/>
      <c r="C181" s="36" t="s">
        <v>20</v>
      </c>
      <c r="D181" s="46" t="s">
        <v>19</v>
      </c>
      <c r="E181" s="69" t="s">
        <v>549</v>
      </c>
      <c r="F181" s="69">
        <v>0.05</v>
      </c>
      <c r="G181" s="182">
        <v>1080.49</v>
      </c>
      <c r="H181" s="18"/>
    </row>
    <row r="182" spans="1:8" ht="13.5" customHeight="1" x14ac:dyDescent="0.2">
      <c r="A182" s="171" t="s">
        <v>2696</v>
      </c>
      <c r="B182" s="46"/>
      <c r="C182" s="34" t="s">
        <v>2697</v>
      </c>
      <c r="D182" s="46" t="s">
        <v>2698</v>
      </c>
      <c r="E182" s="69">
        <v>-400</v>
      </c>
      <c r="F182" s="69" t="s">
        <v>549</v>
      </c>
      <c r="G182" s="182">
        <v>680.49</v>
      </c>
      <c r="H182" s="18"/>
    </row>
    <row r="183" spans="1:8" ht="13.5" customHeight="1" x14ac:dyDescent="0.2">
      <c r="A183" s="171"/>
      <c r="B183" s="46"/>
      <c r="C183" s="34" t="s">
        <v>2699</v>
      </c>
      <c r="D183" s="46" t="s">
        <v>1075</v>
      </c>
      <c r="E183" s="69">
        <v>-1100</v>
      </c>
      <c r="F183" s="69" t="s">
        <v>549</v>
      </c>
      <c r="G183" s="182">
        <v>-419.51</v>
      </c>
      <c r="H183" s="18"/>
    </row>
    <row r="184" spans="1:8" ht="13.5" customHeight="1" x14ac:dyDescent="0.2">
      <c r="A184" s="171"/>
      <c r="B184" s="46"/>
      <c r="C184" s="138" t="s">
        <v>2649</v>
      </c>
      <c r="D184" s="46" t="s">
        <v>2700</v>
      </c>
      <c r="E184" s="69" t="s">
        <v>549</v>
      </c>
      <c r="F184" s="601">
        <v>2500</v>
      </c>
      <c r="G184" s="182">
        <v>2080.4899999999998</v>
      </c>
      <c r="H184" s="18"/>
    </row>
    <row r="185" spans="1:8" ht="13.5" customHeight="1" x14ac:dyDescent="0.2">
      <c r="A185" s="171" t="s">
        <v>2701</v>
      </c>
      <c r="B185" s="46"/>
      <c r="C185" s="33" t="s">
        <v>736</v>
      </c>
      <c r="D185" s="46" t="s">
        <v>19</v>
      </c>
      <c r="E185" s="69">
        <v>-46.17</v>
      </c>
      <c r="F185" s="69" t="s">
        <v>549</v>
      </c>
      <c r="G185" s="182">
        <v>2034.3199999999997</v>
      </c>
      <c r="H185" s="18"/>
    </row>
    <row r="186" spans="1:8" ht="13.5" customHeight="1" x14ac:dyDescent="0.2">
      <c r="A186" s="171"/>
      <c r="B186" s="46"/>
      <c r="C186" s="36" t="s">
        <v>129</v>
      </c>
      <c r="D186" s="46" t="s">
        <v>19</v>
      </c>
      <c r="E186" s="69">
        <v>-48.97</v>
      </c>
      <c r="F186" s="69" t="s">
        <v>549</v>
      </c>
      <c r="G186" s="182">
        <v>1985.3499999999997</v>
      </c>
      <c r="H186" s="18"/>
    </row>
    <row r="187" spans="1:8" ht="13.5" customHeight="1" x14ac:dyDescent="0.2">
      <c r="A187" s="171"/>
      <c r="B187" s="46"/>
      <c r="C187" s="36" t="s">
        <v>127</v>
      </c>
      <c r="D187" s="46" t="s">
        <v>19</v>
      </c>
      <c r="E187" s="69">
        <v>-49.18</v>
      </c>
      <c r="F187" s="69" t="s">
        <v>549</v>
      </c>
      <c r="G187" s="182">
        <v>1936.1699999999996</v>
      </c>
      <c r="H187" s="18"/>
    </row>
    <row r="188" spans="1:8" ht="13.5" customHeight="1" x14ac:dyDescent="0.2">
      <c r="A188" s="171"/>
      <c r="B188" s="46"/>
      <c r="C188" s="36" t="s">
        <v>130</v>
      </c>
      <c r="D188" s="46" t="s">
        <v>19</v>
      </c>
      <c r="E188" s="69">
        <v>-109.32</v>
      </c>
      <c r="F188" s="69" t="s">
        <v>549</v>
      </c>
      <c r="G188" s="182">
        <v>1826.8499999999997</v>
      </c>
      <c r="H188" s="18"/>
    </row>
    <row r="189" spans="1:8" ht="13.5" customHeight="1" x14ac:dyDescent="0.2">
      <c r="A189" s="171"/>
      <c r="B189" s="46"/>
      <c r="C189" s="33" t="s">
        <v>737</v>
      </c>
      <c r="D189" s="46" t="s">
        <v>19</v>
      </c>
      <c r="E189" s="69">
        <v>-136.19999999999999</v>
      </c>
      <c r="F189" s="69" t="s">
        <v>549</v>
      </c>
      <c r="G189" s="182">
        <v>1690.6499999999996</v>
      </c>
      <c r="H189" s="18"/>
    </row>
    <row r="190" spans="1:8" ht="13.5" customHeight="1" x14ac:dyDescent="0.2">
      <c r="A190" s="171"/>
      <c r="B190" s="46"/>
      <c r="C190" s="34" t="s">
        <v>2702</v>
      </c>
      <c r="D190" s="46" t="s">
        <v>19</v>
      </c>
      <c r="E190" s="69">
        <v>-800</v>
      </c>
      <c r="F190" s="69" t="s">
        <v>549</v>
      </c>
      <c r="G190" s="182">
        <v>890.64999999999964</v>
      </c>
      <c r="H190" s="18"/>
    </row>
    <row r="191" spans="1:8" ht="13.5" customHeight="1" x14ac:dyDescent="0.2">
      <c r="A191" s="171"/>
      <c r="B191" s="46"/>
      <c r="C191" s="36" t="s">
        <v>20</v>
      </c>
      <c r="D191" s="46" t="s">
        <v>19</v>
      </c>
      <c r="E191" s="69" t="s">
        <v>549</v>
      </c>
      <c r="F191" s="69">
        <v>0.04</v>
      </c>
      <c r="G191" s="182">
        <v>890.6899999999996</v>
      </c>
      <c r="H191" s="18"/>
    </row>
    <row r="192" spans="1:8" ht="13.5" customHeight="1" x14ac:dyDescent="0.2">
      <c r="A192" s="171" t="s">
        <v>2703</v>
      </c>
      <c r="B192" s="46"/>
      <c r="C192" s="34" t="s">
        <v>136</v>
      </c>
      <c r="D192" s="46" t="s">
        <v>19</v>
      </c>
      <c r="E192" s="69">
        <v>-45.9</v>
      </c>
      <c r="F192" s="69" t="s">
        <v>549</v>
      </c>
      <c r="G192" s="182">
        <v>844.78999999999962</v>
      </c>
      <c r="H192" s="18"/>
    </row>
    <row r="193" spans="1:11" ht="13.5" customHeight="1" x14ac:dyDescent="0.2">
      <c r="A193" s="171"/>
      <c r="B193" s="46"/>
      <c r="C193" s="34" t="s">
        <v>2704</v>
      </c>
      <c r="D193" s="46" t="s">
        <v>2705</v>
      </c>
      <c r="E193" s="69">
        <v>-87.98</v>
      </c>
      <c r="F193" s="69" t="s">
        <v>549</v>
      </c>
      <c r="G193" s="182">
        <v>756.8099999999996</v>
      </c>
      <c r="H193" s="18"/>
    </row>
    <row r="194" spans="1:11" ht="13.5" customHeight="1" x14ac:dyDescent="0.2">
      <c r="A194" s="171" t="s">
        <v>2706</v>
      </c>
      <c r="B194" s="46"/>
      <c r="C194" s="34" t="s">
        <v>1625</v>
      </c>
      <c r="D194" s="46" t="s">
        <v>2707</v>
      </c>
      <c r="E194" s="69" t="s">
        <v>549</v>
      </c>
      <c r="F194" s="322">
        <v>2000</v>
      </c>
      <c r="G194" s="182">
        <v>2756.8099999999995</v>
      </c>
      <c r="H194" s="18"/>
    </row>
    <row r="195" spans="1:11" ht="13.5" customHeight="1" x14ac:dyDescent="0.2">
      <c r="A195" s="171"/>
      <c r="B195" s="46"/>
      <c r="C195" s="34" t="s">
        <v>2708</v>
      </c>
      <c r="D195" s="46" t="s">
        <v>19</v>
      </c>
      <c r="E195" s="69">
        <v>-390</v>
      </c>
      <c r="F195" s="69" t="s">
        <v>549</v>
      </c>
      <c r="G195" s="182">
        <v>2366.8099999999995</v>
      </c>
      <c r="H195" s="18"/>
    </row>
    <row r="196" spans="1:11" ht="13.5" customHeight="1" x14ac:dyDescent="0.2">
      <c r="A196" s="171"/>
      <c r="B196" s="46"/>
      <c r="C196" s="34" t="s">
        <v>2709</v>
      </c>
      <c r="D196" s="46" t="s">
        <v>19</v>
      </c>
      <c r="E196" s="69">
        <v>-1537.1</v>
      </c>
      <c r="F196" s="69" t="s">
        <v>549</v>
      </c>
      <c r="G196" s="182">
        <v>829.70999999999958</v>
      </c>
      <c r="H196" s="18"/>
    </row>
    <row r="197" spans="1:11" ht="13.5" customHeight="1" x14ac:dyDescent="0.2">
      <c r="A197" s="171"/>
      <c r="B197" s="46"/>
      <c r="C197" s="34" t="s">
        <v>2710</v>
      </c>
      <c r="D197" s="46" t="s">
        <v>19</v>
      </c>
      <c r="E197" s="69">
        <v>-424</v>
      </c>
      <c r="F197" s="69" t="s">
        <v>549</v>
      </c>
      <c r="G197" s="182">
        <v>405.70999999999958</v>
      </c>
      <c r="H197" s="18"/>
    </row>
    <row r="198" spans="1:11" ht="13.5" customHeight="1" x14ac:dyDescent="0.2">
      <c r="A198" s="171"/>
      <c r="B198" s="46"/>
      <c r="C198" s="34" t="s">
        <v>2486</v>
      </c>
      <c r="D198" s="46" t="s">
        <v>19</v>
      </c>
      <c r="E198" s="69">
        <v>-129.18</v>
      </c>
      <c r="F198" s="69" t="s">
        <v>549</v>
      </c>
      <c r="G198" s="182">
        <v>276.52999999999957</v>
      </c>
      <c r="H198" s="18"/>
    </row>
    <row r="199" spans="1:11" ht="13.5" customHeight="1" x14ac:dyDescent="0.2">
      <c r="A199" s="171" t="s">
        <v>2706</v>
      </c>
      <c r="B199" s="46"/>
      <c r="C199" s="36" t="s">
        <v>20</v>
      </c>
      <c r="D199" s="46" t="s">
        <v>19</v>
      </c>
      <c r="E199" s="69" t="s">
        <v>549</v>
      </c>
      <c r="F199" s="69">
        <v>0.01</v>
      </c>
      <c r="G199" s="182">
        <v>276.53999999999957</v>
      </c>
      <c r="H199" s="18"/>
    </row>
    <row r="200" spans="1:11" ht="13.5" customHeight="1" x14ac:dyDescent="0.2">
      <c r="A200" s="171"/>
      <c r="B200" s="46"/>
      <c r="C200" s="36" t="s">
        <v>86</v>
      </c>
      <c r="D200" s="46" t="s">
        <v>19</v>
      </c>
      <c r="E200" s="69">
        <v>-20.6</v>
      </c>
      <c r="F200" s="69" t="s">
        <v>549</v>
      </c>
      <c r="G200" s="182">
        <v>255.93999999999957</v>
      </c>
      <c r="H200" s="18"/>
    </row>
    <row r="201" spans="1:11" ht="13.5" customHeight="1" x14ac:dyDescent="0.2">
      <c r="A201" s="171" t="s">
        <v>2711</v>
      </c>
      <c r="B201" s="46"/>
      <c r="C201" s="36" t="s">
        <v>2639</v>
      </c>
      <c r="D201" s="46" t="s">
        <v>2712</v>
      </c>
      <c r="E201" s="69" t="s">
        <v>549</v>
      </c>
      <c r="F201" s="322">
        <v>4500</v>
      </c>
      <c r="G201" s="205">
        <v>4755.9399999999996</v>
      </c>
      <c r="H201" s="124"/>
    </row>
    <row r="202" spans="1:11" ht="13.5" customHeight="1" thickBot="1" x14ac:dyDescent="0.25">
      <c r="A202" s="171"/>
      <c r="B202" s="46"/>
      <c r="C202" s="34"/>
      <c r="D202" s="46"/>
      <c r="E202" s="673">
        <f>SUM(E157:E201)</f>
        <v>-10659.84</v>
      </c>
      <c r="F202" s="673">
        <f>SUM(F157:F201)</f>
        <v>15155.12</v>
      </c>
      <c r="G202" s="182"/>
    </row>
    <row r="203" spans="1:11" ht="13.5" customHeight="1" thickBot="1" x14ac:dyDescent="0.25">
      <c r="A203" s="2" t="s">
        <v>2</v>
      </c>
      <c r="B203" s="3"/>
      <c r="C203" s="3" t="s">
        <v>481</v>
      </c>
      <c r="D203" s="595"/>
      <c r="E203" s="3"/>
      <c r="F203" s="3"/>
      <c r="G203" s="5" t="s">
        <v>7</v>
      </c>
      <c r="H203" s="1415" t="s">
        <v>482</v>
      </c>
      <c r="I203" s="1416"/>
      <c r="J203" s="1417"/>
    </row>
    <row r="204" spans="1:11" ht="13.5" customHeight="1" x14ac:dyDescent="0.2">
      <c r="A204" s="8">
        <v>43678</v>
      </c>
      <c r="B204" s="70"/>
      <c r="C204" s="10" t="s">
        <v>537</v>
      </c>
      <c r="D204" s="602"/>
      <c r="E204" s="67"/>
      <c r="F204" s="67"/>
      <c r="G204" s="205">
        <v>0</v>
      </c>
      <c r="H204" s="179"/>
      <c r="I204" s="57"/>
      <c r="J204" s="58">
        <v>2384.1799999999998</v>
      </c>
      <c r="K204" s="18"/>
    </row>
    <row r="205" spans="1:11" ht="13.5" customHeight="1" x14ac:dyDescent="0.2">
      <c r="A205" s="171"/>
      <c r="B205" s="46" t="s">
        <v>483</v>
      </c>
      <c r="C205" s="34" t="s">
        <v>173</v>
      </c>
      <c r="D205" s="553" t="s">
        <v>2713</v>
      </c>
      <c r="E205" s="557">
        <v>-1007.27</v>
      </c>
      <c r="F205" s="69"/>
      <c r="G205" s="182" t="s">
        <v>483</v>
      </c>
      <c r="H205" s="59"/>
      <c r="I205" s="60"/>
      <c r="J205" s="61">
        <v>2384.1799999999998</v>
      </c>
      <c r="K205" s="18"/>
    </row>
    <row r="206" spans="1:11" ht="13.5" customHeight="1" x14ac:dyDescent="0.2">
      <c r="A206" s="171"/>
      <c r="B206" s="46" t="s">
        <v>483</v>
      </c>
      <c r="C206" s="34" t="s">
        <v>172</v>
      </c>
      <c r="D206" s="553" t="s">
        <v>2714</v>
      </c>
      <c r="E206" s="557">
        <v>-608.67999999999995</v>
      </c>
      <c r="F206" s="69"/>
      <c r="G206" s="182" t="s">
        <v>483</v>
      </c>
      <c r="H206" s="59"/>
      <c r="I206" s="60"/>
      <c r="J206" s="61">
        <v>2384.1799999999998</v>
      </c>
      <c r="K206" s="18"/>
    </row>
    <row r="207" spans="1:11" ht="13.5" customHeight="1" x14ac:dyDescent="0.2">
      <c r="A207" s="171"/>
      <c r="B207" s="46" t="s">
        <v>483</v>
      </c>
      <c r="C207" s="36" t="s">
        <v>174</v>
      </c>
      <c r="D207" s="553" t="s">
        <v>488</v>
      </c>
      <c r="E207" s="69"/>
      <c r="F207" s="557">
        <v>1615.95</v>
      </c>
      <c r="G207" s="182">
        <v>0</v>
      </c>
      <c r="H207" s="59">
        <v>1615.95</v>
      </c>
      <c r="I207" s="60"/>
      <c r="J207" s="61">
        <v>768.22999999999979</v>
      </c>
      <c r="K207" s="18"/>
    </row>
    <row r="208" spans="1:11" ht="13.5" customHeight="1" x14ac:dyDescent="0.2">
      <c r="A208" s="171" t="s">
        <v>2715</v>
      </c>
      <c r="B208" s="46" t="s">
        <v>483</v>
      </c>
      <c r="C208" s="32" t="s">
        <v>199</v>
      </c>
      <c r="D208" s="553" t="s">
        <v>488</v>
      </c>
      <c r="E208" s="557">
        <v>-158.28</v>
      </c>
      <c r="F208" s="69"/>
      <c r="G208" s="182"/>
      <c r="H208" s="59"/>
      <c r="I208" s="60"/>
      <c r="J208" s="61">
        <v>768.22999999999979</v>
      </c>
      <c r="K208" s="18"/>
    </row>
    <row r="209" spans="1:11" ht="13.5" customHeight="1" x14ac:dyDescent="0.2">
      <c r="A209" s="171"/>
      <c r="B209" s="46" t="s">
        <v>483</v>
      </c>
      <c r="C209" s="34" t="s">
        <v>2716</v>
      </c>
      <c r="D209" s="553" t="s">
        <v>2717</v>
      </c>
      <c r="E209" s="557">
        <v>-132.6</v>
      </c>
      <c r="F209" s="69"/>
      <c r="G209" s="182" t="s">
        <v>483</v>
      </c>
      <c r="H209" s="59"/>
      <c r="I209" s="60"/>
      <c r="J209" s="61">
        <v>768.22999999999979</v>
      </c>
      <c r="K209" s="18"/>
    </row>
    <row r="210" spans="1:11" ht="13.5" customHeight="1" x14ac:dyDescent="0.2">
      <c r="A210" s="171"/>
      <c r="B210" s="46" t="s">
        <v>483</v>
      </c>
      <c r="C210" s="36" t="s">
        <v>174</v>
      </c>
      <c r="D210" s="553" t="s">
        <v>488</v>
      </c>
      <c r="E210" s="69"/>
      <c r="F210" s="557">
        <v>290.88</v>
      </c>
      <c r="G210" s="182">
        <v>0</v>
      </c>
      <c r="H210" s="59">
        <v>290.88</v>
      </c>
      <c r="I210" s="60"/>
      <c r="J210" s="61">
        <v>477.3499999999998</v>
      </c>
      <c r="K210" s="18"/>
    </row>
    <row r="211" spans="1:11" ht="13.5" customHeight="1" x14ac:dyDescent="0.2">
      <c r="A211" s="171" t="s">
        <v>2718</v>
      </c>
      <c r="B211" s="46" t="s">
        <v>483</v>
      </c>
      <c r="C211" s="36" t="s">
        <v>180</v>
      </c>
      <c r="D211" s="11" t="s">
        <v>488</v>
      </c>
      <c r="E211" s="557">
        <v>-161.41</v>
      </c>
      <c r="F211" s="69"/>
      <c r="G211" s="182" t="s">
        <v>483</v>
      </c>
      <c r="H211" s="59"/>
      <c r="I211" s="60"/>
      <c r="J211" s="61">
        <v>477.3499999999998</v>
      </c>
      <c r="K211" s="18"/>
    </row>
    <row r="212" spans="1:11" ht="13.5" customHeight="1" x14ac:dyDescent="0.2">
      <c r="A212" s="171"/>
      <c r="B212" s="46" t="s">
        <v>483</v>
      </c>
      <c r="C212" s="34" t="s">
        <v>2509</v>
      </c>
      <c r="D212" s="11" t="s">
        <v>777</v>
      </c>
      <c r="E212" s="557">
        <v>-50</v>
      </c>
      <c r="F212" s="69"/>
      <c r="G212" s="182" t="s">
        <v>483</v>
      </c>
      <c r="H212" s="59"/>
      <c r="I212" s="60"/>
      <c r="J212" s="61">
        <v>477.3499999999998</v>
      </c>
      <c r="K212" s="18"/>
    </row>
    <row r="213" spans="1:11" ht="13.5" customHeight="1" x14ac:dyDescent="0.2">
      <c r="A213" s="171"/>
      <c r="B213" s="46" t="s">
        <v>483</v>
      </c>
      <c r="C213" s="34" t="s">
        <v>2719</v>
      </c>
      <c r="D213" s="11" t="s">
        <v>488</v>
      </c>
      <c r="E213" s="557">
        <v>-660</v>
      </c>
      <c r="F213" s="69"/>
      <c r="G213" s="182"/>
      <c r="H213" s="59"/>
      <c r="I213" s="60"/>
      <c r="J213" s="61">
        <v>477.3499999999998</v>
      </c>
      <c r="K213" s="18"/>
    </row>
    <row r="214" spans="1:11" ht="13.5" customHeight="1" x14ac:dyDescent="0.2">
      <c r="A214" s="171"/>
      <c r="B214" s="46" t="s">
        <v>483</v>
      </c>
      <c r="C214" s="34" t="s">
        <v>1625</v>
      </c>
      <c r="D214" s="11" t="s">
        <v>2720</v>
      </c>
      <c r="E214" s="69"/>
      <c r="F214" s="601">
        <v>2000</v>
      </c>
      <c r="G214" s="182" t="s">
        <v>483</v>
      </c>
      <c r="H214" s="59"/>
      <c r="I214" s="60"/>
      <c r="J214" s="61">
        <v>477.3499999999998</v>
      </c>
      <c r="K214" s="18"/>
    </row>
    <row r="215" spans="1:11" ht="13.5" customHeight="1" x14ac:dyDescent="0.2">
      <c r="A215" s="171"/>
      <c r="B215" s="46" t="s">
        <v>483</v>
      </c>
      <c r="C215" s="34" t="s">
        <v>2721</v>
      </c>
      <c r="D215" s="11" t="s">
        <v>2722</v>
      </c>
      <c r="E215" s="69">
        <v>-300</v>
      </c>
      <c r="F215" s="69"/>
      <c r="G215" s="182" t="s">
        <v>483</v>
      </c>
      <c r="H215" s="59"/>
      <c r="I215" s="60"/>
      <c r="J215" s="61">
        <v>477.3499999999998</v>
      </c>
      <c r="K215" s="18"/>
    </row>
    <row r="216" spans="1:11" ht="13.5" customHeight="1" x14ac:dyDescent="0.2">
      <c r="A216" s="171"/>
      <c r="B216" s="46" t="s">
        <v>483</v>
      </c>
      <c r="C216" s="36" t="s">
        <v>189</v>
      </c>
      <c r="D216" s="11" t="s">
        <v>488</v>
      </c>
      <c r="E216" s="557">
        <v>-828.59</v>
      </c>
      <c r="F216" s="69"/>
      <c r="G216" s="182">
        <v>0</v>
      </c>
      <c r="H216" s="59"/>
      <c r="I216" s="60">
        <v>828.59</v>
      </c>
      <c r="J216" s="61">
        <v>1305.9399999999998</v>
      </c>
      <c r="K216" s="18"/>
    </row>
    <row r="217" spans="1:11" ht="13.5" customHeight="1" x14ac:dyDescent="0.2">
      <c r="A217" s="171" t="s">
        <v>2723</v>
      </c>
      <c r="B217" s="46" t="s">
        <v>483</v>
      </c>
      <c r="C217" s="34" t="s">
        <v>86</v>
      </c>
      <c r="D217" s="11" t="s">
        <v>488</v>
      </c>
      <c r="E217" s="557">
        <v>-10.1</v>
      </c>
      <c r="F217" s="69"/>
      <c r="G217" s="182" t="s">
        <v>483</v>
      </c>
      <c r="H217" s="59"/>
      <c r="I217" s="60"/>
      <c r="J217" s="61">
        <v>1305.9399999999998</v>
      </c>
      <c r="K217" s="18"/>
    </row>
    <row r="218" spans="1:11" ht="13.5" customHeight="1" x14ac:dyDescent="0.2">
      <c r="A218" s="171"/>
      <c r="B218" s="46" t="s">
        <v>483</v>
      </c>
      <c r="C218" s="36" t="s">
        <v>174</v>
      </c>
      <c r="D218" s="11" t="s">
        <v>488</v>
      </c>
      <c r="E218" s="69"/>
      <c r="F218" s="557">
        <v>10.1</v>
      </c>
      <c r="G218" s="182">
        <v>0</v>
      </c>
      <c r="H218" s="59">
        <v>10.1</v>
      </c>
      <c r="I218" s="60"/>
      <c r="J218" s="61">
        <v>1295.8399999999999</v>
      </c>
      <c r="K218" s="18"/>
    </row>
    <row r="219" spans="1:11" ht="13.5" customHeight="1" x14ac:dyDescent="0.2">
      <c r="A219" s="171" t="s">
        <v>2724</v>
      </c>
      <c r="B219" s="46" t="s">
        <v>483</v>
      </c>
      <c r="C219" s="36" t="s">
        <v>177</v>
      </c>
      <c r="D219" s="11" t="s">
        <v>2725</v>
      </c>
      <c r="E219" s="557">
        <v>-243.07</v>
      </c>
      <c r="F219" s="69"/>
      <c r="G219" s="182">
        <v>-243.07</v>
      </c>
      <c r="H219" s="59"/>
      <c r="I219" s="60"/>
      <c r="J219" s="61">
        <v>1295.8399999999999</v>
      </c>
      <c r="K219" s="18"/>
    </row>
    <row r="220" spans="1:11" ht="13.5" customHeight="1" x14ac:dyDescent="0.2">
      <c r="A220" s="171"/>
      <c r="B220" s="46" t="s">
        <v>483</v>
      </c>
      <c r="C220" s="36" t="s">
        <v>174</v>
      </c>
      <c r="D220" s="11" t="s">
        <v>488</v>
      </c>
      <c r="E220" s="69"/>
      <c r="F220" s="557">
        <v>243.07</v>
      </c>
      <c r="G220" s="182">
        <v>0</v>
      </c>
      <c r="H220" s="59">
        <v>243.07</v>
      </c>
      <c r="I220" s="60"/>
      <c r="J220" s="61">
        <v>1052.77</v>
      </c>
      <c r="K220" s="18"/>
    </row>
    <row r="221" spans="1:11" ht="13.5" customHeight="1" x14ac:dyDescent="0.2">
      <c r="A221" s="171" t="s">
        <v>2726</v>
      </c>
      <c r="B221" s="46" t="s">
        <v>483</v>
      </c>
      <c r="C221" s="34" t="s">
        <v>2727</v>
      </c>
      <c r="D221" s="11" t="s">
        <v>1383</v>
      </c>
      <c r="E221" s="557">
        <v>-79.2</v>
      </c>
      <c r="F221" s="69"/>
      <c r="G221" s="182" t="s">
        <v>483</v>
      </c>
      <c r="H221" s="59"/>
      <c r="I221" s="60"/>
      <c r="J221" s="61">
        <v>1052.77</v>
      </c>
      <c r="K221" s="18"/>
    </row>
    <row r="222" spans="1:11" ht="13.5" customHeight="1" x14ac:dyDescent="0.2">
      <c r="A222" s="171"/>
      <c r="B222" s="46" t="s">
        <v>483</v>
      </c>
      <c r="C222" s="36" t="s">
        <v>174</v>
      </c>
      <c r="D222" s="11" t="s">
        <v>488</v>
      </c>
      <c r="E222" s="69"/>
      <c r="F222" s="557">
        <v>79.2</v>
      </c>
      <c r="G222" s="182">
        <v>0</v>
      </c>
      <c r="H222" s="59">
        <v>79.2</v>
      </c>
      <c r="I222" s="60"/>
      <c r="J222" s="61">
        <v>973.56999999999994</v>
      </c>
      <c r="K222" s="18"/>
    </row>
    <row r="223" spans="1:11" ht="13.5" customHeight="1" x14ac:dyDescent="0.2">
      <c r="A223" s="171" t="s">
        <v>2728</v>
      </c>
      <c r="B223" s="46" t="s">
        <v>483</v>
      </c>
      <c r="C223" s="34" t="s">
        <v>2729</v>
      </c>
      <c r="D223" s="11" t="s">
        <v>488</v>
      </c>
      <c r="E223" s="557">
        <v>-11.9</v>
      </c>
      <c r="F223" s="69"/>
      <c r="G223" s="182" t="s">
        <v>483</v>
      </c>
      <c r="H223" s="59"/>
      <c r="I223" s="60"/>
      <c r="J223" s="61">
        <v>973.56999999999994</v>
      </c>
      <c r="K223" s="18"/>
    </row>
    <row r="224" spans="1:11" ht="13.5" customHeight="1" x14ac:dyDescent="0.2">
      <c r="A224" s="171"/>
      <c r="B224" s="46" t="s">
        <v>483</v>
      </c>
      <c r="C224" s="34" t="s">
        <v>2730</v>
      </c>
      <c r="D224" s="11" t="s">
        <v>2731</v>
      </c>
      <c r="E224" s="557">
        <v>-72.91</v>
      </c>
      <c r="F224" s="69"/>
      <c r="G224" s="182" t="s">
        <v>483</v>
      </c>
      <c r="H224" s="59"/>
      <c r="I224" s="60"/>
      <c r="J224" s="61">
        <v>973.56999999999994</v>
      </c>
      <c r="K224" s="18"/>
    </row>
    <row r="225" spans="1:11" ht="13.5" customHeight="1" x14ac:dyDescent="0.2">
      <c r="A225" s="171"/>
      <c r="B225" s="46" t="s">
        <v>483</v>
      </c>
      <c r="C225" s="34" t="s">
        <v>2732</v>
      </c>
      <c r="D225" s="11" t="s">
        <v>484</v>
      </c>
      <c r="E225" s="557">
        <v>-461.41</v>
      </c>
      <c r="F225" s="69"/>
      <c r="G225" s="182" t="s">
        <v>483</v>
      </c>
      <c r="H225" s="59"/>
      <c r="I225" s="60"/>
      <c r="J225" s="61">
        <v>973.56999999999994</v>
      </c>
      <c r="K225" s="18"/>
    </row>
    <row r="226" spans="1:11" ht="13.5" customHeight="1" x14ac:dyDescent="0.2">
      <c r="A226" s="171"/>
      <c r="B226" s="46" t="s">
        <v>483</v>
      </c>
      <c r="C226" s="34" t="s">
        <v>2733</v>
      </c>
      <c r="D226" s="11" t="s">
        <v>606</v>
      </c>
      <c r="E226" s="557">
        <v>-111</v>
      </c>
      <c r="F226" s="69"/>
      <c r="G226" s="182" t="s">
        <v>483</v>
      </c>
      <c r="H226" s="59"/>
      <c r="I226" s="60"/>
      <c r="J226" s="61">
        <v>973.56999999999994</v>
      </c>
      <c r="K226" s="18"/>
    </row>
    <row r="227" spans="1:11" ht="13.5" customHeight="1" x14ac:dyDescent="0.2">
      <c r="A227" s="171"/>
      <c r="B227" s="46" t="s">
        <v>483</v>
      </c>
      <c r="C227" s="36" t="s">
        <v>2734</v>
      </c>
      <c r="D227" s="11" t="s">
        <v>488</v>
      </c>
      <c r="E227" s="69"/>
      <c r="F227" s="557">
        <v>4731.47</v>
      </c>
      <c r="G227" s="182" t="s">
        <v>483</v>
      </c>
      <c r="H227" s="59"/>
      <c r="I227" s="60"/>
      <c r="J227" s="61">
        <v>973.56999999999994</v>
      </c>
      <c r="K227" s="18"/>
    </row>
    <row r="228" spans="1:11" ht="13.5" customHeight="1" x14ac:dyDescent="0.2">
      <c r="A228" s="171"/>
      <c r="B228" s="46" t="s">
        <v>483</v>
      </c>
      <c r="C228" s="36" t="s">
        <v>189</v>
      </c>
      <c r="D228" s="11" t="s">
        <v>488</v>
      </c>
      <c r="E228" s="557">
        <v>-4074.25</v>
      </c>
      <c r="F228" s="69"/>
      <c r="G228" s="182">
        <v>0</v>
      </c>
      <c r="H228" s="59"/>
      <c r="I228" s="60">
        <v>4074.25</v>
      </c>
      <c r="J228" s="61">
        <v>5047.82</v>
      </c>
      <c r="K228" s="18"/>
    </row>
    <row r="229" spans="1:11" ht="13.5" customHeight="1" x14ac:dyDescent="0.2">
      <c r="A229" s="171" t="s">
        <v>2735</v>
      </c>
      <c r="B229" s="46" t="s">
        <v>483</v>
      </c>
      <c r="C229" s="32" t="s">
        <v>2736</v>
      </c>
      <c r="D229" s="11" t="s">
        <v>1365</v>
      </c>
      <c r="E229" s="557">
        <v>-754</v>
      </c>
      <c r="F229" s="69" t="s">
        <v>483</v>
      </c>
      <c r="G229" s="182"/>
      <c r="H229" s="59"/>
      <c r="I229" s="60"/>
      <c r="J229" s="61">
        <v>5047.82</v>
      </c>
      <c r="K229" s="18"/>
    </row>
    <row r="230" spans="1:11" ht="13.5" customHeight="1" x14ac:dyDescent="0.2">
      <c r="A230" s="171"/>
      <c r="B230" s="46" t="s">
        <v>483</v>
      </c>
      <c r="C230" s="32" t="s">
        <v>194</v>
      </c>
      <c r="D230" s="11" t="s">
        <v>488</v>
      </c>
      <c r="E230" s="557">
        <v>-84.54</v>
      </c>
      <c r="F230" s="69" t="s">
        <v>483</v>
      </c>
      <c r="G230" s="182"/>
      <c r="H230" s="59"/>
      <c r="I230" s="60"/>
      <c r="J230" s="61">
        <v>5047.82</v>
      </c>
      <c r="K230" s="18"/>
    </row>
    <row r="231" spans="1:11" ht="13.5" customHeight="1" x14ac:dyDescent="0.2">
      <c r="A231" s="171"/>
      <c r="B231" s="46" t="s">
        <v>483</v>
      </c>
      <c r="C231" s="32" t="s">
        <v>195</v>
      </c>
      <c r="D231" s="11" t="s">
        <v>488</v>
      </c>
      <c r="E231" s="557">
        <v>-390.19</v>
      </c>
      <c r="F231" s="69"/>
      <c r="G231" s="182">
        <v>-1228.73</v>
      </c>
      <c r="H231" s="59"/>
      <c r="I231" s="60"/>
      <c r="J231" s="61">
        <v>5047.82</v>
      </c>
      <c r="K231" s="18"/>
    </row>
    <row r="232" spans="1:11" ht="13.5" customHeight="1" x14ac:dyDescent="0.2">
      <c r="A232" s="171" t="s">
        <v>2735</v>
      </c>
      <c r="B232" s="46" t="s">
        <v>483</v>
      </c>
      <c r="C232" s="36" t="s">
        <v>174</v>
      </c>
      <c r="D232" s="11" t="s">
        <v>488</v>
      </c>
      <c r="E232" s="69"/>
      <c r="F232" s="557">
        <v>1228.73</v>
      </c>
      <c r="G232" s="182">
        <v>0</v>
      </c>
      <c r="H232" s="59">
        <v>1228.73</v>
      </c>
      <c r="I232" s="60"/>
      <c r="J232" s="61">
        <v>3819.0899999999997</v>
      </c>
      <c r="K232" s="18"/>
    </row>
    <row r="233" spans="1:11" ht="13.5" customHeight="1" x14ac:dyDescent="0.2">
      <c r="A233" s="171" t="s">
        <v>2737</v>
      </c>
      <c r="B233" s="46" t="s">
        <v>483</v>
      </c>
      <c r="C233" s="32" t="s">
        <v>2738</v>
      </c>
      <c r="D233" s="11" t="s">
        <v>2739</v>
      </c>
      <c r="E233" s="557">
        <v>-793.85</v>
      </c>
      <c r="F233" s="69"/>
      <c r="G233" s="182" t="s">
        <v>483</v>
      </c>
      <c r="H233" s="59"/>
      <c r="I233" s="60"/>
      <c r="J233" s="61">
        <v>3819.0899999999997</v>
      </c>
      <c r="K233" s="18"/>
    </row>
    <row r="234" spans="1:11" ht="13.5" customHeight="1" x14ac:dyDescent="0.2">
      <c r="A234" s="171"/>
      <c r="B234" s="46" t="s">
        <v>483</v>
      </c>
      <c r="C234" s="32" t="s">
        <v>2740</v>
      </c>
      <c r="D234" s="11" t="s">
        <v>2741</v>
      </c>
      <c r="E234" s="557">
        <v>-421.52</v>
      </c>
      <c r="F234" s="69"/>
      <c r="G234" s="182" t="s">
        <v>483</v>
      </c>
      <c r="H234" s="59"/>
      <c r="I234" s="60"/>
      <c r="J234" s="61">
        <v>3819.0899999999997</v>
      </c>
      <c r="K234" s="18"/>
    </row>
    <row r="235" spans="1:11" ht="13.5" customHeight="1" x14ac:dyDescent="0.2">
      <c r="A235" s="171"/>
      <c r="B235" s="46" t="s">
        <v>483</v>
      </c>
      <c r="C235" s="36" t="s">
        <v>174</v>
      </c>
      <c r="D235" s="11" t="s">
        <v>488</v>
      </c>
      <c r="E235" s="69"/>
      <c r="F235" s="557">
        <v>1215.3699999999999</v>
      </c>
      <c r="G235" s="182">
        <v>0</v>
      </c>
      <c r="H235" s="59">
        <v>1215.3699999999999</v>
      </c>
      <c r="I235" s="60"/>
      <c r="J235" s="61">
        <v>2603.7199999999998</v>
      </c>
      <c r="K235" s="18"/>
    </row>
    <row r="236" spans="1:11" ht="13.5" customHeight="1" x14ac:dyDescent="0.2">
      <c r="A236" s="171" t="s">
        <v>2742</v>
      </c>
      <c r="B236" s="46" t="s">
        <v>483</v>
      </c>
      <c r="C236" s="34" t="s">
        <v>2743</v>
      </c>
      <c r="D236" s="11" t="s">
        <v>1724</v>
      </c>
      <c r="E236" s="557">
        <v>-91.9</v>
      </c>
      <c r="F236" s="69"/>
      <c r="G236" s="182" t="s">
        <v>483</v>
      </c>
      <c r="H236" s="59"/>
      <c r="I236" s="60"/>
      <c r="J236" s="61">
        <v>2603.7199999999998</v>
      </c>
      <c r="K236" s="18"/>
    </row>
    <row r="237" spans="1:11" ht="13.5" customHeight="1" x14ac:dyDescent="0.2">
      <c r="A237" s="171"/>
      <c r="B237" s="46" t="s">
        <v>483</v>
      </c>
      <c r="C237" s="34" t="s">
        <v>2744</v>
      </c>
      <c r="D237" s="11" t="s">
        <v>1356</v>
      </c>
      <c r="E237" s="557">
        <v>-900</v>
      </c>
      <c r="F237" s="69"/>
      <c r="G237" s="182" t="s">
        <v>483</v>
      </c>
      <c r="H237" s="59"/>
      <c r="I237" s="60"/>
      <c r="J237" s="61">
        <v>2603.7199999999998</v>
      </c>
      <c r="K237" s="18"/>
    </row>
    <row r="238" spans="1:11" ht="13.5" customHeight="1" x14ac:dyDescent="0.2">
      <c r="A238" s="171"/>
      <c r="B238" s="46" t="s">
        <v>483</v>
      </c>
      <c r="C238" s="36" t="s">
        <v>174</v>
      </c>
      <c r="D238" s="11" t="s">
        <v>488</v>
      </c>
      <c r="E238" s="69"/>
      <c r="F238" s="557">
        <v>991.9</v>
      </c>
      <c r="G238" s="182">
        <v>0</v>
      </c>
      <c r="H238" s="59">
        <v>991.9</v>
      </c>
      <c r="I238" s="60"/>
      <c r="J238" s="61">
        <v>1611.8199999999997</v>
      </c>
      <c r="K238" s="18"/>
    </row>
    <row r="239" spans="1:11" ht="13.5" customHeight="1" x14ac:dyDescent="0.2">
      <c r="A239" s="171" t="s">
        <v>2745</v>
      </c>
      <c r="B239" s="46" t="s">
        <v>483</v>
      </c>
      <c r="C239" s="32" t="s">
        <v>198</v>
      </c>
      <c r="D239" s="11" t="s">
        <v>2746</v>
      </c>
      <c r="E239" s="557">
        <v>-1320.97</v>
      </c>
      <c r="F239" s="69"/>
      <c r="G239" s="182" t="s">
        <v>483</v>
      </c>
      <c r="H239" s="59"/>
      <c r="I239" s="60"/>
      <c r="J239" s="61">
        <v>1611.8199999999997</v>
      </c>
      <c r="K239" s="18"/>
    </row>
    <row r="240" spans="1:11" ht="13.5" customHeight="1" x14ac:dyDescent="0.2">
      <c r="A240" s="171"/>
      <c r="B240" s="46" t="s">
        <v>591</v>
      </c>
      <c r="C240" s="36" t="s">
        <v>2594</v>
      </c>
      <c r="D240" s="11" t="s">
        <v>2747</v>
      </c>
      <c r="E240" s="557"/>
      <c r="F240" s="322">
        <v>8584.75</v>
      </c>
      <c r="G240" s="182" t="s">
        <v>483</v>
      </c>
      <c r="H240" s="59"/>
      <c r="I240" s="60"/>
      <c r="J240" s="61">
        <v>1611.8199999999997</v>
      </c>
      <c r="K240" s="18"/>
    </row>
    <row r="241" spans="1:11" ht="13.5" customHeight="1" x14ac:dyDescent="0.2">
      <c r="A241" s="171"/>
      <c r="B241" s="46" t="s">
        <v>483</v>
      </c>
      <c r="C241" s="36" t="s">
        <v>174</v>
      </c>
      <c r="D241" s="11" t="s">
        <v>488</v>
      </c>
      <c r="E241" s="69"/>
      <c r="F241" s="557">
        <v>1320.97</v>
      </c>
      <c r="G241" s="182">
        <v>8584.75</v>
      </c>
      <c r="H241" s="59">
        <v>1320.97</v>
      </c>
      <c r="I241" s="60"/>
      <c r="J241" s="61">
        <v>290.84999999999968</v>
      </c>
      <c r="K241" s="18"/>
    </row>
    <row r="242" spans="1:11" ht="13.5" customHeight="1" x14ac:dyDescent="0.2">
      <c r="A242" s="171" t="s">
        <v>2748</v>
      </c>
      <c r="B242" s="46" t="s">
        <v>483</v>
      </c>
      <c r="C242" s="34" t="s">
        <v>86</v>
      </c>
      <c r="D242" s="11" t="s">
        <v>488</v>
      </c>
      <c r="E242" s="557">
        <v>-85</v>
      </c>
      <c r="F242" s="69"/>
      <c r="G242" s="182" t="s">
        <v>483</v>
      </c>
      <c r="H242" s="59"/>
      <c r="I242" s="60"/>
      <c r="J242" s="61">
        <v>290.84999999999968</v>
      </c>
      <c r="K242" s="18"/>
    </row>
    <row r="243" spans="1:11" ht="13.5" customHeight="1" x14ac:dyDescent="0.2">
      <c r="A243" s="171"/>
      <c r="B243" s="46" t="s">
        <v>483</v>
      </c>
      <c r="C243" s="36" t="s">
        <v>189</v>
      </c>
      <c r="D243" s="11" t="s">
        <v>488</v>
      </c>
      <c r="E243" s="557">
        <v>-8499.75</v>
      </c>
      <c r="F243" s="69"/>
      <c r="G243" s="182">
        <v>0</v>
      </c>
      <c r="H243" s="59"/>
      <c r="I243" s="60">
        <v>8499.75</v>
      </c>
      <c r="J243" s="61">
        <v>8790.6</v>
      </c>
      <c r="K243" s="18"/>
    </row>
    <row r="244" spans="1:11" ht="13.5" customHeight="1" x14ac:dyDescent="0.2">
      <c r="A244" s="171" t="s">
        <v>2749</v>
      </c>
      <c r="B244" s="46" t="s">
        <v>483</v>
      </c>
      <c r="C244" s="34" t="s">
        <v>2750</v>
      </c>
      <c r="D244" s="11" t="s">
        <v>2751</v>
      </c>
      <c r="E244" s="557">
        <v>-330.98</v>
      </c>
      <c r="F244" s="69"/>
      <c r="G244" s="182" t="s">
        <v>483</v>
      </c>
      <c r="H244" s="59"/>
      <c r="I244" s="60"/>
      <c r="J244" s="61">
        <v>8790.6</v>
      </c>
      <c r="K244" s="18"/>
    </row>
    <row r="245" spans="1:11" ht="13.5" customHeight="1" x14ac:dyDescent="0.2">
      <c r="A245" s="171"/>
      <c r="B245" s="46" t="s">
        <v>483</v>
      </c>
      <c r="C245" s="34" t="s">
        <v>2752</v>
      </c>
      <c r="D245" s="11" t="s">
        <v>2753</v>
      </c>
      <c r="E245" s="557">
        <v>-458</v>
      </c>
      <c r="F245" s="69"/>
      <c r="G245" s="182" t="s">
        <v>483</v>
      </c>
      <c r="H245" s="59"/>
      <c r="I245" s="60"/>
      <c r="J245" s="61">
        <v>8790.6</v>
      </c>
      <c r="K245" s="18"/>
    </row>
    <row r="246" spans="1:11" ht="13.5" customHeight="1" x14ac:dyDescent="0.2">
      <c r="A246" s="171"/>
      <c r="B246" s="46" t="s">
        <v>483</v>
      </c>
      <c r="C246" s="36" t="s">
        <v>174</v>
      </c>
      <c r="D246" s="11" t="s">
        <v>488</v>
      </c>
      <c r="E246" s="69"/>
      <c r="F246" s="557">
        <v>788.98</v>
      </c>
      <c r="G246" s="182">
        <v>0</v>
      </c>
      <c r="H246" s="59">
        <v>788.98</v>
      </c>
      <c r="I246" s="60"/>
      <c r="J246" s="61">
        <v>8001.6200000000008</v>
      </c>
      <c r="K246" s="18"/>
    </row>
    <row r="247" spans="1:11" ht="13.5" customHeight="1" x14ac:dyDescent="0.2">
      <c r="A247" s="171" t="s">
        <v>2754</v>
      </c>
      <c r="B247" s="46" t="s">
        <v>483</v>
      </c>
      <c r="C247" s="34" t="s">
        <v>86</v>
      </c>
      <c r="D247" s="11" t="s">
        <v>488</v>
      </c>
      <c r="E247" s="557">
        <v>-12.5</v>
      </c>
      <c r="F247" s="69"/>
      <c r="G247" s="182"/>
      <c r="H247" s="59"/>
      <c r="I247" s="60"/>
      <c r="J247" s="61">
        <v>8001.6200000000008</v>
      </c>
      <c r="K247" s="18"/>
    </row>
    <row r="248" spans="1:11" ht="13.5" customHeight="1" x14ac:dyDescent="0.2">
      <c r="A248" s="171"/>
      <c r="B248" s="46" t="s">
        <v>483</v>
      </c>
      <c r="C248" s="36" t="s">
        <v>174</v>
      </c>
      <c r="D248" s="11" t="s">
        <v>488</v>
      </c>
      <c r="E248" s="69"/>
      <c r="F248" s="557">
        <v>12.5</v>
      </c>
      <c r="G248" s="182">
        <v>0</v>
      </c>
      <c r="H248" s="59">
        <v>12.5</v>
      </c>
      <c r="I248" s="60"/>
      <c r="J248" s="61">
        <v>7989.1200000000008</v>
      </c>
      <c r="K248" s="18"/>
    </row>
    <row r="249" spans="1:11" ht="13.5" customHeight="1" x14ac:dyDescent="0.2">
      <c r="A249" s="171" t="s">
        <v>2755</v>
      </c>
      <c r="B249" s="46" t="s">
        <v>483</v>
      </c>
      <c r="C249" s="34" t="s">
        <v>2537</v>
      </c>
      <c r="D249" s="11" t="s">
        <v>2756</v>
      </c>
      <c r="E249" s="322">
        <v>-2000</v>
      </c>
      <c r="F249" s="69"/>
      <c r="G249" s="182"/>
      <c r="H249" s="59"/>
      <c r="I249" s="60"/>
      <c r="J249" s="61">
        <v>7989.1200000000008</v>
      </c>
      <c r="K249" s="18"/>
    </row>
    <row r="250" spans="1:11" ht="13.5" customHeight="1" x14ac:dyDescent="0.2">
      <c r="A250" s="171"/>
      <c r="B250" s="46" t="s">
        <v>483</v>
      </c>
      <c r="C250" s="36" t="s">
        <v>174</v>
      </c>
      <c r="D250" s="11" t="s">
        <v>488</v>
      </c>
      <c r="E250" s="69"/>
      <c r="F250" s="557">
        <v>2000</v>
      </c>
      <c r="G250" s="182">
        <v>0</v>
      </c>
      <c r="H250" s="59">
        <v>2000</v>
      </c>
      <c r="I250" s="60"/>
      <c r="J250" s="61">
        <v>5989.1200000000008</v>
      </c>
      <c r="K250" s="18"/>
    </row>
    <row r="251" spans="1:11" ht="13.5" customHeight="1" x14ac:dyDescent="0.2">
      <c r="A251" s="171" t="s">
        <v>2757</v>
      </c>
      <c r="B251" s="46" t="s">
        <v>483</v>
      </c>
      <c r="C251" s="32" t="s">
        <v>813</v>
      </c>
      <c r="D251" s="11" t="s">
        <v>1365</v>
      </c>
      <c r="E251" s="557">
        <v>-75</v>
      </c>
      <c r="F251" s="69"/>
      <c r="G251" s="182" t="s">
        <v>483</v>
      </c>
      <c r="H251" s="59"/>
      <c r="I251" s="60"/>
      <c r="J251" s="61">
        <v>5989.1200000000008</v>
      </c>
      <c r="K251" s="18"/>
    </row>
    <row r="252" spans="1:11" ht="13.5" customHeight="1" x14ac:dyDescent="0.2">
      <c r="A252" s="171"/>
      <c r="B252" s="46" t="s">
        <v>483</v>
      </c>
      <c r="C252" s="36" t="s">
        <v>174</v>
      </c>
      <c r="D252" s="11" t="s">
        <v>488</v>
      </c>
      <c r="E252" s="69"/>
      <c r="F252" s="557">
        <v>75</v>
      </c>
      <c r="G252" s="205">
        <v>0</v>
      </c>
      <c r="H252" s="179">
        <v>75</v>
      </c>
      <c r="I252" s="57"/>
      <c r="J252" s="61">
        <v>5914.1200000000008</v>
      </c>
      <c r="K252" s="18"/>
    </row>
    <row r="253" spans="1:11" ht="13.5" customHeight="1" x14ac:dyDescent="0.2">
      <c r="A253" s="171"/>
      <c r="B253" s="46"/>
      <c r="C253" s="32" t="s">
        <v>20</v>
      </c>
      <c r="D253" s="11"/>
      <c r="E253" s="69"/>
      <c r="F253" s="69"/>
      <c r="G253" s="182"/>
      <c r="H253" s="179"/>
      <c r="I253" s="57">
        <v>0.3499999999994543</v>
      </c>
      <c r="J253" s="58">
        <v>5914.47</v>
      </c>
      <c r="K253" s="124"/>
    </row>
    <row r="254" spans="1:11" ht="13.5" customHeight="1" thickBot="1" x14ac:dyDescent="0.25">
      <c r="A254" s="171"/>
      <c r="B254" s="46"/>
      <c r="C254" s="34"/>
      <c r="D254" s="11"/>
      <c r="E254" s="673">
        <f>SUM(E204:E253)</f>
        <v>-25188.87</v>
      </c>
      <c r="F254" s="673">
        <f>SUM(F204:F253)</f>
        <v>25188.87</v>
      </c>
      <c r="G254" s="182"/>
      <c r="H254" s="179"/>
      <c r="I254" s="57"/>
      <c r="J254" s="67"/>
    </row>
    <row r="255" spans="1:11" ht="13.5" customHeight="1" thickBot="1" x14ac:dyDescent="0.25">
      <c r="A255" s="2" t="s">
        <v>2</v>
      </c>
      <c r="B255" s="3"/>
      <c r="C255" s="3" t="s">
        <v>525</v>
      </c>
      <c r="D255" s="595"/>
      <c r="E255" s="3"/>
      <c r="F255" s="3"/>
      <c r="G255" s="5" t="s">
        <v>7</v>
      </c>
    </row>
    <row r="256" spans="1:11" ht="13.5" customHeight="1" x14ac:dyDescent="0.2">
      <c r="A256" s="8">
        <v>43678</v>
      </c>
      <c r="B256" s="70"/>
      <c r="C256" s="10" t="s">
        <v>537</v>
      </c>
      <c r="D256" s="598"/>
      <c r="E256" s="67"/>
      <c r="F256" s="67"/>
      <c r="G256" s="205">
        <v>437.82999999999799</v>
      </c>
    </row>
    <row r="257" spans="1:12" ht="13.5" customHeight="1" x14ac:dyDescent="0.2">
      <c r="A257" s="171">
        <v>43683</v>
      </c>
      <c r="B257" s="46"/>
      <c r="C257" s="34" t="s">
        <v>815</v>
      </c>
      <c r="D257" s="46"/>
      <c r="E257" s="557">
        <v>888.22</v>
      </c>
      <c r="F257" s="69"/>
      <c r="G257" s="182">
        <v>-450.39000000000158</v>
      </c>
    </row>
    <row r="258" spans="1:12" ht="13.5" customHeight="1" x14ac:dyDescent="0.2">
      <c r="A258" s="171">
        <v>43685</v>
      </c>
      <c r="B258" s="46"/>
      <c r="C258" s="34" t="s">
        <v>1754</v>
      </c>
      <c r="D258" s="46"/>
      <c r="E258" s="557">
        <v>62.7</v>
      </c>
      <c r="F258" s="69"/>
      <c r="G258" s="182">
        <v>-513.09000000000162</v>
      </c>
    </row>
    <row r="259" spans="1:12" ht="13.5" customHeight="1" x14ac:dyDescent="0.2">
      <c r="A259" s="171">
        <v>43693</v>
      </c>
      <c r="B259" s="46"/>
      <c r="C259" s="36" t="s">
        <v>613</v>
      </c>
      <c r="D259" s="46"/>
      <c r="E259" s="557">
        <v>2.5</v>
      </c>
      <c r="F259" s="69"/>
      <c r="G259" s="182">
        <v>-515.59000000000162</v>
      </c>
    </row>
    <row r="260" spans="1:12" ht="13.5" customHeight="1" x14ac:dyDescent="0.2">
      <c r="A260" s="180">
        <v>43706</v>
      </c>
      <c r="B260" s="46"/>
      <c r="C260" s="32" t="s">
        <v>2543</v>
      </c>
      <c r="D260" s="46"/>
      <c r="E260" s="69"/>
      <c r="F260" s="557">
        <v>2000</v>
      </c>
      <c r="G260" s="205">
        <v>1484.4099999999985</v>
      </c>
    </row>
    <row r="261" spans="1:12" ht="13.5" customHeight="1" thickBot="1" x14ac:dyDescent="0.25">
      <c r="A261" s="70"/>
      <c r="B261" s="70"/>
      <c r="C261" s="63"/>
      <c r="D261" s="596"/>
      <c r="E261" s="13"/>
      <c r="F261" s="13"/>
      <c r="G261" s="182"/>
    </row>
    <row r="262" spans="1:12" s="97" customFormat="1" ht="13.5" customHeight="1" thickBot="1" x14ac:dyDescent="0.25">
      <c r="A262" s="561" t="s">
        <v>2</v>
      </c>
      <c r="B262" s="562"/>
      <c r="C262" s="562" t="s">
        <v>534</v>
      </c>
      <c r="D262" s="563" t="s">
        <v>4</v>
      </c>
      <c r="E262" s="562" t="s">
        <v>5</v>
      </c>
      <c r="F262" s="562" t="s">
        <v>6</v>
      </c>
      <c r="G262" s="564" t="s">
        <v>7</v>
      </c>
      <c r="H262" s="565"/>
      <c r="I262" s="565"/>
      <c r="J262" s="566"/>
      <c r="L262" s="567"/>
    </row>
    <row r="263" spans="1:12" s="97" customFormat="1" ht="13.5" customHeight="1" x14ac:dyDescent="0.2">
      <c r="A263" s="568">
        <v>42370</v>
      </c>
      <c r="B263" s="569"/>
      <c r="C263" s="570" t="s">
        <v>8</v>
      </c>
      <c r="D263" s="571"/>
      <c r="E263" s="572"/>
      <c r="F263" s="573"/>
      <c r="G263" s="574">
        <v>0</v>
      </c>
      <c r="H263" s="575"/>
      <c r="I263" s="576"/>
      <c r="J263" s="577"/>
      <c r="L263" s="567"/>
    </row>
    <row r="264" spans="1:12" s="97" customFormat="1" ht="13.5" customHeight="1" x14ac:dyDescent="0.2">
      <c r="A264" s="578">
        <v>43284</v>
      </c>
      <c r="B264" s="569"/>
      <c r="C264" s="569" t="s">
        <v>535</v>
      </c>
      <c r="D264" s="571"/>
      <c r="E264" s="572"/>
      <c r="F264" s="579">
        <v>500</v>
      </c>
      <c r="G264" s="580">
        <v>500</v>
      </c>
      <c r="H264" s="575"/>
      <c r="I264" s="576"/>
      <c r="J264" s="577"/>
      <c r="L264" s="567"/>
    </row>
    <row r="265" spans="1:12" s="97" customFormat="1" ht="13.5" customHeight="1" x14ac:dyDescent="0.2">
      <c r="A265" s="578">
        <v>43346</v>
      </c>
      <c r="B265" s="569"/>
      <c r="C265" s="569" t="s">
        <v>535</v>
      </c>
      <c r="D265" s="571"/>
      <c r="E265" s="572"/>
      <c r="F265" s="579">
        <v>3000</v>
      </c>
      <c r="G265" s="580">
        <v>3500</v>
      </c>
      <c r="H265" s="575"/>
      <c r="I265" s="576"/>
      <c r="J265" s="577"/>
      <c r="L265" s="567"/>
    </row>
    <row r="266" spans="1:12" s="97" customFormat="1" ht="13.5" customHeight="1" x14ac:dyDescent="0.2">
      <c r="A266" s="578">
        <v>43374</v>
      </c>
      <c r="B266" s="569"/>
      <c r="C266" s="569" t="s">
        <v>535</v>
      </c>
      <c r="D266" s="571"/>
      <c r="E266" s="572"/>
      <c r="F266" s="579">
        <v>2000</v>
      </c>
      <c r="G266" s="580">
        <v>5500</v>
      </c>
      <c r="H266" s="575"/>
      <c r="I266" s="576"/>
      <c r="J266" s="577"/>
      <c r="L266" s="567"/>
    </row>
    <row r="267" spans="1:12" s="97" customFormat="1" ht="13.5" customHeight="1" x14ac:dyDescent="0.2">
      <c r="A267" s="578">
        <v>43409</v>
      </c>
      <c r="B267" s="569"/>
      <c r="C267" s="569" t="s">
        <v>535</v>
      </c>
      <c r="D267" s="571"/>
      <c r="E267" s="572"/>
      <c r="F267" s="579">
        <v>1000</v>
      </c>
      <c r="G267" s="580">
        <v>6500</v>
      </c>
      <c r="H267" s="575"/>
      <c r="I267" s="576"/>
      <c r="J267" s="577"/>
      <c r="L267" s="567"/>
    </row>
    <row r="268" spans="1:12" s="97" customFormat="1" ht="13.5" customHeight="1" x14ac:dyDescent="0.2">
      <c r="A268" s="578">
        <v>43804</v>
      </c>
      <c r="B268" s="569"/>
      <c r="C268" s="569" t="s">
        <v>535</v>
      </c>
      <c r="D268" s="571"/>
      <c r="E268" s="572"/>
      <c r="F268" s="579">
        <v>500</v>
      </c>
      <c r="G268" s="580">
        <v>7000</v>
      </c>
      <c r="H268" s="575"/>
      <c r="I268" s="576"/>
      <c r="J268" s="577"/>
      <c r="L268" s="567"/>
    </row>
    <row r="269" spans="1:12" s="97" customFormat="1" ht="13.5" customHeight="1" x14ac:dyDescent="0.2">
      <c r="A269" s="578">
        <v>43469</v>
      </c>
      <c r="B269" s="569"/>
      <c r="C269" s="569" t="s">
        <v>1390</v>
      </c>
      <c r="D269" s="581"/>
      <c r="E269" s="572"/>
      <c r="F269" s="579">
        <v>1500</v>
      </c>
      <c r="G269" s="580">
        <v>8500</v>
      </c>
      <c r="H269" s="575"/>
      <c r="I269" s="576"/>
      <c r="J269" s="577"/>
      <c r="L269" s="567"/>
    </row>
    <row r="270" spans="1:12" s="97" customFormat="1" ht="13.5" customHeight="1" x14ac:dyDescent="0.2">
      <c r="A270" s="578">
        <v>43475</v>
      </c>
      <c r="B270" s="569"/>
      <c r="C270" s="569" t="s">
        <v>1391</v>
      </c>
      <c r="D270" s="581"/>
      <c r="E270" s="572"/>
      <c r="F270" s="579">
        <v>5000</v>
      </c>
      <c r="G270" s="580">
        <v>13500</v>
      </c>
      <c r="H270" s="575"/>
      <c r="I270" s="576"/>
      <c r="J270" s="577"/>
      <c r="L270" s="567"/>
    </row>
    <row r="271" spans="1:12" s="97" customFormat="1" ht="13.5" customHeight="1" x14ac:dyDescent="0.2">
      <c r="A271" s="578">
        <v>43482</v>
      </c>
      <c r="B271" s="569"/>
      <c r="C271" s="569" t="s">
        <v>1391</v>
      </c>
      <c r="D271" s="581"/>
      <c r="E271" s="572"/>
      <c r="F271" s="579">
        <v>5000</v>
      </c>
      <c r="G271" s="580">
        <v>18500</v>
      </c>
      <c r="H271" s="575"/>
      <c r="I271" s="576"/>
      <c r="J271" s="577"/>
      <c r="L271" s="567"/>
    </row>
    <row r="272" spans="1:12" s="97" customFormat="1" ht="13.5" customHeight="1" x14ac:dyDescent="0.2">
      <c r="A272" s="578">
        <v>43500</v>
      </c>
      <c r="B272" s="569"/>
      <c r="C272" s="569" t="s">
        <v>1391</v>
      </c>
      <c r="D272" s="581"/>
      <c r="E272" s="572"/>
      <c r="F272" s="579">
        <v>3000</v>
      </c>
      <c r="G272" s="580">
        <v>21500</v>
      </c>
      <c r="H272" s="575"/>
      <c r="I272" s="576"/>
      <c r="J272" s="577"/>
      <c r="L272" s="567"/>
    </row>
    <row r="273" spans="1:12" s="97" customFormat="1" ht="13.5" customHeight="1" x14ac:dyDescent="0.2">
      <c r="A273" s="578">
        <v>43501</v>
      </c>
      <c r="B273" s="569"/>
      <c r="C273" s="569" t="s">
        <v>1391</v>
      </c>
      <c r="D273" s="581"/>
      <c r="E273" s="572"/>
      <c r="F273" s="579">
        <v>4000</v>
      </c>
      <c r="G273" s="580">
        <v>25500</v>
      </c>
      <c r="H273" s="575"/>
      <c r="I273" s="576"/>
      <c r="J273" s="577"/>
      <c r="L273" s="567"/>
    </row>
    <row r="274" spans="1:12" s="97" customFormat="1" ht="13.5" customHeight="1" x14ac:dyDescent="0.2">
      <c r="A274" s="578">
        <v>43503</v>
      </c>
      <c r="B274" s="569"/>
      <c r="C274" s="569" t="s">
        <v>1391</v>
      </c>
      <c r="D274" s="581"/>
      <c r="E274" s="572"/>
      <c r="F274" s="579">
        <v>2000</v>
      </c>
      <c r="G274" s="580">
        <v>27500</v>
      </c>
      <c r="H274" s="575"/>
      <c r="I274" s="576"/>
      <c r="J274" s="577"/>
      <c r="L274" s="567"/>
    </row>
    <row r="275" spans="1:12" s="97" customFormat="1" ht="13.5" customHeight="1" x14ac:dyDescent="0.2">
      <c r="A275" s="578">
        <v>43504</v>
      </c>
      <c r="B275" s="569"/>
      <c r="C275" s="569" t="s">
        <v>1390</v>
      </c>
      <c r="D275" s="581"/>
      <c r="E275" s="572"/>
      <c r="F275" s="579">
        <v>1500</v>
      </c>
      <c r="G275" s="580">
        <v>29000</v>
      </c>
      <c r="H275" s="575"/>
      <c r="I275" s="576"/>
      <c r="J275" s="577"/>
      <c r="L275" s="567"/>
    </row>
    <row r="276" spans="1:12" s="97" customFormat="1" ht="13.5" customHeight="1" x14ac:dyDescent="0.2">
      <c r="A276" s="578">
        <v>43522</v>
      </c>
      <c r="B276" s="569"/>
      <c r="C276" s="569" t="s">
        <v>1544</v>
      </c>
      <c r="D276" s="581"/>
      <c r="E276" s="582">
        <v>5000</v>
      </c>
      <c r="F276" s="573"/>
      <c r="G276" s="580">
        <v>24000</v>
      </c>
      <c r="H276" s="575"/>
      <c r="I276" s="576"/>
      <c r="J276" s="577"/>
      <c r="L276" s="567"/>
    </row>
    <row r="277" spans="1:12" s="97" customFormat="1" ht="13.5" customHeight="1" x14ac:dyDescent="0.2">
      <c r="A277" s="578">
        <v>43531</v>
      </c>
      <c r="B277" s="569"/>
      <c r="C277" s="569" t="s">
        <v>1390</v>
      </c>
      <c r="D277" s="581"/>
      <c r="E277" s="572"/>
      <c r="F277" s="579">
        <v>3000</v>
      </c>
      <c r="G277" s="580">
        <v>27000</v>
      </c>
      <c r="H277" s="575"/>
      <c r="I277" s="576"/>
      <c r="J277" s="577"/>
      <c r="L277" s="567"/>
    </row>
    <row r="278" spans="1:12" s="97" customFormat="1" ht="13.5" customHeight="1" x14ac:dyDescent="0.2">
      <c r="A278" s="578">
        <v>43536</v>
      </c>
      <c r="B278" s="569"/>
      <c r="C278" s="569" t="s">
        <v>1391</v>
      </c>
      <c r="D278" s="581"/>
      <c r="E278" s="572"/>
      <c r="F278" s="579">
        <v>3000</v>
      </c>
      <c r="G278" s="580">
        <v>30000</v>
      </c>
      <c r="H278" s="575"/>
      <c r="I278" s="576"/>
      <c r="J278" s="577"/>
      <c r="L278" s="567"/>
    </row>
    <row r="279" spans="1:12" s="97" customFormat="1" ht="13.5" customHeight="1" x14ac:dyDescent="0.2">
      <c r="A279" s="578">
        <v>43560</v>
      </c>
      <c r="B279" s="569"/>
      <c r="C279" s="569" t="s">
        <v>1390</v>
      </c>
      <c r="D279" s="581"/>
      <c r="E279" s="572"/>
      <c r="F279" s="579">
        <v>2000</v>
      </c>
      <c r="G279" s="580">
        <v>32000</v>
      </c>
      <c r="H279" s="575"/>
      <c r="I279" s="576"/>
      <c r="J279" s="577"/>
      <c r="L279" s="567"/>
    </row>
    <row r="280" spans="1:12" s="97" customFormat="1" ht="13.5" customHeight="1" x14ac:dyDescent="0.2">
      <c r="A280" s="578">
        <v>43565</v>
      </c>
      <c r="B280" s="569"/>
      <c r="C280" s="569" t="s">
        <v>1390</v>
      </c>
      <c r="D280" s="581"/>
      <c r="E280" s="572"/>
      <c r="F280" s="579">
        <v>8000</v>
      </c>
      <c r="G280" s="580">
        <v>40000</v>
      </c>
      <c r="H280" s="575"/>
      <c r="I280" s="576"/>
      <c r="J280" s="577"/>
      <c r="L280" s="567"/>
    </row>
    <row r="281" spans="1:12" s="97" customFormat="1" ht="13.5" customHeight="1" x14ac:dyDescent="0.2">
      <c r="A281" s="578">
        <v>43571</v>
      </c>
      <c r="B281" s="569"/>
      <c r="C281" s="569" t="s">
        <v>1544</v>
      </c>
      <c r="D281" s="581"/>
      <c r="E281" s="582">
        <v>4000</v>
      </c>
      <c r="F281" s="573"/>
      <c r="G281" s="580">
        <v>36000</v>
      </c>
      <c r="H281" s="575"/>
      <c r="I281" s="576"/>
      <c r="J281" s="577"/>
      <c r="L281" s="567"/>
    </row>
    <row r="282" spans="1:12" s="97" customFormat="1" ht="13.5" customHeight="1" x14ac:dyDescent="0.2">
      <c r="A282" s="578">
        <v>43580</v>
      </c>
      <c r="B282" s="569"/>
      <c r="C282" s="569" t="s">
        <v>1544</v>
      </c>
      <c r="D282" s="581"/>
      <c r="E282" s="582">
        <v>2000</v>
      </c>
      <c r="F282" s="573"/>
      <c r="G282" s="580">
        <v>34000</v>
      </c>
      <c r="H282" s="575"/>
      <c r="I282" s="576"/>
      <c r="J282" s="577"/>
      <c r="L282" s="567"/>
    </row>
    <row r="283" spans="1:12" s="97" customFormat="1" ht="13.5" customHeight="1" x14ac:dyDescent="0.2">
      <c r="A283" s="578">
        <v>43593</v>
      </c>
      <c r="B283" s="569"/>
      <c r="C283" s="569" t="s">
        <v>1390</v>
      </c>
      <c r="D283" s="581"/>
      <c r="E283" s="572"/>
      <c r="F283" s="579">
        <v>500</v>
      </c>
      <c r="G283" s="580">
        <v>34500</v>
      </c>
      <c r="H283" s="575"/>
      <c r="I283" s="576"/>
      <c r="J283" s="577"/>
      <c r="L283" s="567"/>
    </row>
    <row r="284" spans="1:12" s="97" customFormat="1" ht="13.5" customHeight="1" x14ac:dyDescent="0.2">
      <c r="A284" s="578">
        <v>43620</v>
      </c>
      <c r="B284" s="569"/>
      <c r="C284" s="569" t="s">
        <v>1390</v>
      </c>
      <c r="D284" s="581"/>
      <c r="E284" s="572"/>
      <c r="F284" s="579">
        <v>2500</v>
      </c>
      <c r="G284" s="580">
        <v>37000</v>
      </c>
      <c r="H284" s="575"/>
      <c r="I284" s="576"/>
      <c r="J284" s="577"/>
      <c r="L284" s="567"/>
    </row>
    <row r="285" spans="1:12" s="97" customFormat="1" ht="13.5" customHeight="1" x14ac:dyDescent="0.2">
      <c r="A285" s="578">
        <v>43633</v>
      </c>
      <c r="B285" s="569"/>
      <c r="C285" s="569" t="s">
        <v>1544</v>
      </c>
      <c r="D285" s="581"/>
      <c r="E285" s="582">
        <v>4000</v>
      </c>
      <c r="F285" s="573"/>
      <c r="G285" s="580">
        <v>33000</v>
      </c>
      <c r="H285" s="583"/>
      <c r="I285" s="584"/>
      <c r="J285" s="583"/>
      <c r="L285" s="567"/>
    </row>
    <row r="286" spans="1:12" s="97" customFormat="1" ht="13.5" customHeight="1" x14ac:dyDescent="0.2">
      <c r="A286" s="578">
        <v>43651</v>
      </c>
      <c r="B286" s="585"/>
      <c r="C286" s="569" t="s">
        <v>1544</v>
      </c>
      <c r="D286" s="586"/>
      <c r="E286" s="579">
        <v>3000</v>
      </c>
      <c r="F286" s="573"/>
      <c r="G286" s="580">
        <v>30000</v>
      </c>
      <c r="I286" s="1"/>
      <c r="J286" s="1"/>
      <c r="K286" s="1"/>
    </row>
    <row r="287" spans="1:12" s="97" customFormat="1" ht="13.5" customHeight="1" x14ac:dyDescent="0.2">
      <c r="A287" s="578">
        <v>43668</v>
      </c>
      <c r="B287" s="585"/>
      <c r="C287" s="569" t="s">
        <v>1544</v>
      </c>
      <c r="D287" s="586"/>
      <c r="E287" s="579">
        <v>3000</v>
      </c>
      <c r="F287" s="573"/>
      <c r="G287" s="580">
        <v>27000</v>
      </c>
      <c r="I287" s="30">
        <f>SUM(G3,G121,G157,G204,)</f>
        <v>17991.740000000009</v>
      </c>
      <c r="J287" t="s">
        <v>8082</v>
      </c>
      <c r="K287" s="1"/>
    </row>
    <row r="288" spans="1:12" s="97" customFormat="1" ht="13.5" customHeight="1" x14ac:dyDescent="0.2">
      <c r="A288" s="578">
        <v>43682</v>
      </c>
      <c r="B288" s="603"/>
      <c r="C288" s="569" t="s">
        <v>1390</v>
      </c>
      <c r="D288" s="604"/>
      <c r="E288" s="573"/>
      <c r="F288" s="579">
        <v>2000</v>
      </c>
      <c r="G288" s="574">
        <v>29000</v>
      </c>
      <c r="I288" s="1159"/>
      <c r="J288" s="1"/>
      <c r="K288" s="1"/>
    </row>
    <row r="289" spans="1:11" s="97" customFormat="1" ht="13.5" customHeight="1" thickBot="1" x14ac:dyDescent="0.25">
      <c r="A289" s="587"/>
      <c r="B289" s="588"/>
      <c r="C289" s="589"/>
      <c r="D289" s="590"/>
      <c r="E289" s="591"/>
      <c r="F289" s="591"/>
      <c r="G289" s="592"/>
      <c r="I289" s="30">
        <f>SUM(G252,G201,G154,G118)</f>
        <v>6543.4400000000169</v>
      </c>
      <c r="J289" t="s">
        <v>8083</v>
      </c>
      <c r="K289" s="1"/>
    </row>
    <row r="290" spans="1:11" ht="13.5" customHeight="1" thickBot="1" x14ac:dyDescent="0.25">
      <c r="A290" s="213"/>
      <c r="B290" s="214"/>
      <c r="C290" s="215" t="s">
        <v>539</v>
      </c>
      <c r="D290" s="605"/>
      <c r="E290" s="187"/>
      <c r="F290" s="187"/>
      <c r="G290" s="217" t="s">
        <v>7</v>
      </c>
      <c r="I290" s="1159"/>
    </row>
    <row r="291" spans="1:11" ht="13.5" customHeight="1" x14ac:dyDescent="0.2">
      <c r="A291" s="74" t="s">
        <v>540</v>
      </c>
      <c r="B291" s="74"/>
      <c r="C291" s="218" t="s">
        <v>541</v>
      </c>
      <c r="D291" s="606"/>
      <c r="E291" s="220"/>
      <c r="F291" s="220"/>
      <c r="G291" s="75">
        <v>0</v>
      </c>
      <c r="I291" s="30">
        <f>SUM(F254,E254,F202,E202,F155,E155,F119,E119,)</f>
        <v>-11448.330000000016</v>
      </c>
      <c r="J291" t="s">
        <v>1800</v>
      </c>
    </row>
    <row r="292" spans="1:11" ht="13.5" customHeight="1" x14ac:dyDescent="0.2">
      <c r="A292" s="221" t="s">
        <v>540</v>
      </c>
      <c r="B292" s="70"/>
      <c r="C292" s="63" t="s">
        <v>542</v>
      </c>
      <c r="D292" s="596"/>
      <c r="E292" s="13"/>
      <c r="F292" s="13"/>
      <c r="G292" s="75">
        <v>5914.47</v>
      </c>
      <c r="I292" s="1159"/>
    </row>
    <row r="293" spans="1:11" ht="13.5" customHeight="1" x14ac:dyDescent="0.2">
      <c r="A293" s="70"/>
      <c r="B293" s="70"/>
      <c r="C293" s="222" t="s">
        <v>543</v>
      </c>
      <c r="D293" s="596"/>
      <c r="E293" s="13"/>
      <c r="F293" s="13"/>
      <c r="G293" s="14">
        <v>5914.47</v>
      </c>
      <c r="I293" s="1159"/>
    </row>
    <row r="294" spans="1:11" ht="13.5" customHeight="1" x14ac:dyDescent="0.2">
      <c r="A294" s="70"/>
      <c r="B294" s="70"/>
      <c r="C294" s="63"/>
      <c r="D294" s="596"/>
      <c r="E294" s="13"/>
      <c r="F294" s="13"/>
      <c r="G294" s="14"/>
      <c r="I294" s="1159"/>
    </row>
    <row r="295" spans="1:11" ht="13.5" customHeight="1" x14ac:dyDescent="0.2">
      <c r="A295" s="70"/>
      <c r="B295" s="70"/>
      <c r="C295" s="222" t="s">
        <v>544</v>
      </c>
      <c r="D295" s="596"/>
      <c r="E295" s="13"/>
      <c r="F295" s="13"/>
      <c r="G295" s="14">
        <v>6543.4400000000169</v>
      </c>
      <c r="I295" s="615">
        <f>I287+I291-I289</f>
        <v>-3.0000000024301698E-2</v>
      </c>
      <c r="J295" t="s">
        <v>8084</v>
      </c>
    </row>
    <row r="296" spans="1:11" ht="13.5" customHeight="1" x14ac:dyDescent="0.2">
      <c r="A296" s="70"/>
      <c r="B296" s="70"/>
      <c r="C296" s="63"/>
      <c r="D296" s="596"/>
      <c r="E296" s="13"/>
      <c r="F296" s="13"/>
      <c r="G296" s="75"/>
    </row>
    <row r="297" spans="1:11" ht="13.5" customHeight="1" x14ac:dyDescent="0.2">
      <c r="A297" s="76"/>
      <c r="B297" s="76"/>
      <c r="C297" s="222" t="s">
        <v>545</v>
      </c>
      <c r="D297" s="607"/>
      <c r="E297" s="78"/>
      <c r="F297" s="78"/>
      <c r="G297" s="14">
        <v>12457.910000000018</v>
      </c>
    </row>
    <row r="298" spans="1:11" ht="13.5" customHeight="1" x14ac:dyDescent="0.2">
      <c r="A298" s="76"/>
      <c r="B298" s="76"/>
      <c r="C298" s="78"/>
      <c r="D298" s="607"/>
      <c r="E298" s="78"/>
      <c r="F298" s="78"/>
      <c r="G298" s="75"/>
    </row>
    <row r="299" spans="1:11" ht="13.5" customHeight="1" x14ac:dyDescent="0.2">
      <c r="A299" s="70"/>
      <c r="B299" s="70"/>
      <c r="C299" s="63"/>
      <c r="D299" s="596"/>
      <c r="E299" s="13"/>
      <c r="F299" s="13"/>
      <c r="G299" s="75"/>
    </row>
    <row r="300" spans="1:11" ht="13.5" customHeight="1" x14ac:dyDescent="0.2">
      <c r="A300" s="70"/>
      <c r="B300" s="70"/>
      <c r="C300" s="63"/>
      <c r="D300" s="596"/>
      <c r="E300" s="13"/>
      <c r="F300" s="13"/>
      <c r="G300" s="182"/>
    </row>
    <row r="301" spans="1:11" ht="13.5" customHeight="1" x14ac:dyDescent="0.2">
      <c r="A301" s="70"/>
      <c r="B301" s="70"/>
      <c r="C301" s="63"/>
      <c r="D301" s="596"/>
      <c r="E301" s="13"/>
      <c r="F301" s="13"/>
      <c r="G301" s="182"/>
    </row>
    <row r="302" spans="1:11" ht="13.5" customHeight="1" x14ac:dyDescent="0.2">
      <c r="A302" s="70"/>
      <c r="B302" s="70"/>
      <c r="C302" s="63"/>
      <c r="D302" s="596"/>
      <c r="E302" s="13"/>
      <c r="F302" s="13"/>
      <c r="G302" s="182"/>
    </row>
    <row r="303" spans="1:11" ht="13.5" customHeight="1" x14ac:dyDescent="0.2">
      <c r="A303" s="70"/>
      <c r="B303" s="70"/>
      <c r="C303" s="63"/>
      <c r="D303" s="596"/>
      <c r="E303" s="13"/>
      <c r="F303" s="13"/>
      <c r="G303" s="182"/>
    </row>
    <row r="304" spans="1:11" ht="13.5" customHeight="1" x14ac:dyDescent="0.2">
      <c r="A304" s="70"/>
      <c r="B304" s="70"/>
      <c r="C304" s="63"/>
      <c r="D304" s="596"/>
      <c r="E304" s="13"/>
      <c r="F304" s="13"/>
      <c r="G304" s="182"/>
    </row>
    <row r="305" spans="1:7" ht="13.5" customHeight="1" x14ac:dyDescent="0.2">
      <c r="A305" s="70"/>
      <c r="B305" s="70"/>
      <c r="C305" s="63"/>
      <c r="D305" s="596"/>
      <c r="E305" s="13"/>
      <c r="F305" s="13"/>
      <c r="G305" s="182"/>
    </row>
    <row r="306" spans="1:7" ht="13.5" customHeight="1" x14ac:dyDescent="0.2">
      <c r="A306" s="70"/>
      <c r="B306" s="70"/>
      <c r="C306" s="63"/>
      <c r="D306" s="596"/>
      <c r="E306" s="13"/>
      <c r="F306" s="13"/>
      <c r="G306" s="182"/>
    </row>
    <row r="307" spans="1:7" ht="13.5" customHeight="1" x14ac:dyDescent="0.2">
      <c r="A307" s="70"/>
      <c r="B307" s="70"/>
      <c r="C307" s="63"/>
      <c r="D307" s="596"/>
      <c r="E307" s="13"/>
      <c r="F307" s="13"/>
      <c r="G307" s="182"/>
    </row>
    <row r="308" spans="1:7" ht="13.5" customHeight="1" x14ac:dyDescent="0.2">
      <c r="A308" s="70"/>
      <c r="B308" s="70"/>
      <c r="C308" s="63"/>
      <c r="D308" s="596"/>
      <c r="E308" s="13"/>
      <c r="F308" s="13"/>
      <c r="G308" s="182"/>
    </row>
    <row r="309" spans="1:7" ht="13.5" customHeight="1" x14ac:dyDescent="0.2">
      <c r="A309" s="70"/>
      <c r="B309" s="70"/>
      <c r="C309" s="63"/>
      <c r="D309" s="596"/>
      <c r="E309" s="13"/>
      <c r="F309" s="13"/>
      <c r="G309" s="182"/>
    </row>
    <row r="310" spans="1:7" ht="13.5" customHeight="1" x14ac:dyDescent="0.2">
      <c r="A310" s="70"/>
      <c r="B310" s="70"/>
      <c r="C310" s="63"/>
      <c r="D310" s="596"/>
      <c r="E310" s="13"/>
      <c r="F310" s="13"/>
      <c r="G310" s="182"/>
    </row>
    <row r="311" spans="1:7" ht="13.5" customHeight="1" x14ac:dyDescent="0.2">
      <c r="A311" s="70"/>
      <c r="B311" s="70"/>
      <c r="C311" s="63"/>
      <c r="D311" s="596"/>
      <c r="E311" s="13"/>
      <c r="F311" s="13"/>
      <c r="G311" s="182"/>
    </row>
    <row r="312" spans="1:7" ht="13.5" customHeight="1" x14ac:dyDescent="0.2">
      <c r="A312" s="70"/>
      <c r="B312" s="70"/>
      <c r="C312" s="63"/>
      <c r="D312" s="596"/>
      <c r="E312" s="13"/>
      <c r="F312" s="13"/>
      <c r="G312" s="182"/>
    </row>
    <row r="313" spans="1:7" ht="13.5" customHeight="1" x14ac:dyDescent="0.2">
      <c r="A313" s="70"/>
      <c r="B313" s="70"/>
      <c r="C313" s="63"/>
      <c r="D313" s="596"/>
      <c r="E313" s="13"/>
      <c r="F313" s="13"/>
      <c r="G313" s="182"/>
    </row>
    <row r="314" spans="1:7" ht="13.5" customHeight="1" x14ac:dyDescent="0.2">
      <c r="A314" s="70"/>
      <c r="B314" s="70"/>
      <c r="C314" s="63"/>
      <c r="D314" s="596"/>
      <c r="E314" s="13"/>
      <c r="F314" s="13"/>
      <c r="G314" s="182"/>
    </row>
    <row r="315" spans="1:7" ht="13.5" customHeight="1" x14ac:dyDescent="0.2">
      <c r="A315" s="70"/>
      <c r="B315" s="70"/>
      <c r="C315" s="63"/>
      <c r="D315" s="596"/>
      <c r="E315" s="13"/>
      <c r="F315" s="13"/>
      <c r="G315" s="182"/>
    </row>
    <row r="316" spans="1:7" ht="13.5" customHeight="1" x14ac:dyDescent="0.2">
      <c r="A316" s="70"/>
      <c r="B316" s="70"/>
      <c r="C316" s="63"/>
      <c r="D316" s="596"/>
      <c r="E316" s="13"/>
      <c r="F316" s="13"/>
      <c r="G316" s="182"/>
    </row>
    <row r="317" spans="1:7" ht="13.5" customHeight="1" x14ac:dyDescent="0.2">
      <c r="A317" s="70"/>
      <c r="B317" s="70"/>
      <c r="C317" s="63"/>
      <c r="D317" s="596"/>
      <c r="E317" s="13"/>
      <c r="F317" s="13"/>
      <c r="G317" s="182"/>
    </row>
    <row r="318" spans="1:7" ht="13.5" customHeight="1" x14ac:dyDescent="0.2">
      <c r="A318" s="70"/>
      <c r="B318" s="70"/>
      <c r="C318" s="63"/>
      <c r="D318" s="596"/>
      <c r="E318" s="13"/>
      <c r="F318" s="13"/>
      <c r="G318" s="182"/>
    </row>
    <row r="319" spans="1:7" ht="13.5" customHeight="1" x14ac:dyDescent="0.2">
      <c r="A319" s="70"/>
      <c r="B319" s="70"/>
      <c r="C319" s="63"/>
      <c r="D319" s="596"/>
      <c r="E319" s="13"/>
      <c r="F319" s="13"/>
      <c r="G319" s="182"/>
    </row>
    <row r="320" spans="1:7" ht="13.5" customHeight="1" x14ac:dyDescent="0.2">
      <c r="A320" s="70"/>
      <c r="B320" s="70"/>
      <c r="C320" s="63"/>
      <c r="D320" s="596"/>
      <c r="E320" s="13"/>
      <c r="F320" s="13"/>
      <c r="G320" s="182"/>
    </row>
    <row r="321" spans="1:7" ht="13.5" customHeight="1" x14ac:dyDescent="0.2">
      <c r="A321" s="70"/>
      <c r="B321" s="70"/>
      <c r="C321" s="63"/>
      <c r="D321" s="596"/>
      <c r="E321" s="13"/>
      <c r="F321" s="13"/>
      <c r="G321" s="182"/>
    </row>
    <row r="322" spans="1:7" ht="13.5" customHeight="1" x14ac:dyDescent="0.2">
      <c r="A322" s="70"/>
      <c r="B322" s="70"/>
      <c r="C322" s="63"/>
      <c r="D322" s="596"/>
      <c r="E322" s="13"/>
      <c r="F322" s="13"/>
      <c r="G322" s="182"/>
    </row>
    <row r="323" spans="1:7" ht="13.5" customHeight="1" x14ac:dyDescent="0.2">
      <c r="A323" s="70"/>
      <c r="B323" s="70"/>
      <c r="C323" s="63"/>
      <c r="D323" s="596"/>
      <c r="E323" s="13"/>
      <c r="F323" s="13"/>
      <c r="G323" s="182"/>
    </row>
    <row r="324" spans="1:7" ht="13.5" customHeight="1" x14ac:dyDescent="0.2">
      <c r="A324" s="70"/>
      <c r="B324" s="70"/>
      <c r="C324" s="63"/>
      <c r="D324" s="596"/>
      <c r="E324" s="13"/>
      <c r="F324" s="13"/>
      <c r="G324" s="182"/>
    </row>
    <row r="325" spans="1:7" ht="13.5" customHeight="1" x14ac:dyDescent="0.2">
      <c r="A325" s="70"/>
      <c r="B325" s="70"/>
      <c r="C325" s="63"/>
      <c r="D325" s="596"/>
      <c r="E325" s="13"/>
      <c r="F325" s="13"/>
      <c r="G325" s="182"/>
    </row>
    <row r="326" spans="1:7" ht="13.5" customHeight="1" x14ac:dyDescent="0.2">
      <c r="A326" s="70"/>
      <c r="B326" s="70"/>
      <c r="C326" s="63"/>
      <c r="D326" s="596"/>
      <c r="E326" s="13"/>
      <c r="F326" s="13"/>
      <c r="G326" s="182"/>
    </row>
    <row r="327" spans="1:7" ht="13.5" customHeight="1" x14ac:dyDescent="0.2">
      <c r="A327" s="131"/>
      <c r="B327" s="70"/>
      <c r="C327" s="64"/>
      <c r="D327" s="596"/>
      <c r="E327" s="13"/>
      <c r="F327" s="13"/>
      <c r="G327" s="182"/>
    </row>
    <row r="328" spans="1:7" ht="13.5" customHeight="1" x14ac:dyDescent="0.2">
      <c r="A328" s="70"/>
      <c r="B328" s="70"/>
      <c r="C328" s="63"/>
      <c r="D328" s="596"/>
      <c r="E328" s="13"/>
      <c r="F328" s="13"/>
      <c r="G328" s="182"/>
    </row>
    <row r="329" spans="1:7" ht="13.5" customHeight="1" x14ac:dyDescent="0.2">
      <c r="A329" s="70"/>
      <c r="B329" s="70"/>
      <c r="C329" s="63"/>
      <c r="D329" s="596"/>
      <c r="E329" s="13"/>
      <c r="F329" s="13"/>
      <c r="G329" s="182"/>
    </row>
    <row r="330" spans="1:7" ht="13.5" customHeight="1" x14ac:dyDescent="0.2">
      <c r="A330" s="131"/>
      <c r="B330" s="70"/>
      <c r="C330" s="85"/>
      <c r="D330" s="596"/>
      <c r="E330" s="13"/>
      <c r="F330" s="13"/>
      <c r="G330" s="182"/>
    </row>
    <row r="331" spans="1:7" ht="13.5" customHeight="1" x14ac:dyDescent="0.2">
      <c r="A331" s="131"/>
      <c r="B331" s="70"/>
      <c r="C331" s="63"/>
      <c r="D331" s="596"/>
      <c r="E331" s="13"/>
      <c r="F331" s="13"/>
      <c r="G331" s="182"/>
    </row>
    <row r="332" spans="1:7" ht="13.5" customHeight="1" x14ac:dyDescent="0.2">
      <c r="A332" s="131"/>
      <c r="B332" s="70"/>
      <c r="C332" s="63"/>
      <c r="D332" s="596"/>
      <c r="E332" s="13"/>
      <c r="F332" s="13"/>
      <c r="G332" s="182"/>
    </row>
    <row r="333" spans="1:7" ht="13.5" customHeight="1" x14ac:dyDescent="0.2">
      <c r="A333" s="131"/>
      <c r="B333" s="70"/>
      <c r="C333" s="64"/>
      <c r="D333" s="596"/>
      <c r="E333" s="13"/>
      <c r="F333" s="13"/>
      <c r="G333" s="182"/>
    </row>
    <row r="334" spans="1:7" ht="13.5" customHeight="1" x14ac:dyDescent="0.2">
      <c r="A334" s="70"/>
      <c r="B334" s="70"/>
      <c r="C334" s="63"/>
      <c r="D334" s="596"/>
      <c r="E334" s="13"/>
      <c r="F334" s="13"/>
      <c r="G334" s="182"/>
    </row>
    <row r="335" spans="1:7" ht="13.5" customHeight="1" x14ac:dyDescent="0.2">
      <c r="A335" s="131"/>
      <c r="B335" s="70"/>
      <c r="C335" s="63"/>
      <c r="D335" s="596"/>
      <c r="E335" s="13"/>
      <c r="F335" s="13"/>
      <c r="G335" s="182"/>
    </row>
    <row r="336" spans="1:7" ht="13.5" customHeight="1" x14ac:dyDescent="0.2">
      <c r="A336" s="131"/>
      <c r="B336" s="70"/>
      <c r="C336" s="64"/>
      <c r="D336" s="596"/>
      <c r="E336" s="13"/>
      <c r="F336" s="13"/>
      <c r="G336" s="182"/>
    </row>
    <row r="337" spans="1:7" ht="13.5" customHeight="1" x14ac:dyDescent="0.2">
      <c r="A337" s="70"/>
      <c r="B337" s="70"/>
      <c r="C337" s="63"/>
      <c r="D337" s="596"/>
      <c r="E337" s="13"/>
      <c r="F337" s="13"/>
      <c r="G337" s="182"/>
    </row>
    <row r="338" spans="1:7" ht="13.5" customHeight="1" x14ac:dyDescent="0.2">
      <c r="A338" s="131"/>
      <c r="B338" s="70"/>
      <c r="C338" s="63"/>
      <c r="D338" s="596"/>
      <c r="E338" s="13"/>
      <c r="F338" s="13"/>
      <c r="G338" s="182"/>
    </row>
    <row r="339" spans="1:7" ht="13.5" customHeight="1" x14ac:dyDescent="0.2">
      <c r="A339" s="131"/>
      <c r="B339" s="70"/>
      <c r="C339" s="64"/>
      <c r="D339" s="596"/>
      <c r="E339" s="13"/>
      <c r="F339" s="13"/>
      <c r="G339" s="182"/>
    </row>
    <row r="340" spans="1:7" ht="13.5" customHeight="1" x14ac:dyDescent="0.2">
      <c r="A340" s="70"/>
      <c r="B340" s="70"/>
      <c r="C340" s="63"/>
      <c r="D340" s="596"/>
      <c r="E340" s="13"/>
      <c r="F340" s="13"/>
      <c r="G340" s="182"/>
    </row>
    <row r="341" spans="1:7" ht="13.5" customHeight="1" x14ac:dyDescent="0.2">
      <c r="A341" s="70"/>
      <c r="B341" s="70"/>
      <c r="C341" s="63"/>
      <c r="D341" s="596"/>
      <c r="E341" s="13"/>
      <c r="F341" s="13"/>
      <c r="G341" s="182"/>
    </row>
    <row r="342" spans="1:7" ht="13.5" customHeight="1" x14ac:dyDescent="0.2">
      <c r="A342" s="70"/>
      <c r="B342" s="70"/>
      <c r="C342" s="63"/>
      <c r="D342" s="596"/>
      <c r="E342" s="13"/>
      <c r="F342" s="13"/>
      <c r="G342" s="182"/>
    </row>
    <row r="343" spans="1:7" ht="13.5" customHeight="1" x14ac:dyDescent="0.2">
      <c r="A343" s="131"/>
      <c r="B343" s="70"/>
      <c r="C343" s="86"/>
      <c r="D343" s="596"/>
      <c r="E343" s="13"/>
      <c r="F343" s="13"/>
      <c r="G343" s="182"/>
    </row>
    <row r="344" spans="1:7" ht="13.5" customHeight="1" x14ac:dyDescent="0.2">
      <c r="A344" s="131"/>
      <c r="B344" s="70"/>
      <c r="C344" s="85"/>
      <c r="D344" s="596"/>
      <c r="E344" s="13"/>
      <c r="F344" s="13"/>
      <c r="G344" s="182"/>
    </row>
    <row r="345" spans="1:7" ht="13.5" customHeight="1" x14ac:dyDescent="0.2">
      <c r="A345" s="131"/>
      <c r="B345" s="70"/>
      <c r="C345" s="87"/>
      <c r="D345" s="596"/>
      <c r="E345" s="13"/>
      <c r="F345" s="13"/>
      <c r="G345" s="182"/>
    </row>
    <row r="346" spans="1:7" ht="13.5" customHeight="1" x14ac:dyDescent="0.2">
      <c r="A346" s="131"/>
      <c r="B346" s="70"/>
      <c r="C346" s="88"/>
      <c r="D346" s="596"/>
      <c r="E346" s="13"/>
      <c r="F346" s="13"/>
      <c r="G346" s="182"/>
    </row>
    <row r="347" spans="1:7" ht="13.5" customHeight="1" x14ac:dyDescent="0.2">
      <c r="A347" s="91"/>
      <c r="B347" s="9"/>
      <c r="C347" s="56"/>
      <c r="D347" s="42"/>
      <c r="E347" s="12"/>
      <c r="F347" s="12"/>
      <c r="G347" s="182"/>
    </row>
    <row r="348" spans="1:7" ht="13.5" customHeight="1" x14ac:dyDescent="0.2">
      <c r="A348" s="9"/>
      <c r="B348" s="9"/>
      <c r="C348" s="56"/>
      <c r="D348" s="42"/>
      <c r="E348" s="12"/>
      <c r="F348" s="12"/>
      <c r="G348" s="182"/>
    </row>
    <row r="349" spans="1:7" ht="13.5" customHeight="1" x14ac:dyDescent="0.2">
      <c r="A349" s="9"/>
      <c r="B349" s="9"/>
      <c r="C349" s="56"/>
      <c r="D349" s="42"/>
      <c r="E349" s="12"/>
      <c r="F349" s="12"/>
      <c r="G349" s="182"/>
    </row>
    <row r="350" spans="1:7" ht="13.5" customHeight="1" x14ac:dyDescent="0.2">
      <c r="A350" s="91"/>
      <c r="B350" s="9"/>
      <c r="D350" s="42"/>
      <c r="E350" s="12"/>
      <c r="F350" s="12"/>
      <c r="G350" s="182"/>
    </row>
    <row r="351" spans="1:7" ht="13.5" customHeight="1" x14ac:dyDescent="0.2">
      <c r="A351" s="9"/>
      <c r="B351" s="9"/>
      <c r="C351" s="56"/>
      <c r="D351" s="42"/>
      <c r="E351" s="12"/>
      <c r="F351" s="12"/>
      <c r="G351" s="182"/>
    </row>
    <row r="352" spans="1:7" ht="13.5" customHeight="1" x14ac:dyDescent="0.2">
      <c r="A352" s="9"/>
      <c r="B352" s="9"/>
      <c r="C352" s="56"/>
      <c r="D352" s="42"/>
      <c r="E352" s="12"/>
      <c r="F352" s="12"/>
      <c r="G352" s="182"/>
    </row>
    <row r="353" spans="1:7" ht="13.5" customHeight="1" x14ac:dyDescent="0.2">
      <c r="A353" s="9"/>
      <c r="B353" s="9"/>
      <c r="C353" s="56"/>
      <c r="D353" s="42"/>
      <c r="E353" s="12"/>
      <c r="F353" s="12"/>
      <c r="G353" s="182"/>
    </row>
    <row r="354" spans="1:7" ht="13.5" customHeight="1" x14ac:dyDescent="0.2">
      <c r="A354" s="91"/>
      <c r="B354" s="9"/>
      <c r="C354" s="27"/>
      <c r="D354" s="42"/>
      <c r="E354" s="12"/>
      <c r="F354" s="12"/>
      <c r="G354" s="182"/>
    </row>
    <row r="355" spans="1:7" ht="13.5" customHeight="1" x14ac:dyDescent="0.2">
      <c r="A355" s="91"/>
      <c r="B355" s="9"/>
      <c r="C355" s="27"/>
      <c r="D355" s="42"/>
      <c r="E355" s="12"/>
      <c r="F355" s="12"/>
      <c r="G355" s="182"/>
    </row>
    <row r="356" spans="1:7" ht="13.5" customHeight="1" x14ac:dyDescent="0.2">
      <c r="A356" s="91"/>
      <c r="B356" s="9"/>
      <c r="D356" s="42"/>
      <c r="E356" s="12"/>
      <c r="F356" s="12"/>
      <c r="G356" s="182"/>
    </row>
    <row r="357" spans="1:7" ht="13.5" customHeight="1" x14ac:dyDescent="0.2">
      <c r="A357" s="9"/>
      <c r="B357" s="9"/>
      <c r="C357" s="56"/>
      <c r="D357" s="42"/>
      <c r="E357" s="12"/>
      <c r="F357" s="12"/>
      <c r="G357" s="182"/>
    </row>
    <row r="358" spans="1:7" ht="13.5" customHeight="1" x14ac:dyDescent="0.2">
      <c r="A358" s="9"/>
      <c r="B358" s="9"/>
      <c r="C358" s="56"/>
      <c r="D358" s="42"/>
      <c r="E358" s="12"/>
      <c r="F358" s="12"/>
      <c r="G358" s="182"/>
    </row>
    <row r="359" spans="1:7" ht="13.5" customHeight="1" x14ac:dyDescent="0.2">
      <c r="A359" s="9"/>
      <c r="B359" s="9"/>
      <c r="C359" s="56"/>
      <c r="D359" s="42"/>
      <c r="E359" s="12"/>
      <c r="F359" s="12"/>
      <c r="G359" s="182"/>
    </row>
    <row r="360" spans="1:7" ht="13.5" customHeight="1" x14ac:dyDescent="0.2">
      <c r="A360" s="9"/>
      <c r="B360" s="9"/>
      <c r="C360" s="56"/>
      <c r="D360" s="42"/>
      <c r="E360" s="12"/>
      <c r="F360" s="12"/>
      <c r="G360" s="182"/>
    </row>
    <row r="361" spans="1:7" x14ac:dyDescent="0.2">
      <c r="A361" s="132"/>
      <c r="B361" s="93"/>
      <c r="C361" s="94"/>
      <c r="D361" s="608"/>
      <c r="E361" s="27"/>
      <c r="F361" s="27"/>
      <c r="G361" s="182"/>
    </row>
  </sheetData>
  <mergeCells count="3">
    <mergeCell ref="A1:C1"/>
    <mergeCell ref="D1:G1"/>
    <mergeCell ref="H203:J203"/>
  </mergeCells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B339"/>
  <sheetViews>
    <sheetView topLeftCell="A43" zoomScale="80" zoomScaleNormal="80" workbookViewId="0">
      <selection activeCell="B54" sqref="B54"/>
    </sheetView>
  </sheetViews>
  <sheetFormatPr defaultColWidth="9" defaultRowHeight="12.75" x14ac:dyDescent="0.2"/>
  <cols>
    <col min="1" max="1" width="12.5" style="1" customWidth="1"/>
    <col min="2" max="2" width="99.25" style="1" customWidth="1"/>
    <col min="3" max="3" width="12.75" style="27" customWidth="1"/>
    <col min="4" max="4" width="13" style="622" customWidth="1"/>
    <col min="5" max="5" width="12" style="1" customWidth="1"/>
    <col min="6" max="6" width="12.375" style="1" customWidth="1"/>
    <col min="7" max="7" width="11.25" style="1" bestFit="1" customWidth="1"/>
    <col min="8" max="9" width="9" style="1"/>
    <col min="10" max="10" width="11.625" style="1" customWidth="1"/>
    <col min="11" max="16384" width="9" style="1"/>
  </cols>
  <sheetData>
    <row r="1" spans="1:10" x14ac:dyDescent="0.2">
      <c r="F1" s="97" t="s">
        <v>218</v>
      </c>
      <c r="G1" s="97" t="s">
        <v>219</v>
      </c>
      <c r="H1" s="97" t="s">
        <v>220</v>
      </c>
      <c r="I1" s="97" t="s">
        <v>221</v>
      </c>
      <c r="J1" s="97" t="s">
        <v>222</v>
      </c>
    </row>
    <row r="2" spans="1:10" ht="13.5" customHeight="1" x14ac:dyDescent="0.2">
      <c r="A2" s="126" t="s">
        <v>240</v>
      </c>
      <c r="B2" s="36" t="s">
        <v>2580</v>
      </c>
      <c r="C2" s="30"/>
      <c r="D2" s="12">
        <v>950.00000000000011</v>
      </c>
      <c r="F2" s="12">
        <v>1058.6300000000001</v>
      </c>
      <c r="G2" s="25">
        <v>90</v>
      </c>
      <c r="H2" s="402"/>
      <c r="I2" s="402">
        <v>18.63</v>
      </c>
      <c r="J2" s="104">
        <f>F2-G2-H2-I2</f>
        <v>950.00000000000011</v>
      </c>
    </row>
    <row r="3" spans="1:10" ht="13.5" customHeight="1" x14ac:dyDescent="0.2">
      <c r="A3" s="126" t="s">
        <v>240</v>
      </c>
      <c r="B3" s="36" t="s">
        <v>2545</v>
      </c>
      <c r="C3" s="30"/>
      <c r="D3" s="622">
        <v>1050</v>
      </c>
      <c r="F3" s="622">
        <v>1168.05</v>
      </c>
      <c r="G3" s="25">
        <v>90</v>
      </c>
      <c r="H3" s="402"/>
      <c r="I3" s="402">
        <v>28.05</v>
      </c>
      <c r="J3" s="104">
        <f t="shared" ref="J3:J12" si="0">F3-G3-H3-I3</f>
        <v>1050</v>
      </c>
    </row>
    <row r="4" spans="1:10" ht="13.5" customHeight="1" x14ac:dyDescent="0.2">
      <c r="A4" s="126" t="s">
        <v>240</v>
      </c>
      <c r="B4" s="36" t="s">
        <v>2635</v>
      </c>
      <c r="C4" s="30"/>
      <c r="D4" s="622">
        <v>1122</v>
      </c>
      <c r="F4" s="622">
        <v>1232.72</v>
      </c>
      <c r="G4" s="25">
        <v>90</v>
      </c>
      <c r="H4" s="402">
        <v>20.72</v>
      </c>
      <c r="I4" s="402"/>
      <c r="J4" s="104">
        <f t="shared" si="0"/>
        <v>1122</v>
      </c>
    </row>
    <row r="5" spans="1:10" ht="13.5" customHeight="1" x14ac:dyDescent="0.2">
      <c r="A5" s="126" t="s">
        <v>240</v>
      </c>
      <c r="B5" s="36" t="s">
        <v>2574</v>
      </c>
      <c r="C5" s="30"/>
      <c r="D5" s="622">
        <v>1399.72</v>
      </c>
      <c r="F5" s="622">
        <v>1518</v>
      </c>
      <c r="G5" s="25">
        <v>90</v>
      </c>
      <c r="H5" s="402"/>
      <c r="I5" s="402">
        <v>28.28</v>
      </c>
      <c r="J5" s="104">
        <f t="shared" si="0"/>
        <v>1399.72</v>
      </c>
    </row>
    <row r="6" spans="1:10" ht="13.5" customHeight="1" x14ac:dyDescent="0.2">
      <c r="A6" s="126" t="s">
        <v>240</v>
      </c>
      <c r="B6" s="36" t="s">
        <v>9</v>
      </c>
      <c r="C6" s="30"/>
      <c r="D6" s="622">
        <v>900</v>
      </c>
      <c r="F6" s="622">
        <v>900</v>
      </c>
      <c r="G6" s="25"/>
      <c r="H6" s="402"/>
      <c r="I6" s="402"/>
      <c r="J6" s="104">
        <f t="shared" si="0"/>
        <v>900</v>
      </c>
    </row>
    <row r="7" spans="1:10" ht="13.5" customHeight="1" x14ac:dyDescent="0.2">
      <c r="A7" s="126" t="s">
        <v>240</v>
      </c>
      <c r="B7" s="36" t="s">
        <v>619</v>
      </c>
      <c r="C7" s="30"/>
      <c r="D7" s="622">
        <v>360</v>
      </c>
      <c r="F7" s="622">
        <v>360</v>
      </c>
      <c r="G7" s="25"/>
      <c r="H7" s="402"/>
      <c r="I7" s="402"/>
      <c r="J7" s="104">
        <f t="shared" si="0"/>
        <v>360</v>
      </c>
    </row>
    <row r="8" spans="1:10" ht="13.5" customHeight="1" x14ac:dyDescent="0.2">
      <c r="A8" s="126" t="s">
        <v>240</v>
      </c>
      <c r="B8" s="36" t="s">
        <v>2564</v>
      </c>
      <c r="C8" s="30"/>
      <c r="D8" s="622">
        <v>1500</v>
      </c>
      <c r="F8" s="622">
        <v>1500</v>
      </c>
      <c r="G8" s="25"/>
      <c r="H8" s="402"/>
      <c r="I8" s="402"/>
      <c r="J8" s="104">
        <f t="shared" si="0"/>
        <v>1500</v>
      </c>
    </row>
    <row r="9" spans="1:10" ht="13.5" customHeight="1" x14ac:dyDescent="0.2">
      <c r="A9" s="126" t="s">
        <v>240</v>
      </c>
      <c r="B9" s="34" t="s">
        <v>2582</v>
      </c>
      <c r="C9" s="30"/>
      <c r="D9" s="622">
        <v>450</v>
      </c>
      <c r="F9" s="622">
        <v>450</v>
      </c>
      <c r="G9" s="25"/>
      <c r="H9" s="402"/>
      <c r="I9" s="402"/>
      <c r="J9" s="104">
        <f t="shared" si="0"/>
        <v>450</v>
      </c>
    </row>
    <row r="10" spans="1:10" ht="13.5" customHeight="1" x14ac:dyDescent="0.2">
      <c r="A10" s="126" t="s">
        <v>240</v>
      </c>
      <c r="B10" s="36" t="s">
        <v>2553</v>
      </c>
      <c r="C10" s="30"/>
      <c r="D10" s="622">
        <v>1000</v>
      </c>
      <c r="F10" s="622">
        <v>1000</v>
      </c>
      <c r="G10" s="25"/>
      <c r="H10" s="402"/>
      <c r="I10" s="402"/>
      <c r="J10" s="104">
        <f t="shared" si="0"/>
        <v>1000</v>
      </c>
    </row>
    <row r="11" spans="1:10" ht="13.5" customHeight="1" x14ac:dyDescent="0.2">
      <c r="A11" s="126" t="s">
        <v>240</v>
      </c>
      <c r="B11" s="36" t="s">
        <v>2577</v>
      </c>
      <c r="C11" s="30"/>
      <c r="D11" s="622">
        <v>3765</v>
      </c>
      <c r="F11" s="622">
        <v>3855.73</v>
      </c>
      <c r="G11" s="25"/>
      <c r="H11" s="402"/>
      <c r="I11" s="402">
        <v>90.73</v>
      </c>
      <c r="J11" s="104">
        <f t="shared" si="0"/>
        <v>3765</v>
      </c>
    </row>
    <row r="12" spans="1:10" ht="13.5" customHeight="1" x14ac:dyDescent="0.2">
      <c r="A12" s="126" t="s">
        <v>240</v>
      </c>
      <c r="B12" s="36" t="s">
        <v>2575</v>
      </c>
      <c r="C12" s="30"/>
      <c r="D12" s="12">
        <v>2204.87</v>
      </c>
      <c r="F12" s="622">
        <v>2260.15</v>
      </c>
      <c r="G12" s="25"/>
      <c r="H12" s="402"/>
      <c r="I12" s="402">
        <v>55.28</v>
      </c>
      <c r="J12" s="104">
        <f t="shared" si="0"/>
        <v>2204.87</v>
      </c>
    </row>
    <row r="13" spans="1:10" ht="13.5" customHeight="1" x14ac:dyDescent="0.2">
      <c r="A13" s="126" t="s">
        <v>240</v>
      </c>
      <c r="B13" s="34" t="s">
        <v>2573</v>
      </c>
      <c r="C13" s="30"/>
      <c r="D13" s="622">
        <v>5075</v>
      </c>
      <c r="F13" s="622">
        <v>5075</v>
      </c>
      <c r="G13" s="25"/>
      <c r="H13" s="402"/>
      <c r="I13" s="402"/>
      <c r="J13" s="104">
        <f>F13-G13-H13-I13</f>
        <v>5075</v>
      </c>
    </row>
    <row r="14" spans="1:10" ht="13.5" customHeight="1" x14ac:dyDescent="0.2">
      <c r="A14" s="126" t="s">
        <v>240</v>
      </c>
      <c r="B14" s="34" t="s">
        <v>2562</v>
      </c>
      <c r="C14" s="30"/>
      <c r="D14" s="623">
        <v>250</v>
      </c>
      <c r="F14" s="399"/>
      <c r="G14" s="107">
        <f>SUM(G2:G13)</f>
        <v>360</v>
      </c>
      <c r="H14" s="107">
        <f>SUM(H2:H13)</f>
        <v>20.72</v>
      </c>
      <c r="I14" s="107">
        <f>SUM(I2:I13)</f>
        <v>220.97</v>
      </c>
    </row>
    <row r="15" spans="1:10" ht="13.5" customHeight="1" x14ac:dyDescent="0.2">
      <c r="A15" s="126" t="s">
        <v>240</v>
      </c>
      <c r="B15" s="34" t="s">
        <v>2565</v>
      </c>
      <c r="C15" s="30"/>
      <c r="D15" s="623">
        <v>250</v>
      </c>
      <c r="E15" s="377"/>
    </row>
    <row r="16" spans="1:10" ht="13.5" customHeight="1" x14ac:dyDescent="0.2">
      <c r="A16" s="126" t="s">
        <v>240</v>
      </c>
      <c r="B16" s="36" t="s">
        <v>2568</v>
      </c>
      <c r="C16" s="30"/>
      <c r="D16" s="623">
        <v>200</v>
      </c>
    </row>
    <row r="17" spans="1:10" ht="13.5" customHeight="1" x14ac:dyDescent="0.2">
      <c r="A17" s="126" t="s">
        <v>240</v>
      </c>
      <c r="B17" s="36" t="s">
        <v>2600</v>
      </c>
      <c r="C17" s="30"/>
      <c r="D17" s="623">
        <v>220</v>
      </c>
    </row>
    <row r="18" spans="1:10" ht="13.5" customHeight="1" x14ac:dyDescent="0.2">
      <c r="A18" s="126" t="s">
        <v>240</v>
      </c>
      <c r="B18" s="36" t="s">
        <v>2546</v>
      </c>
      <c r="C18" s="30"/>
      <c r="D18" s="623">
        <v>150</v>
      </c>
    </row>
    <row r="19" spans="1:10" ht="13.5" customHeight="1" x14ac:dyDescent="0.2">
      <c r="A19" s="126" t="s">
        <v>240</v>
      </c>
      <c r="B19" s="36" t="s">
        <v>2579</v>
      </c>
      <c r="C19" s="30"/>
      <c r="D19" s="623">
        <v>250</v>
      </c>
    </row>
    <row r="20" spans="1:10" ht="13.5" customHeight="1" x14ac:dyDescent="0.2">
      <c r="A20" s="126" t="s">
        <v>240</v>
      </c>
      <c r="B20" s="36" t="s">
        <v>2578</v>
      </c>
      <c r="C20" s="30"/>
      <c r="D20" s="623">
        <v>200</v>
      </c>
    </row>
    <row r="21" spans="1:10" ht="13.5" customHeight="1" x14ac:dyDescent="0.2">
      <c r="A21" s="126" t="s">
        <v>240</v>
      </c>
      <c r="B21" s="36" t="s">
        <v>2544</v>
      </c>
      <c r="C21" s="30"/>
      <c r="D21" s="623">
        <v>220</v>
      </c>
    </row>
    <row r="22" spans="1:10" ht="13.5" customHeight="1" x14ac:dyDescent="0.2">
      <c r="A22" s="126" t="s">
        <v>240</v>
      </c>
      <c r="B22" s="36" t="s">
        <v>2601</v>
      </c>
      <c r="C22" s="30"/>
      <c r="D22" s="623">
        <v>80</v>
      </c>
    </row>
    <row r="23" spans="1:10" ht="13.5" customHeight="1" x14ac:dyDescent="0.2">
      <c r="A23" s="126" t="s">
        <v>240</v>
      </c>
      <c r="B23" s="36" t="s">
        <v>2563</v>
      </c>
      <c r="C23" s="30"/>
      <c r="D23" s="623">
        <v>60</v>
      </c>
      <c r="E23" s="624">
        <f>SUM(D14:D23)</f>
        <v>1880</v>
      </c>
    </row>
    <row r="24" spans="1:10" ht="13.5" customHeight="1" x14ac:dyDescent="0.2">
      <c r="A24" s="126" t="s">
        <v>240</v>
      </c>
      <c r="B24" s="36" t="s">
        <v>1792</v>
      </c>
      <c r="C24" s="30"/>
      <c r="D24" s="626">
        <f>I14</f>
        <v>220.97</v>
      </c>
      <c r="E24" s="627"/>
    </row>
    <row r="25" spans="1:10" ht="13.5" customHeight="1" x14ac:dyDescent="0.2">
      <c r="A25" s="126"/>
      <c r="B25" s="36"/>
      <c r="C25" s="30"/>
      <c r="D25" s="625">
        <f>SUM(D2:D24)</f>
        <v>21877.56</v>
      </c>
    </row>
    <row r="26" spans="1:10" ht="13.5" customHeight="1" x14ac:dyDescent="0.2">
      <c r="A26" s="126"/>
      <c r="B26" s="36"/>
      <c r="C26" s="30"/>
    </row>
    <row r="27" spans="1:10" ht="13.5" customHeight="1" x14ac:dyDescent="0.2">
      <c r="A27" s="126" t="s">
        <v>240</v>
      </c>
      <c r="B27" s="36" t="s">
        <v>2628</v>
      </c>
      <c r="C27" s="30"/>
      <c r="D27" s="622">
        <v>900</v>
      </c>
      <c r="F27" s="100">
        <v>900</v>
      </c>
      <c r="G27" s="109"/>
      <c r="H27" s="109"/>
      <c r="I27" s="109"/>
      <c r="J27" s="104">
        <f>F27-G27-H27-I27</f>
        <v>900</v>
      </c>
    </row>
    <row r="28" spans="1:10" ht="13.5" customHeight="1" x14ac:dyDescent="0.2">
      <c r="A28" s="126" t="s">
        <v>240</v>
      </c>
      <c r="B28" s="36" t="s">
        <v>2547</v>
      </c>
      <c r="C28" s="30"/>
      <c r="D28" s="622">
        <v>900</v>
      </c>
      <c r="F28" s="100">
        <v>900</v>
      </c>
      <c r="G28" s="109"/>
      <c r="H28" s="109"/>
      <c r="I28" s="109"/>
      <c r="J28" s="104">
        <f>F28-G28-H28-I28</f>
        <v>900</v>
      </c>
    </row>
    <row r="29" spans="1:10" ht="13.5" customHeight="1" x14ac:dyDescent="0.2">
      <c r="A29" s="126" t="s">
        <v>240</v>
      </c>
      <c r="B29" s="36" t="s">
        <v>2585</v>
      </c>
      <c r="C29" s="30"/>
      <c r="D29" s="622">
        <v>7750</v>
      </c>
      <c r="F29" s="100">
        <v>8059.75</v>
      </c>
      <c r="G29" s="109"/>
      <c r="H29" s="109"/>
      <c r="I29" s="109">
        <v>309.75</v>
      </c>
      <c r="J29" s="104">
        <f>F29-G29-H29-I29</f>
        <v>7750</v>
      </c>
    </row>
    <row r="30" spans="1:10" ht="13.5" customHeight="1" x14ac:dyDescent="0.2">
      <c r="A30" s="126" t="s">
        <v>240</v>
      </c>
      <c r="B30" s="36" t="s">
        <v>2584</v>
      </c>
      <c r="C30" s="30"/>
      <c r="D30" s="622">
        <v>525</v>
      </c>
      <c r="F30" s="100">
        <v>525</v>
      </c>
      <c r="G30" s="109"/>
      <c r="H30" s="109"/>
      <c r="I30" s="109"/>
      <c r="J30" s="104">
        <f>F30-G30-H30-I30</f>
        <v>525</v>
      </c>
    </row>
    <row r="31" spans="1:10" ht="13.5" customHeight="1" x14ac:dyDescent="0.2">
      <c r="A31" s="126" t="s">
        <v>240</v>
      </c>
      <c r="B31" s="36" t="s">
        <v>2734</v>
      </c>
      <c r="C31" s="30"/>
      <c r="D31" s="622">
        <v>4731.47</v>
      </c>
      <c r="E31" s="18"/>
      <c r="F31" s="100">
        <v>4731.47</v>
      </c>
      <c r="G31" s="109"/>
      <c r="H31" s="109"/>
      <c r="I31" s="109"/>
      <c r="J31" s="104">
        <f>F31-G31-H31-I31</f>
        <v>4731.47</v>
      </c>
    </row>
    <row r="32" spans="1:10" ht="13.5" customHeight="1" x14ac:dyDescent="0.2">
      <c r="A32" s="126" t="s">
        <v>240</v>
      </c>
      <c r="B32" s="36" t="s">
        <v>3542</v>
      </c>
      <c r="C32" s="30"/>
      <c r="D32" s="622">
        <v>309.75</v>
      </c>
      <c r="E32" s="18"/>
      <c r="F32" s="100">
        <v>309.75</v>
      </c>
      <c r="G32" s="109"/>
      <c r="H32" s="109"/>
      <c r="I32" s="109"/>
      <c r="J32" s="618"/>
    </row>
    <row r="33" spans="1:10" ht="13.5" customHeight="1" x14ac:dyDescent="0.2">
      <c r="A33" s="126"/>
      <c r="B33" s="36"/>
      <c r="C33" s="30"/>
      <c r="D33" s="625">
        <f>SUM(D27:D32)</f>
        <v>15116.220000000001</v>
      </c>
      <c r="E33" s="18"/>
      <c r="F33" s="18">
        <f>SUM(F27:F32)</f>
        <v>15425.970000000001</v>
      </c>
      <c r="G33" s="107">
        <f>SUM(G27:G32)</f>
        <v>0</v>
      </c>
      <c r="H33" s="107">
        <f>SUM(H27:H32)</f>
        <v>0</v>
      </c>
      <c r="I33" s="107">
        <f>SUM(I27:I32)</f>
        <v>309.75</v>
      </c>
      <c r="J33" s="107">
        <f>SUM(J27:J32)</f>
        <v>14806.470000000001</v>
      </c>
    </row>
    <row r="34" spans="1:10" ht="13.5" customHeight="1" x14ac:dyDescent="0.2">
      <c r="A34" s="126"/>
      <c r="B34" s="36"/>
      <c r="C34" s="30"/>
      <c r="E34" s="18"/>
    </row>
    <row r="35" spans="1:10" ht="13.5" customHeight="1" x14ac:dyDescent="0.2">
      <c r="A35" s="126" t="s">
        <v>241</v>
      </c>
      <c r="B35" s="36" t="s">
        <v>189</v>
      </c>
      <c r="C35" s="27">
        <v>8499.75</v>
      </c>
      <c r="E35" s="18"/>
    </row>
    <row r="36" spans="1:10" ht="13.5" customHeight="1" x14ac:dyDescent="0.2">
      <c r="A36" s="126" t="s">
        <v>241</v>
      </c>
      <c r="B36" s="36" t="s">
        <v>189</v>
      </c>
      <c r="C36" s="27">
        <v>4074.25</v>
      </c>
      <c r="E36" s="18"/>
    </row>
    <row r="37" spans="1:10" ht="13.5" customHeight="1" x14ac:dyDescent="0.2">
      <c r="A37" s="126" t="s">
        <v>241</v>
      </c>
      <c r="B37" s="36" t="s">
        <v>189</v>
      </c>
      <c r="C37" s="27">
        <v>828.59</v>
      </c>
      <c r="E37" s="18"/>
    </row>
    <row r="38" spans="1:10" ht="13.5" customHeight="1" x14ac:dyDescent="0.2">
      <c r="A38" s="126" t="s">
        <v>241</v>
      </c>
      <c r="B38" s="36" t="s">
        <v>174</v>
      </c>
      <c r="C38" s="30">
        <v>-10.1</v>
      </c>
      <c r="E38" s="18"/>
    </row>
    <row r="39" spans="1:10" ht="13.5" customHeight="1" x14ac:dyDescent="0.2">
      <c r="A39" s="126" t="s">
        <v>241</v>
      </c>
      <c r="B39" s="36" t="s">
        <v>174</v>
      </c>
      <c r="C39" s="30">
        <v>-12.5</v>
      </c>
      <c r="E39" s="18"/>
    </row>
    <row r="40" spans="1:10" ht="13.5" customHeight="1" x14ac:dyDescent="0.2">
      <c r="A40" s="126" t="s">
        <v>241</v>
      </c>
      <c r="B40" s="36" t="s">
        <v>174</v>
      </c>
      <c r="C40" s="30">
        <v>-75</v>
      </c>
      <c r="E40" s="18"/>
    </row>
    <row r="41" spans="1:10" ht="13.5" customHeight="1" x14ac:dyDescent="0.2">
      <c r="A41" s="126" t="s">
        <v>241</v>
      </c>
      <c r="B41" s="36" t="s">
        <v>174</v>
      </c>
      <c r="C41" s="30">
        <v>-79.2</v>
      </c>
      <c r="E41" s="18"/>
    </row>
    <row r="42" spans="1:10" ht="13.5" customHeight="1" x14ac:dyDescent="0.2">
      <c r="A42" s="126" t="s">
        <v>241</v>
      </c>
      <c r="B42" s="36" t="s">
        <v>174</v>
      </c>
      <c r="C42" s="30">
        <v>-243.07</v>
      </c>
      <c r="E42" s="18"/>
    </row>
    <row r="43" spans="1:10" ht="13.5" customHeight="1" x14ac:dyDescent="0.2">
      <c r="A43" s="126" t="s">
        <v>241</v>
      </c>
      <c r="B43" s="36" t="s">
        <v>174</v>
      </c>
      <c r="C43" s="30">
        <v>-290.88</v>
      </c>
      <c r="E43" s="18"/>
    </row>
    <row r="44" spans="1:10" ht="13.5" customHeight="1" x14ac:dyDescent="0.2">
      <c r="A44" s="126" t="s">
        <v>241</v>
      </c>
      <c r="B44" s="36" t="s">
        <v>174</v>
      </c>
      <c r="C44" s="30">
        <v>-788.98</v>
      </c>
      <c r="E44" s="18"/>
    </row>
    <row r="45" spans="1:10" ht="13.5" customHeight="1" x14ac:dyDescent="0.2">
      <c r="A45" s="126" t="s">
        <v>241</v>
      </c>
      <c r="B45" s="36" t="s">
        <v>174</v>
      </c>
      <c r="C45" s="30">
        <v>-991.9</v>
      </c>
      <c r="E45" s="18"/>
    </row>
    <row r="46" spans="1:10" ht="13.5" customHeight="1" x14ac:dyDescent="0.2">
      <c r="A46" s="126" t="s">
        <v>241</v>
      </c>
      <c r="B46" s="36" t="s">
        <v>174</v>
      </c>
      <c r="C46" s="30">
        <v>-1215.3699999999999</v>
      </c>
      <c r="E46" s="18"/>
    </row>
    <row r="47" spans="1:10" ht="13.5" customHeight="1" x14ac:dyDescent="0.2">
      <c r="A47" s="126" t="s">
        <v>241</v>
      </c>
      <c r="B47" s="36" t="s">
        <v>174</v>
      </c>
      <c r="C47" s="30">
        <v>-1228.73</v>
      </c>
      <c r="E47" s="18"/>
    </row>
    <row r="48" spans="1:10" ht="13.5" customHeight="1" x14ac:dyDescent="0.2">
      <c r="A48" s="126" t="s">
        <v>241</v>
      </c>
      <c r="B48" s="36" t="s">
        <v>174</v>
      </c>
      <c r="C48" s="30">
        <v>-1320.97</v>
      </c>
      <c r="E48" s="18"/>
    </row>
    <row r="49" spans="1:5" ht="13.5" customHeight="1" x14ac:dyDescent="0.2">
      <c r="A49" s="126" t="s">
        <v>241</v>
      </c>
      <c r="B49" s="36" t="s">
        <v>174</v>
      </c>
      <c r="C49" s="30">
        <v>-1615.95</v>
      </c>
      <c r="E49" s="18"/>
    </row>
    <row r="50" spans="1:5" ht="13.5" customHeight="1" x14ac:dyDescent="0.2">
      <c r="A50" s="126" t="s">
        <v>241</v>
      </c>
      <c r="B50" s="36" t="s">
        <v>174</v>
      </c>
      <c r="C50" s="30">
        <v>-2000</v>
      </c>
      <c r="E50" s="18"/>
    </row>
    <row r="51" spans="1:5" ht="13.5" customHeight="1" x14ac:dyDescent="0.2">
      <c r="A51" s="126"/>
      <c r="B51" s="36"/>
      <c r="C51" s="629">
        <f>SUM(C35:C50)</f>
        <v>3529.9400000000005</v>
      </c>
      <c r="E51" s="18"/>
    </row>
    <row r="52" spans="1:5" ht="13.5" customHeight="1" x14ac:dyDescent="0.2">
      <c r="A52" s="126"/>
      <c r="B52" s="36"/>
      <c r="C52" s="619"/>
      <c r="E52" s="18"/>
    </row>
    <row r="53" spans="1:5" ht="13.5" customHeight="1" x14ac:dyDescent="0.2">
      <c r="A53" s="126" t="s">
        <v>224</v>
      </c>
      <c r="B53" s="36" t="s">
        <v>68</v>
      </c>
      <c r="C53" s="27">
        <v>129.9</v>
      </c>
    </row>
    <row r="54" spans="1:5" ht="13.5" customHeight="1" x14ac:dyDescent="0.2">
      <c r="A54" s="126" t="s">
        <v>224</v>
      </c>
      <c r="B54" s="36" t="s">
        <v>1597</v>
      </c>
      <c r="C54" s="27">
        <v>0.28000000000000003</v>
      </c>
    </row>
    <row r="55" spans="1:5" ht="13.5" customHeight="1" x14ac:dyDescent="0.2">
      <c r="A55" s="126" t="s">
        <v>224</v>
      </c>
      <c r="B55" s="32" t="s">
        <v>199</v>
      </c>
      <c r="C55" s="27">
        <v>158.28</v>
      </c>
      <c r="E55" s="18"/>
    </row>
    <row r="56" spans="1:5" ht="13.5" customHeight="1" x14ac:dyDescent="0.2">
      <c r="A56" s="126" t="s">
        <v>224</v>
      </c>
      <c r="B56" s="36" t="s">
        <v>1598</v>
      </c>
      <c r="C56" s="27">
        <v>7.63</v>
      </c>
    </row>
    <row r="57" spans="1:5" ht="13.5" customHeight="1" x14ac:dyDescent="0.2">
      <c r="A57" s="126" t="s">
        <v>224</v>
      </c>
      <c r="B57" s="36" t="s">
        <v>1796</v>
      </c>
      <c r="C57" s="27">
        <v>400</v>
      </c>
    </row>
    <row r="58" spans="1:5" ht="13.5" customHeight="1" x14ac:dyDescent="0.2">
      <c r="A58" s="126"/>
      <c r="B58" s="36"/>
      <c r="C58" s="630">
        <f>SUM(C53:C57)</f>
        <v>696.09</v>
      </c>
    </row>
    <row r="59" spans="1:5" ht="13.5" customHeight="1" x14ac:dyDescent="0.2">
      <c r="A59" s="126"/>
      <c r="B59" s="36"/>
    </row>
    <row r="60" spans="1:5" ht="13.5" customHeight="1" x14ac:dyDescent="0.2">
      <c r="A60" s="126" t="s">
        <v>224</v>
      </c>
      <c r="B60" s="36" t="s">
        <v>2627</v>
      </c>
      <c r="C60" s="30">
        <v>300</v>
      </c>
      <c r="D60" s="631">
        <f>SUM(C60:C61)-D61</f>
        <v>400</v>
      </c>
    </row>
    <row r="61" spans="1:5" ht="13.5" customHeight="1" x14ac:dyDescent="0.2">
      <c r="A61" s="126" t="s">
        <v>224</v>
      </c>
      <c r="B61" s="36" t="s">
        <v>2567</v>
      </c>
      <c r="C61" s="30">
        <v>300</v>
      </c>
      <c r="D61" s="631">
        <f t="array" ref="D61">SUM(C60:C61/3)</f>
        <v>200</v>
      </c>
    </row>
    <row r="62" spans="1:5" ht="13.5" customHeight="1" x14ac:dyDescent="0.2">
      <c r="A62" s="126"/>
      <c r="B62" s="32"/>
      <c r="E62" s="18"/>
    </row>
    <row r="63" spans="1:5" ht="13.5" customHeight="1" x14ac:dyDescent="0.2">
      <c r="A63" s="126"/>
      <c r="B63" s="32"/>
      <c r="E63" s="18"/>
    </row>
    <row r="64" spans="1:5" ht="13.5" customHeight="1" x14ac:dyDescent="0.2">
      <c r="A64" s="244" t="s">
        <v>225</v>
      </c>
      <c r="B64" s="32" t="s">
        <v>2736</v>
      </c>
      <c r="C64" s="625">
        <v>754</v>
      </c>
      <c r="E64" s="18"/>
    </row>
    <row r="65" spans="1:28" ht="13.5" customHeight="1" x14ac:dyDescent="0.2">
      <c r="A65" s="244"/>
      <c r="B65" s="32"/>
      <c r="E65" s="18"/>
    </row>
    <row r="66" spans="1:28" ht="13.5" customHeight="1" x14ac:dyDescent="0.2">
      <c r="A66" s="244"/>
      <c r="B66" s="32"/>
      <c r="E66" s="18"/>
    </row>
    <row r="67" spans="1:28" ht="13.5" customHeight="1" x14ac:dyDescent="0.2">
      <c r="A67" s="126" t="s">
        <v>242</v>
      </c>
      <c r="B67" s="32" t="s">
        <v>2659</v>
      </c>
      <c r="C67" s="51">
        <v>50.4</v>
      </c>
      <c r="V67" s="64"/>
      <c r="W67" s="64"/>
      <c r="X67" s="64"/>
      <c r="Y67" s="64"/>
      <c r="Z67" s="64"/>
    </row>
    <row r="68" spans="1:28" ht="13.5" customHeight="1" x14ac:dyDescent="0.2">
      <c r="A68" s="126" t="s">
        <v>242</v>
      </c>
      <c r="B68" s="36" t="s">
        <v>127</v>
      </c>
      <c r="C68" s="27">
        <v>49.18</v>
      </c>
    </row>
    <row r="69" spans="1:28" ht="13.5" customHeight="1" x14ac:dyDescent="0.2">
      <c r="A69" s="126" t="s">
        <v>242</v>
      </c>
      <c r="B69" s="36" t="s">
        <v>3516</v>
      </c>
      <c r="C69" s="27">
        <v>-20.72</v>
      </c>
    </row>
    <row r="70" spans="1:28" ht="13.5" customHeight="1" x14ac:dyDescent="0.2">
      <c r="A70" s="126" t="s">
        <v>242</v>
      </c>
      <c r="B70" s="33" t="s">
        <v>736</v>
      </c>
      <c r="C70" s="27">
        <v>46.17</v>
      </c>
    </row>
    <row r="71" spans="1:28" ht="13.5" customHeight="1" x14ac:dyDescent="0.2">
      <c r="A71" s="126" t="s">
        <v>242</v>
      </c>
      <c r="B71" s="36" t="s">
        <v>129</v>
      </c>
      <c r="C71" s="27">
        <v>48.97</v>
      </c>
    </row>
    <row r="72" spans="1:28" ht="13.5" customHeight="1" x14ac:dyDescent="0.2">
      <c r="A72" s="126" t="s">
        <v>242</v>
      </c>
      <c r="B72" s="33" t="s">
        <v>737</v>
      </c>
      <c r="C72" s="27">
        <v>136.19999999999999</v>
      </c>
    </row>
    <row r="73" spans="1:28" ht="13.5" customHeight="1" x14ac:dyDescent="0.2">
      <c r="A73" s="126" t="s">
        <v>242</v>
      </c>
      <c r="B73" s="36" t="s">
        <v>2630</v>
      </c>
      <c r="C73" s="30">
        <v>5</v>
      </c>
    </row>
    <row r="74" spans="1:28" ht="13.5" customHeight="1" x14ac:dyDescent="0.2">
      <c r="A74" s="126" t="s">
        <v>242</v>
      </c>
      <c r="B74" s="36" t="s">
        <v>2597</v>
      </c>
      <c r="C74" s="30">
        <v>105</v>
      </c>
    </row>
    <row r="75" spans="1:28" ht="13.5" customHeight="1" x14ac:dyDescent="0.2">
      <c r="A75" s="126" t="s">
        <v>242</v>
      </c>
      <c r="B75" s="36" t="s">
        <v>2629</v>
      </c>
      <c r="C75" s="30">
        <v>35.75</v>
      </c>
    </row>
    <row r="76" spans="1:28" ht="13.5" customHeight="1" x14ac:dyDescent="0.2">
      <c r="A76" s="126" t="s">
        <v>242</v>
      </c>
      <c r="B76" s="36" t="s">
        <v>2561</v>
      </c>
      <c r="C76" s="30">
        <v>57</v>
      </c>
      <c r="AA76" s="64"/>
      <c r="AB76" s="64"/>
    </row>
    <row r="77" spans="1:28" ht="13.5" customHeight="1" x14ac:dyDescent="0.2">
      <c r="A77" s="126" t="s">
        <v>242</v>
      </c>
      <c r="B77" s="36" t="s">
        <v>87</v>
      </c>
      <c r="C77" s="27">
        <v>44.5</v>
      </c>
    </row>
    <row r="78" spans="1:28" ht="13.5" customHeight="1" x14ac:dyDescent="0.2">
      <c r="A78" s="126" t="s">
        <v>242</v>
      </c>
      <c r="B78" s="36" t="s">
        <v>2615</v>
      </c>
      <c r="C78" s="30">
        <v>7</v>
      </c>
    </row>
    <row r="79" spans="1:28" ht="13.5" customHeight="1" x14ac:dyDescent="0.2">
      <c r="A79" s="126" t="s">
        <v>242</v>
      </c>
      <c r="B79" s="32" t="s">
        <v>2658</v>
      </c>
      <c r="C79" s="51">
        <v>3.4</v>
      </c>
      <c r="V79" s="64"/>
      <c r="W79" s="64"/>
      <c r="X79" s="64"/>
      <c r="Y79" s="64"/>
      <c r="Z79" s="64"/>
    </row>
    <row r="80" spans="1:28" ht="13.5" customHeight="1" x14ac:dyDescent="0.2">
      <c r="A80" s="126" t="s">
        <v>242</v>
      </c>
      <c r="B80" s="36" t="s">
        <v>2664</v>
      </c>
      <c r="C80" s="51">
        <v>31.8</v>
      </c>
      <c r="V80" s="64"/>
      <c r="W80" s="64"/>
      <c r="X80" s="64"/>
      <c r="Y80" s="64"/>
      <c r="Z80" s="64"/>
    </row>
    <row r="81" spans="1:28" ht="13.5" customHeight="1" x14ac:dyDescent="0.2">
      <c r="A81" s="126" t="s">
        <v>242</v>
      </c>
      <c r="B81" s="36" t="s">
        <v>2652</v>
      </c>
      <c r="C81" s="30">
        <v>2727.93</v>
      </c>
      <c r="F81" s="126" t="s">
        <v>242</v>
      </c>
      <c r="G81" s="36" t="s">
        <v>2679</v>
      </c>
      <c r="H81" s="27">
        <v>133.24</v>
      </c>
    </row>
    <row r="82" spans="1:28" ht="13.5" customHeight="1" x14ac:dyDescent="0.2">
      <c r="A82" s="126" t="s">
        <v>242</v>
      </c>
      <c r="B82" s="36" t="s">
        <v>2668</v>
      </c>
      <c r="C82" s="30">
        <v>565</v>
      </c>
      <c r="F82" s="126" t="s">
        <v>242</v>
      </c>
      <c r="G82" s="36" t="s">
        <v>2697</v>
      </c>
      <c r="H82" s="27">
        <v>400</v>
      </c>
    </row>
    <row r="83" spans="1:28" ht="13.5" customHeight="1" x14ac:dyDescent="0.2">
      <c r="A83" s="126" t="s">
        <v>242</v>
      </c>
      <c r="B83" s="36" t="s">
        <v>2653</v>
      </c>
      <c r="C83" s="30">
        <v>339.95</v>
      </c>
      <c r="F83" s="126" t="s">
        <v>242</v>
      </c>
      <c r="G83" s="32" t="s">
        <v>2656</v>
      </c>
      <c r="H83" s="51">
        <v>144.93</v>
      </c>
    </row>
    <row r="84" spans="1:28" ht="13.5" customHeight="1" x14ac:dyDescent="0.2">
      <c r="A84" s="126" t="s">
        <v>242</v>
      </c>
      <c r="B84" s="32" t="s">
        <v>2660</v>
      </c>
      <c r="C84" s="51">
        <v>7.2</v>
      </c>
      <c r="F84" s="126" t="s">
        <v>242</v>
      </c>
      <c r="G84" s="32" t="s">
        <v>2665</v>
      </c>
      <c r="H84" s="51">
        <v>148.06</v>
      </c>
      <c r="V84" s="64"/>
      <c r="W84" s="64"/>
      <c r="X84" s="64"/>
      <c r="Y84" s="64"/>
      <c r="Z84" s="64"/>
    </row>
    <row r="85" spans="1:28" ht="13.5" customHeight="1" x14ac:dyDescent="0.2">
      <c r="A85" s="126" t="s">
        <v>242</v>
      </c>
      <c r="B85" s="32" t="s">
        <v>624</v>
      </c>
      <c r="C85" s="200">
        <f t="array" ref="C85">SUM(H81:H90/2)</f>
        <v>1386.78</v>
      </c>
      <c r="F85" s="126" t="s">
        <v>242</v>
      </c>
      <c r="G85" s="32" t="s">
        <v>2657</v>
      </c>
      <c r="H85" s="51">
        <v>55.13</v>
      </c>
      <c r="V85" s="64"/>
      <c r="W85" s="64"/>
      <c r="X85" s="64"/>
      <c r="Y85" s="64"/>
      <c r="Z85" s="64"/>
    </row>
    <row r="86" spans="1:28" ht="13.5" customHeight="1" x14ac:dyDescent="0.2">
      <c r="A86" s="126"/>
      <c r="B86" s="32"/>
      <c r="C86" s="629">
        <f>SUM(C67:C85)</f>
        <v>5626.5099999999993</v>
      </c>
      <c r="F86" s="126" t="s">
        <v>242</v>
      </c>
      <c r="G86" s="36" t="s">
        <v>2694</v>
      </c>
      <c r="H86" s="27">
        <v>109.9</v>
      </c>
      <c r="V86" s="64"/>
      <c r="W86" s="64"/>
      <c r="X86" s="64"/>
      <c r="Y86" s="64"/>
      <c r="Z86" s="64"/>
    </row>
    <row r="87" spans="1:28" ht="13.5" customHeight="1" x14ac:dyDescent="0.2">
      <c r="A87" s="126"/>
      <c r="B87" s="32"/>
      <c r="C87" s="51"/>
      <c r="F87" s="126" t="s">
        <v>242</v>
      </c>
      <c r="G87" s="32" t="s">
        <v>2654</v>
      </c>
      <c r="H87" s="51">
        <v>897</v>
      </c>
      <c r="V87" s="64"/>
      <c r="W87" s="64"/>
      <c r="X87" s="64"/>
      <c r="Y87" s="64"/>
      <c r="Z87" s="64"/>
    </row>
    <row r="88" spans="1:28" ht="13.5" customHeight="1" x14ac:dyDescent="0.2">
      <c r="A88" s="126" t="s">
        <v>242</v>
      </c>
      <c r="B88" s="36" t="s">
        <v>2719</v>
      </c>
      <c r="C88" s="27">
        <v>660</v>
      </c>
      <c r="F88" s="126" t="s">
        <v>242</v>
      </c>
      <c r="G88" s="32" t="s">
        <v>2655</v>
      </c>
      <c r="H88" s="51">
        <v>540.24</v>
      </c>
    </row>
    <row r="89" spans="1:28" ht="13.5" customHeight="1" x14ac:dyDescent="0.2">
      <c r="A89" s="126" t="s">
        <v>242</v>
      </c>
      <c r="B89" s="36" t="s">
        <v>2708</v>
      </c>
      <c r="C89" s="27">
        <v>390</v>
      </c>
      <c r="F89" s="126" t="s">
        <v>242</v>
      </c>
      <c r="G89" s="32" t="s">
        <v>2663</v>
      </c>
      <c r="H89" s="51">
        <v>270.06</v>
      </c>
    </row>
    <row r="90" spans="1:28" ht="13.5" customHeight="1" x14ac:dyDescent="0.2">
      <c r="A90" s="126" t="s">
        <v>242</v>
      </c>
      <c r="B90" s="36" t="s">
        <v>2589</v>
      </c>
      <c r="C90" s="30">
        <v>16.5</v>
      </c>
      <c r="F90" s="126" t="s">
        <v>242</v>
      </c>
      <c r="G90" s="32" t="s">
        <v>813</v>
      </c>
      <c r="H90" s="27">
        <v>75</v>
      </c>
      <c r="V90" s="64"/>
      <c r="W90" s="64"/>
      <c r="X90" s="64"/>
      <c r="Y90" s="64"/>
      <c r="Z90" s="64"/>
    </row>
    <row r="91" spans="1:28" ht="13.5" customHeight="1" x14ac:dyDescent="0.2">
      <c r="A91" s="126" t="s">
        <v>242</v>
      </c>
      <c r="B91" s="36" t="s">
        <v>2621</v>
      </c>
      <c r="C91" s="30">
        <v>14.85</v>
      </c>
      <c r="V91" s="64"/>
      <c r="W91" s="64"/>
      <c r="X91" s="64"/>
      <c r="Y91" s="64"/>
      <c r="Z91" s="64"/>
    </row>
    <row r="92" spans="1:28" ht="13.5" customHeight="1" x14ac:dyDescent="0.2">
      <c r="A92" s="126" t="s">
        <v>242</v>
      </c>
      <c r="B92" s="36" t="s">
        <v>2619</v>
      </c>
      <c r="C92" s="30">
        <v>5.5</v>
      </c>
      <c r="V92" s="64"/>
      <c r="W92" s="64"/>
      <c r="X92" s="64"/>
      <c r="Y92" s="64"/>
      <c r="Z92" s="64"/>
      <c r="AA92" s="64"/>
      <c r="AB92" s="64"/>
    </row>
    <row r="93" spans="1:28" ht="13.5" customHeight="1" x14ac:dyDescent="0.2">
      <c r="A93" s="126" t="s">
        <v>242</v>
      </c>
      <c r="B93" s="36" t="s">
        <v>180</v>
      </c>
      <c r="C93" s="27">
        <v>161.41</v>
      </c>
    </row>
    <row r="94" spans="1:28" ht="13.5" customHeight="1" x14ac:dyDescent="0.2">
      <c r="A94" s="126" t="s">
        <v>242</v>
      </c>
      <c r="B94" s="36" t="s">
        <v>3551</v>
      </c>
      <c r="C94" s="27">
        <v>300</v>
      </c>
    </row>
    <row r="95" spans="1:28" ht="13.5" customHeight="1" x14ac:dyDescent="0.2">
      <c r="A95" s="126" t="s">
        <v>242</v>
      </c>
      <c r="B95" s="32" t="s">
        <v>2662</v>
      </c>
      <c r="C95" s="51">
        <v>42.32</v>
      </c>
      <c r="V95" s="64"/>
      <c r="W95" s="64"/>
      <c r="X95" s="64"/>
      <c r="Y95" s="64"/>
      <c r="Z95" s="64"/>
    </row>
    <row r="96" spans="1:28" ht="13.5" customHeight="1" x14ac:dyDescent="0.2">
      <c r="A96" s="126" t="s">
        <v>242</v>
      </c>
      <c r="B96" s="36" t="s">
        <v>2710</v>
      </c>
      <c r="C96" s="27">
        <v>424</v>
      </c>
      <c r="V96" s="64"/>
      <c r="W96" s="64"/>
      <c r="X96" s="64"/>
      <c r="Y96" s="64"/>
      <c r="Z96" s="64"/>
    </row>
    <row r="97" spans="1:26" ht="13.5" customHeight="1" x14ac:dyDescent="0.2">
      <c r="A97" s="126" t="s">
        <v>242</v>
      </c>
      <c r="B97" s="32" t="s">
        <v>2661</v>
      </c>
      <c r="C97" s="30">
        <v>-1500</v>
      </c>
      <c r="E97" s="18"/>
    </row>
    <row r="98" spans="1:26" ht="13.5" customHeight="1" x14ac:dyDescent="0.2">
      <c r="A98" s="126" t="s">
        <v>242</v>
      </c>
      <c r="B98" s="36" t="s">
        <v>2704</v>
      </c>
      <c r="C98" s="27">
        <v>87.98</v>
      </c>
      <c r="E98" s="18"/>
    </row>
    <row r="99" spans="1:26" ht="13.5" customHeight="1" x14ac:dyDescent="0.2">
      <c r="A99" s="126" t="s">
        <v>242</v>
      </c>
      <c r="B99" s="36" t="s">
        <v>2671</v>
      </c>
      <c r="C99" s="30">
        <v>23.8</v>
      </c>
      <c r="E99" s="18"/>
    </row>
    <row r="100" spans="1:26" ht="13.5" customHeight="1" x14ac:dyDescent="0.2">
      <c r="A100" s="126" t="s">
        <v>242</v>
      </c>
      <c r="B100" s="36" t="s">
        <v>625</v>
      </c>
      <c r="C100" s="30">
        <f>C85</f>
        <v>1386.78</v>
      </c>
    </row>
    <row r="101" spans="1:26" ht="13.5" customHeight="1" x14ac:dyDescent="0.2">
      <c r="A101" s="244"/>
      <c r="B101" s="36"/>
      <c r="C101" s="629">
        <f>SUM(C88:C100)</f>
        <v>2013.1399999999999</v>
      </c>
    </row>
    <row r="102" spans="1:26" ht="13.5" customHeight="1" x14ac:dyDescent="0.2">
      <c r="A102" s="244"/>
      <c r="B102" s="36"/>
      <c r="C102" s="30"/>
    </row>
    <row r="103" spans="1:26" ht="13.5" customHeight="1" x14ac:dyDescent="0.2">
      <c r="A103" s="126" t="s">
        <v>243</v>
      </c>
      <c r="B103" s="36" t="s">
        <v>2638</v>
      </c>
      <c r="C103" s="30">
        <v>-4500</v>
      </c>
    </row>
    <row r="104" spans="1:26" ht="13.5" customHeight="1" x14ac:dyDescent="0.2">
      <c r="A104" s="126" t="s">
        <v>243</v>
      </c>
      <c r="B104" s="36" t="s">
        <v>1795</v>
      </c>
      <c r="C104" s="30">
        <v>200</v>
      </c>
    </row>
    <row r="105" spans="1:26" ht="13.5" customHeight="1" x14ac:dyDescent="0.2">
      <c r="A105" s="126" t="s">
        <v>243</v>
      </c>
      <c r="B105" s="36" t="s">
        <v>9</v>
      </c>
      <c r="C105" s="30">
        <v>900</v>
      </c>
    </row>
    <row r="106" spans="1:26" ht="13.5" customHeight="1" x14ac:dyDescent="0.2">
      <c r="A106" s="126" t="s">
        <v>243</v>
      </c>
      <c r="B106" s="33" t="s">
        <v>81</v>
      </c>
      <c r="C106" s="27">
        <v>49.9</v>
      </c>
      <c r="E106" s="18"/>
    </row>
    <row r="107" spans="1:26" ht="13.5" customHeight="1" x14ac:dyDescent="0.2">
      <c r="A107" s="126" t="s">
        <v>243</v>
      </c>
      <c r="B107" s="36" t="s">
        <v>673</v>
      </c>
      <c r="C107" s="27">
        <v>99.98</v>
      </c>
      <c r="V107" s="64"/>
      <c r="W107" s="64"/>
      <c r="X107" s="64"/>
      <c r="Y107" s="64"/>
      <c r="Z107" s="64"/>
    </row>
    <row r="108" spans="1:26" ht="13.5" customHeight="1" x14ac:dyDescent="0.2">
      <c r="A108" s="126" t="s">
        <v>243</v>
      </c>
      <c r="B108" s="36" t="s">
        <v>2593</v>
      </c>
      <c r="C108" s="30">
        <v>250</v>
      </c>
    </row>
    <row r="109" spans="1:26" ht="13.5" customHeight="1" x14ac:dyDescent="0.2">
      <c r="A109" s="126" t="s">
        <v>243</v>
      </c>
      <c r="B109" s="36" t="s">
        <v>2750</v>
      </c>
      <c r="C109" s="27">
        <v>330.98</v>
      </c>
      <c r="V109" s="64"/>
      <c r="W109" s="64"/>
      <c r="X109" s="64"/>
      <c r="Y109" s="64"/>
      <c r="Z109" s="64"/>
    </row>
    <row r="110" spans="1:26" ht="13.5" customHeight="1" x14ac:dyDescent="0.2">
      <c r="A110" s="126" t="s">
        <v>243</v>
      </c>
      <c r="B110" s="36" t="s">
        <v>2620</v>
      </c>
      <c r="C110" s="30">
        <v>5</v>
      </c>
    </row>
    <row r="111" spans="1:26" ht="13.5" customHeight="1" x14ac:dyDescent="0.2">
      <c r="A111" s="126" t="s">
        <v>243</v>
      </c>
      <c r="B111" s="36" t="s">
        <v>2581</v>
      </c>
      <c r="C111" s="30">
        <v>2.5</v>
      </c>
    </row>
    <row r="112" spans="1:26" ht="13.5" customHeight="1" x14ac:dyDescent="0.2">
      <c r="A112" s="126" t="s">
        <v>243</v>
      </c>
      <c r="B112" s="36" t="s">
        <v>2623</v>
      </c>
      <c r="C112" s="30">
        <v>30</v>
      </c>
    </row>
    <row r="113" spans="1:28" ht="13.5" customHeight="1" x14ac:dyDescent="0.2">
      <c r="A113" s="126" t="s">
        <v>243</v>
      </c>
      <c r="B113" s="36" t="s">
        <v>2554</v>
      </c>
      <c r="C113" s="30">
        <v>49.69</v>
      </c>
    </row>
    <row r="114" spans="1:28" ht="13.5" customHeight="1" x14ac:dyDescent="0.2">
      <c r="A114" s="126" t="s">
        <v>243</v>
      </c>
      <c r="B114" s="36" t="s">
        <v>2605</v>
      </c>
      <c r="C114" s="30">
        <v>39.54</v>
      </c>
    </row>
    <row r="115" spans="1:28" ht="13.5" customHeight="1" x14ac:dyDescent="0.2">
      <c r="A115" s="126" t="s">
        <v>243</v>
      </c>
      <c r="B115" s="36" t="s">
        <v>2626</v>
      </c>
      <c r="C115" s="30">
        <v>28.06</v>
      </c>
    </row>
    <row r="116" spans="1:28" ht="13.5" customHeight="1" x14ac:dyDescent="0.2">
      <c r="A116" s="126" t="s">
        <v>243</v>
      </c>
      <c r="B116" s="36" t="s">
        <v>2614</v>
      </c>
      <c r="C116" s="30">
        <v>25.24</v>
      </c>
    </row>
    <row r="117" spans="1:28" ht="13.5" customHeight="1" x14ac:dyDescent="0.2">
      <c r="A117" s="126" t="s">
        <v>243</v>
      </c>
      <c r="B117" s="36" t="s">
        <v>2609</v>
      </c>
      <c r="C117" s="30">
        <v>8</v>
      </c>
    </row>
    <row r="118" spans="1:28" ht="13.5" customHeight="1" x14ac:dyDescent="0.2">
      <c r="A118" s="126" t="s">
        <v>243</v>
      </c>
      <c r="B118" s="36" t="s">
        <v>2606</v>
      </c>
      <c r="C118" s="30">
        <v>22.84</v>
      </c>
      <c r="E118" s="18"/>
    </row>
    <row r="119" spans="1:28" ht="13.5" customHeight="1" x14ac:dyDescent="0.2">
      <c r="A119" s="126" t="s">
        <v>243</v>
      </c>
      <c r="B119" s="36" t="s">
        <v>2590</v>
      </c>
      <c r="C119" s="30">
        <v>51.96</v>
      </c>
    </row>
    <row r="120" spans="1:28" ht="13.5" customHeight="1" x14ac:dyDescent="0.2">
      <c r="A120" s="126" t="s">
        <v>243</v>
      </c>
      <c r="B120" s="36" t="s">
        <v>2634</v>
      </c>
      <c r="C120" s="30">
        <v>158</v>
      </c>
    </row>
    <row r="121" spans="1:28" ht="13.5" customHeight="1" x14ac:dyDescent="0.2">
      <c r="A121" s="126" t="s">
        <v>243</v>
      </c>
      <c r="B121" s="36" t="s">
        <v>2552</v>
      </c>
      <c r="C121" s="30">
        <v>1915</v>
      </c>
    </row>
    <row r="122" spans="1:28" ht="13.5" customHeight="1" x14ac:dyDescent="0.2">
      <c r="A122" s="126" t="s">
        <v>243</v>
      </c>
      <c r="B122" s="36" t="s">
        <v>2345</v>
      </c>
      <c r="C122" s="30">
        <v>2575</v>
      </c>
    </row>
    <row r="123" spans="1:28" ht="13.5" customHeight="1" x14ac:dyDescent="0.2">
      <c r="A123" s="126" t="s">
        <v>243</v>
      </c>
      <c r="B123" s="36" t="s">
        <v>2566</v>
      </c>
      <c r="C123" s="30">
        <v>62.7</v>
      </c>
    </row>
    <row r="124" spans="1:28" ht="13.5" customHeight="1" x14ac:dyDescent="0.2">
      <c r="A124" s="126" t="s">
        <v>243</v>
      </c>
      <c r="B124" s="36" t="s">
        <v>1834</v>
      </c>
      <c r="C124" s="30">
        <v>30</v>
      </c>
    </row>
    <row r="125" spans="1:28" ht="13.5" customHeight="1" x14ac:dyDescent="0.2">
      <c r="A125" s="126" t="s">
        <v>243</v>
      </c>
      <c r="B125" s="36" t="s">
        <v>1834</v>
      </c>
      <c r="C125" s="30">
        <v>40.299999999999997</v>
      </c>
    </row>
    <row r="126" spans="1:28" ht="13.5" customHeight="1" x14ac:dyDescent="0.2">
      <c r="A126" s="126" t="s">
        <v>243</v>
      </c>
      <c r="B126" s="36" t="s">
        <v>1834</v>
      </c>
      <c r="C126" s="30">
        <v>46.7</v>
      </c>
    </row>
    <row r="127" spans="1:28" ht="13.5" customHeight="1" x14ac:dyDescent="0.2">
      <c r="A127" s="126" t="s">
        <v>243</v>
      </c>
      <c r="B127" s="36" t="s">
        <v>1666</v>
      </c>
      <c r="C127" s="30">
        <v>55.9</v>
      </c>
    </row>
    <row r="128" spans="1:28" ht="13.5" customHeight="1" x14ac:dyDescent="0.2">
      <c r="A128" s="126" t="s">
        <v>243</v>
      </c>
      <c r="B128" s="32" t="s">
        <v>2647</v>
      </c>
      <c r="C128" s="51">
        <v>68.95</v>
      </c>
      <c r="AA128" s="64"/>
      <c r="AB128" s="64"/>
    </row>
    <row r="129" spans="1:28" ht="13.5" customHeight="1" x14ac:dyDescent="0.2">
      <c r="A129" s="126" t="s">
        <v>243</v>
      </c>
      <c r="B129" s="36" t="s">
        <v>2673</v>
      </c>
      <c r="C129" s="30">
        <v>100</v>
      </c>
    </row>
    <row r="130" spans="1:28" ht="13.5" customHeight="1" x14ac:dyDescent="0.2">
      <c r="A130" s="126" t="s">
        <v>243</v>
      </c>
      <c r="B130" s="36" t="s">
        <v>2610</v>
      </c>
      <c r="C130" s="30">
        <v>50.48</v>
      </c>
      <c r="D130" s="622">
        <f>SUM(C131/2)</f>
        <v>1348.36</v>
      </c>
      <c r="E130" s="1" t="s">
        <v>3513</v>
      </c>
    </row>
    <row r="131" spans="1:28" ht="13.5" customHeight="1" x14ac:dyDescent="0.2">
      <c r="A131" s="126"/>
      <c r="B131" s="36"/>
      <c r="C131" s="629">
        <f>SUM(C103:C130)</f>
        <v>2696.72</v>
      </c>
    </row>
    <row r="132" spans="1:28" ht="13.5" customHeight="1" x14ac:dyDescent="0.2">
      <c r="A132" s="126"/>
      <c r="B132" s="36"/>
      <c r="C132" s="30"/>
      <c r="AA132" s="64"/>
      <c r="AB132" s="64"/>
    </row>
    <row r="133" spans="1:28" ht="13.5" customHeight="1" x14ac:dyDescent="0.2">
      <c r="A133" s="244" t="s">
        <v>230</v>
      </c>
      <c r="B133" s="36" t="s">
        <v>177</v>
      </c>
      <c r="C133" s="630">
        <v>243.07</v>
      </c>
      <c r="D133" s="622">
        <f>SUM(C133*D141)</f>
        <v>22.821400074842284</v>
      </c>
      <c r="E133" s="1" t="s">
        <v>1793</v>
      </c>
    </row>
    <row r="134" spans="1:28" s="64" customFormat="1" ht="13.5" customHeight="1" x14ac:dyDescent="0.2">
      <c r="A134" s="244"/>
      <c r="B134" s="36"/>
      <c r="C134" s="27"/>
      <c r="D134" s="622">
        <f>SUM(C133-D133)</f>
        <v>220.24859992515772</v>
      </c>
      <c r="E134" s="1" t="s">
        <v>3540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ht="13.5" customHeight="1" x14ac:dyDescent="0.2">
      <c r="A135" s="244"/>
      <c r="B135" s="36"/>
    </row>
    <row r="136" spans="1:28" ht="13.5" customHeight="1" x14ac:dyDescent="0.2">
      <c r="A136" s="244" t="s">
        <v>231</v>
      </c>
      <c r="B136" s="32" t="s">
        <v>198</v>
      </c>
      <c r="C136" s="630">
        <v>1320.97</v>
      </c>
      <c r="D136" s="688">
        <f>SUM(C136*D141)</f>
        <v>124.02347001630976</v>
      </c>
      <c r="E136" s="1" t="s">
        <v>1793</v>
      </c>
      <c r="AA136" s="64"/>
      <c r="AB136" s="64"/>
    </row>
    <row r="137" spans="1:28" ht="13.5" customHeight="1" x14ac:dyDescent="0.2">
      <c r="A137" s="244"/>
      <c r="B137" s="32"/>
      <c r="D137" s="689">
        <f>SUM(C136-D136)</f>
        <v>1196.9465299836902</v>
      </c>
      <c r="E137" t="s">
        <v>1794</v>
      </c>
      <c r="F137" s="126" t="s">
        <v>417</v>
      </c>
      <c r="G137" s="36" t="s">
        <v>2509</v>
      </c>
      <c r="H137" s="27">
        <v>50</v>
      </c>
      <c r="I137" s="622"/>
      <c r="AA137" s="64"/>
      <c r="AB137" s="64"/>
    </row>
    <row r="138" spans="1:28" ht="13.5" customHeight="1" x14ac:dyDescent="0.2">
      <c r="A138" s="244" t="s">
        <v>232</v>
      </c>
      <c r="B138" s="32" t="s">
        <v>624</v>
      </c>
      <c r="C138" s="625">
        <f t="array" ref="C138">SUM(H137:H139/2)</f>
        <v>832.97499999999991</v>
      </c>
      <c r="F138" s="126" t="s">
        <v>417</v>
      </c>
      <c r="G138" s="36" t="s">
        <v>173</v>
      </c>
      <c r="H138" s="27">
        <v>1007.27</v>
      </c>
      <c r="I138" s="622"/>
      <c r="AA138" s="64"/>
      <c r="AB138" s="64"/>
    </row>
    <row r="139" spans="1:28" ht="13.5" customHeight="1" x14ac:dyDescent="0.2">
      <c r="A139" s="244"/>
      <c r="B139" s="32"/>
      <c r="F139" s="126" t="s">
        <v>417</v>
      </c>
      <c r="G139" s="36" t="s">
        <v>172</v>
      </c>
      <c r="H139" s="27">
        <v>608.67999999999995</v>
      </c>
      <c r="I139" s="622"/>
      <c r="V139" s="64"/>
      <c r="W139" s="64"/>
      <c r="X139" s="64"/>
      <c r="Y139" s="64"/>
      <c r="Z139" s="64"/>
      <c r="AA139" s="64"/>
      <c r="AB139" s="64"/>
    </row>
    <row r="140" spans="1:28" ht="13.5" customHeight="1" x14ac:dyDescent="0.2">
      <c r="A140" s="244"/>
      <c r="B140" s="32"/>
    </row>
    <row r="141" spans="1:28" ht="13.5" customHeight="1" x14ac:dyDescent="0.2">
      <c r="A141" s="126" t="s">
        <v>417</v>
      </c>
      <c r="B141" s="138" t="s">
        <v>2738</v>
      </c>
      <c r="C141" s="27">
        <v>793.85</v>
      </c>
      <c r="D141" s="687">
        <f>SUM(C138/(C138+C165))</f>
        <v>9.3888180667471441E-2</v>
      </c>
      <c r="AA141" s="64"/>
      <c r="AB141" s="64"/>
    </row>
    <row r="142" spans="1:28" ht="13.5" customHeight="1" x14ac:dyDescent="0.2">
      <c r="A142" s="126" t="s">
        <v>417</v>
      </c>
      <c r="B142" s="138" t="s">
        <v>2740</v>
      </c>
      <c r="C142" s="27">
        <v>421.52</v>
      </c>
      <c r="AA142" s="64"/>
      <c r="AB142" s="64"/>
    </row>
    <row r="143" spans="1:28" ht="13.5" customHeight="1" x14ac:dyDescent="0.2">
      <c r="A143" s="126" t="s">
        <v>417</v>
      </c>
      <c r="B143" s="34" t="s">
        <v>2551</v>
      </c>
      <c r="C143" s="30">
        <v>79.67</v>
      </c>
      <c r="AA143" s="64"/>
      <c r="AB143" s="64"/>
    </row>
    <row r="144" spans="1:28" ht="13.5" customHeight="1" x14ac:dyDescent="0.2">
      <c r="A144" s="126" t="s">
        <v>417</v>
      </c>
      <c r="B144" s="34" t="s">
        <v>2733</v>
      </c>
      <c r="C144" s="27">
        <v>111</v>
      </c>
      <c r="E144" s="18"/>
    </row>
    <row r="145" spans="1:28" ht="13.5" customHeight="1" x14ac:dyDescent="0.2">
      <c r="A145" s="126" t="s">
        <v>417</v>
      </c>
      <c r="B145" s="34" t="s">
        <v>2586</v>
      </c>
      <c r="C145" s="30">
        <v>300</v>
      </c>
      <c r="E145" s="18"/>
    </row>
    <row r="146" spans="1:28" ht="13.5" customHeight="1" x14ac:dyDescent="0.2">
      <c r="A146" s="126" t="s">
        <v>417</v>
      </c>
      <c r="B146" s="36" t="s">
        <v>2631</v>
      </c>
      <c r="C146" s="30">
        <v>300</v>
      </c>
      <c r="E146" s="18"/>
    </row>
    <row r="147" spans="1:28" s="64" customFormat="1" ht="13.5" customHeight="1" x14ac:dyDescent="0.2">
      <c r="A147" s="126" t="s">
        <v>417</v>
      </c>
      <c r="B147" s="36" t="s">
        <v>2640</v>
      </c>
      <c r="C147" s="30">
        <v>300</v>
      </c>
      <c r="D147" s="622"/>
      <c r="E147" s="18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s="64" customFormat="1" ht="13.5" customHeight="1" x14ac:dyDescent="0.2">
      <c r="A148" s="126" t="s">
        <v>417</v>
      </c>
      <c r="B148" s="36" t="s">
        <v>2643</v>
      </c>
      <c r="C148" s="30">
        <v>60</v>
      </c>
      <c r="D148" s="622"/>
      <c r="E148" s="18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s="64" customFormat="1" ht="13.5" customHeight="1" x14ac:dyDescent="0.2">
      <c r="A149" s="126" t="s">
        <v>417</v>
      </c>
      <c r="B149" s="34" t="s">
        <v>2570</v>
      </c>
      <c r="C149" s="30">
        <v>300</v>
      </c>
      <c r="D149" s="622"/>
      <c r="E149" s="18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s="64" customFormat="1" ht="13.5" customHeight="1" x14ac:dyDescent="0.2">
      <c r="A150" s="126" t="s">
        <v>417</v>
      </c>
      <c r="B150" s="34" t="s">
        <v>2548</v>
      </c>
      <c r="C150" s="30">
        <v>300</v>
      </c>
      <c r="D150" s="622"/>
      <c r="E150" s="18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s="64" customFormat="1" ht="13.5" customHeight="1" x14ac:dyDescent="0.2">
      <c r="A151" s="126" t="s">
        <v>417</v>
      </c>
      <c r="B151" s="34" t="s">
        <v>2646</v>
      </c>
      <c r="C151" s="30">
        <v>130</v>
      </c>
      <c r="D151" s="622"/>
      <c r="E151" s="18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s="64" customFormat="1" ht="13.5" customHeight="1" x14ac:dyDescent="0.2">
      <c r="A152" s="126" t="s">
        <v>417</v>
      </c>
      <c r="B152" s="34" t="s">
        <v>2645</v>
      </c>
      <c r="C152" s="30">
        <v>70</v>
      </c>
      <c r="D152" s="622"/>
      <c r="E152" s="18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s="64" customFormat="1" ht="13.5" customHeight="1" x14ac:dyDescent="0.2">
      <c r="A153" s="126" t="s">
        <v>417</v>
      </c>
      <c r="B153" s="34" t="s">
        <v>2588</v>
      </c>
      <c r="C153" s="30">
        <v>300</v>
      </c>
      <c r="D153" s="622"/>
      <c r="E153" s="18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s="64" customFormat="1" ht="13.5" customHeight="1" x14ac:dyDescent="0.2">
      <c r="A154" s="126" t="s">
        <v>417</v>
      </c>
      <c r="B154" s="34" t="s">
        <v>2633</v>
      </c>
      <c r="C154" s="30">
        <v>300</v>
      </c>
      <c r="D154" s="622"/>
      <c r="E154" s="18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s="64" customFormat="1" ht="13.5" customHeight="1" x14ac:dyDescent="0.2">
      <c r="A155" s="126" t="s">
        <v>417</v>
      </c>
      <c r="B155" s="34" t="s">
        <v>2642</v>
      </c>
      <c r="C155" s="30">
        <v>300</v>
      </c>
      <c r="D155" s="622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8" s="64" customFormat="1" ht="13.5" customHeight="1" x14ac:dyDescent="0.2">
      <c r="A156" s="126" t="s">
        <v>417</v>
      </c>
      <c r="B156" s="34" t="s">
        <v>2572</v>
      </c>
      <c r="C156" s="30">
        <v>240</v>
      </c>
      <c r="D156" s="622"/>
      <c r="E156" s="18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s="64" customFormat="1" ht="13.5" customHeight="1" x14ac:dyDescent="0.2">
      <c r="A157" s="126" t="s">
        <v>417</v>
      </c>
      <c r="B157" s="34" t="s">
        <v>2550</v>
      </c>
      <c r="C157" s="30">
        <v>300</v>
      </c>
      <c r="D157" s="622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s="64" customFormat="1" ht="13.5" customHeight="1" x14ac:dyDescent="0.2">
      <c r="A158" s="126" t="s">
        <v>417</v>
      </c>
      <c r="B158" s="36" t="s">
        <v>2587</v>
      </c>
      <c r="C158" s="30">
        <v>500</v>
      </c>
      <c r="D158" s="622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s="64" customFormat="1" ht="13.5" customHeight="1" x14ac:dyDescent="0.2">
      <c r="A159" s="126" t="s">
        <v>417</v>
      </c>
      <c r="B159" s="34" t="s">
        <v>2632</v>
      </c>
      <c r="C159" s="30">
        <v>500</v>
      </c>
      <c r="D159" s="622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s="64" customFormat="1" ht="13.5" customHeight="1" x14ac:dyDescent="0.2">
      <c r="A160" s="126" t="s">
        <v>417</v>
      </c>
      <c r="B160" s="34" t="s">
        <v>2641</v>
      </c>
      <c r="C160" s="30">
        <v>500</v>
      </c>
      <c r="D160" s="622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8" s="64" customFormat="1" ht="13.5" customHeight="1" x14ac:dyDescent="0.2">
      <c r="A161" s="126" t="s">
        <v>417</v>
      </c>
      <c r="B161" s="34" t="s">
        <v>2644</v>
      </c>
      <c r="C161" s="30">
        <v>100</v>
      </c>
      <c r="D161" s="622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ht="13.5" customHeight="1" x14ac:dyDescent="0.2">
      <c r="A162" s="126" t="s">
        <v>417</v>
      </c>
      <c r="B162" s="34" t="s">
        <v>2571</v>
      </c>
      <c r="C162" s="30">
        <v>500</v>
      </c>
    </row>
    <row r="163" spans="1:28" ht="13.5" customHeight="1" x14ac:dyDescent="0.2">
      <c r="A163" s="126" t="s">
        <v>417</v>
      </c>
      <c r="B163" s="34" t="s">
        <v>2549</v>
      </c>
      <c r="C163" s="30">
        <v>500</v>
      </c>
    </row>
    <row r="164" spans="1:28" ht="13.5" customHeight="1" x14ac:dyDescent="0.2">
      <c r="A164" s="126" t="s">
        <v>232</v>
      </c>
      <c r="B164" s="34" t="s">
        <v>423</v>
      </c>
      <c r="C164" s="30">
        <f>C138</f>
        <v>832.97499999999991</v>
      </c>
    </row>
    <row r="165" spans="1:28" ht="13.5" customHeight="1" x14ac:dyDescent="0.2">
      <c r="A165" s="126"/>
      <c r="B165" s="34"/>
      <c r="C165" s="629">
        <f>SUM(C141:C164)</f>
        <v>8039.0149999999994</v>
      </c>
      <c r="AA165" s="64"/>
      <c r="AB165" s="64"/>
    </row>
    <row r="166" spans="1:28" ht="13.5" customHeight="1" x14ac:dyDescent="0.2">
      <c r="A166" s="126"/>
      <c r="B166" s="34"/>
      <c r="C166" s="30"/>
    </row>
    <row r="167" spans="1:28" ht="13.5" customHeight="1" x14ac:dyDescent="0.2">
      <c r="A167" s="126" t="s">
        <v>245</v>
      </c>
      <c r="B167" s="34" t="s">
        <v>2560</v>
      </c>
      <c r="C167" s="30">
        <v>16</v>
      </c>
    </row>
    <row r="168" spans="1:28" ht="13.5" customHeight="1" x14ac:dyDescent="0.2">
      <c r="A168" s="126" t="s">
        <v>245</v>
      </c>
      <c r="B168" s="34" t="s">
        <v>2613</v>
      </c>
      <c r="C168" s="30">
        <v>12.9</v>
      </c>
      <c r="F168" s="126" t="s">
        <v>245</v>
      </c>
      <c r="G168" s="36" t="s">
        <v>3515</v>
      </c>
      <c r="H168" s="30">
        <v>255</v>
      </c>
      <c r="I168" s="622"/>
    </row>
    <row r="169" spans="1:28" ht="13.5" customHeight="1" x14ac:dyDescent="0.2">
      <c r="A169" s="126" t="s">
        <v>245</v>
      </c>
      <c r="B169" s="34" t="s">
        <v>2608</v>
      </c>
      <c r="C169" s="30">
        <v>17.5</v>
      </c>
      <c r="F169" s="126" t="s">
        <v>245</v>
      </c>
      <c r="G169" s="34" t="s">
        <v>2716</v>
      </c>
      <c r="H169" s="27">
        <v>132.6</v>
      </c>
      <c r="I169" s="622"/>
    </row>
    <row r="170" spans="1:28" ht="13.5" customHeight="1" x14ac:dyDescent="0.2">
      <c r="A170" s="126" t="s">
        <v>245</v>
      </c>
      <c r="B170" s="34" t="s">
        <v>2730</v>
      </c>
      <c r="C170" s="27">
        <v>72.91</v>
      </c>
      <c r="F170" s="126" t="s">
        <v>245</v>
      </c>
      <c r="G170" s="34" t="s">
        <v>2732</v>
      </c>
      <c r="H170" s="27">
        <v>461.41</v>
      </c>
      <c r="I170" s="622"/>
    </row>
    <row r="171" spans="1:28" ht="13.5" customHeight="1" x14ac:dyDescent="0.2">
      <c r="A171" s="126" t="s">
        <v>245</v>
      </c>
      <c r="B171" s="34" t="s">
        <v>422</v>
      </c>
      <c r="C171" s="633">
        <f t="array" ref="C171">SUM(H168:H170/2)</f>
        <v>424.505</v>
      </c>
      <c r="F171" s="126"/>
      <c r="G171" s="395"/>
      <c r="I171" s="628"/>
    </row>
    <row r="172" spans="1:28" ht="13.5" customHeight="1" x14ac:dyDescent="0.2">
      <c r="A172" s="126"/>
      <c r="B172" s="34"/>
      <c r="C172" s="629">
        <f>SUM(C167:C171)</f>
        <v>543.81500000000005</v>
      </c>
      <c r="F172" s="126"/>
      <c r="G172" s="395"/>
      <c r="I172" s="628"/>
    </row>
    <row r="173" spans="1:28" ht="13.5" customHeight="1" x14ac:dyDescent="0.2">
      <c r="A173" s="126"/>
      <c r="B173" s="34"/>
      <c r="F173" s="126"/>
      <c r="G173" s="395"/>
      <c r="I173" s="628"/>
    </row>
    <row r="174" spans="1:28" ht="15" x14ac:dyDescent="0.2">
      <c r="A174" s="126" t="s">
        <v>245</v>
      </c>
      <c r="B174" s="36" t="s">
        <v>2611</v>
      </c>
      <c r="C174" s="30">
        <v>13.9</v>
      </c>
    </row>
    <row r="175" spans="1:28" ht="13.5" customHeight="1" x14ac:dyDescent="0.2">
      <c r="A175" s="126" t="s">
        <v>245</v>
      </c>
      <c r="B175" s="36" t="s">
        <v>2618</v>
      </c>
      <c r="C175" s="30">
        <v>3.28</v>
      </c>
    </row>
    <row r="176" spans="1:28" ht="13.5" customHeight="1" x14ac:dyDescent="0.2">
      <c r="A176" s="126" t="s">
        <v>245</v>
      </c>
      <c r="B176" s="34" t="s">
        <v>2082</v>
      </c>
      <c r="C176" s="30">
        <v>11.85</v>
      </c>
    </row>
    <row r="177" spans="1:28" ht="13.5" customHeight="1" x14ac:dyDescent="0.2">
      <c r="A177" s="126" t="s">
        <v>245</v>
      </c>
      <c r="B177" s="36" t="s">
        <v>2607</v>
      </c>
      <c r="C177" s="30">
        <v>4.5</v>
      </c>
    </row>
    <row r="178" spans="1:28" ht="13.5" customHeight="1" x14ac:dyDescent="0.2">
      <c r="A178" s="126" t="s">
        <v>245</v>
      </c>
      <c r="B178" s="34" t="s">
        <v>2555</v>
      </c>
      <c r="C178" s="30">
        <v>11.98</v>
      </c>
      <c r="AA178" s="64"/>
      <c r="AB178" s="64"/>
    </row>
    <row r="179" spans="1:28" ht="13.5" customHeight="1" x14ac:dyDescent="0.2">
      <c r="A179" s="126" t="s">
        <v>245</v>
      </c>
      <c r="B179" s="36" t="s">
        <v>2602</v>
      </c>
      <c r="C179" s="30">
        <v>5.5</v>
      </c>
    </row>
    <row r="180" spans="1:28" ht="13.5" customHeight="1" x14ac:dyDescent="0.2">
      <c r="A180" s="126" t="s">
        <v>245</v>
      </c>
      <c r="B180" s="34" t="s">
        <v>2559</v>
      </c>
      <c r="C180" s="30">
        <v>80</v>
      </c>
    </row>
    <row r="181" spans="1:28" ht="13.5" customHeight="1" x14ac:dyDescent="0.2">
      <c r="A181" s="126" t="s">
        <v>245</v>
      </c>
      <c r="B181" s="34" t="s">
        <v>1912</v>
      </c>
      <c r="C181" s="30">
        <v>3</v>
      </c>
    </row>
    <row r="182" spans="1:28" ht="13.5" customHeight="1" x14ac:dyDescent="0.2">
      <c r="A182" s="126" t="s">
        <v>245</v>
      </c>
      <c r="B182" s="36" t="s">
        <v>2616</v>
      </c>
      <c r="C182" s="30">
        <v>5</v>
      </c>
    </row>
    <row r="183" spans="1:28" ht="13.5" customHeight="1" x14ac:dyDescent="0.2">
      <c r="A183" s="126" t="s">
        <v>245</v>
      </c>
      <c r="B183" s="34" t="s">
        <v>2625</v>
      </c>
      <c r="C183" s="30">
        <v>5.99</v>
      </c>
    </row>
    <row r="184" spans="1:28" ht="13.5" customHeight="1" x14ac:dyDescent="0.2">
      <c r="A184" s="126" t="s">
        <v>245</v>
      </c>
      <c r="B184" s="34" t="s">
        <v>2617</v>
      </c>
      <c r="C184" s="30">
        <v>2.5</v>
      </c>
    </row>
    <row r="185" spans="1:28" ht="13.5" customHeight="1" x14ac:dyDescent="0.2">
      <c r="A185" s="126" t="s">
        <v>245</v>
      </c>
      <c r="B185" s="36" t="s">
        <v>2558</v>
      </c>
      <c r="C185" s="30">
        <v>0.7</v>
      </c>
    </row>
    <row r="186" spans="1:28" ht="13.5" customHeight="1" x14ac:dyDescent="0.2">
      <c r="A186" s="126" t="s">
        <v>245</v>
      </c>
      <c r="B186" s="36" t="s">
        <v>2558</v>
      </c>
      <c r="C186" s="30">
        <v>0.7</v>
      </c>
      <c r="E186" s="18"/>
    </row>
    <row r="187" spans="1:28" ht="13.5" customHeight="1" x14ac:dyDescent="0.2">
      <c r="A187" s="126" t="s">
        <v>245</v>
      </c>
      <c r="B187" s="36" t="s">
        <v>2603</v>
      </c>
      <c r="C187" s="30">
        <v>8</v>
      </c>
      <c r="E187" s="18"/>
    </row>
    <row r="188" spans="1:28" ht="13.5" customHeight="1" x14ac:dyDescent="0.2">
      <c r="A188" s="126" t="s">
        <v>245</v>
      </c>
      <c r="B188" s="36" t="s">
        <v>2604</v>
      </c>
      <c r="C188" s="30">
        <v>14</v>
      </c>
      <c r="E188" s="18"/>
    </row>
    <row r="189" spans="1:28" ht="13.5" customHeight="1" x14ac:dyDescent="0.2">
      <c r="A189" s="126" t="s">
        <v>245</v>
      </c>
      <c r="B189" s="36" t="s">
        <v>2624</v>
      </c>
      <c r="C189" s="30">
        <v>5</v>
      </c>
    </row>
    <row r="190" spans="1:28" ht="13.5" customHeight="1" x14ac:dyDescent="0.2">
      <c r="A190" s="126" t="s">
        <v>245</v>
      </c>
      <c r="B190" s="34" t="s">
        <v>2557</v>
      </c>
      <c r="C190" s="30">
        <v>5.6</v>
      </c>
    </row>
    <row r="191" spans="1:28" ht="13.5" customHeight="1" x14ac:dyDescent="0.2">
      <c r="A191" s="126" t="s">
        <v>245</v>
      </c>
      <c r="B191" s="36" t="s">
        <v>2556</v>
      </c>
      <c r="C191" s="30">
        <v>5.9</v>
      </c>
    </row>
    <row r="192" spans="1:28" ht="13.5" customHeight="1" x14ac:dyDescent="0.2">
      <c r="A192" s="126" t="s">
        <v>245</v>
      </c>
      <c r="B192" s="34" t="s">
        <v>2612</v>
      </c>
      <c r="C192" s="30">
        <v>13.2</v>
      </c>
    </row>
    <row r="193" spans="1:28" ht="13.5" customHeight="1" x14ac:dyDescent="0.2">
      <c r="A193" s="126" t="s">
        <v>245</v>
      </c>
      <c r="B193" s="34" t="s">
        <v>2622</v>
      </c>
      <c r="C193" s="30">
        <v>3.5</v>
      </c>
    </row>
    <row r="194" spans="1:28" ht="13.5" customHeight="1" x14ac:dyDescent="0.2">
      <c r="A194" s="126" t="s">
        <v>245</v>
      </c>
      <c r="B194" s="34" t="s">
        <v>2743</v>
      </c>
      <c r="C194" s="27">
        <v>91.9</v>
      </c>
    </row>
    <row r="195" spans="1:28" ht="13.5" customHeight="1" x14ac:dyDescent="0.2">
      <c r="A195" s="126" t="s">
        <v>245</v>
      </c>
      <c r="B195" s="34" t="s">
        <v>2727</v>
      </c>
      <c r="C195" s="27">
        <v>79.2</v>
      </c>
      <c r="AA195" s="64"/>
      <c r="AB195" s="64"/>
    </row>
    <row r="196" spans="1:28" ht="13.5" customHeight="1" x14ac:dyDescent="0.2">
      <c r="A196" s="126" t="s">
        <v>245</v>
      </c>
      <c r="B196" s="34" t="s">
        <v>2709</v>
      </c>
      <c r="C196" s="27">
        <v>1537.1</v>
      </c>
    </row>
    <row r="197" spans="1:28" ht="13.5" customHeight="1" x14ac:dyDescent="0.2">
      <c r="A197" s="126" t="s">
        <v>245</v>
      </c>
      <c r="B197" s="34" t="s">
        <v>2672</v>
      </c>
      <c r="C197" s="30">
        <v>8.1</v>
      </c>
    </row>
    <row r="198" spans="1:28" ht="13.5" customHeight="1" x14ac:dyDescent="0.2">
      <c r="A198" s="126" t="s">
        <v>245</v>
      </c>
      <c r="B198" s="36" t="s">
        <v>2752</v>
      </c>
      <c r="C198" s="27">
        <v>458</v>
      </c>
    </row>
    <row r="199" spans="1:28" ht="13.5" customHeight="1" x14ac:dyDescent="0.2">
      <c r="A199" s="126" t="s">
        <v>245</v>
      </c>
      <c r="B199" s="34" t="s">
        <v>423</v>
      </c>
      <c r="C199" s="622">
        <f>C171</f>
        <v>424.505</v>
      </c>
    </row>
    <row r="200" spans="1:28" ht="13.5" customHeight="1" x14ac:dyDescent="0.2">
      <c r="A200" s="126"/>
      <c r="B200" s="34"/>
      <c r="C200" s="629">
        <f>SUM(C174:C199)</f>
        <v>2802.9049999999997</v>
      </c>
    </row>
    <row r="201" spans="1:28" ht="13.5" customHeight="1" x14ac:dyDescent="0.2">
      <c r="A201" s="126"/>
      <c r="B201" s="34"/>
      <c r="C201" s="30"/>
    </row>
    <row r="202" spans="1:28" ht="13.5" customHeight="1" x14ac:dyDescent="0.2">
      <c r="A202" s="244" t="s">
        <v>246</v>
      </c>
      <c r="B202" s="138" t="s">
        <v>195</v>
      </c>
      <c r="C202" s="27">
        <v>390.19</v>
      </c>
    </row>
    <row r="203" spans="1:28" ht="13.5" customHeight="1" x14ac:dyDescent="0.2">
      <c r="A203" s="244" t="s">
        <v>246</v>
      </c>
      <c r="B203" s="138" t="s">
        <v>194</v>
      </c>
      <c r="C203" s="27">
        <v>84.54</v>
      </c>
    </row>
    <row r="204" spans="1:28" ht="13.5" customHeight="1" x14ac:dyDescent="0.2">
      <c r="A204" s="244"/>
      <c r="B204" s="138"/>
      <c r="C204" s="630">
        <f>SUM(C202:C203)</f>
        <v>474.73</v>
      </c>
    </row>
    <row r="205" spans="1:28" ht="13.5" customHeight="1" x14ac:dyDescent="0.2">
      <c r="A205" s="244"/>
      <c r="B205" s="138"/>
    </row>
    <row r="206" spans="1:28" ht="13.5" customHeight="1" x14ac:dyDescent="0.2">
      <c r="A206" s="126" t="s">
        <v>248</v>
      </c>
      <c r="B206" s="36" t="s">
        <v>1002</v>
      </c>
      <c r="C206" s="30">
        <v>1460</v>
      </c>
    </row>
    <row r="207" spans="1:28" ht="13.5" customHeight="1" x14ac:dyDescent="0.2">
      <c r="A207" s="126" t="s">
        <v>248</v>
      </c>
      <c r="B207" s="36" t="s">
        <v>132</v>
      </c>
      <c r="C207" s="27">
        <v>1918.37</v>
      </c>
    </row>
    <row r="208" spans="1:28" ht="13.5" customHeight="1" x14ac:dyDescent="0.2">
      <c r="A208" s="126" t="s">
        <v>248</v>
      </c>
      <c r="B208" s="34" t="s">
        <v>130</v>
      </c>
      <c r="C208" s="27">
        <v>109.32</v>
      </c>
    </row>
    <row r="209" spans="1:5" ht="13.5" customHeight="1" x14ac:dyDescent="0.2">
      <c r="A209" s="126" t="s">
        <v>248</v>
      </c>
      <c r="B209" s="36" t="s">
        <v>53</v>
      </c>
      <c r="C209" s="27">
        <v>532.21</v>
      </c>
      <c r="E209" s="18"/>
    </row>
    <row r="210" spans="1:5" ht="13.5" customHeight="1" x14ac:dyDescent="0.2">
      <c r="A210" s="126" t="s">
        <v>248</v>
      </c>
      <c r="B210" s="36" t="s">
        <v>55</v>
      </c>
      <c r="C210" s="27">
        <v>400</v>
      </c>
      <c r="E210" s="18"/>
    </row>
    <row r="211" spans="1:5" ht="13.5" customHeight="1" x14ac:dyDescent="0.2">
      <c r="A211" s="126" t="s">
        <v>248</v>
      </c>
      <c r="B211" s="34" t="s">
        <v>2702</v>
      </c>
      <c r="C211" s="27">
        <v>800</v>
      </c>
    </row>
    <row r="212" spans="1:5" ht="13.5" customHeight="1" x14ac:dyDescent="0.2">
      <c r="A212" s="126" t="s">
        <v>248</v>
      </c>
      <c r="B212" s="34" t="s">
        <v>136</v>
      </c>
      <c r="C212" s="27">
        <v>45.9</v>
      </c>
    </row>
    <row r="213" spans="1:5" ht="13.5" customHeight="1" x14ac:dyDescent="0.2">
      <c r="A213" s="126" t="s">
        <v>248</v>
      </c>
      <c r="B213" s="36" t="s">
        <v>2651</v>
      </c>
      <c r="C213" s="30">
        <v>130</v>
      </c>
      <c r="E213" s="18"/>
    </row>
    <row r="214" spans="1:5" ht="13.5" customHeight="1" x14ac:dyDescent="0.2">
      <c r="A214" s="126" t="s">
        <v>248</v>
      </c>
      <c r="B214" s="34" t="s">
        <v>82</v>
      </c>
      <c r="C214" s="27">
        <v>811.99</v>
      </c>
    </row>
    <row r="215" spans="1:5" ht="13.5" customHeight="1" x14ac:dyDescent="0.2">
      <c r="A215" s="126" t="s">
        <v>248</v>
      </c>
      <c r="B215" s="36" t="s">
        <v>18</v>
      </c>
      <c r="C215" s="27">
        <v>353.97</v>
      </c>
    </row>
    <row r="216" spans="1:5" ht="13.5" customHeight="1" x14ac:dyDescent="0.2">
      <c r="A216" s="126"/>
      <c r="B216" s="36"/>
      <c r="C216" s="629">
        <f>SUM(C206:C215)</f>
        <v>6561.7599999999993</v>
      </c>
    </row>
    <row r="217" spans="1:5" ht="13.5" customHeight="1" x14ac:dyDescent="0.2">
      <c r="A217" s="126"/>
      <c r="B217" s="36"/>
      <c r="E217" s="18"/>
    </row>
    <row r="218" spans="1:5" ht="13.5" customHeight="1" x14ac:dyDescent="0.2">
      <c r="A218" s="126" t="s">
        <v>248</v>
      </c>
      <c r="B218" s="32" t="s">
        <v>2648</v>
      </c>
      <c r="C218" s="30">
        <v>5000</v>
      </c>
      <c r="E218" s="18"/>
    </row>
    <row r="219" spans="1:5" ht="13.5" customHeight="1" x14ac:dyDescent="0.2">
      <c r="A219" s="126" t="s">
        <v>248</v>
      </c>
      <c r="B219" s="36" t="s">
        <v>2674</v>
      </c>
      <c r="C219" s="30">
        <v>500</v>
      </c>
      <c r="E219" s="18"/>
    </row>
    <row r="220" spans="1:5" ht="13.5" customHeight="1" x14ac:dyDescent="0.2">
      <c r="A220" s="126" t="s">
        <v>248</v>
      </c>
      <c r="B220" s="34" t="s">
        <v>2471</v>
      </c>
      <c r="C220" s="27">
        <v>467</v>
      </c>
      <c r="E220" s="18"/>
    </row>
    <row r="221" spans="1:5" ht="13.5" customHeight="1" x14ac:dyDescent="0.2">
      <c r="A221" s="126" t="s">
        <v>248</v>
      </c>
      <c r="B221" s="36" t="s">
        <v>2462</v>
      </c>
      <c r="C221" s="27">
        <v>71.489999999999995</v>
      </c>
    </row>
    <row r="222" spans="1:5" ht="13.5" customHeight="1" x14ac:dyDescent="0.2">
      <c r="A222" s="126" t="s">
        <v>248</v>
      </c>
      <c r="B222" s="34" t="s">
        <v>2486</v>
      </c>
      <c r="C222" s="27">
        <v>129.18</v>
      </c>
    </row>
    <row r="223" spans="1:5" ht="13.5" customHeight="1" x14ac:dyDescent="0.2">
      <c r="A223" s="126"/>
      <c r="B223" s="34"/>
      <c r="C223" s="629">
        <f>SUM(C218:C222)</f>
        <v>6167.67</v>
      </c>
    </row>
    <row r="224" spans="1:5" ht="13.5" customHeight="1" x14ac:dyDescent="0.2">
      <c r="A224" s="126"/>
      <c r="B224" s="34"/>
    </row>
    <row r="225" spans="1:8" ht="13.5" customHeight="1" x14ac:dyDescent="0.2">
      <c r="A225" s="126" t="s">
        <v>249</v>
      </c>
      <c r="B225" s="34" t="s">
        <v>2699</v>
      </c>
      <c r="C225" s="27">
        <v>1100</v>
      </c>
    </row>
    <row r="226" spans="1:8" ht="13.5" customHeight="1" x14ac:dyDescent="0.2">
      <c r="A226" s="126" t="s">
        <v>249</v>
      </c>
      <c r="B226" s="34" t="s">
        <v>2650</v>
      </c>
      <c r="C226" s="30">
        <v>470</v>
      </c>
    </row>
    <row r="227" spans="1:8" ht="13.5" customHeight="1" x14ac:dyDescent="0.2">
      <c r="A227" s="126" t="s">
        <v>249</v>
      </c>
      <c r="B227" s="138" t="s">
        <v>2666</v>
      </c>
      <c r="C227" s="51">
        <v>1000</v>
      </c>
    </row>
    <row r="228" spans="1:8" ht="13.5" customHeight="1" x14ac:dyDescent="0.2">
      <c r="A228" s="126" t="s">
        <v>249</v>
      </c>
      <c r="B228" s="138" t="s">
        <v>422</v>
      </c>
      <c r="C228" s="51">
        <f t="array" ref="C228">SUM(H234:H235/2)</f>
        <v>587.5</v>
      </c>
    </row>
    <row r="229" spans="1:8" ht="13.5" customHeight="1" x14ac:dyDescent="0.2">
      <c r="A229" s="126"/>
      <c r="B229" s="138"/>
      <c r="C229" s="629">
        <f>SUM(C225:C228)</f>
        <v>3157.5</v>
      </c>
    </row>
    <row r="230" spans="1:8" ht="15" x14ac:dyDescent="0.2">
      <c r="A230" s="126"/>
      <c r="B230" s="138"/>
      <c r="C230" s="51"/>
    </row>
    <row r="231" spans="1:8" ht="15" x14ac:dyDescent="0.2">
      <c r="A231" s="126" t="s">
        <v>249</v>
      </c>
      <c r="B231" s="36" t="s">
        <v>2744</v>
      </c>
      <c r="C231" s="622">
        <v>900</v>
      </c>
    </row>
    <row r="232" spans="1:8" ht="13.5" customHeight="1" x14ac:dyDescent="0.2">
      <c r="A232" s="126" t="s">
        <v>249</v>
      </c>
      <c r="B232" s="36" t="s">
        <v>423</v>
      </c>
      <c r="C232" s="622">
        <f>C228</f>
        <v>587.5</v>
      </c>
    </row>
    <row r="233" spans="1:8" ht="13.5" customHeight="1" x14ac:dyDescent="0.2">
      <c r="A233" s="126"/>
      <c r="B233" s="36"/>
      <c r="C233" s="632">
        <f>SUM(C231:C232)</f>
        <v>1487.5</v>
      </c>
    </row>
    <row r="234" spans="1:8" ht="13.5" customHeight="1" x14ac:dyDescent="0.2">
      <c r="A234" s="126"/>
      <c r="B234" s="36"/>
      <c r="F234" s="126" t="s">
        <v>249</v>
      </c>
      <c r="G234" s="36" t="s">
        <v>2669</v>
      </c>
      <c r="H234" s="30">
        <v>800</v>
      </c>
    </row>
    <row r="235" spans="1:8" ht="13.5" customHeight="1" x14ac:dyDescent="0.2">
      <c r="A235" s="126" t="s">
        <v>250</v>
      </c>
      <c r="B235" s="36" t="s">
        <v>20</v>
      </c>
      <c r="C235" s="30">
        <v>-0.01</v>
      </c>
      <c r="F235" s="126" t="s">
        <v>249</v>
      </c>
      <c r="G235" s="36" t="s">
        <v>2637</v>
      </c>
      <c r="H235" s="30">
        <v>375</v>
      </c>
    </row>
    <row r="236" spans="1:8" ht="13.5" customHeight="1" x14ac:dyDescent="0.2">
      <c r="A236" s="126" t="s">
        <v>250</v>
      </c>
      <c r="B236" s="36" t="s">
        <v>20</v>
      </c>
      <c r="C236" s="30">
        <v>-0.01</v>
      </c>
    </row>
    <row r="237" spans="1:8" ht="13.5" customHeight="1" x14ac:dyDescent="0.2">
      <c r="A237" s="126" t="s">
        <v>250</v>
      </c>
      <c r="B237" s="36" t="s">
        <v>20</v>
      </c>
      <c r="C237" s="30">
        <v>-0.01</v>
      </c>
    </row>
    <row r="238" spans="1:8" ht="13.5" customHeight="1" x14ac:dyDescent="0.2">
      <c r="A238" s="126" t="s">
        <v>250</v>
      </c>
      <c r="B238" s="36" t="s">
        <v>20</v>
      </c>
      <c r="C238" s="30">
        <v>-0.04</v>
      </c>
    </row>
    <row r="239" spans="1:8" ht="13.5" customHeight="1" x14ac:dyDescent="0.2">
      <c r="A239" s="126" t="s">
        <v>250</v>
      </c>
      <c r="B239" s="36" t="s">
        <v>20</v>
      </c>
      <c r="C239" s="30">
        <v>-0.05</v>
      </c>
    </row>
    <row r="240" spans="1:8" ht="13.5" customHeight="1" x14ac:dyDescent="0.2">
      <c r="A240" s="126" t="s">
        <v>250</v>
      </c>
      <c r="B240" s="36" t="s">
        <v>86</v>
      </c>
      <c r="C240" s="27">
        <v>85</v>
      </c>
    </row>
    <row r="241" spans="1:26" ht="13.5" customHeight="1" x14ac:dyDescent="0.2">
      <c r="A241" s="126" t="s">
        <v>250</v>
      </c>
      <c r="B241" s="34" t="s">
        <v>86</v>
      </c>
      <c r="C241" s="27">
        <v>75.900000000000006</v>
      </c>
    </row>
    <row r="242" spans="1:26" ht="13.5" customHeight="1" x14ac:dyDescent="0.2">
      <c r="A242" s="126" t="s">
        <v>250</v>
      </c>
      <c r="B242" s="34" t="s">
        <v>86</v>
      </c>
      <c r="C242" s="27">
        <v>20.6</v>
      </c>
    </row>
    <row r="243" spans="1:26" ht="13.5" customHeight="1" x14ac:dyDescent="0.2">
      <c r="A243" s="126" t="s">
        <v>250</v>
      </c>
      <c r="B243" s="36" t="s">
        <v>86</v>
      </c>
      <c r="C243" s="27">
        <v>12.5</v>
      </c>
    </row>
    <row r="244" spans="1:26" ht="13.5" customHeight="1" x14ac:dyDescent="0.2">
      <c r="A244" s="126" t="s">
        <v>250</v>
      </c>
      <c r="B244" s="36" t="s">
        <v>86</v>
      </c>
      <c r="C244" s="27">
        <v>10.1</v>
      </c>
    </row>
    <row r="245" spans="1:26" ht="13.5" customHeight="1" x14ac:dyDescent="0.2">
      <c r="A245" s="126" t="s">
        <v>250</v>
      </c>
      <c r="B245" s="36" t="s">
        <v>2729</v>
      </c>
      <c r="C245" s="27">
        <v>11.9</v>
      </c>
    </row>
    <row r="246" spans="1:26" ht="13.5" customHeight="1" x14ac:dyDescent="0.2">
      <c r="A246" s="126"/>
      <c r="B246" s="34"/>
      <c r="C246" s="629">
        <f>SUM(C235:C245)</f>
        <v>215.88</v>
      </c>
      <c r="D246" s="622">
        <f>SUM(C246/2)</f>
        <v>107.94</v>
      </c>
      <c r="V246" s="64"/>
      <c r="W246" s="64"/>
      <c r="X246" s="64"/>
      <c r="Y246" s="64"/>
      <c r="Z246" s="64"/>
    </row>
    <row r="247" spans="1:26" ht="13.5" customHeight="1" x14ac:dyDescent="0.2">
      <c r="A247" s="126"/>
      <c r="B247" s="34"/>
    </row>
    <row r="248" spans="1:26" ht="13.5" customHeight="1" x14ac:dyDescent="0.2">
      <c r="A248" s="126" t="s">
        <v>421</v>
      </c>
      <c r="B248" s="34" t="s">
        <v>2687</v>
      </c>
      <c r="C248" s="27">
        <v>128.97999999999999</v>
      </c>
    </row>
    <row r="249" spans="1:26" ht="13.5" customHeight="1" x14ac:dyDescent="0.2">
      <c r="A249" s="126" t="s">
        <v>421</v>
      </c>
      <c r="B249" s="36" t="s">
        <v>2596</v>
      </c>
      <c r="C249" s="30">
        <v>142.85</v>
      </c>
      <c r="E249" s="18"/>
    </row>
    <row r="250" spans="1:26" ht="13.5" customHeight="1" x14ac:dyDescent="0.2">
      <c r="A250" s="126" t="s">
        <v>421</v>
      </c>
      <c r="B250" s="34" t="s">
        <v>2598</v>
      </c>
      <c r="C250" s="30">
        <v>34.97</v>
      </c>
      <c r="E250" s="18"/>
    </row>
    <row r="251" spans="1:26" ht="13.5" customHeight="1" x14ac:dyDescent="0.2">
      <c r="A251" s="126" t="s">
        <v>421</v>
      </c>
      <c r="B251" s="34" t="s">
        <v>2599</v>
      </c>
      <c r="C251" s="30">
        <v>73.97</v>
      </c>
      <c r="E251" s="18"/>
    </row>
    <row r="252" spans="1:26" ht="13.5" customHeight="1" x14ac:dyDescent="0.2">
      <c r="A252" s="126" t="s">
        <v>421</v>
      </c>
      <c r="B252" s="36" t="s">
        <v>2591</v>
      </c>
      <c r="C252" s="30">
        <v>256.94</v>
      </c>
    </row>
    <row r="253" spans="1:26" ht="13.5" customHeight="1" x14ac:dyDescent="0.2">
      <c r="A253" s="126" t="s">
        <v>421</v>
      </c>
      <c r="B253" s="34" t="s">
        <v>2595</v>
      </c>
      <c r="C253" s="30">
        <v>19.989999999999998</v>
      </c>
    </row>
    <row r="254" spans="1:26" ht="13.5" customHeight="1" x14ac:dyDescent="0.2">
      <c r="A254" s="126" t="s">
        <v>421</v>
      </c>
      <c r="B254" s="36" t="s">
        <v>2592</v>
      </c>
      <c r="C254" s="30">
        <v>38.96</v>
      </c>
    </row>
    <row r="255" spans="1:26" ht="13.5" customHeight="1" x14ac:dyDescent="0.2">
      <c r="A255" s="126" t="s">
        <v>421</v>
      </c>
      <c r="B255" s="36" t="s">
        <v>2583</v>
      </c>
      <c r="C255" s="30">
        <v>532.80999999999995</v>
      </c>
      <c r="F255" s="365"/>
    </row>
    <row r="256" spans="1:26" ht="13.5" customHeight="1" x14ac:dyDescent="0.2">
      <c r="A256" s="126" t="s">
        <v>421</v>
      </c>
      <c r="B256" s="36" t="s">
        <v>2670</v>
      </c>
      <c r="C256" s="30">
        <v>23</v>
      </c>
    </row>
    <row r="257" spans="1:28" ht="13.5" customHeight="1" x14ac:dyDescent="0.2">
      <c r="A257" s="126" t="s">
        <v>421</v>
      </c>
      <c r="B257" s="36" t="s">
        <v>2667</v>
      </c>
      <c r="C257" s="30">
        <v>25.45</v>
      </c>
      <c r="E257" s="18"/>
      <c r="G257" s="365">
        <f>SUM(F259-11448.33)</f>
        <v>-5.4569682106375694E-12</v>
      </c>
    </row>
    <row r="258" spans="1:28" ht="13.5" customHeight="1" x14ac:dyDescent="0.2">
      <c r="B258" s="56"/>
      <c r="C258" s="625">
        <f>SUM(C248:C257)</f>
        <v>1277.92</v>
      </c>
    </row>
    <row r="259" spans="1:28" ht="13.5" customHeight="1" x14ac:dyDescent="0.2">
      <c r="B259" s="34"/>
      <c r="F259" s="40">
        <f>SUM(C258,C246,C233,C229,C223,C216,C204,C200,C172,C165,C138,C136,C133,C131,C101,C86,C64,C58,C51)-SUM(D33,D25)</f>
        <v>11448.329999999994</v>
      </c>
    </row>
    <row r="260" spans="1:28" ht="13.5" customHeight="1" x14ac:dyDescent="0.2">
      <c r="B260" s="78"/>
      <c r="E260" s="18"/>
    </row>
    <row r="261" spans="1:28" ht="13.5" customHeight="1" x14ac:dyDescent="0.2">
      <c r="B261" s="63"/>
      <c r="E261" s="18"/>
    </row>
    <row r="262" spans="1:28" ht="13.5" customHeight="1" x14ac:dyDescent="0.2">
      <c r="B262" s="63"/>
      <c r="E262" s="18"/>
    </row>
    <row r="263" spans="1:28" ht="13.5" customHeight="1" x14ac:dyDescent="0.2">
      <c r="B263" s="63"/>
      <c r="E263" s="18"/>
    </row>
    <row r="264" spans="1:28" ht="13.5" customHeight="1" x14ac:dyDescent="0.2">
      <c r="B264" s="63"/>
      <c r="E264" s="18"/>
    </row>
    <row r="265" spans="1:28" ht="13.5" customHeight="1" x14ac:dyDescent="0.2">
      <c r="B265" s="63"/>
    </row>
    <row r="266" spans="1:28" ht="13.5" customHeight="1" x14ac:dyDescent="0.2">
      <c r="B266" s="63"/>
    </row>
    <row r="267" spans="1:28" ht="13.5" customHeight="1" x14ac:dyDescent="0.2">
      <c r="B267" s="63"/>
    </row>
    <row r="268" spans="1:28" ht="13.5" customHeight="1" x14ac:dyDescent="0.2">
      <c r="B268" s="63"/>
      <c r="AA268" s="64"/>
      <c r="AB268" s="64"/>
    </row>
    <row r="269" spans="1:28" ht="13.5" customHeight="1" x14ac:dyDescent="0.2">
      <c r="B269" s="63"/>
    </row>
    <row r="270" spans="1:28" ht="13.5" customHeight="1" x14ac:dyDescent="0.2">
      <c r="B270" s="63"/>
    </row>
    <row r="271" spans="1:28" ht="13.5" customHeight="1" x14ac:dyDescent="0.2">
      <c r="B271" s="63"/>
      <c r="AA271" s="64"/>
      <c r="AB271" s="64"/>
    </row>
    <row r="272" spans="1:28" ht="13.5" customHeight="1" x14ac:dyDescent="0.2">
      <c r="B272" s="63"/>
    </row>
    <row r="273" spans="2:2" ht="13.5" customHeight="1" x14ac:dyDescent="0.2">
      <c r="B273" s="63"/>
    </row>
    <row r="274" spans="2:2" ht="13.5" customHeight="1" x14ac:dyDescent="0.2">
      <c r="B274" s="63"/>
    </row>
    <row r="275" spans="2:2" ht="13.5" customHeight="1" x14ac:dyDescent="0.2">
      <c r="B275" s="63"/>
    </row>
    <row r="276" spans="2:2" ht="13.5" customHeight="1" x14ac:dyDescent="0.2">
      <c r="B276" s="63"/>
    </row>
    <row r="277" spans="2:2" ht="13.5" customHeight="1" x14ac:dyDescent="0.2">
      <c r="B277" s="63"/>
    </row>
    <row r="278" spans="2:2" ht="13.5" customHeight="1" x14ac:dyDescent="0.2">
      <c r="B278" s="63"/>
    </row>
    <row r="279" spans="2:2" ht="13.5" customHeight="1" x14ac:dyDescent="0.2">
      <c r="B279" s="63"/>
    </row>
    <row r="280" spans="2:2" ht="13.5" customHeight="1" x14ac:dyDescent="0.2">
      <c r="B280" s="63"/>
    </row>
    <row r="281" spans="2:2" ht="13.5" customHeight="1" x14ac:dyDescent="0.2">
      <c r="B281" s="63"/>
    </row>
    <row r="282" spans="2:2" ht="13.5" customHeight="1" x14ac:dyDescent="0.2">
      <c r="B282" s="63"/>
    </row>
    <row r="283" spans="2:2" ht="13.5" customHeight="1" x14ac:dyDescent="0.2">
      <c r="B283" s="63"/>
    </row>
    <row r="284" spans="2:2" ht="13.5" customHeight="1" x14ac:dyDescent="0.2">
      <c r="B284" s="63"/>
    </row>
    <row r="285" spans="2:2" ht="13.5" customHeight="1" x14ac:dyDescent="0.2">
      <c r="B285" s="63"/>
    </row>
    <row r="286" spans="2:2" ht="13.5" customHeight="1" x14ac:dyDescent="0.2">
      <c r="B286" s="63"/>
    </row>
    <row r="287" spans="2:2" ht="13.5" customHeight="1" x14ac:dyDescent="0.2">
      <c r="B287" s="63"/>
    </row>
    <row r="288" spans="2:2" ht="13.5" customHeight="1" x14ac:dyDescent="0.2">
      <c r="B288" s="63"/>
    </row>
    <row r="289" spans="2:2" ht="13.5" customHeight="1" x14ac:dyDescent="0.2">
      <c r="B289" s="64"/>
    </row>
    <row r="290" spans="2:2" ht="13.5" customHeight="1" x14ac:dyDescent="0.2">
      <c r="B290" s="63"/>
    </row>
    <row r="291" spans="2:2" ht="13.5" customHeight="1" x14ac:dyDescent="0.2">
      <c r="B291" s="63"/>
    </row>
    <row r="292" spans="2:2" ht="13.5" customHeight="1" x14ac:dyDescent="0.2">
      <c r="B292" s="85"/>
    </row>
    <row r="293" spans="2:2" ht="13.5" customHeight="1" x14ac:dyDescent="0.2">
      <c r="B293" s="63"/>
    </row>
    <row r="294" spans="2:2" ht="13.5" customHeight="1" x14ac:dyDescent="0.2">
      <c r="B294" s="63"/>
    </row>
    <row r="295" spans="2:2" ht="13.5" customHeight="1" x14ac:dyDescent="0.2">
      <c r="B295" s="64"/>
    </row>
    <row r="296" spans="2:2" ht="13.5" customHeight="1" x14ac:dyDescent="0.2">
      <c r="B296" s="63"/>
    </row>
    <row r="297" spans="2:2" ht="13.5" customHeight="1" x14ac:dyDescent="0.2">
      <c r="B297" s="63"/>
    </row>
    <row r="298" spans="2:2" ht="13.5" customHeight="1" x14ac:dyDescent="0.2">
      <c r="B298" s="64"/>
    </row>
    <row r="299" spans="2:2" ht="13.5" customHeight="1" x14ac:dyDescent="0.2">
      <c r="B299" s="63"/>
    </row>
    <row r="300" spans="2:2" ht="13.5" customHeight="1" x14ac:dyDescent="0.2">
      <c r="B300" s="63"/>
    </row>
    <row r="301" spans="2:2" ht="13.5" customHeight="1" x14ac:dyDescent="0.2">
      <c r="B301" s="64"/>
    </row>
    <row r="302" spans="2:2" ht="13.5" customHeight="1" x14ac:dyDescent="0.2">
      <c r="B302" s="63"/>
    </row>
    <row r="303" spans="2:2" ht="13.5" customHeight="1" x14ac:dyDescent="0.2">
      <c r="B303" s="63"/>
    </row>
    <row r="304" spans="2:2" ht="13.5" customHeight="1" x14ac:dyDescent="0.2">
      <c r="B304" s="63"/>
    </row>
    <row r="305" spans="2:2" ht="13.5" customHeight="1" x14ac:dyDescent="0.2">
      <c r="B305" s="86"/>
    </row>
    <row r="306" spans="2:2" ht="13.5" customHeight="1" x14ac:dyDescent="0.2">
      <c r="B306" s="85"/>
    </row>
    <row r="307" spans="2:2" ht="13.5" customHeight="1" x14ac:dyDescent="0.2">
      <c r="B307" s="87"/>
    </row>
    <row r="308" spans="2:2" ht="13.5" customHeight="1" x14ac:dyDescent="0.2">
      <c r="B308" s="88"/>
    </row>
    <row r="309" spans="2:2" ht="13.5" customHeight="1" x14ac:dyDescent="0.2">
      <c r="B309" s="56"/>
    </row>
    <row r="310" spans="2:2" ht="13.5" customHeight="1" x14ac:dyDescent="0.2">
      <c r="B310" s="56"/>
    </row>
    <row r="311" spans="2:2" ht="13.5" customHeight="1" x14ac:dyDescent="0.2">
      <c r="B311" s="56"/>
    </row>
    <row r="312" spans="2:2" ht="13.5" customHeight="1" x14ac:dyDescent="0.2"/>
    <row r="313" spans="2:2" ht="13.5" customHeight="1" x14ac:dyDescent="0.2">
      <c r="B313" s="56"/>
    </row>
    <row r="314" spans="2:2" ht="13.5" customHeight="1" x14ac:dyDescent="0.2">
      <c r="B314" s="56"/>
    </row>
    <row r="315" spans="2:2" ht="13.5" customHeight="1" x14ac:dyDescent="0.2">
      <c r="B315" s="56"/>
    </row>
    <row r="316" spans="2:2" ht="13.5" customHeight="1" x14ac:dyDescent="0.2">
      <c r="B316" s="27"/>
    </row>
    <row r="317" spans="2:2" ht="13.5" customHeight="1" x14ac:dyDescent="0.2">
      <c r="B317" s="27"/>
    </row>
    <row r="318" spans="2:2" ht="13.5" customHeight="1" x14ac:dyDescent="0.2"/>
    <row r="319" spans="2:2" ht="13.5" customHeight="1" x14ac:dyDescent="0.2">
      <c r="B319" s="56"/>
    </row>
    <row r="320" spans="2:2" ht="13.5" customHeight="1" x14ac:dyDescent="0.2">
      <c r="B320" s="56"/>
    </row>
    <row r="321" spans="2:2" ht="13.5" customHeight="1" x14ac:dyDescent="0.2">
      <c r="B321" s="56"/>
    </row>
    <row r="322" spans="2:2" ht="13.5" customHeight="1" x14ac:dyDescent="0.2">
      <c r="B322" s="56"/>
    </row>
    <row r="323" spans="2:2" ht="13.5" customHeight="1" x14ac:dyDescent="0.2">
      <c r="B323" s="94"/>
    </row>
    <row r="324" spans="2:2" ht="13.5" customHeight="1" x14ac:dyDescent="0.2"/>
    <row r="325" spans="2:2" ht="13.5" customHeight="1" x14ac:dyDescent="0.2"/>
    <row r="326" spans="2:2" ht="13.5" customHeight="1" x14ac:dyDescent="0.2"/>
    <row r="327" spans="2:2" ht="13.5" customHeight="1" x14ac:dyDescent="0.2"/>
    <row r="328" spans="2:2" ht="13.5" customHeight="1" x14ac:dyDescent="0.2"/>
    <row r="329" spans="2:2" ht="13.5" customHeight="1" x14ac:dyDescent="0.2"/>
    <row r="330" spans="2:2" ht="13.5" customHeight="1" x14ac:dyDescent="0.2"/>
    <row r="331" spans="2:2" ht="13.5" customHeight="1" x14ac:dyDescent="0.2"/>
    <row r="332" spans="2:2" ht="13.5" customHeight="1" x14ac:dyDescent="0.2"/>
    <row r="333" spans="2:2" ht="13.5" customHeight="1" x14ac:dyDescent="0.2"/>
    <row r="334" spans="2:2" ht="13.5" customHeight="1" x14ac:dyDescent="0.2"/>
    <row r="335" spans="2:2" ht="13.5" customHeight="1" x14ac:dyDescent="0.2"/>
    <row r="336" spans="2:2" ht="13.5" customHeight="1" x14ac:dyDescent="0.2"/>
    <row r="337" ht="13.5" customHeight="1" x14ac:dyDescent="0.2"/>
    <row r="338" ht="13.5" customHeight="1" x14ac:dyDescent="0.2"/>
    <row r="339" ht="13.5" customHeight="1" x14ac:dyDescent="0.2"/>
  </sheetData>
  <sortState xmlns:xlrd2="http://schemas.microsoft.com/office/spreadsheetml/2017/richdata2" ref="A166:D197">
    <sortCondition ref="A166:A197"/>
    <sortCondition ref="B166:B197"/>
  </sortState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W424"/>
  <sheetViews>
    <sheetView topLeftCell="D305" zoomScale="80" zoomScaleNormal="80" workbookViewId="0">
      <selection activeCell="I317" sqref="I317:J325"/>
    </sheetView>
  </sheetViews>
  <sheetFormatPr defaultColWidth="9" defaultRowHeight="12.75" x14ac:dyDescent="0.2"/>
  <cols>
    <col min="1" max="1" width="14" style="1" customWidth="1"/>
    <col min="2" max="2" width="1.875" style="1" customWidth="1"/>
    <col min="3" max="3" width="99.25" style="1" customWidth="1"/>
    <col min="4" max="4" width="12" style="1" customWidth="1"/>
    <col min="5" max="5" width="12.375" style="1" customWidth="1"/>
    <col min="6" max="6" width="10.75" style="1" customWidth="1"/>
    <col min="7" max="7" width="14.625" style="1" customWidth="1"/>
    <col min="8" max="8" width="13.75" style="1" customWidth="1"/>
    <col min="9" max="9" width="13.375" style="1" customWidth="1"/>
    <col min="10" max="10" width="15.125" style="1" customWidth="1"/>
    <col min="11" max="16384" width="9" style="1"/>
  </cols>
  <sheetData>
    <row r="1" spans="1:8" ht="13.5" customHeight="1" thickBot="1" x14ac:dyDescent="0.25">
      <c r="A1" s="1407" t="s">
        <v>2758</v>
      </c>
      <c r="B1" s="1407"/>
      <c r="C1" s="1408"/>
      <c r="D1" s="1409" t="s">
        <v>0</v>
      </c>
      <c r="E1" s="1410"/>
      <c r="F1" s="1410"/>
      <c r="G1" s="1411"/>
    </row>
    <row r="2" spans="1:8" ht="13.5" customHeight="1" thickBot="1" x14ac:dyDescent="0.25">
      <c r="A2" s="2" t="s">
        <v>2</v>
      </c>
      <c r="B2" s="3"/>
      <c r="C2" s="3" t="s">
        <v>2335</v>
      </c>
      <c r="D2" s="3" t="s">
        <v>4</v>
      </c>
      <c r="E2" s="3" t="s">
        <v>5</v>
      </c>
      <c r="F2" s="3" t="s">
        <v>6</v>
      </c>
      <c r="G2" s="5" t="s">
        <v>7</v>
      </c>
    </row>
    <row r="3" spans="1:8" ht="13.5" customHeight="1" x14ac:dyDescent="0.2">
      <c r="A3" s="8">
        <v>43709</v>
      </c>
      <c r="B3" s="56"/>
      <c r="C3" s="10" t="s">
        <v>8</v>
      </c>
      <c r="D3" s="11">
        <v>0</v>
      </c>
      <c r="E3" s="51"/>
      <c r="F3" s="12"/>
      <c r="G3" s="178">
        <v>3591.2700000000123</v>
      </c>
      <c r="H3" s="18"/>
    </row>
    <row r="4" spans="1:8" ht="13.5" customHeight="1" x14ac:dyDescent="0.2">
      <c r="A4" s="180">
        <v>43710</v>
      </c>
      <c r="B4" s="36"/>
      <c r="C4" s="36" t="s">
        <v>2759</v>
      </c>
      <c r="D4" s="42"/>
      <c r="E4" s="196"/>
      <c r="F4" s="43">
        <v>200</v>
      </c>
      <c r="G4" s="190"/>
      <c r="H4" s="18"/>
    </row>
    <row r="5" spans="1:8" ht="13.5" customHeight="1" x14ac:dyDescent="0.2">
      <c r="A5" s="180"/>
      <c r="B5" s="36"/>
      <c r="C5" s="36" t="s">
        <v>2760</v>
      </c>
      <c r="D5" s="42"/>
      <c r="E5" s="196"/>
      <c r="F5" s="43">
        <v>1100</v>
      </c>
      <c r="G5" s="190"/>
      <c r="H5" s="18"/>
    </row>
    <row r="6" spans="1:8" ht="13.5" customHeight="1" x14ac:dyDescent="0.2">
      <c r="A6" s="180"/>
      <c r="B6" s="36"/>
      <c r="C6" s="36" t="s">
        <v>2761</v>
      </c>
      <c r="D6" s="42"/>
      <c r="E6" s="196"/>
      <c r="F6" s="43">
        <v>1168.05</v>
      </c>
      <c r="G6" s="190"/>
      <c r="H6" s="18"/>
    </row>
    <row r="7" spans="1:8" ht="13.5" customHeight="1" x14ac:dyDescent="0.2">
      <c r="A7" s="180"/>
      <c r="B7" s="36"/>
      <c r="C7" s="36" t="s">
        <v>2762</v>
      </c>
      <c r="D7" s="42"/>
      <c r="E7" s="196"/>
      <c r="F7" s="43">
        <v>150</v>
      </c>
      <c r="G7" s="190"/>
      <c r="H7" s="18"/>
    </row>
    <row r="8" spans="1:8" ht="13.5" customHeight="1" x14ac:dyDescent="0.2">
      <c r="A8" s="180"/>
      <c r="B8" s="36"/>
      <c r="C8" s="36" t="s">
        <v>2763</v>
      </c>
      <c r="D8" s="42"/>
      <c r="E8" s="196"/>
      <c r="F8" s="43">
        <v>1465</v>
      </c>
      <c r="G8" s="190"/>
      <c r="H8" s="18"/>
    </row>
    <row r="9" spans="1:8" ht="13.5" customHeight="1" x14ac:dyDescent="0.2">
      <c r="A9" s="180"/>
      <c r="B9" s="36"/>
      <c r="C9" s="36" t="s">
        <v>2764</v>
      </c>
      <c r="D9" s="42"/>
      <c r="E9" s="196"/>
      <c r="F9" s="43">
        <v>220</v>
      </c>
      <c r="G9" s="190">
        <v>7894.3200000000124</v>
      </c>
      <c r="H9" s="18"/>
    </row>
    <row r="10" spans="1:8" ht="13.5" customHeight="1" x14ac:dyDescent="0.2">
      <c r="A10" s="180">
        <v>43711</v>
      </c>
      <c r="B10" s="36"/>
      <c r="C10" s="36" t="s">
        <v>2765</v>
      </c>
      <c r="D10" s="42"/>
      <c r="E10" s="196">
        <v>10</v>
      </c>
      <c r="F10" s="43"/>
      <c r="G10" s="190"/>
      <c r="H10" s="18"/>
    </row>
    <row r="11" spans="1:8" ht="13.5" customHeight="1" x14ac:dyDescent="0.2">
      <c r="A11" s="180"/>
      <c r="B11" s="36"/>
      <c r="C11" s="36" t="s">
        <v>1834</v>
      </c>
      <c r="D11" s="42"/>
      <c r="E11" s="196">
        <v>44.3</v>
      </c>
      <c r="F11" s="43"/>
      <c r="G11" s="190"/>
      <c r="H11" s="18"/>
    </row>
    <row r="12" spans="1:8" ht="13.5" customHeight="1" x14ac:dyDescent="0.2">
      <c r="A12" s="180"/>
      <c r="B12" s="36"/>
      <c r="C12" s="36" t="s">
        <v>2766</v>
      </c>
      <c r="D12" s="42"/>
      <c r="E12" s="196">
        <v>42.2</v>
      </c>
      <c r="F12" s="43"/>
      <c r="G12" s="190"/>
      <c r="H12" s="18"/>
    </row>
    <row r="13" spans="1:8" ht="13.5" customHeight="1" x14ac:dyDescent="0.2">
      <c r="A13" s="180"/>
      <c r="B13" s="36"/>
      <c r="C13" s="36" t="s">
        <v>2767</v>
      </c>
      <c r="D13" s="42"/>
      <c r="E13" s="196">
        <v>6.6</v>
      </c>
      <c r="F13" s="43"/>
      <c r="G13" s="190"/>
      <c r="H13" s="18"/>
    </row>
    <row r="14" spans="1:8" ht="13.5" customHeight="1" x14ac:dyDescent="0.2">
      <c r="A14" s="180"/>
      <c r="B14" s="36"/>
      <c r="C14" s="36" t="s">
        <v>2768</v>
      </c>
      <c r="D14" s="42"/>
      <c r="E14" s="196">
        <v>19.96</v>
      </c>
      <c r="F14" s="43"/>
      <c r="G14" s="190"/>
      <c r="H14" s="18"/>
    </row>
    <row r="15" spans="1:8" ht="13.5" customHeight="1" x14ac:dyDescent="0.2">
      <c r="A15" s="180"/>
      <c r="B15" s="36"/>
      <c r="C15" s="36" t="s">
        <v>2769</v>
      </c>
      <c r="D15" s="42"/>
      <c r="E15" s="196">
        <v>5.25</v>
      </c>
      <c r="F15" s="43"/>
      <c r="G15" s="190"/>
      <c r="H15" s="18"/>
    </row>
    <row r="16" spans="1:8" ht="13.5" customHeight="1" x14ac:dyDescent="0.2">
      <c r="A16" s="180"/>
      <c r="B16" s="36"/>
      <c r="C16" s="36" t="s">
        <v>1834</v>
      </c>
      <c r="D16" s="42"/>
      <c r="E16" s="196">
        <v>33.299999999999997</v>
      </c>
      <c r="F16" s="43"/>
      <c r="G16" s="190"/>
      <c r="H16" s="18"/>
    </row>
    <row r="17" spans="1:8" ht="13.5" customHeight="1" x14ac:dyDescent="0.2">
      <c r="A17" s="180"/>
      <c r="B17" s="36"/>
      <c r="C17" s="36" t="s">
        <v>2770</v>
      </c>
      <c r="D17" s="42"/>
      <c r="E17" s="196">
        <v>20</v>
      </c>
      <c r="F17" s="43"/>
      <c r="G17" s="190"/>
      <c r="H17" s="18"/>
    </row>
    <row r="18" spans="1:8" ht="13.5" customHeight="1" x14ac:dyDescent="0.2">
      <c r="A18" s="180"/>
      <c r="B18" s="36"/>
      <c r="C18" s="36" t="s">
        <v>2771</v>
      </c>
      <c r="D18" s="42"/>
      <c r="E18" s="196">
        <v>8.48</v>
      </c>
      <c r="F18" s="43"/>
      <c r="G18" s="190"/>
      <c r="H18" s="18"/>
    </row>
    <row r="19" spans="1:8" ht="13.5" customHeight="1" x14ac:dyDescent="0.2">
      <c r="A19" s="180"/>
      <c r="B19" s="36"/>
      <c r="C19" s="36" t="s">
        <v>1652</v>
      </c>
      <c r="D19" s="42"/>
      <c r="E19" s="196">
        <v>2.85</v>
      </c>
      <c r="F19" s="43"/>
      <c r="G19" s="190"/>
      <c r="H19" s="18"/>
    </row>
    <row r="20" spans="1:8" ht="13.5" customHeight="1" x14ac:dyDescent="0.2">
      <c r="A20" s="180"/>
      <c r="B20" s="36"/>
      <c r="C20" s="36" t="s">
        <v>2772</v>
      </c>
      <c r="D20" s="42"/>
      <c r="E20" s="196">
        <v>6.98</v>
      </c>
      <c r="F20" s="43"/>
      <c r="G20" s="190"/>
      <c r="H20" s="18"/>
    </row>
    <row r="21" spans="1:8" ht="13.5" customHeight="1" x14ac:dyDescent="0.2">
      <c r="A21" s="180"/>
      <c r="B21" s="36"/>
      <c r="C21" s="36" t="s">
        <v>2773</v>
      </c>
      <c r="D21" s="42"/>
      <c r="E21" s="196">
        <v>195.32</v>
      </c>
      <c r="F21" s="43"/>
      <c r="G21" s="190"/>
      <c r="H21" s="18"/>
    </row>
    <row r="22" spans="1:8" ht="13.5" customHeight="1" x14ac:dyDescent="0.2">
      <c r="A22" s="180"/>
      <c r="B22" s="36"/>
      <c r="C22" s="36" t="s">
        <v>2420</v>
      </c>
      <c r="D22" s="42"/>
      <c r="E22" s="196">
        <v>1.18</v>
      </c>
      <c r="F22" s="43"/>
      <c r="G22" s="190"/>
      <c r="H22" s="18"/>
    </row>
    <row r="23" spans="1:8" ht="13.5" customHeight="1" x14ac:dyDescent="0.2">
      <c r="A23" s="180"/>
      <c r="B23" s="36"/>
      <c r="C23" s="36" t="s">
        <v>2774</v>
      </c>
      <c r="D23" s="42"/>
      <c r="E23" s="196">
        <v>7.5</v>
      </c>
      <c r="F23" s="43"/>
      <c r="G23" s="190"/>
      <c r="H23" s="18"/>
    </row>
    <row r="24" spans="1:8" ht="13.5" customHeight="1" x14ac:dyDescent="0.2">
      <c r="A24" s="180"/>
      <c r="B24" s="36"/>
      <c r="C24" s="36" t="s">
        <v>2775</v>
      </c>
      <c r="D24" s="42"/>
      <c r="E24" s="196">
        <v>35.89</v>
      </c>
      <c r="F24" s="43"/>
      <c r="G24" s="190"/>
      <c r="H24" s="18"/>
    </row>
    <row r="25" spans="1:8" ht="13.5" customHeight="1" x14ac:dyDescent="0.2">
      <c r="A25" s="180"/>
      <c r="B25" s="36"/>
      <c r="C25" s="36" t="s">
        <v>2776</v>
      </c>
      <c r="D25" s="42"/>
      <c r="E25" s="597">
        <v>3500</v>
      </c>
      <c r="F25" s="43"/>
      <c r="G25" s="190">
        <v>3954.510000000012</v>
      </c>
      <c r="H25" s="18"/>
    </row>
    <row r="26" spans="1:8" ht="13.5" customHeight="1" x14ac:dyDescent="0.2">
      <c r="A26" s="180">
        <v>43712</v>
      </c>
      <c r="B26" s="36"/>
      <c r="C26" s="36" t="s">
        <v>2777</v>
      </c>
      <c r="D26" s="42"/>
      <c r="E26" s="196">
        <v>20.48</v>
      </c>
      <c r="F26" s="43"/>
      <c r="G26" s="190"/>
      <c r="H26" s="18"/>
    </row>
    <row r="27" spans="1:8" ht="13.5" customHeight="1" x14ac:dyDescent="0.2">
      <c r="A27" s="180"/>
      <c r="B27" s="36"/>
      <c r="C27" s="36" t="s">
        <v>2778</v>
      </c>
      <c r="D27" s="42"/>
      <c r="E27" s="196">
        <v>82.47</v>
      </c>
      <c r="F27" s="43"/>
      <c r="G27" s="190"/>
      <c r="H27" s="18"/>
    </row>
    <row r="28" spans="1:8" ht="13.5" customHeight="1" x14ac:dyDescent="0.2">
      <c r="A28" s="180"/>
      <c r="B28" s="36"/>
      <c r="C28" s="36" t="s">
        <v>2779</v>
      </c>
      <c r="D28" s="42"/>
      <c r="E28" s="196">
        <v>8.98</v>
      </c>
      <c r="F28" s="43"/>
      <c r="G28" s="190"/>
      <c r="H28" s="18"/>
    </row>
    <row r="29" spans="1:8" ht="13.5" customHeight="1" x14ac:dyDescent="0.2">
      <c r="A29" s="180"/>
      <c r="B29" s="36"/>
      <c r="C29" s="36" t="s">
        <v>2780</v>
      </c>
      <c r="D29" s="42"/>
      <c r="E29" s="196">
        <v>24.47</v>
      </c>
      <c r="F29" s="43"/>
      <c r="G29" s="190">
        <v>3818.1100000000124</v>
      </c>
      <c r="H29" s="18"/>
    </row>
    <row r="30" spans="1:8" ht="13.5" customHeight="1" x14ac:dyDescent="0.2">
      <c r="A30" s="180">
        <v>43713</v>
      </c>
      <c r="B30" s="36"/>
      <c r="C30" s="36" t="s">
        <v>2781</v>
      </c>
      <c r="D30" s="42"/>
      <c r="E30" s="196">
        <v>243</v>
      </c>
      <c r="F30" s="43"/>
      <c r="G30" s="190"/>
      <c r="H30" s="18"/>
    </row>
    <row r="31" spans="1:8" ht="13.5" customHeight="1" x14ac:dyDescent="0.2">
      <c r="A31" s="180"/>
      <c r="B31" s="36"/>
      <c r="C31" s="36" t="s">
        <v>2782</v>
      </c>
      <c r="D31" s="42"/>
      <c r="E31" s="196">
        <v>22.9</v>
      </c>
      <c r="F31" s="43"/>
      <c r="G31" s="190"/>
      <c r="H31" s="18"/>
    </row>
    <row r="32" spans="1:8" ht="13.5" customHeight="1" x14ac:dyDescent="0.2">
      <c r="A32" s="180"/>
      <c r="B32" s="36"/>
      <c r="C32" s="36" t="s">
        <v>2783</v>
      </c>
      <c r="D32" s="42"/>
      <c r="E32" s="196">
        <v>300</v>
      </c>
      <c r="F32" s="43"/>
      <c r="G32" s="190"/>
      <c r="H32" s="18"/>
    </row>
    <row r="33" spans="1:8" ht="13.5" customHeight="1" x14ac:dyDescent="0.2">
      <c r="A33" s="180"/>
      <c r="B33" s="36"/>
      <c r="C33" s="36" t="s">
        <v>2784</v>
      </c>
      <c r="D33" s="42"/>
      <c r="E33" s="196"/>
      <c r="F33" s="43">
        <v>1490</v>
      </c>
      <c r="G33" s="190"/>
      <c r="H33" s="18"/>
    </row>
    <row r="34" spans="1:8" ht="13.5" customHeight="1" x14ac:dyDescent="0.2">
      <c r="A34" s="180"/>
      <c r="B34" s="36"/>
      <c r="C34" s="36" t="s">
        <v>2785</v>
      </c>
      <c r="D34" s="42"/>
      <c r="E34" s="196"/>
      <c r="F34" s="43">
        <v>250</v>
      </c>
      <c r="G34" s="190"/>
      <c r="H34" s="18"/>
    </row>
    <row r="35" spans="1:8" ht="13.5" customHeight="1" x14ac:dyDescent="0.2">
      <c r="A35" s="180"/>
      <c r="B35" s="36"/>
      <c r="C35" s="36" t="s">
        <v>2786</v>
      </c>
      <c r="D35" s="42"/>
      <c r="E35" s="196"/>
      <c r="F35" s="43">
        <v>60</v>
      </c>
      <c r="G35" s="190"/>
      <c r="H35" s="18"/>
    </row>
    <row r="36" spans="1:8" ht="13.5" customHeight="1" x14ac:dyDescent="0.2">
      <c r="A36" s="180"/>
      <c r="B36" s="36"/>
      <c r="C36" s="36" t="s">
        <v>2787</v>
      </c>
      <c r="D36" s="42"/>
      <c r="E36" s="196"/>
      <c r="F36" s="43">
        <v>1500</v>
      </c>
      <c r="G36" s="190">
        <v>6552.2100000000119</v>
      </c>
      <c r="H36" s="18"/>
    </row>
    <row r="37" spans="1:8" ht="13.5" customHeight="1" x14ac:dyDescent="0.2">
      <c r="A37" s="180">
        <v>43714</v>
      </c>
      <c r="B37" s="36"/>
      <c r="C37" s="36" t="s">
        <v>2788</v>
      </c>
      <c r="D37" s="42"/>
      <c r="E37" s="196"/>
      <c r="F37" s="43">
        <v>1000</v>
      </c>
      <c r="G37" s="190"/>
      <c r="H37" s="18"/>
    </row>
    <row r="38" spans="1:8" ht="13.5" customHeight="1" x14ac:dyDescent="0.2">
      <c r="A38" s="180"/>
      <c r="B38" s="36"/>
      <c r="C38" s="36" t="s">
        <v>2789</v>
      </c>
      <c r="D38" s="42"/>
      <c r="E38" s="196">
        <v>32.35</v>
      </c>
      <c r="F38" s="43"/>
      <c r="G38" s="190"/>
      <c r="H38" s="18"/>
    </row>
    <row r="39" spans="1:8" ht="13.5" customHeight="1" x14ac:dyDescent="0.2">
      <c r="A39" s="180"/>
      <c r="B39" s="36"/>
      <c r="C39" s="36" t="s">
        <v>2790</v>
      </c>
      <c r="D39" s="42"/>
      <c r="E39" s="196"/>
      <c r="F39" s="609">
        <v>1800</v>
      </c>
      <c r="G39" s="190"/>
      <c r="H39" s="18"/>
    </row>
    <row r="40" spans="1:8" ht="13.5" customHeight="1" x14ac:dyDescent="0.2">
      <c r="A40" s="180"/>
      <c r="B40" s="36"/>
      <c r="C40" s="36" t="s">
        <v>2791</v>
      </c>
      <c r="D40" s="42"/>
      <c r="E40" s="196">
        <v>300</v>
      </c>
      <c r="F40" s="43"/>
      <c r="G40" s="190"/>
      <c r="H40" s="18"/>
    </row>
    <row r="41" spans="1:8" ht="13.5" customHeight="1" x14ac:dyDescent="0.2">
      <c r="A41" s="180"/>
      <c r="B41" s="36"/>
      <c r="C41" s="36" t="s">
        <v>2792</v>
      </c>
      <c r="D41" s="42"/>
      <c r="E41" s="196">
        <v>500</v>
      </c>
      <c r="F41" s="43"/>
      <c r="G41" s="190"/>
      <c r="H41" s="18"/>
    </row>
    <row r="42" spans="1:8" ht="13.5" customHeight="1" x14ac:dyDescent="0.2">
      <c r="A42" s="180"/>
      <c r="B42" s="36"/>
      <c r="C42" s="36" t="s">
        <v>2793</v>
      </c>
      <c r="D42" s="42"/>
      <c r="E42" s="196">
        <v>300</v>
      </c>
      <c r="F42" s="43"/>
      <c r="G42" s="190"/>
      <c r="H42" s="18"/>
    </row>
    <row r="43" spans="1:8" ht="13.5" customHeight="1" x14ac:dyDescent="0.2">
      <c r="A43" s="180"/>
      <c r="B43" s="36"/>
      <c r="C43" s="36" t="s">
        <v>2794</v>
      </c>
      <c r="D43" s="42"/>
      <c r="E43" s="196">
        <v>105</v>
      </c>
      <c r="F43" s="43"/>
      <c r="G43" s="190"/>
      <c r="H43" s="18"/>
    </row>
    <row r="44" spans="1:8" ht="13.5" customHeight="1" x14ac:dyDescent="0.2">
      <c r="A44" s="180"/>
      <c r="B44" s="36"/>
      <c r="C44" s="36" t="s">
        <v>2795</v>
      </c>
      <c r="D44" s="42"/>
      <c r="E44" s="196">
        <v>105</v>
      </c>
      <c r="F44" s="43"/>
      <c r="G44" s="190"/>
      <c r="H44" s="18"/>
    </row>
    <row r="45" spans="1:8" ht="13.5" customHeight="1" x14ac:dyDescent="0.2">
      <c r="A45" s="180"/>
      <c r="B45" s="36"/>
      <c r="C45" s="36" t="s">
        <v>2796</v>
      </c>
      <c r="D45" s="42"/>
      <c r="E45" s="196">
        <v>175</v>
      </c>
      <c r="F45" s="43"/>
      <c r="G45" s="190"/>
      <c r="H45" s="18"/>
    </row>
    <row r="46" spans="1:8" ht="13.5" customHeight="1" x14ac:dyDescent="0.2">
      <c r="A46" s="180"/>
      <c r="B46" s="36"/>
      <c r="C46" s="36" t="s">
        <v>2797</v>
      </c>
      <c r="D46" s="42"/>
      <c r="E46" s="196">
        <v>122.5</v>
      </c>
      <c r="F46" s="43"/>
      <c r="G46" s="190"/>
      <c r="H46" s="18"/>
    </row>
    <row r="47" spans="1:8" ht="13.5" customHeight="1" x14ac:dyDescent="0.2">
      <c r="A47" s="180"/>
      <c r="B47" s="36"/>
      <c r="C47" s="36" t="s">
        <v>2798</v>
      </c>
      <c r="D47" s="42"/>
      <c r="E47" s="196">
        <v>227.5</v>
      </c>
      <c r="F47" s="43"/>
      <c r="G47" s="190"/>
      <c r="H47" s="18"/>
    </row>
    <row r="48" spans="1:8" ht="13.5" customHeight="1" x14ac:dyDescent="0.2">
      <c r="A48" s="180"/>
      <c r="B48" s="36"/>
      <c r="C48" s="36" t="s">
        <v>2799</v>
      </c>
      <c r="D48" s="42"/>
      <c r="E48" s="196">
        <v>175</v>
      </c>
      <c r="F48" s="43"/>
      <c r="G48" s="190"/>
      <c r="H48" s="18"/>
    </row>
    <row r="49" spans="1:8" ht="13.5" customHeight="1" x14ac:dyDescent="0.2">
      <c r="A49" s="180"/>
      <c r="B49" s="36"/>
      <c r="C49" s="36" t="s">
        <v>2345</v>
      </c>
      <c r="D49" s="42"/>
      <c r="E49" s="196">
        <v>2490</v>
      </c>
      <c r="F49" s="43"/>
      <c r="G49" s="190"/>
      <c r="H49" s="18"/>
    </row>
    <row r="50" spans="1:8" ht="13.5" customHeight="1" x14ac:dyDescent="0.2">
      <c r="A50" s="180"/>
      <c r="B50" s="36"/>
      <c r="C50" s="36" t="s">
        <v>2800</v>
      </c>
      <c r="D50" s="42"/>
      <c r="E50" s="196">
        <v>1575</v>
      </c>
      <c r="F50" s="43"/>
      <c r="G50" s="190">
        <v>3244.8600000000115</v>
      </c>
      <c r="H50" s="18"/>
    </row>
    <row r="51" spans="1:8" ht="13.5" customHeight="1" x14ac:dyDescent="0.2">
      <c r="A51" s="180">
        <v>43717</v>
      </c>
      <c r="B51" s="36"/>
      <c r="C51" s="36" t="s">
        <v>2801</v>
      </c>
      <c r="D51" s="42"/>
      <c r="E51" s="196"/>
      <c r="F51" s="43">
        <v>1507.15</v>
      </c>
      <c r="G51" s="190"/>
      <c r="H51" s="18"/>
    </row>
    <row r="52" spans="1:8" ht="13.5" customHeight="1" x14ac:dyDescent="0.2">
      <c r="A52" s="180"/>
      <c r="B52" s="36"/>
      <c r="C52" s="36" t="s">
        <v>2802</v>
      </c>
      <c r="D52" s="42"/>
      <c r="E52" s="196"/>
      <c r="F52" s="43">
        <v>250</v>
      </c>
      <c r="G52" s="190"/>
      <c r="H52" s="18"/>
    </row>
    <row r="53" spans="1:8" ht="13.5" customHeight="1" x14ac:dyDescent="0.2">
      <c r="A53" s="180"/>
      <c r="B53" s="36"/>
      <c r="C53" s="36" t="s">
        <v>2803</v>
      </c>
      <c r="D53" s="42"/>
      <c r="E53" s="196"/>
      <c r="F53" s="43">
        <v>200</v>
      </c>
      <c r="G53" s="190"/>
      <c r="H53" s="18"/>
    </row>
    <row r="54" spans="1:8" ht="13.5" customHeight="1" x14ac:dyDescent="0.2">
      <c r="A54" s="180"/>
      <c r="B54" s="36"/>
      <c r="C54" s="36" t="s">
        <v>2804</v>
      </c>
      <c r="D54" s="42"/>
      <c r="E54" s="196"/>
      <c r="F54" s="43">
        <v>250</v>
      </c>
      <c r="G54" s="190"/>
      <c r="H54" s="18"/>
    </row>
    <row r="55" spans="1:8" ht="13.5" customHeight="1" x14ac:dyDescent="0.2">
      <c r="A55" s="180"/>
      <c r="B55" s="36"/>
      <c r="C55" s="36" t="s">
        <v>2805</v>
      </c>
      <c r="D55" s="42"/>
      <c r="E55" s="610">
        <v>2140</v>
      </c>
      <c r="F55" s="43"/>
      <c r="G55" s="190"/>
      <c r="H55" s="18"/>
    </row>
    <row r="56" spans="1:8" ht="13.5" customHeight="1" x14ac:dyDescent="0.2">
      <c r="A56" s="180"/>
      <c r="B56" s="36"/>
      <c r="C56" s="36" t="s">
        <v>2806</v>
      </c>
      <c r="D56" s="42"/>
      <c r="E56" s="196"/>
      <c r="F56" s="43">
        <v>200</v>
      </c>
      <c r="G56" s="190">
        <v>3512.0100000000111</v>
      </c>
      <c r="H56" s="18"/>
    </row>
    <row r="57" spans="1:8" ht="13.5" customHeight="1" x14ac:dyDescent="0.2">
      <c r="A57" s="180">
        <v>43719</v>
      </c>
      <c r="B57" s="36"/>
      <c r="C57" s="36" t="s">
        <v>2807</v>
      </c>
      <c r="D57" s="42"/>
      <c r="E57" s="196">
        <v>76.98</v>
      </c>
      <c r="F57" s="43"/>
      <c r="G57" s="190"/>
      <c r="H57" s="18"/>
    </row>
    <row r="58" spans="1:8" ht="13.5" customHeight="1" x14ac:dyDescent="0.2">
      <c r="A58" s="180"/>
      <c r="B58" s="36"/>
      <c r="C58" s="36" t="s">
        <v>2808</v>
      </c>
      <c r="D58" s="42"/>
      <c r="E58" s="196"/>
      <c r="F58" s="43">
        <v>2260.2800000000002</v>
      </c>
      <c r="G58" s="190">
        <v>5695.3100000000113</v>
      </c>
      <c r="H58" s="18"/>
    </row>
    <row r="59" spans="1:8" ht="13.5" customHeight="1" x14ac:dyDescent="0.2">
      <c r="A59" s="180">
        <v>43720</v>
      </c>
      <c r="B59" s="36"/>
      <c r="C59" s="36" t="s">
        <v>2809</v>
      </c>
      <c r="D59" s="42"/>
      <c r="E59" s="196">
        <v>20</v>
      </c>
      <c r="F59" s="43"/>
      <c r="G59" s="190"/>
      <c r="H59" s="18"/>
    </row>
    <row r="60" spans="1:8" ht="13.5" customHeight="1" x14ac:dyDescent="0.2">
      <c r="A60" s="180"/>
      <c r="B60" s="36"/>
      <c r="C60" s="36" t="s">
        <v>2810</v>
      </c>
      <c r="D60" s="42"/>
      <c r="E60" s="196"/>
      <c r="F60" s="43">
        <v>420</v>
      </c>
      <c r="G60" s="190"/>
      <c r="H60" s="18"/>
    </row>
    <row r="61" spans="1:8" ht="13.5" customHeight="1" x14ac:dyDescent="0.2">
      <c r="A61" s="180"/>
      <c r="B61" s="36"/>
      <c r="C61" s="36" t="s">
        <v>2811</v>
      </c>
      <c r="D61" s="42"/>
      <c r="E61" s="196">
        <v>540</v>
      </c>
      <c r="F61" s="43"/>
      <c r="G61" s="190"/>
      <c r="H61" s="18"/>
    </row>
    <row r="62" spans="1:8" ht="13.5" customHeight="1" x14ac:dyDescent="0.2">
      <c r="A62" s="180"/>
      <c r="B62" s="36"/>
      <c r="C62" s="36" t="s">
        <v>2812</v>
      </c>
      <c r="D62" s="42"/>
      <c r="E62" s="196">
        <v>120</v>
      </c>
      <c r="F62" s="43"/>
      <c r="G62" s="190">
        <v>5435.3100000000113</v>
      </c>
      <c r="H62" s="18"/>
    </row>
    <row r="63" spans="1:8" ht="13.5" customHeight="1" x14ac:dyDescent="0.2">
      <c r="A63" s="180">
        <v>43721</v>
      </c>
      <c r="B63" s="36"/>
      <c r="C63" s="36" t="s">
        <v>2813</v>
      </c>
      <c r="D63" s="42"/>
      <c r="E63" s="196">
        <v>400</v>
      </c>
      <c r="F63" s="43"/>
      <c r="G63" s="190"/>
      <c r="H63" s="18"/>
    </row>
    <row r="64" spans="1:8" ht="13.5" customHeight="1" x14ac:dyDescent="0.2">
      <c r="A64" s="180"/>
      <c r="B64" s="36"/>
      <c r="C64" s="36" t="s">
        <v>2814</v>
      </c>
      <c r="D64" s="42"/>
      <c r="E64" s="196">
        <v>75.400000000000006</v>
      </c>
      <c r="F64" s="43"/>
      <c r="G64" s="190"/>
      <c r="H64" s="18"/>
    </row>
    <row r="65" spans="1:8" ht="13.5" customHeight="1" x14ac:dyDescent="0.2">
      <c r="A65" s="180"/>
      <c r="B65" s="36"/>
      <c r="C65" s="36" t="s">
        <v>2815</v>
      </c>
      <c r="D65" s="42"/>
      <c r="E65" s="196">
        <v>4.4000000000000004</v>
      </c>
      <c r="F65" s="43"/>
      <c r="G65" s="190"/>
      <c r="H65" s="18"/>
    </row>
    <row r="66" spans="1:8" ht="13.5" customHeight="1" x14ac:dyDescent="0.2">
      <c r="A66" s="180"/>
      <c r="B66" s="36"/>
      <c r="C66" s="36" t="s">
        <v>2816</v>
      </c>
      <c r="D66" s="42"/>
      <c r="E66" s="196">
        <v>50</v>
      </c>
      <c r="F66" s="43"/>
      <c r="G66" s="190"/>
      <c r="H66" s="18"/>
    </row>
    <row r="67" spans="1:8" ht="13.5" customHeight="1" x14ac:dyDescent="0.2">
      <c r="A67" s="180"/>
      <c r="B67" s="36"/>
      <c r="C67" s="36" t="s">
        <v>2817</v>
      </c>
      <c r="D67" s="42"/>
      <c r="E67" s="196">
        <v>85</v>
      </c>
      <c r="F67" s="43"/>
      <c r="G67" s="190"/>
      <c r="H67" s="18"/>
    </row>
    <row r="68" spans="1:8" ht="13.5" customHeight="1" x14ac:dyDescent="0.2">
      <c r="A68" s="180"/>
      <c r="B68" s="36"/>
      <c r="C68" s="36" t="s">
        <v>2818</v>
      </c>
      <c r="D68" s="42"/>
      <c r="E68" s="196"/>
      <c r="F68" s="43">
        <v>1518.28</v>
      </c>
      <c r="G68" s="190"/>
      <c r="H68" s="18"/>
    </row>
    <row r="69" spans="1:8" ht="13.5" customHeight="1" x14ac:dyDescent="0.2">
      <c r="A69" s="180"/>
      <c r="B69" s="36"/>
      <c r="C69" s="36" t="s">
        <v>2819</v>
      </c>
      <c r="D69" s="42"/>
      <c r="E69" s="196">
        <v>50</v>
      </c>
      <c r="F69" s="43"/>
      <c r="G69" s="190"/>
      <c r="H69" s="18"/>
    </row>
    <row r="70" spans="1:8" ht="13.5" customHeight="1" x14ac:dyDescent="0.2">
      <c r="A70" s="180"/>
      <c r="B70" s="36"/>
      <c r="C70" s="36" t="s">
        <v>2820</v>
      </c>
      <c r="D70" s="42"/>
      <c r="E70" s="196">
        <v>4.5</v>
      </c>
      <c r="F70" s="43"/>
      <c r="G70" s="190"/>
      <c r="H70" s="18"/>
    </row>
    <row r="71" spans="1:8" ht="13.5" customHeight="1" x14ac:dyDescent="0.2">
      <c r="A71" s="180"/>
      <c r="B71" s="36"/>
      <c r="C71" s="36" t="s">
        <v>2821</v>
      </c>
      <c r="D71" s="42"/>
      <c r="E71" s="196">
        <v>352.5</v>
      </c>
      <c r="F71" s="43"/>
      <c r="G71" s="190"/>
      <c r="H71" s="18"/>
    </row>
    <row r="72" spans="1:8" ht="13.5" customHeight="1" x14ac:dyDescent="0.2">
      <c r="A72" s="180"/>
      <c r="B72" s="36"/>
      <c r="C72" s="36" t="s">
        <v>2822</v>
      </c>
      <c r="D72" s="42"/>
      <c r="E72" s="196">
        <v>587.5</v>
      </c>
      <c r="F72" s="43"/>
      <c r="G72" s="190"/>
      <c r="H72" s="18"/>
    </row>
    <row r="73" spans="1:8" ht="13.5" customHeight="1" x14ac:dyDescent="0.2">
      <c r="A73" s="180"/>
      <c r="B73" s="36"/>
      <c r="C73" s="36" t="s">
        <v>2823</v>
      </c>
      <c r="D73" s="42"/>
      <c r="E73" s="196">
        <v>315</v>
      </c>
      <c r="F73" s="43"/>
      <c r="G73" s="190"/>
      <c r="H73" s="18"/>
    </row>
    <row r="74" spans="1:8" ht="13.5" customHeight="1" x14ac:dyDescent="0.2">
      <c r="A74" s="180"/>
      <c r="B74" s="36"/>
      <c r="C74" s="36" t="s">
        <v>2824</v>
      </c>
      <c r="D74" s="42"/>
      <c r="E74" s="196">
        <v>67</v>
      </c>
      <c r="F74" s="43"/>
      <c r="G74" s="190"/>
      <c r="H74" s="18"/>
    </row>
    <row r="75" spans="1:8" ht="13.5" customHeight="1" x14ac:dyDescent="0.2">
      <c r="A75" s="180"/>
      <c r="B75" s="36"/>
      <c r="C75" s="41" t="s">
        <v>2825</v>
      </c>
      <c r="D75" s="42"/>
      <c r="E75" s="196">
        <v>200</v>
      </c>
      <c r="F75" s="43"/>
      <c r="G75" s="190"/>
      <c r="H75" s="18"/>
    </row>
    <row r="76" spans="1:8" ht="13.5" customHeight="1" x14ac:dyDescent="0.2">
      <c r="A76" s="180"/>
      <c r="B76" s="36"/>
      <c r="C76" s="36" t="s">
        <v>2826</v>
      </c>
      <c r="D76" s="42"/>
      <c r="E76" s="196">
        <v>216</v>
      </c>
      <c r="F76" s="43"/>
      <c r="G76" s="190"/>
      <c r="H76" s="18"/>
    </row>
    <row r="77" spans="1:8" ht="13.5" customHeight="1" x14ac:dyDescent="0.2">
      <c r="A77" s="180"/>
      <c r="B77" s="36"/>
      <c r="C77" s="36" t="s">
        <v>2827</v>
      </c>
      <c r="D77" s="42"/>
      <c r="E77" s="196"/>
      <c r="F77" s="43">
        <v>3855.73</v>
      </c>
      <c r="G77" s="190"/>
      <c r="H77" s="18"/>
    </row>
    <row r="78" spans="1:8" ht="13.5" customHeight="1" x14ac:dyDescent="0.2">
      <c r="A78" s="180"/>
      <c r="B78" s="36"/>
      <c r="C78" s="36" t="s">
        <v>2364</v>
      </c>
      <c r="D78" s="42"/>
      <c r="E78" s="597">
        <v>4000</v>
      </c>
      <c r="F78" s="43"/>
      <c r="G78" s="190">
        <v>4402.0200000000114</v>
      </c>
      <c r="H78" s="18"/>
    </row>
    <row r="79" spans="1:8" ht="13.5" customHeight="1" x14ac:dyDescent="0.2">
      <c r="A79" s="180">
        <v>43725</v>
      </c>
      <c r="B79" s="36"/>
      <c r="C79" s="36" t="s">
        <v>2828</v>
      </c>
      <c r="D79" s="42"/>
      <c r="E79" s="196"/>
      <c r="F79" s="43">
        <v>525</v>
      </c>
      <c r="G79" s="190"/>
      <c r="H79" s="18"/>
    </row>
    <row r="80" spans="1:8" ht="13.5" customHeight="1" x14ac:dyDescent="0.2">
      <c r="A80" s="180"/>
      <c r="B80" s="36"/>
      <c r="C80" s="36" t="s">
        <v>2829</v>
      </c>
      <c r="D80" s="42"/>
      <c r="E80" s="196"/>
      <c r="F80" s="43">
        <v>8059.75</v>
      </c>
      <c r="G80" s="190">
        <v>12986.770000000011</v>
      </c>
      <c r="H80" s="18"/>
    </row>
    <row r="81" spans="1:8" ht="13.5" customHeight="1" x14ac:dyDescent="0.2">
      <c r="A81" s="180">
        <v>43727</v>
      </c>
      <c r="B81" s="36"/>
      <c r="C81" s="36" t="s">
        <v>2830</v>
      </c>
      <c r="D81" s="42"/>
      <c r="E81" s="196"/>
      <c r="F81" s="43">
        <v>280</v>
      </c>
      <c r="G81" s="190"/>
      <c r="H81" s="18"/>
    </row>
    <row r="82" spans="1:8" ht="13.5" customHeight="1" x14ac:dyDescent="0.2">
      <c r="A82" s="180"/>
      <c r="B82" s="36"/>
      <c r="C82" s="36" t="s">
        <v>2831</v>
      </c>
      <c r="D82" s="42"/>
      <c r="E82" s="610">
        <v>8584.75</v>
      </c>
      <c r="F82" s="43"/>
      <c r="G82" s="190"/>
      <c r="H82" s="18"/>
    </row>
    <row r="83" spans="1:8" ht="13.5" customHeight="1" x14ac:dyDescent="0.2">
      <c r="A83" s="180"/>
      <c r="B83" s="36"/>
      <c r="C83" s="36" t="s">
        <v>2832</v>
      </c>
      <c r="D83" s="42"/>
      <c r="E83" s="196"/>
      <c r="F83" s="43">
        <v>1058.6300000000001</v>
      </c>
      <c r="G83" s="190"/>
      <c r="H83" s="18"/>
    </row>
    <row r="84" spans="1:8" ht="13.5" customHeight="1" x14ac:dyDescent="0.2">
      <c r="A84" s="180"/>
      <c r="B84" s="36"/>
      <c r="C84" s="36" t="s">
        <v>2833</v>
      </c>
      <c r="D84" s="42"/>
      <c r="E84" s="196">
        <v>6</v>
      </c>
      <c r="F84" s="43"/>
      <c r="G84" s="190"/>
      <c r="H84" s="18"/>
    </row>
    <row r="85" spans="1:8" ht="13.5" customHeight="1" x14ac:dyDescent="0.2">
      <c r="A85" s="180"/>
      <c r="B85" s="36"/>
      <c r="C85" s="36" t="s">
        <v>2834</v>
      </c>
      <c r="D85" s="42"/>
      <c r="E85" s="196">
        <v>4.95</v>
      </c>
      <c r="F85" s="43"/>
      <c r="G85" s="190"/>
      <c r="H85" s="18"/>
    </row>
    <row r="86" spans="1:8" ht="13.5" customHeight="1" x14ac:dyDescent="0.2">
      <c r="A86" s="180"/>
      <c r="B86" s="36"/>
      <c r="C86" s="36" t="s">
        <v>2772</v>
      </c>
      <c r="D86" s="42"/>
      <c r="E86" s="196">
        <v>6.98</v>
      </c>
      <c r="F86" s="43"/>
      <c r="G86" s="190"/>
      <c r="H86" s="18"/>
    </row>
    <row r="87" spans="1:8" ht="13.5" customHeight="1" x14ac:dyDescent="0.2">
      <c r="A87" s="180"/>
      <c r="B87" s="36"/>
      <c r="C87" s="36" t="s">
        <v>2835</v>
      </c>
      <c r="D87" s="42"/>
      <c r="E87" s="196">
        <v>20</v>
      </c>
      <c r="F87" s="43"/>
      <c r="G87" s="190"/>
      <c r="H87" s="18"/>
    </row>
    <row r="88" spans="1:8" ht="13.5" customHeight="1" x14ac:dyDescent="0.2">
      <c r="A88" s="180"/>
      <c r="B88" s="36"/>
      <c r="C88" s="36" t="s">
        <v>2836</v>
      </c>
      <c r="D88" s="42"/>
      <c r="E88" s="196">
        <v>25.5</v>
      </c>
      <c r="F88" s="43"/>
      <c r="G88" s="190"/>
      <c r="H88" s="18"/>
    </row>
    <row r="89" spans="1:8" ht="13.5" customHeight="1" x14ac:dyDescent="0.2">
      <c r="A89" s="180"/>
      <c r="B89" s="36"/>
      <c r="C89" s="36" t="s">
        <v>2837</v>
      </c>
      <c r="D89" s="42"/>
      <c r="E89" s="196">
        <v>5.7</v>
      </c>
      <c r="F89" s="43"/>
      <c r="G89" s="190"/>
      <c r="H89" s="18"/>
    </row>
    <row r="90" spans="1:8" ht="13.5" customHeight="1" x14ac:dyDescent="0.2">
      <c r="A90" s="180"/>
      <c r="B90" s="36"/>
      <c r="C90" s="36" t="s">
        <v>2838</v>
      </c>
      <c r="D90" s="42"/>
      <c r="E90" s="196">
        <v>10.9</v>
      </c>
      <c r="F90" s="43"/>
      <c r="G90" s="190"/>
      <c r="H90" s="18"/>
    </row>
    <row r="91" spans="1:8" ht="13.5" customHeight="1" x14ac:dyDescent="0.2">
      <c r="A91" s="180"/>
      <c r="B91" s="36"/>
      <c r="C91" s="36" t="s">
        <v>2839</v>
      </c>
      <c r="D91" s="42"/>
      <c r="E91" s="196">
        <v>11.25</v>
      </c>
      <c r="F91" s="43"/>
      <c r="G91" s="190"/>
      <c r="H91" s="18"/>
    </row>
    <row r="92" spans="1:8" ht="13.5" customHeight="1" x14ac:dyDescent="0.2">
      <c r="A92" s="180"/>
      <c r="B92" s="36"/>
      <c r="C92" s="36" t="s">
        <v>2840</v>
      </c>
      <c r="D92" s="42"/>
      <c r="E92" s="196">
        <v>33</v>
      </c>
      <c r="F92" s="43"/>
      <c r="G92" s="190"/>
      <c r="H92" s="18"/>
    </row>
    <row r="93" spans="1:8" ht="13.5" customHeight="1" x14ac:dyDescent="0.2">
      <c r="A93" s="180"/>
      <c r="B93" s="36"/>
      <c r="C93" s="36" t="s">
        <v>2841</v>
      </c>
      <c r="D93" s="42"/>
      <c r="E93" s="196">
        <v>20</v>
      </c>
      <c r="F93" s="43"/>
      <c r="G93" s="190"/>
      <c r="H93" s="18"/>
    </row>
    <row r="94" spans="1:8" ht="13.5" customHeight="1" x14ac:dyDescent="0.2">
      <c r="A94" s="180"/>
      <c r="B94" s="36"/>
      <c r="C94" s="36" t="s">
        <v>2842</v>
      </c>
      <c r="D94" s="42"/>
      <c r="E94" s="196">
        <v>26.15</v>
      </c>
      <c r="F94" s="43"/>
      <c r="G94" s="190"/>
      <c r="H94" s="18"/>
    </row>
    <row r="95" spans="1:8" ht="13.5" customHeight="1" x14ac:dyDescent="0.2">
      <c r="A95" s="180"/>
      <c r="B95" s="36"/>
      <c r="C95" s="36" t="s">
        <v>2843</v>
      </c>
      <c r="D95" s="42"/>
      <c r="E95" s="196">
        <v>7.58</v>
      </c>
      <c r="F95" s="43"/>
      <c r="G95" s="190"/>
      <c r="H95" s="18"/>
    </row>
    <row r="96" spans="1:8" ht="13.5" customHeight="1" x14ac:dyDescent="0.2">
      <c r="A96" s="180"/>
      <c r="B96" s="36"/>
      <c r="C96" s="36" t="s">
        <v>2844</v>
      </c>
      <c r="D96" s="42"/>
      <c r="E96" s="196">
        <v>18.43</v>
      </c>
      <c r="F96" s="43"/>
      <c r="G96" s="190"/>
      <c r="H96" s="18"/>
    </row>
    <row r="97" spans="1:8" ht="13.5" customHeight="1" x14ac:dyDescent="0.2">
      <c r="A97" s="180"/>
      <c r="B97" s="36"/>
      <c r="C97" s="36" t="s">
        <v>2845</v>
      </c>
      <c r="D97" s="42"/>
      <c r="E97" s="196">
        <v>11.96</v>
      </c>
      <c r="F97" s="43"/>
      <c r="G97" s="190"/>
      <c r="H97" s="18"/>
    </row>
    <row r="98" spans="1:8" ht="13.5" customHeight="1" x14ac:dyDescent="0.2">
      <c r="A98" s="180"/>
      <c r="B98" s="36"/>
      <c r="C98" s="36" t="s">
        <v>2846</v>
      </c>
      <c r="D98" s="42"/>
      <c r="E98" s="196">
        <v>40.5</v>
      </c>
      <c r="F98" s="43"/>
      <c r="G98" s="190"/>
      <c r="H98" s="18"/>
    </row>
    <row r="99" spans="1:8" ht="13.5" customHeight="1" x14ac:dyDescent="0.2">
      <c r="A99" s="180"/>
      <c r="B99" s="36"/>
      <c r="C99" s="36" t="s">
        <v>2847</v>
      </c>
      <c r="D99" s="42"/>
      <c r="E99" s="196">
        <v>19.96</v>
      </c>
      <c r="F99" s="43"/>
      <c r="G99" s="190"/>
      <c r="H99" s="18"/>
    </row>
    <row r="100" spans="1:8" ht="13.5" customHeight="1" x14ac:dyDescent="0.2">
      <c r="A100" s="180"/>
      <c r="B100" s="36"/>
      <c r="C100" s="36" t="s">
        <v>2848</v>
      </c>
      <c r="D100" s="42"/>
      <c r="E100" s="196">
        <v>9.99</v>
      </c>
      <c r="F100" s="43"/>
      <c r="G100" s="190"/>
      <c r="H100" s="18"/>
    </row>
    <row r="101" spans="1:8" ht="13.5" customHeight="1" x14ac:dyDescent="0.2">
      <c r="A101" s="180"/>
      <c r="B101" s="36"/>
      <c r="C101" s="36" t="s">
        <v>2849</v>
      </c>
      <c r="D101" s="42"/>
      <c r="E101" s="196">
        <v>45.44</v>
      </c>
      <c r="F101" s="43"/>
      <c r="G101" s="190"/>
      <c r="H101" s="18"/>
    </row>
    <row r="102" spans="1:8" ht="13.5" customHeight="1" x14ac:dyDescent="0.2">
      <c r="A102" s="180"/>
      <c r="B102" s="36"/>
      <c r="C102" s="36" t="s">
        <v>2850</v>
      </c>
      <c r="D102" s="42"/>
      <c r="E102" s="196">
        <v>45.35</v>
      </c>
      <c r="F102" s="43"/>
      <c r="G102" s="190"/>
      <c r="H102" s="18"/>
    </row>
    <row r="103" spans="1:8" ht="13.5" customHeight="1" x14ac:dyDescent="0.2">
      <c r="A103" s="180"/>
      <c r="B103" s="36"/>
      <c r="C103" s="36" t="s">
        <v>2851</v>
      </c>
      <c r="D103" s="42"/>
      <c r="E103" s="196">
        <v>38.5</v>
      </c>
      <c r="F103" s="43"/>
      <c r="G103" s="190"/>
      <c r="H103" s="18"/>
    </row>
    <row r="104" spans="1:8" ht="13.5" customHeight="1" x14ac:dyDescent="0.2">
      <c r="A104" s="180"/>
      <c r="B104" s="36"/>
      <c r="C104" s="36" t="s">
        <v>2852</v>
      </c>
      <c r="D104" s="42"/>
      <c r="E104" s="196">
        <v>2.75</v>
      </c>
      <c r="F104" s="43"/>
      <c r="G104" s="190"/>
      <c r="H104" s="18"/>
    </row>
    <row r="105" spans="1:8" ht="13.5" customHeight="1" x14ac:dyDescent="0.2">
      <c r="A105" s="180"/>
      <c r="B105" s="36"/>
      <c r="C105" s="36" t="s">
        <v>2382</v>
      </c>
      <c r="D105" s="42"/>
      <c r="E105" s="196">
        <v>6.75</v>
      </c>
      <c r="F105" s="43"/>
      <c r="G105" s="190"/>
      <c r="H105" s="18"/>
    </row>
    <row r="106" spans="1:8" ht="13.5" customHeight="1" x14ac:dyDescent="0.2">
      <c r="A106" s="180"/>
      <c r="B106" s="36"/>
      <c r="C106" s="36" t="s">
        <v>2853</v>
      </c>
      <c r="D106" s="42"/>
      <c r="E106" s="196">
        <v>10.9</v>
      </c>
      <c r="F106" s="43"/>
      <c r="G106" s="190"/>
      <c r="H106" s="18"/>
    </row>
    <row r="107" spans="1:8" ht="13.5" customHeight="1" x14ac:dyDescent="0.2">
      <c r="A107" s="180"/>
      <c r="B107" s="36"/>
      <c r="C107" s="36" t="s">
        <v>2854</v>
      </c>
      <c r="D107" s="42"/>
      <c r="E107" s="196">
        <v>22.99</v>
      </c>
      <c r="F107" s="43"/>
      <c r="G107" s="190"/>
      <c r="H107" s="18"/>
    </row>
    <row r="108" spans="1:8" ht="13.5" customHeight="1" x14ac:dyDescent="0.2">
      <c r="A108" s="180"/>
      <c r="B108" s="36"/>
      <c r="C108" s="36" t="s">
        <v>2855</v>
      </c>
      <c r="D108" s="42"/>
      <c r="E108" s="196">
        <v>35</v>
      </c>
      <c r="F108" s="43"/>
      <c r="G108" s="190"/>
      <c r="H108" s="18"/>
    </row>
    <row r="109" spans="1:8" ht="13.5" customHeight="1" x14ac:dyDescent="0.2">
      <c r="A109" s="180"/>
      <c r="B109" s="36"/>
      <c r="C109" s="36" t="s">
        <v>2856</v>
      </c>
      <c r="D109" s="42"/>
      <c r="E109" s="196">
        <v>2</v>
      </c>
      <c r="F109" s="43"/>
      <c r="G109" s="190"/>
      <c r="H109" s="18"/>
    </row>
    <row r="110" spans="1:8" ht="13.5" customHeight="1" x14ac:dyDescent="0.2">
      <c r="A110" s="180"/>
      <c r="B110" s="36"/>
      <c r="C110" s="36" t="s">
        <v>2857</v>
      </c>
      <c r="D110" s="42"/>
      <c r="E110" s="196">
        <v>16</v>
      </c>
      <c r="F110" s="43"/>
      <c r="G110" s="190"/>
      <c r="H110" s="18"/>
    </row>
    <row r="111" spans="1:8" ht="13.5" customHeight="1" x14ac:dyDescent="0.2">
      <c r="A111" s="180"/>
      <c r="B111" s="36"/>
      <c r="C111" s="36" t="s">
        <v>2858</v>
      </c>
      <c r="D111" s="42"/>
      <c r="E111" s="196">
        <v>6</v>
      </c>
      <c r="F111" s="43"/>
      <c r="G111" s="190"/>
      <c r="H111" s="18"/>
    </row>
    <row r="112" spans="1:8" ht="13.5" customHeight="1" x14ac:dyDescent="0.2">
      <c r="A112" s="180"/>
      <c r="B112" s="36"/>
      <c r="C112" s="36" t="s">
        <v>1824</v>
      </c>
      <c r="D112" s="42"/>
      <c r="E112" s="196">
        <v>11</v>
      </c>
      <c r="F112" s="43"/>
      <c r="G112" s="190"/>
      <c r="H112" s="18"/>
    </row>
    <row r="113" spans="1:23" ht="13.5" customHeight="1" x14ac:dyDescent="0.2">
      <c r="A113" s="180"/>
      <c r="B113" s="36"/>
      <c r="C113" s="36" t="s">
        <v>2859</v>
      </c>
      <c r="D113" s="42"/>
      <c r="E113" s="196">
        <v>14</v>
      </c>
      <c r="F113" s="43"/>
      <c r="G113" s="190"/>
      <c r="H113" s="18"/>
    </row>
    <row r="114" spans="1:23" ht="13.5" customHeight="1" x14ac:dyDescent="0.2">
      <c r="A114" s="180"/>
      <c r="B114" s="36"/>
      <c r="C114" s="36" t="s">
        <v>2860</v>
      </c>
      <c r="D114" s="42"/>
      <c r="E114" s="196">
        <v>280</v>
      </c>
      <c r="F114" s="43"/>
      <c r="G114" s="190">
        <v>4925.1200000000135</v>
      </c>
      <c r="H114" s="18"/>
    </row>
    <row r="115" spans="1:23" ht="13.5" customHeight="1" x14ac:dyDescent="0.2">
      <c r="A115" s="180">
        <v>43728</v>
      </c>
      <c r="B115" s="36"/>
      <c r="C115" s="36" t="s">
        <v>2861</v>
      </c>
      <c r="D115" s="42"/>
      <c r="E115" s="196">
        <v>300</v>
      </c>
      <c r="F115" s="43"/>
      <c r="G115" s="190"/>
      <c r="H115" s="18"/>
    </row>
    <row r="116" spans="1:23" ht="13.5" customHeight="1" x14ac:dyDescent="0.2">
      <c r="A116" s="180"/>
      <c r="B116" s="36"/>
      <c r="C116" s="36" t="s">
        <v>2862</v>
      </c>
      <c r="D116" s="42"/>
      <c r="E116" s="196">
        <v>500</v>
      </c>
      <c r="F116" s="43"/>
      <c r="G116" s="190"/>
      <c r="H116" s="18"/>
    </row>
    <row r="117" spans="1:23" ht="13.5" customHeight="1" x14ac:dyDescent="0.2">
      <c r="A117" s="180"/>
      <c r="B117" s="36"/>
      <c r="C117" s="36" t="s">
        <v>2863</v>
      </c>
      <c r="D117" s="42"/>
      <c r="E117" s="196">
        <v>70</v>
      </c>
      <c r="F117" s="43"/>
      <c r="G117" s="190"/>
      <c r="H117" s="18"/>
    </row>
    <row r="118" spans="1:23" ht="13.5" customHeight="1" x14ac:dyDescent="0.2">
      <c r="A118" s="180"/>
      <c r="B118" s="36"/>
      <c r="C118" s="36" t="s">
        <v>2364</v>
      </c>
      <c r="D118" s="42"/>
      <c r="E118" s="597">
        <v>3763.8</v>
      </c>
      <c r="F118" s="43"/>
      <c r="G118" s="178">
        <v>291.32000000001335</v>
      </c>
      <c r="H118" s="124"/>
    </row>
    <row r="119" spans="1:23" s="64" customFormat="1" ht="13.5" customHeight="1" thickBot="1" x14ac:dyDescent="0.25">
      <c r="A119" s="184"/>
      <c r="B119" s="32"/>
      <c r="C119" s="32"/>
      <c r="D119" s="596"/>
      <c r="E119" s="669">
        <f>-SUM(E10:E24,E26:E54,E57:E77,E84:E117)</f>
        <v>-12099.269999999997</v>
      </c>
      <c r="F119" s="670">
        <f>SUM(F4:F9,F33:F37,F51:F118)</f>
        <v>28987.870000000003</v>
      </c>
      <c r="G119" s="190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spans="1:23" ht="13.5" customHeight="1" thickBot="1" x14ac:dyDescent="0.25">
      <c r="A120" s="2" t="s">
        <v>2</v>
      </c>
      <c r="B120" s="3"/>
      <c r="C120" s="3" t="s">
        <v>536</v>
      </c>
      <c r="D120" s="3" t="s">
        <v>4</v>
      </c>
      <c r="E120" s="3" t="s">
        <v>5</v>
      </c>
      <c r="F120" s="3" t="s">
        <v>6</v>
      </c>
      <c r="G120" s="5" t="s">
        <v>7</v>
      </c>
    </row>
    <row r="121" spans="1:23" ht="13.5" customHeight="1" x14ac:dyDescent="0.2">
      <c r="A121" s="8">
        <v>43709</v>
      </c>
      <c r="B121" s="56"/>
      <c r="C121" s="10" t="s">
        <v>8</v>
      </c>
      <c r="D121" s="11"/>
      <c r="E121" s="51"/>
      <c r="F121" s="12"/>
      <c r="G121" s="205">
        <v>-1803.7699999999954</v>
      </c>
      <c r="H121" s="18"/>
    </row>
    <row r="122" spans="1:23" ht="13.5" customHeight="1" x14ac:dyDescent="0.2">
      <c r="A122" s="180">
        <v>43710</v>
      </c>
      <c r="B122" s="56"/>
      <c r="C122" s="36" t="s">
        <v>2864</v>
      </c>
      <c r="D122" s="11"/>
      <c r="E122" s="30">
        <v>900</v>
      </c>
      <c r="F122" s="12"/>
      <c r="G122" s="203">
        <v>-2703.7699999999954</v>
      </c>
      <c r="H122" s="18"/>
    </row>
    <row r="123" spans="1:23" ht="13.5" customHeight="1" x14ac:dyDescent="0.2">
      <c r="A123" s="180"/>
      <c r="B123" s="56"/>
      <c r="C123" s="36" t="s">
        <v>2776</v>
      </c>
      <c r="D123" s="11"/>
      <c r="E123" s="30"/>
      <c r="F123" s="277">
        <v>3500</v>
      </c>
      <c r="G123" s="203">
        <v>796.23000000000457</v>
      </c>
      <c r="H123" s="18"/>
    </row>
    <row r="124" spans="1:23" ht="13.5" customHeight="1" x14ac:dyDescent="0.2">
      <c r="A124" s="180"/>
      <c r="B124" s="56"/>
      <c r="C124" s="138" t="s">
        <v>2865</v>
      </c>
      <c r="D124" s="11"/>
      <c r="E124" s="30"/>
      <c r="F124" s="277">
        <v>2500</v>
      </c>
      <c r="G124" s="203">
        <v>3296.2300000000046</v>
      </c>
      <c r="H124" s="18"/>
    </row>
    <row r="125" spans="1:23" ht="13.5" customHeight="1" x14ac:dyDescent="0.2">
      <c r="A125" s="180"/>
      <c r="B125" s="56"/>
      <c r="C125" s="36" t="s">
        <v>1553</v>
      </c>
      <c r="D125" s="11"/>
      <c r="E125" s="30">
        <v>6000</v>
      </c>
      <c r="F125" s="12"/>
      <c r="G125" s="203">
        <v>-2703.7699999999954</v>
      </c>
      <c r="H125" s="18"/>
    </row>
    <row r="126" spans="1:23" ht="13.5" customHeight="1" x14ac:dyDescent="0.2">
      <c r="A126" s="180">
        <v>43711</v>
      </c>
      <c r="B126" s="56"/>
      <c r="C126" s="36" t="s">
        <v>2866</v>
      </c>
      <c r="D126" s="11"/>
      <c r="E126" s="30">
        <v>240</v>
      </c>
      <c r="F126" s="12"/>
      <c r="G126" s="203">
        <v>-2943.7699999999954</v>
      </c>
      <c r="H126" s="18"/>
    </row>
    <row r="127" spans="1:23" ht="13.5" customHeight="1" x14ac:dyDescent="0.2">
      <c r="A127" s="180"/>
      <c r="B127" s="56"/>
      <c r="C127" s="36" t="s">
        <v>2867</v>
      </c>
      <c r="D127" s="11"/>
      <c r="E127" s="30">
        <v>6</v>
      </c>
      <c r="F127" s="12"/>
      <c r="G127" s="203">
        <v>-2949.7699999999954</v>
      </c>
      <c r="H127" s="18"/>
    </row>
    <row r="128" spans="1:23" s="64" customFormat="1" ht="13.5" customHeight="1" x14ac:dyDescent="0.2">
      <c r="A128" s="184"/>
      <c r="B128" s="63"/>
      <c r="C128" s="32" t="s">
        <v>2868</v>
      </c>
      <c r="D128" s="50"/>
      <c r="E128" s="51">
        <v>6.9</v>
      </c>
      <c r="F128" s="13"/>
      <c r="G128" s="203">
        <v>-2956.6699999999955</v>
      </c>
      <c r="H128" s="18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spans="1:23" s="64" customFormat="1" ht="13.5" customHeight="1" x14ac:dyDescent="0.2">
      <c r="A129" s="184">
        <v>43712</v>
      </c>
      <c r="B129" s="63"/>
      <c r="C129" s="36" t="s">
        <v>2867</v>
      </c>
      <c r="D129" s="50"/>
      <c r="E129" s="51">
        <v>12</v>
      </c>
      <c r="F129" s="13"/>
      <c r="G129" s="611">
        <v>-2968.6699999999955</v>
      </c>
      <c r="H129" s="72" t="s">
        <v>3555</v>
      </c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spans="1:23" s="64" customFormat="1" ht="13.5" customHeight="1" x14ac:dyDescent="0.2">
      <c r="A130" s="184">
        <v>43713</v>
      </c>
      <c r="B130" s="63"/>
      <c r="C130" s="138" t="s">
        <v>2865</v>
      </c>
      <c r="D130" s="50"/>
      <c r="E130" s="51"/>
      <c r="F130" s="277">
        <v>2500</v>
      </c>
      <c r="G130" s="203">
        <v>-468.66999999999553</v>
      </c>
      <c r="H130" s="18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spans="1:23" s="64" customFormat="1" ht="13.5" customHeight="1" x14ac:dyDescent="0.2">
      <c r="A131" s="184"/>
      <c r="B131" s="63"/>
      <c r="C131" s="36" t="s">
        <v>2869</v>
      </c>
      <c r="D131" s="50"/>
      <c r="E131" s="51">
        <v>750</v>
      </c>
      <c r="F131" s="13"/>
      <c r="G131" s="203">
        <v>-1218.6699999999955</v>
      </c>
      <c r="H131" s="18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spans="1:23" s="64" customFormat="1" ht="13.5" customHeight="1" x14ac:dyDescent="0.2">
      <c r="A132" s="184"/>
      <c r="B132" s="63"/>
      <c r="C132" s="36" t="s">
        <v>2790</v>
      </c>
      <c r="D132" s="50"/>
      <c r="E132" s="552">
        <v>1800</v>
      </c>
      <c r="F132" s="13"/>
      <c r="G132" s="203">
        <v>-3018.6699999999955</v>
      </c>
      <c r="H132" s="18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spans="1:23" ht="13.5" customHeight="1" x14ac:dyDescent="0.2">
      <c r="A133" s="180"/>
      <c r="B133" s="56"/>
      <c r="C133" s="34" t="s">
        <v>2870</v>
      </c>
      <c r="D133" s="11"/>
      <c r="E133" s="30">
        <v>65.56</v>
      </c>
      <c r="F133" s="12"/>
      <c r="G133" s="203">
        <v>-3084.2299999999955</v>
      </c>
      <c r="H133" s="18"/>
    </row>
    <row r="134" spans="1:23" ht="13.5" customHeight="1" x14ac:dyDescent="0.2">
      <c r="A134" s="180">
        <v>43716</v>
      </c>
      <c r="B134" s="56"/>
      <c r="C134" s="34" t="s">
        <v>2871</v>
      </c>
      <c r="D134" s="11"/>
      <c r="E134" s="30">
        <v>43.75</v>
      </c>
      <c r="F134" s="12"/>
      <c r="G134" s="203">
        <v>-3127.9799999999955</v>
      </c>
      <c r="H134" s="18"/>
    </row>
    <row r="135" spans="1:23" ht="13.5" customHeight="1" x14ac:dyDescent="0.2">
      <c r="A135" s="180">
        <v>43718</v>
      </c>
      <c r="B135" s="56"/>
      <c r="C135" s="36" t="s">
        <v>2872</v>
      </c>
      <c r="D135" s="11"/>
      <c r="E135" s="30"/>
      <c r="F135" s="12">
        <v>5075</v>
      </c>
      <c r="G135" s="203">
        <v>1947.0200000000045</v>
      </c>
      <c r="H135" s="18"/>
    </row>
    <row r="136" spans="1:23" ht="13.5" customHeight="1" x14ac:dyDescent="0.2">
      <c r="A136" s="180">
        <v>43719</v>
      </c>
      <c r="B136" s="56"/>
      <c r="C136" s="34" t="s">
        <v>2873</v>
      </c>
      <c r="D136" s="11"/>
      <c r="E136" s="30">
        <v>50</v>
      </c>
      <c r="F136" s="12"/>
      <c r="G136" s="203">
        <v>1897.0200000000045</v>
      </c>
      <c r="H136" s="18"/>
    </row>
    <row r="137" spans="1:23" ht="13.5" customHeight="1" x14ac:dyDescent="0.2">
      <c r="A137" s="180">
        <v>43720</v>
      </c>
      <c r="B137" s="56"/>
      <c r="C137" s="138" t="s">
        <v>2874</v>
      </c>
      <c r="D137" s="11"/>
      <c r="E137" s="30"/>
      <c r="F137" s="12">
        <v>1500</v>
      </c>
      <c r="G137" s="203">
        <v>3397.0200000000045</v>
      </c>
      <c r="H137" s="18"/>
    </row>
    <row r="138" spans="1:23" ht="13.5" customHeight="1" x14ac:dyDescent="0.2">
      <c r="A138" s="180"/>
      <c r="B138" s="56"/>
      <c r="C138" s="138" t="s">
        <v>2875</v>
      </c>
      <c r="D138" s="11"/>
      <c r="E138" s="30"/>
      <c r="F138" s="12">
        <v>90</v>
      </c>
      <c r="G138" s="203">
        <v>3487.0200000000045</v>
      </c>
      <c r="H138" s="18"/>
    </row>
    <row r="139" spans="1:23" ht="13.5" customHeight="1" x14ac:dyDescent="0.2">
      <c r="A139" s="180"/>
      <c r="B139" s="56"/>
      <c r="C139" s="138" t="s">
        <v>2876</v>
      </c>
      <c r="D139" s="11"/>
      <c r="E139" s="30">
        <v>53.7</v>
      </c>
      <c r="F139" s="12"/>
      <c r="G139" s="203">
        <v>3433.3200000000047</v>
      </c>
      <c r="H139" s="18"/>
    </row>
    <row r="140" spans="1:23" ht="13.5" customHeight="1" x14ac:dyDescent="0.2">
      <c r="A140" s="180"/>
      <c r="B140" s="56"/>
      <c r="C140" s="138" t="s">
        <v>2877</v>
      </c>
      <c r="D140" s="11"/>
      <c r="E140" s="30">
        <v>200</v>
      </c>
      <c r="F140" s="12"/>
      <c r="G140" s="203">
        <v>3233.3200000000047</v>
      </c>
      <c r="H140" s="18"/>
    </row>
    <row r="141" spans="1:23" ht="13.5" customHeight="1" x14ac:dyDescent="0.2">
      <c r="A141" s="180">
        <v>43721</v>
      </c>
      <c r="B141" s="56"/>
      <c r="C141" s="36" t="s">
        <v>2364</v>
      </c>
      <c r="D141" s="11"/>
      <c r="E141" s="30"/>
      <c r="F141" s="277">
        <v>4000</v>
      </c>
      <c r="G141" s="203">
        <v>7233.3200000000052</v>
      </c>
      <c r="H141" s="18"/>
    </row>
    <row r="142" spans="1:23" ht="13.5" customHeight="1" x14ac:dyDescent="0.2">
      <c r="A142" s="180"/>
      <c r="B142" s="56"/>
      <c r="C142" s="36" t="s">
        <v>2878</v>
      </c>
      <c r="D142" s="11"/>
      <c r="E142" s="30">
        <v>91</v>
      </c>
      <c r="F142" s="12"/>
      <c r="G142" s="203">
        <v>7142.3200000000052</v>
      </c>
      <c r="H142" s="18"/>
    </row>
    <row r="143" spans="1:23" ht="13.5" customHeight="1" x14ac:dyDescent="0.2">
      <c r="A143" s="180"/>
      <c r="B143" s="56"/>
      <c r="C143" s="36" t="s">
        <v>2879</v>
      </c>
      <c r="D143" s="11"/>
      <c r="E143" s="30">
        <v>380</v>
      </c>
      <c r="F143" s="12"/>
      <c r="G143" s="203">
        <v>6762.3200000000052</v>
      </c>
      <c r="H143" s="18"/>
    </row>
    <row r="144" spans="1:23" ht="13.5" customHeight="1" x14ac:dyDescent="0.2">
      <c r="A144" s="180">
        <v>43722</v>
      </c>
      <c r="B144" s="56"/>
      <c r="C144" s="36" t="s">
        <v>2880</v>
      </c>
      <c r="D144" s="11"/>
      <c r="E144" s="30">
        <v>383.14</v>
      </c>
      <c r="F144" s="12"/>
      <c r="G144" s="203">
        <v>6379.1800000000048</v>
      </c>
      <c r="H144" s="18"/>
    </row>
    <row r="145" spans="1:9" ht="13.5" customHeight="1" x14ac:dyDescent="0.2">
      <c r="A145" s="180"/>
      <c r="B145" s="56"/>
      <c r="C145" s="36" t="s">
        <v>2881</v>
      </c>
      <c r="D145" s="11"/>
      <c r="E145" s="30">
        <v>390</v>
      </c>
      <c r="F145" s="12"/>
      <c r="G145" s="203">
        <v>5989.1800000000048</v>
      </c>
      <c r="H145" s="18"/>
    </row>
    <row r="146" spans="1:9" ht="13.5" customHeight="1" x14ac:dyDescent="0.2">
      <c r="A146" s="180"/>
      <c r="B146" s="56"/>
      <c r="C146" s="36" t="s">
        <v>2882</v>
      </c>
      <c r="D146" s="11"/>
      <c r="E146" s="30">
        <v>29.8</v>
      </c>
      <c r="F146" s="12"/>
      <c r="G146" s="203">
        <v>5959.3800000000047</v>
      </c>
      <c r="H146" s="18"/>
    </row>
    <row r="147" spans="1:9" ht="13.5" customHeight="1" x14ac:dyDescent="0.2">
      <c r="A147" s="180"/>
      <c r="B147" s="56"/>
      <c r="C147" s="36" t="s">
        <v>2883</v>
      </c>
      <c r="D147" s="11"/>
      <c r="E147" s="30">
        <v>88.49</v>
      </c>
      <c r="F147" s="12"/>
      <c r="G147" s="203">
        <v>5870.8900000000049</v>
      </c>
      <c r="H147" s="18"/>
    </row>
    <row r="148" spans="1:9" ht="13.5" customHeight="1" x14ac:dyDescent="0.2">
      <c r="A148" s="180">
        <v>43727</v>
      </c>
      <c r="B148" s="56"/>
      <c r="C148" s="36" t="s">
        <v>2884</v>
      </c>
      <c r="D148" s="11"/>
      <c r="E148" s="30"/>
      <c r="F148" s="12">
        <v>1230</v>
      </c>
      <c r="G148" s="203">
        <v>7100.8900000000049</v>
      </c>
      <c r="H148" s="18"/>
    </row>
    <row r="149" spans="1:9" ht="13.5" customHeight="1" x14ac:dyDescent="0.2">
      <c r="A149" s="180"/>
      <c r="B149" s="56"/>
      <c r="C149" s="36" t="s">
        <v>2885</v>
      </c>
      <c r="D149" s="11"/>
      <c r="E149" s="30">
        <v>200</v>
      </c>
      <c r="F149" s="12"/>
      <c r="G149" s="203">
        <v>6900.8900000000049</v>
      </c>
      <c r="H149" s="18"/>
    </row>
    <row r="150" spans="1:9" ht="13.5" customHeight="1" x14ac:dyDescent="0.2">
      <c r="A150" s="180">
        <v>43728</v>
      </c>
      <c r="B150" s="56"/>
      <c r="C150" s="36" t="s">
        <v>2364</v>
      </c>
      <c r="D150" s="11"/>
      <c r="E150" s="30"/>
      <c r="F150" s="277">
        <v>3763.8</v>
      </c>
      <c r="G150" s="203">
        <v>10664.690000000006</v>
      </c>
      <c r="H150" s="18"/>
    </row>
    <row r="151" spans="1:9" ht="13.5" customHeight="1" x14ac:dyDescent="0.2">
      <c r="A151" s="180"/>
      <c r="B151" s="56"/>
      <c r="C151" s="36" t="s">
        <v>2886</v>
      </c>
      <c r="D151" s="11"/>
      <c r="E151" s="30"/>
      <c r="F151" s="12">
        <v>1465</v>
      </c>
      <c r="G151" s="203">
        <v>12129.690000000006</v>
      </c>
      <c r="H151" s="18"/>
    </row>
    <row r="152" spans="1:9" ht="13.5" customHeight="1" x14ac:dyDescent="0.2">
      <c r="A152" s="180"/>
      <c r="B152" s="56"/>
      <c r="C152" s="34" t="s">
        <v>2887</v>
      </c>
      <c r="D152" s="11"/>
      <c r="E152" s="30">
        <v>200</v>
      </c>
      <c r="F152" s="12"/>
      <c r="G152" s="203">
        <v>11929.690000000006</v>
      </c>
      <c r="H152" s="18"/>
    </row>
    <row r="153" spans="1:9" ht="13.5" customHeight="1" x14ac:dyDescent="0.2">
      <c r="A153" s="180"/>
      <c r="B153" s="56"/>
      <c r="C153" s="34" t="s">
        <v>2888</v>
      </c>
      <c r="D153" s="11"/>
      <c r="E153" s="30">
        <v>950</v>
      </c>
      <c r="F153" s="12"/>
      <c r="G153" s="203">
        <v>10979.690000000006</v>
      </c>
      <c r="H153" s="18"/>
    </row>
    <row r="154" spans="1:9" ht="13.5" customHeight="1" x14ac:dyDescent="0.2">
      <c r="A154" s="180"/>
      <c r="B154" s="56"/>
      <c r="C154" s="34" t="s">
        <v>2889</v>
      </c>
      <c r="D154" s="11"/>
      <c r="E154" s="30">
        <v>1151.0999999999999</v>
      </c>
      <c r="F154" s="12"/>
      <c r="G154" s="203">
        <v>9828.5900000000056</v>
      </c>
      <c r="H154" s="18"/>
    </row>
    <row r="155" spans="1:9" ht="13.5" customHeight="1" x14ac:dyDescent="0.2">
      <c r="A155" s="180"/>
      <c r="B155" s="56"/>
      <c r="C155" s="34" t="s">
        <v>2890</v>
      </c>
      <c r="D155" s="11"/>
      <c r="E155" s="30">
        <v>433.8</v>
      </c>
      <c r="F155" s="12"/>
      <c r="G155" s="203">
        <v>9394.7900000000063</v>
      </c>
      <c r="H155" s="18"/>
    </row>
    <row r="156" spans="1:9" ht="13.5" customHeight="1" x14ac:dyDescent="0.2">
      <c r="A156" s="180"/>
      <c r="B156" s="56"/>
      <c r="C156" s="34" t="s">
        <v>2891</v>
      </c>
      <c r="D156" s="11"/>
      <c r="E156" s="30"/>
      <c r="F156" s="12">
        <v>1584.8999999999999</v>
      </c>
      <c r="G156" s="203">
        <v>10979.690000000006</v>
      </c>
      <c r="H156" s="18"/>
    </row>
    <row r="157" spans="1:9" ht="13.5" customHeight="1" x14ac:dyDescent="0.2">
      <c r="A157" s="180">
        <v>43729</v>
      </c>
      <c r="B157" s="56"/>
      <c r="C157" s="34" t="s">
        <v>2892</v>
      </c>
      <c r="D157" s="11"/>
      <c r="E157" s="30">
        <v>11.2</v>
      </c>
      <c r="F157" s="12"/>
      <c r="G157" s="203">
        <v>10968.490000000005</v>
      </c>
      <c r="H157" s="18"/>
    </row>
    <row r="158" spans="1:9" ht="13.5" customHeight="1" x14ac:dyDescent="0.2">
      <c r="A158" s="180"/>
      <c r="B158" s="56"/>
      <c r="C158" s="34" t="s">
        <v>2893</v>
      </c>
      <c r="D158" s="11"/>
      <c r="E158" s="30">
        <v>70</v>
      </c>
      <c r="F158" s="12"/>
      <c r="G158" s="203">
        <v>10898.490000000005</v>
      </c>
      <c r="H158" s="18"/>
    </row>
    <row r="159" spans="1:9" ht="13.5" customHeight="1" x14ac:dyDescent="0.2">
      <c r="A159" s="180"/>
      <c r="B159" s="56"/>
      <c r="C159" s="34" t="s">
        <v>2894</v>
      </c>
      <c r="D159" s="11"/>
      <c r="E159" s="30">
        <v>60</v>
      </c>
      <c r="F159" s="12"/>
      <c r="G159" s="203">
        <v>10838.490000000005</v>
      </c>
      <c r="H159" s="18"/>
    </row>
    <row r="160" spans="1:9" ht="13.5" customHeight="1" x14ac:dyDescent="0.2">
      <c r="A160" s="180"/>
      <c r="B160" s="56"/>
      <c r="C160" s="34" t="s">
        <v>2895</v>
      </c>
      <c r="D160" s="11"/>
      <c r="E160" s="30">
        <v>60</v>
      </c>
      <c r="F160" s="12"/>
      <c r="G160" s="203">
        <v>10778.490000000005</v>
      </c>
      <c r="H160" s="18"/>
      <c r="I160"/>
    </row>
    <row r="161" spans="1:23" ht="13.5" customHeight="1" x14ac:dyDescent="0.2">
      <c r="A161" s="180"/>
      <c r="B161" s="56"/>
      <c r="C161" s="34" t="s">
        <v>2896</v>
      </c>
      <c r="D161" s="11"/>
      <c r="E161" s="30">
        <v>60</v>
      </c>
      <c r="F161" s="12"/>
      <c r="G161" s="203">
        <v>10718.490000000005</v>
      </c>
      <c r="H161" s="18"/>
    </row>
    <row r="162" spans="1:23" ht="13.5" customHeight="1" x14ac:dyDescent="0.2">
      <c r="A162" s="180">
        <v>43731</v>
      </c>
      <c r="B162" s="56"/>
      <c r="C162" s="36" t="s">
        <v>2897</v>
      </c>
      <c r="D162" s="11"/>
      <c r="E162" s="30"/>
      <c r="F162" s="12">
        <v>220</v>
      </c>
      <c r="G162" s="203">
        <v>10938.490000000005</v>
      </c>
      <c r="H162" s="18"/>
    </row>
    <row r="163" spans="1:23" ht="13.5" customHeight="1" x14ac:dyDescent="0.2">
      <c r="A163" s="180"/>
      <c r="B163" s="56"/>
      <c r="C163" s="34" t="s">
        <v>2898</v>
      </c>
      <c r="D163" s="11"/>
      <c r="E163" s="30"/>
      <c r="F163" s="12">
        <v>1475</v>
      </c>
      <c r="G163" s="203">
        <v>12413.490000000005</v>
      </c>
      <c r="H163" s="18"/>
      <c r="I163"/>
    </row>
    <row r="164" spans="1:23" ht="13.5" customHeight="1" x14ac:dyDescent="0.2">
      <c r="A164" s="180"/>
      <c r="B164" s="56"/>
      <c r="C164" s="34" t="s">
        <v>2899</v>
      </c>
      <c r="D164" s="11"/>
      <c r="E164" s="30">
        <v>40</v>
      </c>
      <c r="F164" s="12"/>
      <c r="G164" s="203">
        <v>12373.490000000005</v>
      </c>
      <c r="H164" s="18"/>
      <c r="I164"/>
    </row>
    <row r="165" spans="1:23" ht="13.5" customHeight="1" x14ac:dyDescent="0.2">
      <c r="A165" s="180"/>
      <c r="B165" s="56"/>
      <c r="C165" s="34" t="s">
        <v>2900</v>
      </c>
      <c r="D165" s="11"/>
      <c r="E165" s="30">
        <v>1800</v>
      </c>
      <c r="F165" s="12"/>
      <c r="G165" s="203">
        <v>10573.490000000005</v>
      </c>
      <c r="H165" s="18"/>
      <c r="J165" s="18"/>
    </row>
    <row r="166" spans="1:23" ht="13.5" customHeight="1" x14ac:dyDescent="0.2">
      <c r="A166" s="180">
        <v>43733</v>
      </c>
      <c r="B166" s="56"/>
      <c r="C166" s="36" t="s">
        <v>2901</v>
      </c>
      <c r="D166" s="11"/>
      <c r="E166" s="30"/>
      <c r="F166" s="12">
        <v>80</v>
      </c>
      <c r="G166" s="203">
        <v>10653.490000000005</v>
      </c>
      <c r="H166" s="18"/>
      <c r="I166"/>
    </row>
    <row r="167" spans="1:23" ht="13.5" customHeight="1" x14ac:dyDescent="0.2">
      <c r="A167" s="180"/>
      <c r="B167" s="56"/>
      <c r="C167" s="34" t="s">
        <v>2902</v>
      </c>
      <c r="D167" s="11"/>
      <c r="E167" s="30">
        <v>460</v>
      </c>
      <c r="F167" s="12"/>
      <c r="G167" s="203">
        <v>10193.490000000005</v>
      </c>
      <c r="H167" s="18"/>
    </row>
    <row r="168" spans="1:23" s="64" customFormat="1" ht="13.5" customHeight="1" x14ac:dyDescent="0.2">
      <c r="A168" s="184"/>
      <c r="B168" s="63"/>
      <c r="C168" s="138" t="s">
        <v>2903</v>
      </c>
      <c r="D168" s="50"/>
      <c r="E168" s="51">
        <v>16</v>
      </c>
      <c r="F168" s="13"/>
      <c r="G168" s="203">
        <v>10177.490000000005</v>
      </c>
      <c r="H168" s="18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</row>
    <row r="169" spans="1:23" s="64" customFormat="1" ht="13.5" customHeight="1" x14ac:dyDescent="0.2">
      <c r="A169" s="184"/>
      <c r="B169" s="63"/>
      <c r="C169" s="138" t="s">
        <v>2904</v>
      </c>
      <c r="D169" s="50"/>
      <c r="E169" s="51">
        <v>55</v>
      </c>
      <c r="F169" s="13"/>
      <c r="G169" s="203">
        <v>10122.490000000005</v>
      </c>
      <c r="H169" s="18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</row>
    <row r="170" spans="1:23" s="64" customFormat="1" ht="13.5" customHeight="1" x14ac:dyDescent="0.2">
      <c r="A170" s="184">
        <v>43734</v>
      </c>
      <c r="B170" s="63"/>
      <c r="C170" s="34" t="s">
        <v>2905</v>
      </c>
      <c r="D170" s="50"/>
      <c r="E170" s="51">
        <v>1130</v>
      </c>
      <c r="F170" s="13"/>
      <c r="G170" s="203">
        <v>8992.4900000000052</v>
      </c>
      <c r="H170" s="18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</row>
    <row r="171" spans="1:23" s="64" customFormat="1" ht="13.5" customHeight="1" x14ac:dyDescent="0.2">
      <c r="A171" s="184"/>
      <c r="B171" s="63"/>
      <c r="C171" s="138" t="s">
        <v>2649</v>
      </c>
      <c r="D171" s="50"/>
      <c r="E171" s="552">
        <v>2000</v>
      </c>
      <c r="F171" s="13"/>
      <c r="G171" s="203">
        <v>6992.4900000000052</v>
      </c>
      <c r="H171" s="18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</row>
    <row r="172" spans="1:23" s="64" customFormat="1" ht="13.5" customHeight="1" x14ac:dyDescent="0.2">
      <c r="A172" s="184">
        <v>43735</v>
      </c>
      <c r="B172" s="63"/>
      <c r="C172" s="36" t="s">
        <v>2906</v>
      </c>
      <c r="D172" s="50"/>
      <c r="E172" s="51"/>
      <c r="F172" s="13">
        <v>900</v>
      </c>
      <c r="G172" s="203">
        <v>7892.4900000000052</v>
      </c>
      <c r="H172" s="18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</row>
    <row r="173" spans="1:23" s="64" customFormat="1" ht="13.5" customHeight="1" x14ac:dyDescent="0.2">
      <c r="A173" s="184"/>
      <c r="B173" s="63"/>
      <c r="C173" s="36" t="s">
        <v>2907</v>
      </c>
      <c r="D173" s="50"/>
      <c r="E173" s="51">
        <v>275</v>
      </c>
      <c r="F173" s="13"/>
      <c r="G173" s="203">
        <v>7617.4900000000052</v>
      </c>
      <c r="H173" s="18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</row>
    <row r="174" spans="1:23" s="64" customFormat="1" ht="13.5" customHeight="1" x14ac:dyDescent="0.2">
      <c r="A174" s="184"/>
      <c r="B174" s="63"/>
      <c r="C174" s="36" t="s">
        <v>2908</v>
      </c>
      <c r="D174" s="50"/>
      <c r="E174" s="51">
        <v>500</v>
      </c>
      <c r="F174" s="13"/>
      <c r="G174" s="203">
        <v>7117.4900000000052</v>
      </c>
      <c r="H174" s="18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</row>
    <row r="175" spans="1:23" s="64" customFormat="1" ht="13.5" customHeight="1" x14ac:dyDescent="0.2">
      <c r="A175" s="184"/>
      <c r="B175" s="63"/>
      <c r="C175" s="41" t="s">
        <v>2909</v>
      </c>
      <c r="D175" s="50"/>
      <c r="E175" s="51">
        <v>70</v>
      </c>
      <c r="F175" s="13"/>
      <c r="G175" s="203">
        <v>7047.4900000000052</v>
      </c>
      <c r="H175" s="18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</row>
    <row r="176" spans="1:23" s="64" customFormat="1" ht="13.5" customHeight="1" x14ac:dyDescent="0.2">
      <c r="A176" s="184"/>
      <c r="B176" s="63"/>
      <c r="C176" s="36" t="s">
        <v>2910</v>
      </c>
      <c r="D176" s="50"/>
      <c r="E176" s="51">
        <v>300</v>
      </c>
      <c r="F176" s="13"/>
      <c r="G176" s="203">
        <v>6747.4900000000052</v>
      </c>
      <c r="H176" s="18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</row>
    <row r="177" spans="1:23" s="64" customFormat="1" ht="13.5" customHeight="1" x14ac:dyDescent="0.2">
      <c r="A177" s="184"/>
      <c r="B177" s="63"/>
      <c r="C177" s="36" t="s">
        <v>2911</v>
      </c>
      <c r="D177" s="50"/>
      <c r="E177" s="51">
        <v>180</v>
      </c>
      <c r="F177" s="13"/>
      <c r="G177" s="203">
        <v>6567.4900000000052</v>
      </c>
      <c r="H177" s="18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</row>
    <row r="178" spans="1:23" s="64" customFormat="1" ht="13.5" customHeight="1" x14ac:dyDescent="0.2">
      <c r="A178" s="184"/>
      <c r="B178" s="63"/>
      <c r="C178" s="36" t="s">
        <v>2912</v>
      </c>
      <c r="D178" s="50"/>
      <c r="E178" s="51">
        <v>60</v>
      </c>
      <c r="F178" s="13"/>
      <c r="G178" s="203">
        <v>6507.4900000000052</v>
      </c>
      <c r="H178" s="18"/>
      <c r="I178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</row>
    <row r="179" spans="1:23" s="64" customFormat="1" ht="13.5" customHeight="1" x14ac:dyDescent="0.2">
      <c r="A179" s="184"/>
      <c r="B179" s="63"/>
      <c r="C179" s="138" t="s">
        <v>2913</v>
      </c>
      <c r="D179" s="50"/>
      <c r="E179" s="51">
        <v>195.67</v>
      </c>
      <c r="F179" s="13"/>
      <c r="G179" s="203">
        <v>6311.8200000000052</v>
      </c>
      <c r="H179" s="18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</row>
    <row r="180" spans="1:23" s="64" customFormat="1" ht="13.5" customHeight="1" x14ac:dyDescent="0.2">
      <c r="A180" s="184">
        <v>43738</v>
      </c>
      <c r="B180" s="63"/>
      <c r="C180" s="36" t="s">
        <v>2914</v>
      </c>
      <c r="D180" s="50"/>
      <c r="E180" s="51">
        <v>55.9</v>
      </c>
      <c r="F180" s="13"/>
      <c r="G180" s="203">
        <v>6255.9200000000055</v>
      </c>
      <c r="H180" s="18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</row>
    <row r="181" spans="1:23" s="64" customFormat="1" ht="13.5" customHeight="1" x14ac:dyDescent="0.2">
      <c r="A181" s="184"/>
      <c r="B181" s="63"/>
      <c r="C181" s="45" t="s">
        <v>2915</v>
      </c>
      <c r="D181" s="50"/>
      <c r="E181" s="51">
        <v>37.5</v>
      </c>
      <c r="F181" s="13"/>
      <c r="G181" s="203">
        <v>6218.4200000000055</v>
      </c>
      <c r="H181" s="18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</row>
    <row r="182" spans="1:23" s="64" customFormat="1" ht="13.5" customHeight="1" x14ac:dyDescent="0.2">
      <c r="A182" s="184"/>
      <c r="B182" s="63"/>
      <c r="C182" s="45" t="s">
        <v>2916</v>
      </c>
      <c r="D182" s="50"/>
      <c r="E182" s="51">
        <v>11.53</v>
      </c>
      <c r="F182" s="13"/>
      <c r="G182" s="203">
        <v>6206.8900000000058</v>
      </c>
      <c r="H182" s="18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</row>
    <row r="183" spans="1:23" s="64" customFormat="1" ht="13.5" customHeight="1" x14ac:dyDescent="0.2">
      <c r="A183" s="184"/>
      <c r="B183" s="63"/>
      <c r="C183" s="138" t="s">
        <v>2917</v>
      </c>
      <c r="D183" s="50"/>
      <c r="E183" s="51">
        <v>36</v>
      </c>
      <c r="F183" s="13"/>
      <c r="G183" s="203">
        <v>6170.8900000000058</v>
      </c>
      <c r="H183" s="18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</row>
    <row r="184" spans="1:23" s="64" customFormat="1" ht="13.5" customHeight="1" x14ac:dyDescent="0.2">
      <c r="A184" s="184"/>
      <c r="B184" s="63"/>
      <c r="C184" s="138" t="s">
        <v>2918</v>
      </c>
      <c r="D184" s="50"/>
      <c r="E184" s="51">
        <v>18</v>
      </c>
      <c r="F184" s="13"/>
      <c r="G184" s="203">
        <v>6152.8900000000058</v>
      </c>
      <c r="H184" s="18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</row>
    <row r="185" spans="1:23" s="64" customFormat="1" ht="13.5" customHeight="1" x14ac:dyDescent="0.2">
      <c r="A185" s="184"/>
      <c r="B185" s="63"/>
      <c r="C185" s="45" t="s">
        <v>2919</v>
      </c>
      <c r="D185" s="50"/>
      <c r="E185" s="51">
        <v>3.78</v>
      </c>
      <c r="F185" s="13"/>
      <c r="G185" s="203">
        <v>6149.110000000006</v>
      </c>
      <c r="H185" s="18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</row>
    <row r="186" spans="1:23" s="64" customFormat="1" ht="13.5" customHeight="1" x14ac:dyDescent="0.2">
      <c r="A186" s="184"/>
      <c r="B186" s="63"/>
      <c r="C186" s="138" t="s">
        <v>2920</v>
      </c>
      <c r="D186" s="50"/>
      <c r="E186" s="51">
        <v>25.98</v>
      </c>
      <c r="F186" s="13"/>
      <c r="G186" s="203">
        <v>6123.1300000000065</v>
      </c>
      <c r="H186" s="18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</row>
    <row r="187" spans="1:23" s="64" customFormat="1" ht="13.5" customHeight="1" x14ac:dyDescent="0.2">
      <c r="A187" s="184"/>
      <c r="B187" s="63"/>
      <c r="C187" s="138" t="s">
        <v>2921</v>
      </c>
      <c r="D187" s="50"/>
      <c r="E187" s="51">
        <v>14</v>
      </c>
      <c r="F187" s="13"/>
      <c r="G187" s="203">
        <v>6109.1300000000065</v>
      </c>
      <c r="H187" s="18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</row>
    <row r="188" spans="1:23" s="64" customFormat="1" ht="13.5" customHeight="1" x14ac:dyDescent="0.2">
      <c r="A188" s="184"/>
      <c r="B188" s="63"/>
      <c r="C188" s="45" t="s">
        <v>2922</v>
      </c>
      <c r="D188" s="50"/>
      <c r="E188" s="51">
        <v>43.8</v>
      </c>
      <c r="F188" s="13"/>
      <c r="G188" s="203">
        <v>6065.3300000000063</v>
      </c>
      <c r="H188" s="18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</row>
    <row r="189" spans="1:23" s="64" customFormat="1" ht="13.5" customHeight="1" x14ac:dyDescent="0.2">
      <c r="A189" s="184"/>
      <c r="B189" s="63"/>
      <c r="C189" s="138" t="s">
        <v>2923</v>
      </c>
      <c r="D189" s="50"/>
      <c r="E189" s="51">
        <v>5.5</v>
      </c>
      <c r="F189" s="13"/>
      <c r="G189" s="203">
        <v>6059.8300000000063</v>
      </c>
      <c r="H189" s="18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</row>
    <row r="190" spans="1:23" s="64" customFormat="1" ht="13.5" customHeight="1" x14ac:dyDescent="0.2">
      <c r="A190" s="184"/>
      <c r="B190" s="63"/>
      <c r="C190" s="138" t="s">
        <v>2924</v>
      </c>
      <c r="D190" s="50"/>
      <c r="E190" s="51">
        <v>4.2</v>
      </c>
      <c r="F190" s="13"/>
      <c r="G190" s="203">
        <v>6055.6300000000065</v>
      </c>
      <c r="H190" s="18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</row>
    <row r="191" spans="1:23" s="64" customFormat="1" ht="13.5" customHeight="1" x14ac:dyDescent="0.2">
      <c r="A191" s="184"/>
      <c r="B191" s="63"/>
      <c r="C191" s="45" t="s">
        <v>2925</v>
      </c>
      <c r="D191" s="50"/>
      <c r="E191" s="51">
        <v>58.15</v>
      </c>
      <c r="F191" s="13"/>
      <c r="G191" s="203">
        <v>5997.4800000000068</v>
      </c>
      <c r="H191" s="18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</row>
    <row r="192" spans="1:23" ht="13.5" customHeight="1" x14ac:dyDescent="0.2">
      <c r="A192" s="180"/>
      <c r="B192" s="56"/>
      <c r="C192" s="36" t="s">
        <v>2926</v>
      </c>
      <c r="D192" s="11"/>
      <c r="E192" s="30"/>
      <c r="F192" s="12">
        <v>200</v>
      </c>
      <c r="G192" s="203">
        <v>6197.4800000000068</v>
      </c>
      <c r="H192" s="18"/>
    </row>
    <row r="193" spans="1:8" ht="13.5" customHeight="1" x14ac:dyDescent="0.2">
      <c r="A193" s="180"/>
      <c r="B193" s="56"/>
      <c r="C193" s="34" t="s">
        <v>2927</v>
      </c>
      <c r="D193" s="11"/>
      <c r="E193" s="30">
        <v>730</v>
      </c>
      <c r="F193" s="12"/>
      <c r="G193" s="205">
        <v>5467.4800000000068</v>
      </c>
      <c r="H193" s="124"/>
    </row>
    <row r="194" spans="1:8" ht="13.5" customHeight="1" thickBot="1" x14ac:dyDescent="0.25">
      <c r="A194" s="180"/>
      <c r="B194" s="56"/>
      <c r="C194" s="56"/>
      <c r="D194" s="11"/>
      <c r="E194" s="671">
        <f>-SUM(E122:E131,E133:E170,E173:E193)</f>
        <v>-19012.449999999997</v>
      </c>
      <c r="F194" s="672">
        <f>SUM(F135:F138,F148,F151:F193)</f>
        <v>13819.9</v>
      </c>
      <c r="G194" s="182"/>
    </row>
    <row r="195" spans="1:8" ht="13.5" customHeight="1" thickBot="1" x14ac:dyDescent="0.25">
      <c r="A195" s="2" t="s">
        <v>2</v>
      </c>
      <c r="B195" s="3"/>
      <c r="C195" s="3" t="s">
        <v>3</v>
      </c>
      <c r="D195" s="3"/>
      <c r="E195" s="3"/>
      <c r="F195" s="3"/>
      <c r="G195" s="5" t="s">
        <v>7</v>
      </c>
    </row>
    <row r="196" spans="1:8" ht="13.5" customHeight="1" x14ac:dyDescent="0.2">
      <c r="A196" s="8">
        <v>43709</v>
      </c>
      <c r="B196" s="70"/>
      <c r="C196" s="10" t="s">
        <v>537</v>
      </c>
      <c r="D196" s="46"/>
      <c r="E196" s="67"/>
      <c r="F196" s="67"/>
      <c r="G196" s="205">
        <v>4755.9399999999996</v>
      </c>
      <c r="H196" s="205"/>
    </row>
    <row r="197" spans="1:8" ht="13.5" customHeight="1" x14ac:dyDescent="0.2">
      <c r="A197" s="171" t="s">
        <v>2928</v>
      </c>
      <c r="B197" s="46"/>
      <c r="C197" s="34" t="s">
        <v>2929</v>
      </c>
      <c r="D197" s="46" t="s">
        <v>19</v>
      </c>
      <c r="E197" s="69" t="s">
        <v>549</v>
      </c>
      <c r="F197" s="69">
        <v>4000</v>
      </c>
      <c r="G197" s="182"/>
      <c r="H197" s="18"/>
    </row>
    <row r="198" spans="1:8" ht="13.5" customHeight="1" x14ac:dyDescent="0.2">
      <c r="A198" s="171"/>
      <c r="B198" s="46"/>
      <c r="C198" s="34" t="s">
        <v>1597</v>
      </c>
      <c r="D198" s="46" t="s">
        <v>19</v>
      </c>
      <c r="E198" s="69">
        <v>-0.01</v>
      </c>
      <c r="F198" s="69" t="s">
        <v>549</v>
      </c>
      <c r="G198" s="182"/>
      <c r="H198" s="18"/>
    </row>
    <row r="199" spans="1:8" ht="13.5" customHeight="1" x14ac:dyDescent="0.2">
      <c r="A199" s="171"/>
      <c r="B199" s="46"/>
      <c r="C199" s="34" t="s">
        <v>1598</v>
      </c>
      <c r="D199" s="46" t="s">
        <v>19</v>
      </c>
      <c r="E199" s="69">
        <v>-0.7</v>
      </c>
      <c r="F199" s="69" t="s">
        <v>549</v>
      </c>
      <c r="G199" s="182">
        <v>8755.26</v>
      </c>
      <c r="H199" s="18"/>
    </row>
    <row r="200" spans="1:8" ht="13.5" customHeight="1" x14ac:dyDescent="0.2">
      <c r="A200" s="171" t="s">
        <v>2930</v>
      </c>
      <c r="B200" s="46"/>
      <c r="C200" s="138" t="s">
        <v>2865</v>
      </c>
      <c r="D200" s="46" t="s">
        <v>1333</v>
      </c>
      <c r="E200" s="601">
        <v>-2500</v>
      </c>
      <c r="F200" s="69" t="s">
        <v>549</v>
      </c>
      <c r="G200" s="182"/>
      <c r="H200" s="18"/>
    </row>
    <row r="201" spans="1:8" ht="13.5" customHeight="1" x14ac:dyDescent="0.2">
      <c r="A201" s="171"/>
      <c r="B201" s="46"/>
      <c r="C201" s="34" t="s">
        <v>2929</v>
      </c>
      <c r="D201" s="46" t="s">
        <v>19</v>
      </c>
      <c r="E201" s="69" t="s">
        <v>549</v>
      </c>
      <c r="F201" s="69">
        <v>3500</v>
      </c>
      <c r="G201" s="182"/>
      <c r="H201" s="18"/>
    </row>
    <row r="202" spans="1:8" ht="13.5" customHeight="1" x14ac:dyDescent="0.2">
      <c r="A202" s="171"/>
      <c r="B202" s="46"/>
      <c r="C202" s="34" t="s">
        <v>2931</v>
      </c>
      <c r="D202" s="46" t="s">
        <v>19</v>
      </c>
      <c r="E202" s="69">
        <v>-799</v>
      </c>
      <c r="F202" s="69" t="s">
        <v>549</v>
      </c>
      <c r="G202" s="182"/>
      <c r="H202" s="18"/>
    </row>
    <row r="203" spans="1:8" ht="13.5" customHeight="1" x14ac:dyDescent="0.2">
      <c r="A203" s="171"/>
      <c r="B203" s="46"/>
      <c r="C203" s="34" t="s">
        <v>2932</v>
      </c>
      <c r="D203" s="46" t="s">
        <v>2933</v>
      </c>
      <c r="E203" s="69">
        <v>-1579.21</v>
      </c>
      <c r="F203" s="69" t="s">
        <v>549</v>
      </c>
      <c r="G203" s="182"/>
      <c r="H203" s="18"/>
    </row>
    <row r="204" spans="1:8" ht="13.5" customHeight="1" x14ac:dyDescent="0.2">
      <c r="A204" s="171"/>
      <c r="B204" s="46"/>
      <c r="C204" s="36" t="s">
        <v>20</v>
      </c>
      <c r="D204" s="46" t="s">
        <v>19</v>
      </c>
      <c r="E204" s="69" t="s">
        <v>549</v>
      </c>
      <c r="F204" s="69">
        <v>0.01</v>
      </c>
      <c r="G204" s="182">
        <v>7377.06</v>
      </c>
      <c r="H204" s="18"/>
    </row>
    <row r="205" spans="1:8" ht="13.5" customHeight="1" x14ac:dyDescent="0.2">
      <c r="A205" s="171" t="s">
        <v>2934</v>
      </c>
      <c r="B205" s="46"/>
      <c r="C205" s="34" t="s">
        <v>2935</v>
      </c>
      <c r="D205" s="46" t="s">
        <v>2936</v>
      </c>
      <c r="E205" s="69">
        <v>-1400</v>
      </c>
      <c r="F205" s="69" t="s">
        <v>549</v>
      </c>
      <c r="G205" s="182"/>
      <c r="H205" s="18"/>
    </row>
    <row r="206" spans="1:8" ht="13.5" customHeight="1" x14ac:dyDescent="0.2">
      <c r="A206" s="171"/>
      <c r="B206" s="46"/>
      <c r="C206" s="36" t="s">
        <v>20</v>
      </c>
      <c r="D206" s="46" t="s">
        <v>19</v>
      </c>
      <c r="E206" s="69" t="s">
        <v>549</v>
      </c>
      <c r="F206" s="69">
        <v>0.01</v>
      </c>
      <c r="G206" s="182">
        <v>5977.07</v>
      </c>
      <c r="H206" s="18"/>
    </row>
    <row r="207" spans="1:8" ht="13.5" customHeight="1" x14ac:dyDescent="0.2">
      <c r="A207" s="171" t="s">
        <v>2937</v>
      </c>
      <c r="B207" s="46"/>
      <c r="C207" s="34" t="s">
        <v>2462</v>
      </c>
      <c r="D207" s="46" t="s">
        <v>2938</v>
      </c>
      <c r="E207" s="69">
        <v>-71.19</v>
      </c>
      <c r="F207" s="69" t="s">
        <v>549</v>
      </c>
      <c r="G207" s="182"/>
      <c r="H207" s="18"/>
    </row>
    <row r="208" spans="1:8" ht="13.5" customHeight="1" x14ac:dyDescent="0.2">
      <c r="A208" s="171"/>
      <c r="B208" s="46"/>
      <c r="C208" s="34" t="s">
        <v>53</v>
      </c>
      <c r="D208" s="46" t="s">
        <v>322</v>
      </c>
      <c r="E208" s="69">
        <v>-532.21</v>
      </c>
      <c r="F208" s="69" t="s">
        <v>549</v>
      </c>
      <c r="G208" s="182"/>
      <c r="H208" s="18"/>
    </row>
    <row r="209" spans="1:8" ht="13.5" customHeight="1" x14ac:dyDescent="0.2">
      <c r="A209" s="171"/>
      <c r="B209" s="46"/>
      <c r="C209" s="138" t="s">
        <v>2865</v>
      </c>
      <c r="D209" s="46" t="s">
        <v>1333</v>
      </c>
      <c r="E209" s="601">
        <v>-2500</v>
      </c>
      <c r="F209" s="69" t="s">
        <v>549</v>
      </c>
      <c r="G209" s="182"/>
      <c r="H209" s="18"/>
    </row>
    <row r="210" spans="1:8" ht="13.5" customHeight="1" x14ac:dyDescent="0.2">
      <c r="A210" s="171"/>
      <c r="B210" s="46"/>
      <c r="C210" s="36" t="s">
        <v>20</v>
      </c>
      <c r="D210" s="46" t="s">
        <v>19</v>
      </c>
      <c r="E210" s="69" t="s">
        <v>549</v>
      </c>
      <c r="F210" s="69">
        <v>0.03</v>
      </c>
      <c r="G210" s="182">
        <v>2873.7</v>
      </c>
      <c r="H210" s="18"/>
    </row>
    <row r="211" spans="1:8" ht="13.5" customHeight="1" x14ac:dyDescent="0.2">
      <c r="A211" s="171" t="s">
        <v>2939</v>
      </c>
      <c r="B211" s="46"/>
      <c r="C211" s="34" t="s">
        <v>55</v>
      </c>
      <c r="D211" s="46" t="s">
        <v>336</v>
      </c>
      <c r="E211" s="69">
        <v>-400</v>
      </c>
      <c r="F211" s="69" t="s">
        <v>549</v>
      </c>
      <c r="G211" s="182"/>
      <c r="H211" s="18"/>
    </row>
    <row r="212" spans="1:8" ht="13.5" customHeight="1" x14ac:dyDescent="0.2">
      <c r="A212" s="171"/>
      <c r="B212" s="46"/>
      <c r="C212" s="34" t="s">
        <v>2940</v>
      </c>
      <c r="D212" s="46" t="s">
        <v>2941</v>
      </c>
      <c r="E212" s="69">
        <v>-528.54</v>
      </c>
      <c r="F212" s="69" t="s">
        <v>549</v>
      </c>
      <c r="G212" s="182"/>
      <c r="H212" s="18"/>
    </row>
    <row r="213" spans="1:8" ht="13.5" customHeight="1" x14ac:dyDescent="0.2">
      <c r="A213" s="171"/>
      <c r="B213" s="46"/>
      <c r="C213" s="34" t="s">
        <v>2940</v>
      </c>
      <c r="D213" s="46" t="s">
        <v>2942</v>
      </c>
      <c r="E213" s="69">
        <v>-309.36</v>
      </c>
      <c r="F213" s="69" t="s">
        <v>549</v>
      </c>
      <c r="G213" s="182"/>
      <c r="H213" s="18"/>
    </row>
    <row r="214" spans="1:8" ht="13.5" customHeight="1" x14ac:dyDescent="0.2">
      <c r="A214" s="171"/>
      <c r="B214" s="46"/>
      <c r="C214" s="36" t="s">
        <v>20</v>
      </c>
      <c r="D214" s="46" t="s">
        <v>19</v>
      </c>
      <c r="E214" s="69" t="s">
        <v>549</v>
      </c>
      <c r="F214" s="69">
        <v>0.01</v>
      </c>
      <c r="G214" s="182">
        <v>1635.81</v>
      </c>
      <c r="H214" s="18"/>
    </row>
    <row r="215" spans="1:8" ht="13.5" customHeight="1" x14ac:dyDescent="0.2">
      <c r="A215" s="171" t="s">
        <v>2943</v>
      </c>
      <c r="B215" s="46"/>
      <c r="C215" s="34" t="s">
        <v>62</v>
      </c>
      <c r="D215" s="46" t="s">
        <v>19</v>
      </c>
      <c r="E215" s="69">
        <v>-412.4</v>
      </c>
      <c r="F215" s="69" t="s">
        <v>549</v>
      </c>
      <c r="G215" s="182"/>
      <c r="H215" s="18"/>
    </row>
    <row r="216" spans="1:8" ht="13.5" customHeight="1" x14ac:dyDescent="0.2">
      <c r="A216" s="171"/>
      <c r="B216" s="46"/>
      <c r="C216" s="34" t="s">
        <v>2944</v>
      </c>
      <c r="D216" s="46" t="s">
        <v>2945</v>
      </c>
      <c r="E216" s="69">
        <v>-110</v>
      </c>
      <c r="F216" s="69" t="s">
        <v>549</v>
      </c>
      <c r="G216" s="182"/>
      <c r="H216" s="18"/>
    </row>
    <row r="217" spans="1:8" ht="13.5" customHeight="1" x14ac:dyDescent="0.2">
      <c r="A217" s="171"/>
      <c r="B217" s="46"/>
      <c r="C217" s="36" t="s">
        <v>20</v>
      </c>
      <c r="D217" s="46" t="s">
        <v>19</v>
      </c>
      <c r="E217" s="69" t="s">
        <v>549</v>
      </c>
      <c r="F217" s="69">
        <v>0.01</v>
      </c>
      <c r="G217" s="182">
        <v>1113.42</v>
      </c>
      <c r="H217" s="18"/>
    </row>
    <row r="218" spans="1:8" ht="13.5" customHeight="1" x14ac:dyDescent="0.2">
      <c r="A218" s="171" t="s">
        <v>2946</v>
      </c>
      <c r="B218" s="46"/>
      <c r="C218" s="34" t="s">
        <v>68</v>
      </c>
      <c r="D218" s="46" t="s">
        <v>2064</v>
      </c>
      <c r="E218" s="69">
        <v>-129.9</v>
      </c>
      <c r="F218" s="69" t="s">
        <v>549</v>
      </c>
      <c r="G218" s="182"/>
      <c r="H218" s="18"/>
    </row>
    <row r="219" spans="1:8" ht="13.5" customHeight="1" x14ac:dyDescent="0.2">
      <c r="A219" s="171"/>
      <c r="B219" s="46"/>
      <c r="C219" s="34" t="s">
        <v>82</v>
      </c>
      <c r="D219" s="46" t="s">
        <v>2947</v>
      </c>
      <c r="E219" s="69">
        <v>-916.42</v>
      </c>
      <c r="F219" s="69" t="s">
        <v>549</v>
      </c>
      <c r="G219" s="182"/>
      <c r="H219" s="18"/>
    </row>
    <row r="220" spans="1:8" ht="13.5" customHeight="1" x14ac:dyDescent="0.2">
      <c r="A220" s="171"/>
      <c r="B220" s="46"/>
      <c r="C220" s="34" t="s">
        <v>2471</v>
      </c>
      <c r="D220" s="46" t="s">
        <v>1600</v>
      </c>
      <c r="E220" s="69">
        <v>-467</v>
      </c>
      <c r="F220" s="69" t="s">
        <v>549</v>
      </c>
      <c r="G220" s="182"/>
      <c r="H220" s="18"/>
    </row>
    <row r="221" spans="1:8" ht="13.5" customHeight="1" x14ac:dyDescent="0.2">
      <c r="A221" s="171"/>
      <c r="B221" s="46"/>
      <c r="C221" s="36" t="s">
        <v>20</v>
      </c>
      <c r="D221" s="46" t="s">
        <v>19</v>
      </c>
      <c r="E221" s="69" t="s">
        <v>549</v>
      </c>
      <c r="F221" s="69">
        <v>0.02</v>
      </c>
      <c r="G221" s="182">
        <v>-399.88</v>
      </c>
      <c r="H221" s="18"/>
    </row>
    <row r="222" spans="1:8" ht="13.5" customHeight="1" x14ac:dyDescent="0.2">
      <c r="A222" s="171" t="s">
        <v>2948</v>
      </c>
      <c r="B222" s="46"/>
      <c r="C222" s="36" t="s">
        <v>2805</v>
      </c>
      <c r="D222" s="46" t="s">
        <v>2949</v>
      </c>
      <c r="E222" s="69" t="s">
        <v>549</v>
      </c>
      <c r="F222" s="322">
        <v>2140</v>
      </c>
      <c r="G222" s="182"/>
      <c r="H222" s="18"/>
    </row>
    <row r="223" spans="1:8" ht="13.5" customHeight="1" x14ac:dyDescent="0.2">
      <c r="A223" s="171"/>
      <c r="B223" s="46"/>
      <c r="C223" s="34" t="s">
        <v>2950</v>
      </c>
      <c r="D223" s="46" t="s">
        <v>2951</v>
      </c>
      <c r="E223" s="69">
        <v>-11.98</v>
      </c>
      <c r="F223" s="69" t="s">
        <v>549</v>
      </c>
      <c r="G223" s="182"/>
      <c r="H223" s="18"/>
    </row>
    <row r="224" spans="1:8" ht="13.5" customHeight="1" x14ac:dyDescent="0.2">
      <c r="A224" s="171"/>
      <c r="B224" s="46"/>
      <c r="C224" s="34" t="s">
        <v>2952</v>
      </c>
      <c r="D224" s="46" t="s">
        <v>2953</v>
      </c>
      <c r="E224" s="69">
        <v>-91</v>
      </c>
      <c r="F224" s="69" t="s">
        <v>549</v>
      </c>
      <c r="G224" s="182"/>
      <c r="H224" s="18"/>
    </row>
    <row r="225" spans="1:8" ht="13.5" customHeight="1" x14ac:dyDescent="0.2">
      <c r="A225" s="171"/>
      <c r="B225" s="46"/>
      <c r="C225" s="34" t="s">
        <v>2954</v>
      </c>
      <c r="D225" s="46" t="s">
        <v>2955</v>
      </c>
      <c r="E225" s="69">
        <v>-427</v>
      </c>
      <c r="F225" s="69" t="s">
        <v>549</v>
      </c>
      <c r="G225" s="182"/>
      <c r="H225" s="18"/>
    </row>
    <row r="226" spans="1:8" ht="13.5" customHeight="1" x14ac:dyDescent="0.2">
      <c r="A226" s="171"/>
      <c r="B226" s="46"/>
      <c r="C226" s="34" t="s">
        <v>2956</v>
      </c>
      <c r="D226" s="46" t="s">
        <v>2957</v>
      </c>
      <c r="E226" s="69">
        <v>-150</v>
      </c>
      <c r="F226" s="69" t="s">
        <v>549</v>
      </c>
      <c r="G226" s="182">
        <v>1060.1400000000001</v>
      </c>
      <c r="H226" s="18"/>
    </row>
    <row r="227" spans="1:8" ht="13.5" customHeight="1" x14ac:dyDescent="0.2">
      <c r="A227" s="171" t="s">
        <v>2958</v>
      </c>
      <c r="B227" s="46"/>
      <c r="C227" s="34" t="s">
        <v>87</v>
      </c>
      <c r="D227" s="46" t="s">
        <v>19</v>
      </c>
      <c r="E227" s="69">
        <v>-40.630000000000003</v>
      </c>
      <c r="F227" s="69" t="s">
        <v>549</v>
      </c>
      <c r="G227" s="182">
        <v>1019.51</v>
      </c>
      <c r="H227" s="18"/>
    </row>
    <row r="228" spans="1:8" ht="13.5" customHeight="1" x14ac:dyDescent="0.2">
      <c r="A228" s="171" t="s">
        <v>2959</v>
      </c>
      <c r="B228" s="46"/>
      <c r="C228" s="34" t="s">
        <v>2960</v>
      </c>
      <c r="D228" s="46" t="s">
        <v>19</v>
      </c>
      <c r="E228" s="69">
        <v>-845</v>
      </c>
      <c r="F228" s="69" t="s">
        <v>549</v>
      </c>
      <c r="G228" s="182"/>
      <c r="H228" s="18"/>
    </row>
    <row r="229" spans="1:8" ht="13.5" customHeight="1" x14ac:dyDescent="0.2">
      <c r="A229" s="171"/>
      <c r="B229" s="46"/>
      <c r="C229" s="36" t="s">
        <v>20</v>
      </c>
      <c r="D229" s="46" t="s">
        <v>19</v>
      </c>
      <c r="E229" s="69" t="s">
        <v>549</v>
      </c>
      <c r="F229" s="69">
        <v>0.01</v>
      </c>
      <c r="G229" s="182">
        <v>174.52</v>
      </c>
      <c r="H229" s="18"/>
    </row>
    <row r="230" spans="1:8" ht="13.5" customHeight="1" x14ac:dyDescent="0.2">
      <c r="A230" s="171" t="s">
        <v>2961</v>
      </c>
      <c r="B230" s="46"/>
      <c r="C230" s="36" t="s">
        <v>86</v>
      </c>
      <c r="D230" s="46" t="s">
        <v>19</v>
      </c>
      <c r="E230" s="69">
        <v>-75.900000000000006</v>
      </c>
      <c r="F230" s="69" t="s">
        <v>549</v>
      </c>
      <c r="G230" s="182"/>
      <c r="H230" s="18"/>
    </row>
    <row r="231" spans="1:8" ht="13.5" customHeight="1" x14ac:dyDescent="0.2">
      <c r="A231" s="171"/>
      <c r="B231" s="46"/>
      <c r="C231" s="33" t="s">
        <v>81</v>
      </c>
      <c r="D231" s="46" t="s">
        <v>19</v>
      </c>
      <c r="E231" s="69">
        <v>-49.9</v>
      </c>
      <c r="F231" s="69" t="s">
        <v>549</v>
      </c>
      <c r="G231" s="182"/>
      <c r="H231" s="18"/>
    </row>
    <row r="232" spans="1:8" ht="13.5" customHeight="1" x14ac:dyDescent="0.2">
      <c r="A232" s="180"/>
      <c r="B232" s="46"/>
      <c r="C232" s="34" t="s">
        <v>673</v>
      </c>
      <c r="D232" s="46" t="s">
        <v>19</v>
      </c>
      <c r="E232" s="69">
        <v>-99.98</v>
      </c>
      <c r="F232" s="69" t="s">
        <v>549</v>
      </c>
      <c r="G232" s="182"/>
      <c r="H232" s="18"/>
    </row>
    <row r="233" spans="1:8" ht="13.5" customHeight="1" x14ac:dyDescent="0.2">
      <c r="A233" s="180"/>
      <c r="B233" s="46"/>
      <c r="C233" s="34" t="s">
        <v>1625</v>
      </c>
      <c r="D233" s="46" t="s">
        <v>2962</v>
      </c>
      <c r="E233" s="61" t="s">
        <v>549</v>
      </c>
      <c r="F233" s="600">
        <v>1500</v>
      </c>
      <c r="G233" s="182">
        <v>1448.74</v>
      </c>
      <c r="H233" s="18"/>
    </row>
    <row r="234" spans="1:8" ht="13.5" customHeight="1" x14ac:dyDescent="0.2">
      <c r="A234" s="180" t="s">
        <v>2963</v>
      </c>
      <c r="B234" s="46"/>
      <c r="C234" s="34" t="s">
        <v>18</v>
      </c>
      <c r="D234" s="46" t="s">
        <v>19</v>
      </c>
      <c r="E234" s="69">
        <v>-399.97</v>
      </c>
      <c r="F234" s="69" t="s">
        <v>549</v>
      </c>
      <c r="G234" s="182"/>
      <c r="H234" s="18"/>
    </row>
    <row r="235" spans="1:8" ht="13.5" customHeight="1" x14ac:dyDescent="0.2">
      <c r="A235" s="180"/>
      <c r="B235" s="9"/>
      <c r="C235" s="34" t="s">
        <v>2486</v>
      </c>
      <c r="D235" s="46" t="s">
        <v>19</v>
      </c>
      <c r="E235" s="61">
        <v>-133.03</v>
      </c>
      <c r="F235" s="61" t="s">
        <v>549</v>
      </c>
      <c r="G235" s="182"/>
      <c r="H235" s="18"/>
    </row>
    <row r="236" spans="1:8" ht="13.5" customHeight="1" x14ac:dyDescent="0.2">
      <c r="A236" s="180"/>
      <c r="B236" s="9"/>
      <c r="C236" s="36" t="s">
        <v>20</v>
      </c>
      <c r="D236" s="46" t="s">
        <v>19</v>
      </c>
      <c r="E236" s="61" t="s">
        <v>549</v>
      </c>
      <c r="F236" s="61">
        <v>0.01</v>
      </c>
      <c r="G236" s="182">
        <v>915.75</v>
      </c>
      <c r="H236" s="18"/>
    </row>
    <row r="237" spans="1:8" ht="13.5" customHeight="1" x14ac:dyDescent="0.2">
      <c r="A237" s="180" t="s">
        <v>2964</v>
      </c>
      <c r="B237" s="9"/>
      <c r="C237" s="34" t="s">
        <v>132</v>
      </c>
      <c r="D237" s="46" t="s">
        <v>965</v>
      </c>
      <c r="E237" s="61">
        <v>-2735.53</v>
      </c>
      <c r="F237" s="61" t="s">
        <v>549</v>
      </c>
      <c r="G237" s="182"/>
      <c r="H237" s="18"/>
    </row>
    <row r="238" spans="1:8" ht="13.5" customHeight="1" x14ac:dyDescent="0.2">
      <c r="A238" s="180"/>
      <c r="B238" s="9"/>
      <c r="C238" s="34" t="s">
        <v>2965</v>
      </c>
      <c r="D238" s="46" t="s">
        <v>322</v>
      </c>
      <c r="E238" s="61">
        <v>-109.9</v>
      </c>
      <c r="F238" s="61" t="s">
        <v>549</v>
      </c>
      <c r="G238" s="182"/>
      <c r="H238" s="18"/>
    </row>
    <row r="239" spans="1:8" ht="13.5" customHeight="1" x14ac:dyDescent="0.2">
      <c r="A239" s="180"/>
      <c r="B239" s="9"/>
      <c r="C239" s="34" t="s">
        <v>1625</v>
      </c>
      <c r="D239" s="46" t="s">
        <v>2966</v>
      </c>
      <c r="E239" s="61" t="s">
        <v>549</v>
      </c>
      <c r="F239" s="600">
        <v>2000</v>
      </c>
      <c r="G239" s="182">
        <v>70.319999999999993</v>
      </c>
      <c r="H239" s="18"/>
    </row>
    <row r="240" spans="1:8" ht="13.5" customHeight="1" x14ac:dyDescent="0.2">
      <c r="A240" s="180" t="s">
        <v>2967</v>
      </c>
      <c r="B240" s="46"/>
      <c r="C240" s="33" t="s">
        <v>736</v>
      </c>
      <c r="D240" s="46" t="s">
        <v>19</v>
      </c>
      <c r="E240" s="69">
        <v>-47.24</v>
      </c>
      <c r="F240" s="69" t="s">
        <v>549</v>
      </c>
      <c r="G240" s="182"/>
      <c r="H240" s="18"/>
    </row>
    <row r="241" spans="1:10" ht="13.5" customHeight="1" x14ac:dyDescent="0.2">
      <c r="A241" s="180"/>
      <c r="B241" s="46"/>
      <c r="C241" s="36" t="s">
        <v>127</v>
      </c>
      <c r="D241" s="46" t="s">
        <v>19</v>
      </c>
      <c r="E241" s="69">
        <v>-50.61</v>
      </c>
      <c r="F241" s="69" t="s">
        <v>549</v>
      </c>
      <c r="G241" s="182"/>
      <c r="H241" s="18"/>
    </row>
    <row r="242" spans="1:10" ht="13.5" customHeight="1" x14ac:dyDescent="0.2">
      <c r="A242" s="180"/>
      <c r="B242" s="46"/>
      <c r="C242" s="36" t="s">
        <v>129</v>
      </c>
      <c r="D242" s="46" t="s">
        <v>19</v>
      </c>
      <c r="E242" s="69">
        <v>-50.61</v>
      </c>
      <c r="F242" s="69" t="s">
        <v>549</v>
      </c>
      <c r="G242" s="182"/>
      <c r="H242" s="18"/>
    </row>
    <row r="243" spans="1:10" ht="13.5" customHeight="1" x14ac:dyDescent="0.2">
      <c r="A243" s="171"/>
      <c r="B243" s="46"/>
      <c r="C243" s="33" t="s">
        <v>737</v>
      </c>
      <c r="D243" s="46" t="s">
        <v>19</v>
      </c>
      <c r="E243" s="69">
        <v>-60.74</v>
      </c>
      <c r="F243" s="69" t="s">
        <v>549</v>
      </c>
      <c r="G243" s="182"/>
      <c r="H243" s="18"/>
    </row>
    <row r="244" spans="1:10" ht="13.5" customHeight="1" x14ac:dyDescent="0.2">
      <c r="A244" s="171"/>
      <c r="B244" s="46"/>
      <c r="C244" s="36" t="s">
        <v>130</v>
      </c>
      <c r="D244" s="46" t="s">
        <v>19</v>
      </c>
      <c r="E244" s="69">
        <v>-148.69999999999999</v>
      </c>
      <c r="F244" s="69" t="s">
        <v>549</v>
      </c>
      <c r="G244" s="182"/>
      <c r="H244" s="18"/>
    </row>
    <row r="245" spans="1:10" ht="13.5" customHeight="1" x14ac:dyDescent="0.2">
      <c r="A245" s="171"/>
      <c r="B245" s="46"/>
      <c r="C245" s="34" t="s">
        <v>2968</v>
      </c>
      <c r="D245" s="46" t="s">
        <v>19</v>
      </c>
      <c r="E245" s="69" t="s">
        <v>549</v>
      </c>
      <c r="F245" s="69">
        <v>300</v>
      </c>
      <c r="G245" s="182"/>
      <c r="H245" s="18"/>
    </row>
    <row r="246" spans="1:10" ht="13.5" customHeight="1" x14ac:dyDescent="0.2">
      <c r="A246" s="171"/>
      <c r="B246" s="46"/>
      <c r="C246" s="34" t="s">
        <v>2969</v>
      </c>
      <c r="D246" s="46" t="s">
        <v>19</v>
      </c>
      <c r="E246" s="69">
        <v>-1034.8900000000001</v>
      </c>
      <c r="F246" s="69" t="s">
        <v>549</v>
      </c>
      <c r="G246" s="182"/>
      <c r="H246" s="18"/>
    </row>
    <row r="247" spans="1:10" ht="13.5" customHeight="1" x14ac:dyDescent="0.2">
      <c r="A247" s="171"/>
      <c r="B247" s="46"/>
      <c r="C247" s="34" t="s">
        <v>2970</v>
      </c>
      <c r="D247" s="46" t="s">
        <v>19</v>
      </c>
      <c r="E247" s="69">
        <v>-570</v>
      </c>
      <c r="F247" s="69" t="s">
        <v>549</v>
      </c>
      <c r="G247" s="182"/>
      <c r="H247" s="18"/>
    </row>
    <row r="248" spans="1:10" ht="13.5" customHeight="1" x14ac:dyDescent="0.2">
      <c r="A248" s="171"/>
      <c r="B248" s="46"/>
      <c r="C248" s="34" t="s">
        <v>1625</v>
      </c>
      <c r="D248" s="46"/>
      <c r="E248" s="69"/>
      <c r="F248" s="600">
        <v>2000</v>
      </c>
      <c r="G248" s="182">
        <v>407.54</v>
      </c>
      <c r="H248" s="18"/>
    </row>
    <row r="249" spans="1:10" ht="13.5" customHeight="1" x14ac:dyDescent="0.2">
      <c r="A249" s="171" t="s">
        <v>2971</v>
      </c>
      <c r="B249" s="46"/>
      <c r="C249" s="34" t="s">
        <v>136</v>
      </c>
      <c r="D249" s="46" t="s">
        <v>19</v>
      </c>
      <c r="E249" s="69">
        <v>-45.9</v>
      </c>
      <c r="F249" s="69" t="s">
        <v>549</v>
      </c>
      <c r="G249" s="182"/>
      <c r="H249" s="18"/>
    </row>
    <row r="250" spans="1:10" ht="13.5" customHeight="1" x14ac:dyDescent="0.2">
      <c r="A250" s="171"/>
      <c r="B250" s="46"/>
      <c r="C250" s="34" t="s">
        <v>2972</v>
      </c>
      <c r="D250" s="46" t="s">
        <v>19</v>
      </c>
      <c r="E250" s="69">
        <v>-170</v>
      </c>
      <c r="F250" s="69" t="s">
        <v>549</v>
      </c>
      <c r="G250" s="182"/>
      <c r="H250" s="18"/>
    </row>
    <row r="251" spans="1:10" ht="13.5" customHeight="1" x14ac:dyDescent="0.2">
      <c r="A251" s="171"/>
      <c r="B251" s="46"/>
      <c r="C251" s="34" t="s">
        <v>2973</v>
      </c>
      <c r="D251" s="46" t="s">
        <v>19</v>
      </c>
      <c r="E251" s="69">
        <v>-44.99</v>
      </c>
      <c r="F251" s="69" t="s">
        <v>549</v>
      </c>
      <c r="G251" s="182">
        <v>146.65</v>
      </c>
      <c r="H251" s="18"/>
    </row>
    <row r="252" spans="1:10" ht="13.5" customHeight="1" x14ac:dyDescent="0.2">
      <c r="A252" s="171" t="s">
        <v>2974</v>
      </c>
      <c r="B252" s="46"/>
      <c r="C252" s="34" t="s">
        <v>2975</v>
      </c>
      <c r="D252" s="46" t="s">
        <v>2976</v>
      </c>
      <c r="E252" s="69">
        <v>-230</v>
      </c>
      <c r="F252" s="69" t="s">
        <v>549</v>
      </c>
      <c r="G252" s="182"/>
      <c r="H252" s="18"/>
    </row>
    <row r="253" spans="1:10" ht="13.5" customHeight="1" x14ac:dyDescent="0.2">
      <c r="A253" s="171"/>
      <c r="B253" s="46"/>
      <c r="C253" s="138" t="s">
        <v>2649</v>
      </c>
      <c r="D253" s="46" t="s">
        <v>2977</v>
      </c>
      <c r="E253" s="69" t="s">
        <v>549</v>
      </c>
      <c r="F253" s="601">
        <v>2000</v>
      </c>
      <c r="G253" s="182">
        <v>1916.65</v>
      </c>
      <c r="H253" s="18"/>
    </row>
    <row r="254" spans="1:10" ht="13.5" customHeight="1" x14ac:dyDescent="0.2">
      <c r="A254" s="171" t="s">
        <v>2978</v>
      </c>
      <c r="B254" s="46"/>
      <c r="C254" s="36" t="s">
        <v>86</v>
      </c>
      <c r="D254" s="46" t="s">
        <v>19</v>
      </c>
      <c r="E254" s="69">
        <v>-10.3</v>
      </c>
      <c r="F254" s="69" t="s">
        <v>549</v>
      </c>
      <c r="G254" s="205">
        <v>1906.31</v>
      </c>
      <c r="H254" s="124"/>
    </row>
    <row r="255" spans="1:10" ht="13.5" customHeight="1" thickBot="1" x14ac:dyDescent="0.25">
      <c r="A255" s="171"/>
      <c r="B255" s="46"/>
      <c r="C255" s="34"/>
      <c r="D255" s="46"/>
      <c r="E255" s="673">
        <f>SUM(E198:E199,E202:E208,E211:E254)</f>
        <v>-15289.739999999996</v>
      </c>
      <c r="F255" s="673">
        <f>SUM(F197:F221,F229,F236,F245,)</f>
        <v>7800.1100000000015</v>
      </c>
      <c r="G255" s="182"/>
    </row>
    <row r="256" spans="1:10" ht="13.5" customHeight="1" thickBot="1" x14ac:dyDescent="0.25">
      <c r="A256" s="2" t="s">
        <v>2</v>
      </c>
      <c r="B256" s="3"/>
      <c r="C256" s="3" t="s">
        <v>481</v>
      </c>
      <c r="D256" s="3"/>
      <c r="E256" s="3"/>
      <c r="F256" s="3"/>
      <c r="G256" s="5" t="s">
        <v>7</v>
      </c>
      <c r="H256" s="1415"/>
      <c r="I256" s="1416"/>
      <c r="J256" s="1417"/>
    </row>
    <row r="257" spans="1:12" ht="13.5" customHeight="1" x14ac:dyDescent="0.2">
      <c r="A257" s="8">
        <v>43709</v>
      </c>
      <c r="B257" s="70"/>
      <c r="C257" s="10" t="s">
        <v>537</v>
      </c>
      <c r="D257" s="602"/>
      <c r="E257" s="67"/>
      <c r="F257" s="67"/>
      <c r="G257" s="205">
        <v>0</v>
      </c>
      <c r="H257" s="179"/>
      <c r="I257" s="57"/>
      <c r="J257" s="58"/>
    </row>
    <row r="258" spans="1:12" ht="13.5" customHeight="1" x14ac:dyDescent="0.2">
      <c r="A258" s="171"/>
      <c r="B258" s="46" t="s">
        <v>483</v>
      </c>
      <c r="C258" s="32" t="s">
        <v>199</v>
      </c>
      <c r="D258" s="553" t="s">
        <v>488</v>
      </c>
      <c r="E258" s="557">
        <v>-171.33</v>
      </c>
      <c r="F258" s="69"/>
      <c r="G258" s="182" t="s">
        <v>483</v>
      </c>
      <c r="H258" s="59"/>
      <c r="I258" s="60"/>
      <c r="J258" s="61"/>
    </row>
    <row r="259" spans="1:12" ht="13.5" customHeight="1" x14ac:dyDescent="0.2">
      <c r="A259" s="171"/>
      <c r="B259" s="46" t="s">
        <v>483</v>
      </c>
      <c r="C259" s="34" t="s">
        <v>2509</v>
      </c>
      <c r="D259" s="553" t="s">
        <v>2510</v>
      </c>
      <c r="E259" s="557">
        <v>-100</v>
      </c>
      <c r="F259" s="69"/>
      <c r="G259" s="182" t="s">
        <v>483</v>
      </c>
      <c r="H259" s="59"/>
      <c r="I259" s="60"/>
      <c r="J259" s="61"/>
    </row>
    <row r="260" spans="1:12" ht="13.5" customHeight="1" x14ac:dyDescent="0.2">
      <c r="A260" s="171"/>
      <c r="B260" s="46" t="s">
        <v>483</v>
      </c>
      <c r="C260" s="36" t="s">
        <v>174</v>
      </c>
      <c r="D260" s="553" t="s">
        <v>488</v>
      </c>
      <c r="E260" s="69"/>
      <c r="F260" s="557">
        <v>271.33</v>
      </c>
      <c r="G260" s="182">
        <v>0</v>
      </c>
      <c r="H260" s="59"/>
      <c r="I260" s="60"/>
      <c r="J260" s="61"/>
    </row>
    <row r="261" spans="1:12" ht="13.5" customHeight="1" x14ac:dyDescent="0.2">
      <c r="A261" s="171" t="s">
        <v>2979</v>
      </c>
      <c r="B261" s="46" t="s">
        <v>483</v>
      </c>
      <c r="C261" s="34" t="s">
        <v>172</v>
      </c>
      <c r="D261" s="553" t="s">
        <v>2980</v>
      </c>
      <c r="E261" s="557">
        <v>-608.67999999999995</v>
      </c>
      <c r="F261" s="69"/>
      <c r="G261" s="182" t="s">
        <v>483</v>
      </c>
      <c r="H261" s="59"/>
      <c r="I261" s="60"/>
      <c r="J261" s="61"/>
    </row>
    <row r="262" spans="1:12" ht="13.5" customHeight="1" x14ac:dyDescent="0.2">
      <c r="A262" s="171"/>
      <c r="B262" s="46" t="s">
        <v>483</v>
      </c>
      <c r="C262" s="34" t="s">
        <v>173</v>
      </c>
      <c r="D262" s="553" t="s">
        <v>2981</v>
      </c>
      <c r="E262" s="557">
        <v>-886.88</v>
      </c>
      <c r="F262" s="69"/>
      <c r="G262" s="182" t="s">
        <v>483</v>
      </c>
      <c r="H262" s="59"/>
      <c r="I262" s="60"/>
      <c r="J262" s="61"/>
    </row>
    <row r="263" spans="1:12" ht="13.5" customHeight="1" x14ac:dyDescent="0.2">
      <c r="A263" s="171"/>
      <c r="B263" s="46" t="s">
        <v>483</v>
      </c>
      <c r="C263" s="36" t="s">
        <v>174</v>
      </c>
      <c r="D263" s="11" t="s">
        <v>488</v>
      </c>
      <c r="E263" s="69"/>
      <c r="F263" s="557">
        <v>1495.56</v>
      </c>
      <c r="G263" s="182">
        <v>0</v>
      </c>
      <c r="H263" s="59"/>
      <c r="I263" s="60"/>
      <c r="J263" s="61"/>
    </row>
    <row r="264" spans="1:12" ht="13.5" customHeight="1" x14ac:dyDescent="0.2">
      <c r="A264" s="171" t="s">
        <v>2982</v>
      </c>
      <c r="B264" s="46" t="s">
        <v>483</v>
      </c>
      <c r="C264" s="34" t="s">
        <v>2983</v>
      </c>
      <c r="D264" s="11" t="s">
        <v>2984</v>
      </c>
      <c r="E264" s="557">
        <v>-139.05000000000001</v>
      </c>
      <c r="F264" s="69"/>
      <c r="G264" s="182" t="s">
        <v>483</v>
      </c>
      <c r="H264" s="59"/>
      <c r="I264" s="60"/>
      <c r="J264" s="61"/>
    </row>
    <row r="265" spans="1:12" ht="13.5" customHeight="1" x14ac:dyDescent="0.2">
      <c r="A265" s="171"/>
      <c r="B265" s="46" t="s">
        <v>483</v>
      </c>
      <c r="C265" s="36" t="s">
        <v>174</v>
      </c>
      <c r="D265" s="11" t="s">
        <v>488</v>
      </c>
      <c r="E265" s="69"/>
      <c r="F265" s="557">
        <v>139.05000000000001</v>
      </c>
      <c r="G265" s="182">
        <v>0</v>
      </c>
      <c r="H265" s="59"/>
      <c r="I265" s="60"/>
      <c r="J265" s="61"/>
    </row>
    <row r="266" spans="1:12" ht="13.5" customHeight="1" x14ac:dyDescent="0.2">
      <c r="A266" s="171" t="s">
        <v>2985</v>
      </c>
      <c r="B266" s="46" t="s">
        <v>483</v>
      </c>
      <c r="C266" s="97" t="s">
        <v>2986</v>
      </c>
      <c r="D266" s="11" t="s">
        <v>2987</v>
      </c>
      <c r="E266" s="557">
        <v>-38.299999999999997</v>
      </c>
      <c r="F266" s="69"/>
      <c r="G266" s="182" t="s">
        <v>483</v>
      </c>
      <c r="H266" s="59"/>
      <c r="I266" s="60"/>
      <c r="J266" s="61"/>
    </row>
    <row r="267" spans="1:12" ht="13.5" customHeight="1" x14ac:dyDescent="0.2">
      <c r="A267" s="171"/>
      <c r="B267" s="46" t="s">
        <v>483</v>
      </c>
      <c r="C267" s="36" t="s">
        <v>177</v>
      </c>
      <c r="D267" s="11" t="s">
        <v>488</v>
      </c>
      <c r="E267" s="557">
        <v>-232.49</v>
      </c>
      <c r="F267" s="69"/>
      <c r="G267" s="182" t="s">
        <v>483</v>
      </c>
      <c r="H267" s="59"/>
      <c r="I267" s="60"/>
      <c r="J267" s="61"/>
    </row>
    <row r="268" spans="1:12" ht="13.5" customHeight="1" x14ac:dyDescent="0.2">
      <c r="A268" s="171"/>
      <c r="B268" s="46" t="s">
        <v>483</v>
      </c>
      <c r="C268" s="36" t="s">
        <v>174</v>
      </c>
      <c r="D268" s="11" t="s">
        <v>488</v>
      </c>
      <c r="E268" s="69"/>
      <c r="F268" s="557">
        <v>270.79000000000002</v>
      </c>
      <c r="G268" s="182">
        <v>0</v>
      </c>
      <c r="H268" s="59"/>
      <c r="I268" s="60"/>
      <c r="J268" s="61"/>
      <c r="L268"/>
    </row>
    <row r="269" spans="1:12" ht="13.5" customHeight="1" x14ac:dyDescent="0.2">
      <c r="A269" s="171" t="s">
        <v>2988</v>
      </c>
      <c r="B269" s="46" t="s">
        <v>483</v>
      </c>
      <c r="C269" s="36" t="s">
        <v>180</v>
      </c>
      <c r="D269" s="11" t="s">
        <v>488</v>
      </c>
      <c r="E269" s="557">
        <v>-189.48</v>
      </c>
      <c r="F269" s="69"/>
      <c r="G269" s="182" t="s">
        <v>483</v>
      </c>
      <c r="H269" s="59"/>
      <c r="I269" s="60"/>
      <c r="J269" s="61"/>
      <c r="L269"/>
    </row>
    <row r="270" spans="1:12" ht="13.5" customHeight="1" x14ac:dyDescent="0.2">
      <c r="A270" s="171"/>
      <c r="B270" s="46" t="s">
        <v>483</v>
      </c>
      <c r="C270" s="34" t="s">
        <v>2989</v>
      </c>
      <c r="D270" s="11" t="s">
        <v>488</v>
      </c>
      <c r="E270" s="557">
        <v>-113.85</v>
      </c>
      <c r="F270" s="69"/>
      <c r="G270" s="182" t="s">
        <v>483</v>
      </c>
      <c r="H270" s="59"/>
      <c r="I270" s="60"/>
      <c r="J270" s="61"/>
    </row>
    <row r="271" spans="1:12" ht="13.5" customHeight="1" x14ac:dyDescent="0.2">
      <c r="A271" s="171"/>
      <c r="B271" s="46" t="s">
        <v>483</v>
      </c>
      <c r="C271" s="36" t="s">
        <v>174</v>
      </c>
      <c r="D271" s="11" t="s">
        <v>488</v>
      </c>
      <c r="E271" s="69"/>
      <c r="F271" s="557">
        <v>303.33</v>
      </c>
      <c r="G271" s="182">
        <v>0</v>
      </c>
      <c r="H271" s="59"/>
      <c r="I271" s="60"/>
      <c r="J271" s="61"/>
    </row>
    <row r="272" spans="1:12" ht="13.5" customHeight="1" x14ac:dyDescent="0.2">
      <c r="A272" s="171" t="s">
        <v>2990</v>
      </c>
      <c r="B272" s="46" t="s">
        <v>483</v>
      </c>
      <c r="C272" s="36" t="s">
        <v>2991</v>
      </c>
      <c r="D272" s="11" t="s">
        <v>488</v>
      </c>
      <c r="E272" s="69"/>
      <c r="F272" s="557">
        <v>4731.47</v>
      </c>
      <c r="G272" s="182" t="s">
        <v>483</v>
      </c>
      <c r="H272" s="59"/>
      <c r="I272" s="60"/>
      <c r="J272" s="61"/>
    </row>
    <row r="273" spans="1:10" ht="13.5" customHeight="1" x14ac:dyDescent="0.2">
      <c r="A273" s="171"/>
      <c r="B273" s="46" t="s">
        <v>483</v>
      </c>
      <c r="C273" s="34" t="s">
        <v>2992</v>
      </c>
      <c r="D273" s="11" t="s">
        <v>488</v>
      </c>
      <c r="E273" s="557">
        <v>-225</v>
      </c>
      <c r="F273" s="69"/>
      <c r="G273" s="182" t="s">
        <v>483</v>
      </c>
      <c r="H273" s="59"/>
      <c r="I273" s="60"/>
      <c r="J273" s="61"/>
    </row>
    <row r="274" spans="1:10" ht="13.5" customHeight="1" x14ac:dyDescent="0.2">
      <c r="A274" s="171"/>
      <c r="B274" s="46" t="s">
        <v>483</v>
      </c>
      <c r="C274" s="36" t="s">
        <v>189</v>
      </c>
      <c r="D274" s="11" t="s">
        <v>488</v>
      </c>
      <c r="E274" s="557">
        <v>-4506.47</v>
      </c>
      <c r="F274" s="69"/>
      <c r="G274" s="182">
        <v>0</v>
      </c>
      <c r="H274" s="59"/>
      <c r="I274" s="60"/>
      <c r="J274" s="61"/>
    </row>
    <row r="275" spans="1:10" ht="13.5" customHeight="1" x14ac:dyDescent="0.2">
      <c r="A275" s="171" t="s">
        <v>2993</v>
      </c>
      <c r="B275" s="46" t="s">
        <v>483</v>
      </c>
      <c r="C275" s="34" t="s">
        <v>2994</v>
      </c>
      <c r="D275" s="11" t="s">
        <v>2995</v>
      </c>
      <c r="E275" s="557">
        <v>-1300</v>
      </c>
      <c r="F275" s="69"/>
      <c r="G275" s="182" t="s">
        <v>483</v>
      </c>
      <c r="H275" s="59"/>
      <c r="I275" s="60"/>
      <c r="J275" s="61"/>
    </row>
    <row r="276" spans="1:10" ht="13.5" customHeight="1" x14ac:dyDescent="0.2">
      <c r="A276" s="171"/>
      <c r="B276" s="46" t="s">
        <v>483</v>
      </c>
      <c r="C276" s="36" t="s">
        <v>174</v>
      </c>
      <c r="D276" s="11" t="s">
        <v>488</v>
      </c>
      <c r="E276" s="69"/>
      <c r="F276" s="557">
        <v>1300</v>
      </c>
      <c r="G276" s="182">
        <v>0</v>
      </c>
      <c r="H276" s="59"/>
      <c r="I276" s="60"/>
      <c r="J276" s="61"/>
    </row>
    <row r="277" spans="1:10" ht="13.5" customHeight="1" x14ac:dyDescent="0.2">
      <c r="A277" s="171" t="s">
        <v>2996</v>
      </c>
      <c r="B277" s="46" t="s">
        <v>483</v>
      </c>
      <c r="C277" s="32" t="s">
        <v>2997</v>
      </c>
      <c r="D277" s="11" t="s">
        <v>780</v>
      </c>
      <c r="E277" s="557">
        <v>-754</v>
      </c>
      <c r="F277" s="69"/>
      <c r="G277" s="182" t="s">
        <v>483</v>
      </c>
      <c r="H277" s="59"/>
      <c r="I277" s="60"/>
      <c r="J277" s="61"/>
    </row>
    <row r="278" spans="1:10" ht="13.5" customHeight="1" x14ac:dyDescent="0.2">
      <c r="A278" s="171"/>
      <c r="B278" s="46" t="s">
        <v>483</v>
      </c>
      <c r="C278" s="97" t="s">
        <v>2998</v>
      </c>
      <c r="D278" s="11" t="s">
        <v>488</v>
      </c>
      <c r="E278" s="557">
        <v>-1459</v>
      </c>
      <c r="F278" s="69"/>
      <c r="G278" s="182" t="s">
        <v>483</v>
      </c>
      <c r="H278" s="59"/>
      <c r="I278" s="60"/>
      <c r="J278" s="61"/>
    </row>
    <row r="279" spans="1:10" ht="13.5" customHeight="1" x14ac:dyDescent="0.2">
      <c r="A279" s="171"/>
      <c r="B279" s="46" t="s">
        <v>483</v>
      </c>
      <c r="C279" s="34" t="s">
        <v>2537</v>
      </c>
      <c r="D279" s="11" t="s">
        <v>2999</v>
      </c>
      <c r="E279" s="322">
        <v>-1500</v>
      </c>
      <c r="F279" s="557"/>
      <c r="G279" s="182" t="s">
        <v>483</v>
      </c>
      <c r="H279" s="59"/>
      <c r="I279" s="60"/>
      <c r="J279" s="61"/>
    </row>
    <row r="280" spans="1:10" ht="13.5" customHeight="1" x14ac:dyDescent="0.2">
      <c r="A280" s="171"/>
      <c r="B280" s="46" t="s">
        <v>483</v>
      </c>
      <c r="C280" s="36" t="s">
        <v>174</v>
      </c>
      <c r="D280" s="11" t="s">
        <v>488</v>
      </c>
      <c r="E280" s="69"/>
      <c r="F280" s="557">
        <v>3713</v>
      </c>
      <c r="G280" s="182">
        <v>0</v>
      </c>
      <c r="H280" s="59"/>
      <c r="I280" s="60"/>
      <c r="J280" s="61"/>
    </row>
    <row r="281" spans="1:10" ht="13.5" customHeight="1" x14ac:dyDescent="0.2">
      <c r="A281" s="171" t="s">
        <v>3000</v>
      </c>
      <c r="B281" s="46" t="s">
        <v>483</v>
      </c>
      <c r="C281" s="97" t="s">
        <v>3001</v>
      </c>
      <c r="D281" s="11" t="s">
        <v>3002</v>
      </c>
      <c r="E281" s="557">
        <v>-79.150000000000006</v>
      </c>
      <c r="F281" s="69"/>
      <c r="G281" s="182" t="s">
        <v>483</v>
      </c>
      <c r="H281" s="59"/>
      <c r="I281" s="60"/>
      <c r="J281" s="61"/>
    </row>
    <row r="282" spans="1:10" ht="13.5" customHeight="1" x14ac:dyDescent="0.2">
      <c r="A282" s="171"/>
      <c r="B282" s="46" t="s">
        <v>483</v>
      </c>
      <c r="C282" s="36" t="s">
        <v>174</v>
      </c>
      <c r="D282" s="11" t="s">
        <v>488</v>
      </c>
      <c r="E282" s="69"/>
      <c r="F282" s="557">
        <v>79.150000000000006</v>
      </c>
      <c r="G282" s="182">
        <v>0</v>
      </c>
      <c r="H282" s="59"/>
      <c r="I282" s="60"/>
      <c r="J282" s="61"/>
    </row>
    <row r="283" spans="1:10" ht="13.5" customHeight="1" x14ac:dyDescent="0.2">
      <c r="A283" s="171" t="s">
        <v>3003</v>
      </c>
      <c r="B283" s="46" t="s">
        <v>483</v>
      </c>
      <c r="C283" s="97" t="s">
        <v>3004</v>
      </c>
      <c r="D283" s="11" t="s">
        <v>3005</v>
      </c>
      <c r="E283" s="557">
        <v>-89.73</v>
      </c>
      <c r="F283" s="69"/>
      <c r="G283" s="182" t="s">
        <v>483</v>
      </c>
      <c r="H283" s="59"/>
      <c r="I283" s="60"/>
      <c r="J283" s="61"/>
    </row>
    <row r="284" spans="1:10" ht="13.5" customHeight="1" x14ac:dyDescent="0.2">
      <c r="A284" s="171"/>
      <c r="B284" s="46" t="s">
        <v>483</v>
      </c>
      <c r="C284" s="34" t="s">
        <v>3006</v>
      </c>
      <c r="D284" s="11" t="s">
        <v>488</v>
      </c>
      <c r="E284" s="557">
        <v>-355</v>
      </c>
      <c r="F284" s="69"/>
      <c r="G284" s="182">
        <v>-444.73</v>
      </c>
      <c r="H284" s="59"/>
      <c r="I284" s="60"/>
      <c r="J284" s="61"/>
    </row>
    <row r="285" spans="1:10" ht="13.5" customHeight="1" x14ac:dyDescent="0.2">
      <c r="A285" s="171"/>
      <c r="B285" s="46" t="s">
        <v>483</v>
      </c>
      <c r="C285" s="32" t="s">
        <v>3007</v>
      </c>
      <c r="D285" s="11" t="s">
        <v>3008</v>
      </c>
      <c r="E285" s="557">
        <v>-793.85</v>
      </c>
      <c r="F285" s="69"/>
      <c r="G285" s="182" t="s">
        <v>483</v>
      </c>
      <c r="H285" s="59"/>
      <c r="I285" s="60"/>
      <c r="J285" s="61"/>
    </row>
    <row r="286" spans="1:10" ht="13.5" customHeight="1" x14ac:dyDescent="0.2">
      <c r="A286" s="171"/>
      <c r="B286" s="46" t="s">
        <v>483</v>
      </c>
      <c r="C286" s="32" t="s">
        <v>3009</v>
      </c>
      <c r="D286" s="11" t="s">
        <v>3010</v>
      </c>
      <c r="E286" s="557">
        <v>-421.52</v>
      </c>
      <c r="F286" s="69"/>
      <c r="G286" s="182" t="s">
        <v>483</v>
      </c>
      <c r="H286" s="59"/>
      <c r="I286" s="60"/>
      <c r="J286" s="61"/>
    </row>
    <row r="287" spans="1:10" ht="13.5" customHeight="1" x14ac:dyDescent="0.2">
      <c r="A287" s="171"/>
      <c r="B287" s="46" t="s">
        <v>483</v>
      </c>
      <c r="C287" s="36" t="s">
        <v>174</v>
      </c>
      <c r="D287" s="11" t="s">
        <v>488</v>
      </c>
      <c r="E287" s="69"/>
      <c r="F287" s="557">
        <v>1660.1</v>
      </c>
      <c r="G287" s="182">
        <v>0</v>
      </c>
      <c r="H287" s="59"/>
      <c r="I287" s="60"/>
      <c r="J287" s="61"/>
    </row>
    <row r="288" spans="1:10" ht="13.5" customHeight="1" x14ac:dyDescent="0.2">
      <c r="A288" s="171" t="s">
        <v>3011</v>
      </c>
      <c r="B288" s="46" t="s">
        <v>483</v>
      </c>
      <c r="C288" s="97" t="s">
        <v>3012</v>
      </c>
      <c r="D288" s="11" t="s">
        <v>814</v>
      </c>
      <c r="E288" s="557">
        <v>-145.80000000000001</v>
      </c>
      <c r="F288" s="69"/>
      <c r="G288" s="182" t="s">
        <v>483</v>
      </c>
      <c r="H288" s="59"/>
      <c r="I288" s="60"/>
      <c r="J288" s="61"/>
    </row>
    <row r="289" spans="1:10" ht="13.5" customHeight="1" x14ac:dyDescent="0.2">
      <c r="A289" s="171"/>
      <c r="B289" s="46" t="s">
        <v>591</v>
      </c>
      <c r="C289" s="36" t="s">
        <v>2831</v>
      </c>
      <c r="D289" s="11" t="s">
        <v>3013</v>
      </c>
      <c r="E289" s="557"/>
      <c r="F289" s="322">
        <v>8584.75</v>
      </c>
      <c r="G289" s="182" t="s">
        <v>483</v>
      </c>
      <c r="H289" s="59"/>
      <c r="I289" s="60"/>
      <c r="J289" s="61"/>
    </row>
    <row r="290" spans="1:10" ht="13.5" customHeight="1" x14ac:dyDescent="0.2">
      <c r="A290" s="171"/>
      <c r="B290" s="46" t="s">
        <v>483</v>
      </c>
      <c r="C290" s="36" t="s">
        <v>174</v>
      </c>
      <c r="D290" s="11" t="s">
        <v>488</v>
      </c>
      <c r="E290" s="69"/>
      <c r="F290" s="557">
        <v>145.80000000000001</v>
      </c>
      <c r="G290" s="182">
        <v>8584.75</v>
      </c>
      <c r="H290" s="59"/>
      <c r="I290" s="60"/>
      <c r="J290" s="61"/>
    </row>
    <row r="291" spans="1:10" ht="13.5" customHeight="1" x14ac:dyDescent="0.2">
      <c r="A291" s="171" t="s">
        <v>3014</v>
      </c>
      <c r="B291" s="46" t="s">
        <v>483</v>
      </c>
      <c r="C291" s="32" t="s">
        <v>198</v>
      </c>
      <c r="D291" s="11" t="s">
        <v>2312</v>
      </c>
      <c r="E291" s="557">
        <v>-1273.6099999999999</v>
      </c>
      <c r="F291" s="69"/>
      <c r="G291" s="182" t="s">
        <v>483</v>
      </c>
      <c r="H291" s="59"/>
      <c r="I291" s="60"/>
      <c r="J291" s="61"/>
    </row>
    <row r="292" spans="1:10" ht="13.5" customHeight="1" x14ac:dyDescent="0.2">
      <c r="A292" s="171"/>
      <c r="B292" s="46" t="s">
        <v>483</v>
      </c>
      <c r="C292" s="34" t="s">
        <v>2537</v>
      </c>
      <c r="D292" s="11" t="s">
        <v>3015</v>
      </c>
      <c r="E292" s="322">
        <v>-2000</v>
      </c>
      <c r="F292" s="557"/>
      <c r="G292" s="182" t="s">
        <v>483</v>
      </c>
      <c r="H292" s="59"/>
      <c r="I292" s="60"/>
      <c r="J292" s="61"/>
    </row>
    <row r="293" spans="1:10" ht="13.5" customHeight="1" x14ac:dyDescent="0.2">
      <c r="A293" s="171"/>
      <c r="B293" s="46" t="s">
        <v>483</v>
      </c>
      <c r="C293" s="36" t="s">
        <v>189</v>
      </c>
      <c r="D293" s="11" t="s">
        <v>488</v>
      </c>
      <c r="E293" s="557">
        <v>-5311.14</v>
      </c>
      <c r="F293" s="69"/>
      <c r="G293" s="182">
        <v>0</v>
      </c>
      <c r="H293" s="59"/>
      <c r="I293" s="60"/>
      <c r="J293" s="61"/>
    </row>
    <row r="294" spans="1:10" ht="13.5" customHeight="1" x14ac:dyDescent="0.2">
      <c r="A294" s="171" t="s">
        <v>3016</v>
      </c>
      <c r="B294" s="46" t="s">
        <v>483</v>
      </c>
      <c r="C294" s="36" t="s">
        <v>86</v>
      </c>
      <c r="D294" s="11" t="s">
        <v>488</v>
      </c>
      <c r="E294" s="557">
        <v>-92.5</v>
      </c>
      <c r="F294" s="69"/>
      <c r="G294" s="182" t="s">
        <v>483</v>
      </c>
      <c r="H294" s="59"/>
      <c r="I294" s="60"/>
      <c r="J294" s="61"/>
    </row>
    <row r="295" spans="1:10" ht="13.5" customHeight="1" x14ac:dyDescent="0.2">
      <c r="A295" s="171"/>
      <c r="B295" s="46" t="s">
        <v>483</v>
      </c>
      <c r="C295" s="97" t="s">
        <v>3017</v>
      </c>
      <c r="D295" s="11" t="s">
        <v>3018</v>
      </c>
      <c r="E295" s="557">
        <v>-158.47999999999999</v>
      </c>
      <c r="F295" s="69"/>
      <c r="G295" s="182" t="s">
        <v>483</v>
      </c>
      <c r="H295" s="59"/>
      <c r="I295" s="60"/>
      <c r="J295" s="61"/>
    </row>
    <row r="296" spans="1:10" ht="13.5" customHeight="1" x14ac:dyDescent="0.2">
      <c r="A296" s="171"/>
      <c r="B296" s="46" t="s">
        <v>483</v>
      </c>
      <c r="C296" s="34" t="s">
        <v>3019</v>
      </c>
      <c r="D296" s="11" t="s">
        <v>1185</v>
      </c>
      <c r="E296" s="557">
        <v>-70</v>
      </c>
      <c r="F296" s="69"/>
      <c r="G296" s="182" t="s">
        <v>483</v>
      </c>
      <c r="H296" s="59"/>
      <c r="I296" s="60"/>
      <c r="J296" s="61"/>
    </row>
    <row r="297" spans="1:10" ht="13.5" customHeight="1" x14ac:dyDescent="0.2">
      <c r="A297" s="171"/>
      <c r="B297" s="46" t="s">
        <v>483</v>
      </c>
      <c r="C297" s="34" t="s">
        <v>3020</v>
      </c>
      <c r="D297" s="11" t="s">
        <v>488</v>
      </c>
      <c r="E297" s="557">
        <v>-360</v>
      </c>
      <c r="F297" s="69"/>
      <c r="G297" s="182" t="s">
        <v>483</v>
      </c>
      <c r="H297" s="59"/>
      <c r="I297" s="60"/>
      <c r="J297" s="61"/>
    </row>
    <row r="298" spans="1:10" ht="13.5" customHeight="1" x14ac:dyDescent="0.2">
      <c r="A298" s="171"/>
      <c r="B298" s="46" t="s">
        <v>483</v>
      </c>
      <c r="C298" s="34" t="s">
        <v>3021</v>
      </c>
      <c r="D298" s="11" t="s">
        <v>488</v>
      </c>
      <c r="E298" s="557">
        <v>-962.52</v>
      </c>
      <c r="F298" s="69"/>
      <c r="G298" s="182" t="s">
        <v>483</v>
      </c>
      <c r="H298" s="59"/>
      <c r="I298" s="60"/>
      <c r="J298" s="61"/>
    </row>
    <row r="299" spans="1:10" ht="13.5" customHeight="1" x14ac:dyDescent="0.2">
      <c r="A299" s="171"/>
      <c r="B299" s="46" t="s">
        <v>483</v>
      </c>
      <c r="C299" s="32" t="s">
        <v>194</v>
      </c>
      <c r="D299" s="11" t="s">
        <v>488</v>
      </c>
      <c r="E299" s="557">
        <v>-84.54</v>
      </c>
      <c r="F299" s="69"/>
      <c r="G299" s="182" t="s">
        <v>483</v>
      </c>
      <c r="H299" s="59"/>
      <c r="I299" s="60"/>
      <c r="J299" s="61"/>
    </row>
    <row r="300" spans="1:10" ht="13.5" customHeight="1" x14ac:dyDescent="0.2">
      <c r="A300" s="171"/>
      <c r="B300" s="46" t="s">
        <v>483</v>
      </c>
      <c r="C300" s="32" t="s">
        <v>195</v>
      </c>
      <c r="D300" s="11" t="s">
        <v>488</v>
      </c>
      <c r="E300" s="557">
        <v>-390.19</v>
      </c>
      <c r="F300" s="69"/>
      <c r="G300" s="182" t="s">
        <v>483</v>
      </c>
      <c r="H300" s="59"/>
      <c r="I300" s="60"/>
      <c r="J300" s="61"/>
    </row>
    <row r="301" spans="1:10" ht="13.5" customHeight="1" x14ac:dyDescent="0.2">
      <c r="A301" s="171"/>
      <c r="B301" s="46" t="s">
        <v>483</v>
      </c>
      <c r="C301" s="34" t="s">
        <v>2537</v>
      </c>
      <c r="D301" s="11" t="s">
        <v>3022</v>
      </c>
      <c r="E301" s="322">
        <v>-2000</v>
      </c>
      <c r="F301" s="557"/>
      <c r="G301" s="182"/>
      <c r="H301" s="59"/>
      <c r="I301" s="60"/>
      <c r="J301" s="61"/>
    </row>
    <row r="302" spans="1:10" ht="13.5" customHeight="1" x14ac:dyDescent="0.2">
      <c r="A302" s="171"/>
      <c r="B302" s="46" t="s">
        <v>483</v>
      </c>
      <c r="C302" s="36" t="s">
        <v>174</v>
      </c>
      <c r="D302" s="11" t="s">
        <v>488</v>
      </c>
      <c r="E302" s="69"/>
      <c r="F302" s="557">
        <v>4118.2299999999996</v>
      </c>
      <c r="G302" s="182">
        <v>0</v>
      </c>
      <c r="H302" s="59"/>
      <c r="I302" s="60"/>
      <c r="J302" s="61"/>
    </row>
    <row r="303" spans="1:10" ht="13.5" customHeight="1" x14ac:dyDescent="0.2">
      <c r="A303" s="171" t="s">
        <v>3023</v>
      </c>
      <c r="B303" s="46" t="s">
        <v>483</v>
      </c>
      <c r="C303" s="34" t="s">
        <v>86</v>
      </c>
      <c r="D303" s="11" t="s">
        <v>488</v>
      </c>
      <c r="E303" s="557">
        <v>-12.5</v>
      </c>
      <c r="F303" s="69"/>
      <c r="G303" s="182">
        <v>-12.5</v>
      </c>
      <c r="H303" s="59"/>
      <c r="I303" s="60"/>
      <c r="J303" s="61"/>
    </row>
    <row r="304" spans="1:10" ht="13.5" customHeight="1" x14ac:dyDescent="0.2">
      <c r="A304" s="171"/>
      <c r="B304" s="46" t="s">
        <v>483</v>
      </c>
      <c r="C304" s="36" t="s">
        <v>174</v>
      </c>
      <c r="D304" s="11" t="s">
        <v>488</v>
      </c>
      <c r="E304" s="69"/>
      <c r="F304" s="557">
        <v>12.5</v>
      </c>
      <c r="G304" s="182">
        <v>0</v>
      </c>
      <c r="H304" s="59"/>
      <c r="I304" s="60"/>
      <c r="J304" s="61"/>
    </row>
    <row r="305" spans="1:10" ht="13.5" customHeight="1" x14ac:dyDescent="0.2">
      <c r="A305" s="171" t="s">
        <v>3024</v>
      </c>
      <c r="B305" s="46" t="s">
        <v>483</v>
      </c>
      <c r="C305" s="34" t="s">
        <v>3025</v>
      </c>
      <c r="D305" s="11" t="s">
        <v>3026</v>
      </c>
      <c r="E305" s="557">
        <v>-600.35</v>
      </c>
      <c r="F305" s="69"/>
      <c r="G305" s="182" t="s">
        <v>483</v>
      </c>
      <c r="H305" s="59"/>
      <c r="I305" s="60"/>
      <c r="J305" s="61"/>
    </row>
    <row r="306" spans="1:10" ht="13.5" customHeight="1" x14ac:dyDescent="0.2">
      <c r="A306" s="171"/>
      <c r="B306" s="46" t="s">
        <v>483</v>
      </c>
      <c r="C306" s="36" t="s">
        <v>174</v>
      </c>
      <c r="D306" s="11" t="s">
        <v>488</v>
      </c>
      <c r="E306" s="69"/>
      <c r="F306" s="557">
        <v>600.35</v>
      </c>
      <c r="G306" s="182">
        <v>0</v>
      </c>
      <c r="H306" s="59"/>
      <c r="I306" s="60"/>
      <c r="J306" s="61"/>
    </row>
    <row r="307" spans="1:10" ht="13.5" customHeight="1" x14ac:dyDescent="0.2">
      <c r="A307" s="171" t="s">
        <v>3027</v>
      </c>
      <c r="B307" s="46" t="s">
        <v>483</v>
      </c>
      <c r="C307" s="34" t="s">
        <v>3028</v>
      </c>
      <c r="D307" s="11" t="s">
        <v>1742</v>
      </c>
      <c r="E307" s="557">
        <v>-387.41</v>
      </c>
      <c r="F307" s="69" t="s">
        <v>483</v>
      </c>
      <c r="G307" s="182"/>
      <c r="H307" s="59"/>
      <c r="I307" s="60"/>
      <c r="J307" s="61"/>
    </row>
    <row r="308" spans="1:10" ht="13.5" customHeight="1" x14ac:dyDescent="0.2">
      <c r="A308" s="171"/>
      <c r="B308" s="46" t="s">
        <v>483</v>
      </c>
      <c r="C308" s="34" t="s">
        <v>3029</v>
      </c>
      <c r="D308" s="11" t="s">
        <v>3030</v>
      </c>
      <c r="E308" s="557">
        <v>-129.69999999999999</v>
      </c>
      <c r="F308" s="69" t="s">
        <v>483</v>
      </c>
      <c r="G308" s="182"/>
      <c r="H308" s="59"/>
      <c r="I308" s="60"/>
      <c r="J308" s="61"/>
    </row>
    <row r="309" spans="1:10" ht="13.5" customHeight="1" x14ac:dyDescent="0.2">
      <c r="A309" s="171"/>
      <c r="B309" s="46" t="s">
        <v>483</v>
      </c>
      <c r="C309" s="32" t="s">
        <v>813</v>
      </c>
      <c r="D309" s="11" t="s">
        <v>1961</v>
      </c>
      <c r="E309" s="557">
        <v>-75</v>
      </c>
      <c r="F309" s="69" t="s">
        <v>483</v>
      </c>
      <c r="G309" s="182"/>
      <c r="H309" s="59"/>
      <c r="I309" s="60"/>
      <c r="J309" s="61"/>
    </row>
    <row r="310" spans="1:10" ht="13.5" customHeight="1" x14ac:dyDescent="0.2">
      <c r="A310" s="171"/>
      <c r="B310" s="46" t="s">
        <v>483</v>
      </c>
      <c r="C310" s="36" t="s">
        <v>174</v>
      </c>
      <c r="D310" s="11" t="s">
        <v>488</v>
      </c>
      <c r="E310" s="69"/>
      <c r="F310" s="557">
        <v>592.11</v>
      </c>
      <c r="G310" s="205">
        <v>0</v>
      </c>
      <c r="H310" s="123"/>
      <c r="I310" s="60"/>
      <c r="J310" s="61"/>
    </row>
    <row r="311" spans="1:10" ht="13.5" customHeight="1" x14ac:dyDescent="0.2">
      <c r="A311" s="171"/>
      <c r="B311" s="46"/>
      <c r="C311" s="32" t="s">
        <v>20</v>
      </c>
      <c r="D311" s="11"/>
      <c r="E311" s="69"/>
      <c r="F311" s="69"/>
      <c r="G311" s="182"/>
      <c r="H311" s="179"/>
      <c r="I311" s="60"/>
      <c r="J311" s="186"/>
    </row>
    <row r="312" spans="1:10" ht="13.5" customHeight="1" thickBot="1" x14ac:dyDescent="0.25">
      <c r="A312" s="171"/>
      <c r="B312" s="46"/>
      <c r="C312" s="34"/>
      <c r="D312" s="11"/>
      <c r="E312" s="673">
        <f>SUM(E258:E278,E281:E291,E293:E300,E303:E311)</f>
        <v>-22517.519999999997</v>
      </c>
      <c r="F312" s="673">
        <f>SUM(F260:F288,F290,F302,F304,F306,F310)</f>
        <v>19432.769999999997</v>
      </c>
      <c r="G312" s="182"/>
      <c r="H312" s="179"/>
      <c r="I312" s="60"/>
      <c r="J312" s="61"/>
    </row>
    <row r="313" spans="1:10" ht="13.5" customHeight="1" thickBot="1" x14ac:dyDescent="0.25">
      <c r="A313" s="2" t="s">
        <v>2</v>
      </c>
      <c r="B313" s="3"/>
      <c r="C313" s="3" t="s">
        <v>525</v>
      </c>
      <c r="D313" s="3"/>
      <c r="E313" s="3"/>
      <c r="F313" s="3"/>
      <c r="G313" s="5" t="s">
        <v>7</v>
      </c>
    </row>
    <row r="314" spans="1:10" ht="13.5" customHeight="1" x14ac:dyDescent="0.2">
      <c r="A314" s="8">
        <v>43709</v>
      </c>
      <c r="B314" s="70"/>
      <c r="C314" s="10" t="s">
        <v>537</v>
      </c>
      <c r="D314" s="125"/>
      <c r="E314" s="67"/>
      <c r="F314" s="67"/>
      <c r="G314" s="205">
        <v>1484.4099999999985</v>
      </c>
    </row>
    <row r="315" spans="1:10" customFormat="1" ht="13.5" customHeight="1" x14ac:dyDescent="0.2">
      <c r="A315" s="180">
        <v>43711</v>
      </c>
      <c r="B315" s="221"/>
      <c r="C315" s="36" t="s">
        <v>3031</v>
      </c>
      <c r="D315" s="522"/>
      <c r="E315" s="557">
        <v>1603</v>
      </c>
      <c r="F315" s="198"/>
      <c r="G315" s="203">
        <v>-118.59000000000151</v>
      </c>
      <c r="I315" s="1"/>
      <c r="J315" s="1"/>
    </row>
    <row r="316" spans="1:10" customFormat="1" ht="13.5" customHeight="1" x14ac:dyDescent="0.2">
      <c r="A316" s="180">
        <v>43712</v>
      </c>
      <c r="B316" s="221"/>
      <c r="C316" s="36" t="s">
        <v>3032</v>
      </c>
      <c r="D316" s="522"/>
      <c r="E316" s="557">
        <v>1400</v>
      </c>
      <c r="F316" s="198"/>
      <c r="G316" s="203">
        <v>-1518.5900000000015</v>
      </c>
    </row>
    <row r="317" spans="1:10" customFormat="1" ht="13.5" customHeight="1" x14ac:dyDescent="0.2">
      <c r="A317" s="180">
        <v>43713</v>
      </c>
      <c r="B317" s="221"/>
      <c r="C317" s="36" t="s">
        <v>3033</v>
      </c>
      <c r="D317" s="522"/>
      <c r="E317" s="557">
        <v>243</v>
      </c>
      <c r="F317" s="198"/>
      <c r="G317" s="203">
        <v>-1761.5900000000015</v>
      </c>
      <c r="I317" s="30">
        <f>SUM(G3,G121,G196,G257)</f>
        <v>6543.4400000000169</v>
      </c>
      <c r="J317" t="s">
        <v>8082</v>
      </c>
    </row>
    <row r="318" spans="1:10" customFormat="1" ht="13.5" customHeight="1" x14ac:dyDescent="0.2">
      <c r="A318" s="180"/>
      <c r="B318" s="221"/>
      <c r="C318" s="36" t="s">
        <v>613</v>
      </c>
      <c r="D318" s="522"/>
      <c r="E318" s="557">
        <v>14</v>
      </c>
      <c r="F318" s="198"/>
      <c r="G318" s="203">
        <v>-1775.5900000000015</v>
      </c>
      <c r="I318" s="1159"/>
      <c r="J318" s="1"/>
    </row>
    <row r="319" spans="1:10" ht="13.5" customHeight="1" x14ac:dyDescent="0.2">
      <c r="A319" s="171">
        <v>43714</v>
      </c>
      <c r="B319" s="46"/>
      <c r="C319" s="36" t="s">
        <v>815</v>
      </c>
      <c r="D319" s="11"/>
      <c r="E319" s="181">
        <v>888.22</v>
      </c>
      <c r="F319" s="69"/>
      <c r="G319" s="203">
        <v>-2663.8100000000013</v>
      </c>
      <c r="I319" s="30">
        <f>SUM(G310,G254,G193,G118)</f>
        <v>7665.1100000000197</v>
      </c>
      <c r="J319" t="s">
        <v>8083</v>
      </c>
    </row>
    <row r="320" spans="1:10" ht="13.5" customHeight="1" x14ac:dyDescent="0.2">
      <c r="A320" s="171">
        <v>43724</v>
      </c>
      <c r="B320" s="46"/>
      <c r="C320" s="32" t="s">
        <v>2543</v>
      </c>
      <c r="D320" s="11"/>
      <c r="E320" s="30"/>
      <c r="F320" s="557">
        <v>1500</v>
      </c>
      <c r="G320" s="203">
        <v>-1163.8100000000013</v>
      </c>
      <c r="I320" s="1159"/>
    </row>
    <row r="321" spans="1:12" ht="13.5" customHeight="1" x14ac:dyDescent="0.2">
      <c r="A321" s="171">
        <v>43728</v>
      </c>
      <c r="B321" s="46"/>
      <c r="C321" s="32" t="s">
        <v>2543</v>
      </c>
      <c r="D321" s="11"/>
      <c r="E321" s="30"/>
      <c r="F321" s="557">
        <v>2000</v>
      </c>
      <c r="G321" s="203">
        <v>836.18999999999869</v>
      </c>
      <c r="I321" s="30">
        <f>SUM(F312,E312,F255,E255,F194,E194,F119,E119)</f>
        <v>1121.6700000000146</v>
      </c>
      <c r="J321" t="s">
        <v>8085</v>
      </c>
    </row>
    <row r="322" spans="1:12" ht="13.5" customHeight="1" x14ac:dyDescent="0.2">
      <c r="A322" s="171">
        <v>43731</v>
      </c>
      <c r="B322" s="46"/>
      <c r="C322" s="36" t="s">
        <v>3032</v>
      </c>
      <c r="D322" s="229"/>
      <c r="E322" s="557">
        <v>1800</v>
      </c>
      <c r="F322" s="69"/>
      <c r="G322" s="203">
        <v>-963.81000000000131</v>
      </c>
      <c r="I322" s="1159"/>
    </row>
    <row r="323" spans="1:12" ht="13.5" customHeight="1" x14ac:dyDescent="0.2">
      <c r="A323" s="171"/>
      <c r="B323" s="46"/>
      <c r="C323" s="32" t="s">
        <v>2543</v>
      </c>
      <c r="D323" s="229"/>
      <c r="E323" s="69"/>
      <c r="F323" s="557">
        <v>2000</v>
      </c>
      <c r="G323" s="205">
        <v>1036.1899999999987</v>
      </c>
      <c r="I323" s="1159"/>
    </row>
    <row r="324" spans="1:12" ht="13.5" customHeight="1" thickBot="1" x14ac:dyDescent="0.25">
      <c r="A324" s="70"/>
      <c r="B324" s="70"/>
      <c r="C324" s="63"/>
      <c r="D324" s="50"/>
      <c r="E324" s="13"/>
      <c r="F324" s="13"/>
      <c r="G324" s="182"/>
      <c r="I324" s="1159"/>
    </row>
    <row r="325" spans="1:12" s="97" customFormat="1" ht="13.5" customHeight="1" thickBot="1" x14ac:dyDescent="0.25">
      <c r="A325" s="561" t="s">
        <v>2</v>
      </c>
      <c r="B325" s="562"/>
      <c r="C325" s="562" t="s">
        <v>534</v>
      </c>
      <c r="D325" s="563" t="s">
        <v>4</v>
      </c>
      <c r="E325" s="562" t="s">
        <v>5</v>
      </c>
      <c r="F325" s="562" t="s">
        <v>6</v>
      </c>
      <c r="G325" s="564" t="s">
        <v>7</v>
      </c>
      <c r="H325"/>
      <c r="I325" s="615">
        <f>I317+I321-I319</f>
        <v>1.1823431123048067E-11</v>
      </c>
      <c r="J325" t="s">
        <v>8084</v>
      </c>
      <c r="L325" s="567"/>
    </row>
    <row r="326" spans="1:12" s="97" customFormat="1" ht="13.5" customHeight="1" x14ac:dyDescent="0.2">
      <c r="A326" s="568">
        <v>42370</v>
      </c>
      <c r="B326" s="569"/>
      <c r="C326" s="570" t="s">
        <v>8</v>
      </c>
      <c r="D326" s="571"/>
      <c r="E326" s="572"/>
      <c r="F326" s="573"/>
      <c r="G326" s="574">
        <v>0</v>
      </c>
      <c r="H326"/>
      <c r="I326" s="1"/>
      <c r="J326" s="1"/>
      <c r="L326" s="567"/>
    </row>
    <row r="327" spans="1:12" s="97" customFormat="1" ht="13.5" customHeight="1" x14ac:dyDescent="0.2">
      <c r="A327" s="578">
        <v>43284</v>
      </c>
      <c r="B327" s="569"/>
      <c r="C327" s="569" t="s">
        <v>535</v>
      </c>
      <c r="D327" s="571"/>
      <c r="E327" s="572"/>
      <c r="F327" s="579">
        <v>500</v>
      </c>
      <c r="G327" s="580">
        <v>500</v>
      </c>
      <c r="H327"/>
      <c r="I327"/>
      <c r="J327"/>
      <c r="L327" s="567"/>
    </row>
    <row r="328" spans="1:12" s="97" customFormat="1" ht="13.5" customHeight="1" x14ac:dyDescent="0.2">
      <c r="A328" s="578">
        <v>43346</v>
      </c>
      <c r="B328" s="569"/>
      <c r="C328" s="569" t="s">
        <v>535</v>
      </c>
      <c r="D328" s="571"/>
      <c r="E328" s="572"/>
      <c r="F328" s="579">
        <v>3000</v>
      </c>
      <c r="G328" s="580">
        <v>3500</v>
      </c>
      <c r="H328"/>
      <c r="I328"/>
      <c r="J328"/>
      <c r="L328" s="567"/>
    </row>
    <row r="329" spans="1:12" s="97" customFormat="1" ht="13.5" customHeight="1" x14ac:dyDescent="0.2">
      <c r="A329" s="578">
        <v>43374</v>
      </c>
      <c r="B329" s="569"/>
      <c r="C329" s="569" t="s">
        <v>535</v>
      </c>
      <c r="D329" s="571"/>
      <c r="E329" s="572"/>
      <c r="F329" s="579">
        <v>2000</v>
      </c>
      <c r="G329" s="580">
        <v>5500</v>
      </c>
      <c r="H329"/>
      <c r="I329"/>
      <c r="J329"/>
      <c r="L329" s="567"/>
    </row>
    <row r="330" spans="1:12" s="97" customFormat="1" ht="13.5" customHeight="1" x14ac:dyDescent="0.2">
      <c r="A330" s="578">
        <v>43409</v>
      </c>
      <c r="B330" s="569"/>
      <c r="C330" s="569" t="s">
        <v>535</v>
      </c>
      <c r="D330" s="571"/>
      <c r="E330" s="572"/>
      <c r="F330" s="579">
        <v>1000</v>
      </c>
      <c r="G330" s="580">
        <v>6500</v>
      </c>
      <c r="H330"/>
      <c r="I330"/>
      <c r="J330"/>
      <c r="L330" s="567"/>
    </row>
    <row r="331" spans="1:12" s="97" customFormat="1" ht="13.5" customHeight="1" x14ac:dyDescent="0.2">
      <c r="A331" s="578">
        <v>43804</v>
      </c>
      <c r="B331" s="569"/>
      <c r="C331" s="569" t="s">
        <v>535</v>
      </c>
      <c r="D331" s="571"/>
      <c r="E331" s="572"/>
      <c r="F331" s="579">
        <v>500</v>
      </c>
      <c r="G331" s="580">
        <v>7000</v>
      </c>
      <c r="H331"/>
      <c r="I331"/>
      <c r="J331"/>
      <c r="L331" s="567"/>
    </row>
    <row r="332" spans="1:12" s="97" customFormat="1" ht="13.5" customHeight="1" x14ac:dyDescent="0.2">
      <c r="A332" s="578">
        <v>43469</v>
      </c>
      <c r="B332" s="569"/>
      <c r="C332" s="569" t="s">
        <v>1390</v>
      </c>
      <c r="D332" s="581"/>
      <c r="E332" s="572"/>
      <c r="F332" s="579">
        <v>1500</v>
      </c>
      <c r="G332" s="580">
        <v>8500</v>
      </c>
      <c r="H332"/>
      <c r="I332"/>
      <c r="J332"/>
      <c r="L332" s="567"/>
    </row>
    <row r="333" spans="1:12" s="97" customFormat="1" ht="13.5" customHeight="1" x14ac:dyDescent="0.2">
      <c r="A333" s="578">
        <v>43475</v>
      </c>
      <c r="B333" s="569"/>
      <c r="C333" s="569" t="s">
        <v>1391</v>
      </c>
      <c r="D333" s="581"/>
      <c r="E333" s="572"/>
      <c r="F333" s="579">
        <v>5000</v>
      </c>
      <c r="G333" s="580">
        <v>13500</v>
      </c>
      <c r="H333"/>
      <c r="I333"/>
      <c r="J333"/>
      <c r="L333" s="567"/>
    </row>
    <row r="334" spans="1:12" s="97" customFormat="1" ht="13.5" customHeight="1" x14ac:dyDescent="0.2">
      <c r="A334" s="578">
        <v>43482</v>
      </c>
      <c r="B334" s="569"/>
      <c r="C334" s="569" t="s">
        <v>1391</v>
      </c>
      <c r="D334" s="581"/>
      <c r="E334" s="572"/>
      <c r="F334" s="579">
        <v>5000</v>
      </c>
      <c r="G334" s="580">
        <v>18500</v>
      </c>
      <c r="H334"/>
      <c r="I334"/>
      <c r="J334"/>
      <c r="L334" s="567"/>
    </row>
    <row r="335" spans="1:12" s="97" customFormat="1" ht="13.5" customHeight="1" x14ac:dyDescent="0.2">
      <c r="A335" s="578">
        <v>43500</v>
      </c>
      <c r="B335" s="569"/>
      <c r="C335" s="569" t="s">
        <v>1391</v>
      </c>
      <c r="D335" s="581"/>
      <c r="E335" s="572"/>
      <c r="F335" s="579">
        <v>3000</v>
      </c>
      <c r="G335" s="580">
        <v>21500</v>
      </c>
      <c r="H335"/>
      <c r="I335"/>
      <c r="J335"/>
      <c r="L335" s="567"/>
    </row>
    <row r="336" spans="1:12" s="97" customFormat="1" ht="13.5" customHeight="1" x14ac:dyDescent="0.2">
      <c r="A336" s="578">
        <v>43501</v>
      </c>
      <c r="B336" s="569"/>
      <c r="C336" s="569" t="s">
        <v>1391</v>
      </c>
      <c r="D336" s="581"/>
      <c r="E336" s="572"/>
      <c r="F336" s="579">
        <v>4000</v>
      </c>
      <c r="G336" s="580">
        <v>25500</v>
      </c>
      <c r="H336"/>
      <c r="I336" s="584"/>
      <c r="J336" s="583"/>
      <c r="L336" s="567"/>
    </row>
    <row r="337" spans="1:12" s="97" customFormat="1" ht="13.5" customHeight="1" x14ac:dyDescent="0.2">
      <c r="A337" s="578">
        <v>43503</v>
      </c>
      <c r="B337" s="569"/>
      <c r="C337" s="569" t="s">
        <v>1391</v>
      </c>
      <c r="D337" s="581"/>
      <c r="E337" s="572"/>
      <c r="F337" s="579">
        <v>2000</v>
      </c>
      <c r="G337" s="580">
        <v>27500</v>
      </c>
      <c r="H337"/>
      <c r="L337" s="567"/>
    </row>
    <row r="338" spans="1:12" s="97" customFormat="1" ht="13.5" customHeight="1" x14ac:dyDescent="0.2">
      <c r="A338" s="578">
        <v>43504</v>
      </c>
      <c r="B338" s="569"/>
      <c r="C338" s="569" t="s">
        <v>1390</v>
      </c>
      <c r="D338" s="581"/>
      <c r="E338" s="572"/>
      <c r="F338" s="579">
        <v>1500</v>
      </c>
      <c r="G338" s="580">
        <v>29000</v>
      </c>
      <c r="H338"/>
      <c r="L338" s="567"/>
    </row>
    <row r="339" spans="1:12" s="97" customFormat="1" ht="13.5" customHeight="1" x14ac:dyDescent="0.2">
      <c r="A339" s="578">
        <v>43522</v>
      </c>
      <c r="B339" s="569"/>
      <c r="C339" s="569" t="s">
        <v>1544</v>
      </c>
      <c r="D339" s="581"/>
      <c r="E339" s="582">
        <v>5000</v>
      </c>
      <c r="F339" s="573"/>
      <c r="G339" s="580">
        <v>24000</v>
      </c>
      <c r="H339"/>
      <c r="L339" s="567"/>
    </row>
    <row r="340" spans="1:12" s="97" customFormat="1" ht="13.5" customHeight="1" x14ac:dyDescent="0.2">
      <c r="A340" s="578">
        <v>43531</v>
      </c>
      <c r="B340" s="569"/>
      <c r="C340" s="569" t="s">
        <v>1390</v>
      </c>
      <c r="D340" s="581"/>
      <c r="E340" s="572"/>
      <c r="F340" s="579">
        <v>3000</v>
      </c>
      <c r="G340" s="580">
        <v>27000</v>
      </c>
      <c r="H340"/>
      <c r="L340" s="567"/>
    </row>
    <row r="341" spans="1:12" s="97" customFormat="1" ht="13.5" customHeight="1" x14ac:dyDescent="0.2">
      <c r="A341" s="578">
        <v>43536</v>
      </c>
      <c r="B341" s="569"/>
      <c r="C341" s="569" t="s">
        <v>1391</v>
      </c>
      <c r="D341" s="581"/>
      <c r="E341" s="572"/>
      <c r="F341" s="579">
        <v>3000</v>
      </c>
      <c r="G341" s="580">
        <v>30000</v>
      </c>
      <c r="H341"/>
      <c r="I341" s="1"/>
      <c r="J341" s="1"/>
      <c r="L341" s="567"/>
    </row>
    <row r="342" spans="1:12" s="97" customFormat="1" ht="13.5" customHeight="1" x14ac:dyDescent="0.2">
      <c r="A342" s="578">
        <v>43560</v>
      </c>
      <c r="B342" s="569"/>
      <c r="C342" s="569" t="s">
        <v>1390</v>
      </c>
      <c r="D342" s="581"/>
      <c r="E342" s="572"/>
      <c r="F342" s="579">
        <v>2000</v>
      </c>
      <c r="G342" s="580">
        <v>32000</v>
      </c>
      <c r="H342"/>
      <c r="I342" s="1"/>
      <c r="J342" s="1"/>
      <c r="L342" s="567"/>
    </row>
    <row r="343" spans="1:12" s="97" customFormat="1" ht="13.5" customHeight="1" x14ac:dyDescent="0.2">
      <c r="A343" s="578">
        <v>43565</v>
      </c>
      <c r="B343" s="569"/>
      <c r="C343" s="569" t="s">
        <v>1390</v>
      </c>
      <c r="D343" s="581"/>
      <c r="E343" s="572"/>
      <c r="F343" s="579">
        <v>8000</v>
      </c>
      <c r="G343" s="580">
        <v>40000</v>
      </c>
      <c r="H343"/>
      <c r="I343" s="1"/>
      <c r="J343" s="1"/>
      <c r="L343" s="567"/>
    </row>
    <row r="344" spans="1:12" s="97" customFormat="1" ht="13.5" customHeight="1" x14ac:dyDescent="0.2">
      <c r="A344" s="578">
        <v>43571</v>
      </c>
      <c r="B344" s="569"/>
      <c r="C344" s="569" t="s">
        <v>1544</v>
      </c>
      <c r="D344" s="581"/>
      <c r="E344" s="582">
        <v>4000</v>
      </c>
      <c r="F344" s="573"/>
      <c r="G344" s="580">
        <v>36000</v>
      </c>
      <c r="H344"/>
      <c r="I344" s="1"/>
      <c r="J344" s="1"/>
      <c r="L344" s="567"/>
    </row>
    <row r="345" spans="1:12" s="97" customFormat="1" ht="13.5" customHeight="1" x14ac:dyDescent="0.2">
      <c r="A345" s="578">
        <v>43580</v>
      </c>
      <c r="B345" s="569"/>
      <c r="C345" s="569" t="s">
        <v>1544</v>
      </c>
      <c r="D345" s="581"/>
      <c r="E345" s="582">
        <v>2000</v>
      </c>
      <c r="F345" s="573"/>
      <c r="G345" s="580">
        <v>34000</v>
      </c>
      <c r="H345"/>
      <c r="I345" s="1"/>
      <c r="J345" s="1"/>
      <c r="L345" s="567"/>
    </row>
    <row r="346" spans="1:12" s="97" customFormat="1" ht="13.5" customHeight="1" x14ac:dyDescent="0.2">
      <c r="A346" s="578">
        <v>43593</v>
      </c>
      <c r="B346" s="569"/>
      <c r="C346" s="569" t="s">
        <v>1390</v>
      </c>
      <c r="D346" s="581"/>
      <c r="E346" s="572"/>
      <c r="F346" s="579">
        <v>500</v>
      </c>
      <c r="G346" s="580">
        <v>34500</v>
      </c>
      <c r="H346"/>
      <c r="I346" s="1"/>
      <c r="J346" s="1"/>
      <c r="L346" s="567"/>
    </row>
    <row r="347" spans="1:12" s="97" customFormat="1" ht="13.5" customHeight="1" x14ac:dyDescent="0.2">
      <c r="A347" s="578">
        <v>43620</v>
      </c>
      <c r="B347" s="569"/>
      <c r="C347" s="569" t="s">
        <v>1390</v>
      </c>
      <c r="D347" s="581"/>
      <c r="E347" s="572"/>
      <c r="F347" s="579">
        <v>2500</v>
      </c>
      <c r="G347" s="580">
        <v>37000</v>
      </c>
      <c r="H347"/>
      <c r="I347" s="1"/>
      <c r="J347" s="1"/>
      <c r="L347" s="567"/>
    </row>
    <row r="348" spans="1:12" s="97" customFormat="1" ht="13.5" customHeight="1" x14ac:dyDescent="0.2">
      <c r="A348" s="578">
        <v>43633</v>
      </c>
      <c r="B348" s="569"/>
      <c r="C348" s="569" t="s">
        <v>1544</v>
      </c>
      <c r="D348" s="581"/>
      <c r="E348" s="582">
        <v>4000</v>
      </c>
      <c r="F348" s="573"/>
      <c r="G348" s="580">
        <v>33000</v>
      </c>
      <c r="H348" s="583"/>
      <c r="I348" s="1"/>
      <c r="J348" s="1"/>
      <c r="L348" s="567"/>
    </row>
    <row r="349" spans="1:12" s="97" customFormat="1" ht="13.5" customHeight="1" x14ac:dyDescent="0.2">
      <c r="A349" s="578">
        <v>43651</v>
      </c>
      <c r="B349" s="585"/>
      <c r="C349" s="569" t="s">
        <v>1544</v>
      </c>
      <c r="D349" s="586"/>
      <c r="E349" s="579">
        <v>3000</v>
      </c>
      <c r="F349" s="573"/>
      <c r="G349" s="580">
        <v>30000</v>
      </c>
      <c r="I349" s="1"/>
      <c r="J349" s="1"/>
    </row>
    <row r="350" spans="1:12" s="97" customFormat="1" ht="13.5" customHeight="1" x14ac:dyDescent="0.2">
      <c r="A350" s="578">
        <v>43668</v>
      </c>
      <c r="B350" s="585"/>
      <c r="C350" s="569" t="s">
        <v>1544</v>
      </c>
      <c r="D350" s="586"/>
      <c r="E350" s="579">
        <v>3000</v>
      </c>
      <c r="F350" s="573"/>
      <c r="G350" s="580">
        <v>27000</v>
      </c>
      <c r="I350" s="1"/>
      <c r="J350" s="1"/>
    </row>
    <row r="351" spans="1:12" s="97" customFormat="1" ht="13.5" customHeight="1" x14ac:dyDescent="0.2">
      <c r="A351" s="578">
        <v>43682</v>
      </c>
      <c r="B351" s="603"/>
      <c r="C351" s="569" t="s">
        <v>1390</v>
      </c>
      <c r="D351" s="604"/>
      <c r="E351" s="573"/>
      <c r="F351" s="579">
        <v>2000</v>
      </c>
      <c r="G351" s="574">
        <v>29000</v>
      </c>
      <c r="I351" s="1"/>
      <c r="J351" s="1"/>
    </row>
    <row r="352" spans="1:12" s="97" customFormat="1" ht="13.5" customHeight="1" thickBot="1" x14ac:dyDescent="0.25">
      <c r="A352" s="578"/>
      <c r="B352" s="569"/>
      <c r="C352" s="569"/>
      <c r="D352" s="581"/>
      <c r="E352" s="572"/>
      <c r="F352" s="573"/>
      <c r="G352" s="580"/>
      <c r="I352" s="1"/>
      <c r="J352" s="1"/>
    </row>
    <row r="353" spans="1:7" ht="13.5" customHeight="1" thickBot="1" x14ac:dyDescent="0.25">
      <c r="A353" s="213"/>
      <c r="B353" s="214"/>
      <c r="C353" s="215" t="s">
        <v>539</v>
      </c>
      <c r="D353" s="216"/>
      <c r="E353" s="187"/>
      <c r="F353" s="187"/>
      <c r="G353" s="217" t="s">
        <v>7</v>
      </c>
    </row>
    <row r="354" spans="1:7" ht="13.5" customHeight="1" x14ac:dyDescent="0.2">
      <c r="A354" s="74" t="s">
        <v>540</v>
      </c>
      <c r="B354" s="74"/>
      <c r="C354" s="218" t="s">
        <v>541</v>
      </c>
      <c r="D354" s="219"/>
      <c r="E354" s="220"/>
      <c r="F354" s="220"/>
      <c r="G354" s="75">
        <v>0</v>
      </c>
    </row>
    <row r="355" spans="1:7" ht="13.5" customHeight="1" x14ac:dyDescent="0.2">
      <c r="A355" s="221" t="s">
        <v>540</v>
      </c>
      <c r="B355" s="70"/>
      <c r="C355" s="63" t="s">
        <v>542</v>
      </c>
      <c r="D355" s="50"/>
      <c r="E355" s="13"/>
      <c r="F355" s="13"/>
      <c r="G355" s="75">
        <v>1031.31</v>
      </c>
    </row>
    <row r="356" spans="1:7" ht="13.5" customHeight="1" x14ac:dyDescent="0.2">
      <c r="A356" s="70"/>
      <c r="B356" s="70"/>
      <c r="C356" s="222" t="s">
        <v>543</v>
      </c>
      <c r="D356" s="50"/>
      <c r="E356" s="13"/>
      <c r="F356" s="13"/>
      <c r="G356" s="14">
        <v>1031.31</v>
      </c>
    </row>
    <row r="357" spans="1:7" ht="13.5" customHeight="1" x14ac:dyDescent="0.2">
      <c r="A357" s="70"/>
      <c r="B357" s="70"/>
      <c r="C357" s="63"/>
      <c r="D357" s="50"/>
      <c r="E357" s="13"/>
      <c r="F357" s="13"/>
      <c r="G357" s="14"/>
    </row>
    <row r="358" spans="1:7" ht="13.5" customHeight="1" x14ac:dyDescent="0.2">
      <c r="A358" s="70"/>
      <c r="B358" s="70"/>
      <c r="C358" s="222" t="s">
        <v>544</v>
      </c>
      <c r="D358" s="50"/>
      <c r="E358" s="13"/>
      <c r="F358" s="13"/>
      <c r="G358" s="14">
        <v>7665.1100000000197</v>
      </c>
    </row>
    <row r="359" spans="1:7" ht="13.5" customHeight="1" x14ac:dyDescent="0.2">
      <c r="A359" s="70"/>
      <c r="B359" s="70"/>
      <c r="C359" s="63"/>
      <c r="D359" s="50"/>
      <c r="E359" s="13"/>
      <c r="F359" s="13"/>
      <c r="G359" s="75"/>
    </row>
    <row r="360" spans="1:7" ht="13.5" customHeight="1" x14ac:dyDescent="0.2">
      <c r="A360" s="76"/>
      <c r="B360" s="76"/>
      <c r="C360" s="222" t="s">
        <v>545</v>
      </c>
      <c r="D360" s="78"/>
      <c r="E360" s="78"/>
      <c r="F360" s="78"/>
      <c r="G360" s="14">
        <v>8696.4200000000201</v>
      </c>
    </row>
    <row r="361" spans="1:7" ht="13.5" customHeight="1" x14ac:dyDescent="0.2">
      <c r="A361" s="76"/>
      <c r="B361" s="76"/>
      <c r="C361" s="78"/>
      <c r="D361" s="78"/>
      <c r="E361" s="78"/>
      <c r="F361" s="78"/>
      <c r="G361" s="75"/>
    </row>
    <row r="362" spans="1:7" ht="13.5" customHeight="1" x14ac:dyDescent="0.2">
      <c r="A362" s="70"/>
      <c r="B362" s="70"/>
      <c r="C362" s="63"/>
      <c r="D362" s="50"/>
      <c r="E362" s="13"/>
      <c r="F362" s="13"/>
      <c r="G362" s="75"/>
    </row>
    <row r="363" spans="1:7" ht="13.5" customHeight="1" x14ac:dyDescent="0.2">
      <c r="A363" s="70"/>
      <c r="B363" s="70"/>
      <c r="C363" s="63"/>
      <c r="D363" s="50"/>
      <c r="E363" s="13"/>
      <c r="F363" s="13"/>
      <c r="G363" s="182"/>
    </row>
    <row r="364" spans="1:7" ht="13.5" customHeight="1" x14ac:dyDescent="0.2">
      <c r="A364" s="70"/>
      <c r="B364" s="70"/>
      <c r="C364" s="63"/>
      <c r="D364" s="50"/>
      <c r="E364" s="13"/>
      <c r="F364" s="13"/>
      <c r="G364" s="182"/>
    </row>
    <row r="365" spans="1:7" ht="13.5" customHeight="1" x14ac:dyDescent="0.2">
      <c r="A365" s="70"/>
      <c r="B365" s="70"/>
      <c r="C365" s="63"/>
      <c r="D365" s="50"/>
      <c r="E365" s="13"/>
      <c r="F365" s="13"/>
      <c r="G365" s="182"/>
    </row>
    <row r="366" spans="1:7" ht="13.5" customHeight="1" x14ac:dyDescent="0.2">
      <c r="A366" s="70"/>
      <c r="B366" s="70"/>
      <c r="C366" s="63"/>
      <c r="D366" s="50"/>
      <c r="E366" s="13"/>
      <c r="F366" s="13"/>
      <c r="G366" s="182"/>
    </row>
    <row r="367" spans="1:7" ht="13.5" customHeight="1" x14ac:dyDescent="0.2">
      <c r="A367" s="70"/>
      <c r="B367" s="70"/>
      <c r="C367" s="63"/>
      <c r="D367" s="50"/>
      <c r="E367" s="13"/>
      <c r="F367" s="13"/>
      <c r="G367" s="182"/>
    </row>
    <row r="368" spans="1:7" ht="13.5" customHeight="1" x14ac:dyDescent="0.2">
      <c r="A368" s="70"/>
      <c r="B368" s="70"/>
      <c r="C368" s="63"/>
      <c r="D368" s="50"/>
      <c r="E368" s="13"/>
      <c r="F368" s="13"/>
      <c r="G368" s="182"/>
    </row>
    <row r="369" spans="1:7" ht="13.5" customHeight="1" x14ac:dyDescent="0.2">
      <c r="A369" s="70"/>
      <c r="B369" s="70"/>
      <c r="C369" s="63"/>
      <c r="D369" s="50"/>
      <c r="E369" s="13"/>
      <c r="F369" s="13"/>
      <c r="G369" s="182"/>
    </row>
    <row r="370" spans="1:7" ht="13.5" customHeight="1" x14ac:dyDescent="0.2">
      <c r="A370" s="70"/>
      <c r="B370" s="70"/>
      <c r="C370" s="63"/>
      <c r="D370" s="50"/>
      <c r="E370" s="13"/>
      <c r="F370" s="13"/>
      <c r="G370" s="182"/>
    </row>
    <row r="371" spans="1:7" ht="13.5" customHeight="1" x14ac:dyDescent="0.2">
      <c r="A371" s="70"/>
      <c r="B371" s="70"/>
      <c r="C371" s="63"/>
      <c r="D371" s="50"/>
      <c r="E371" s="13"/>
      <c r="F371" s="13"/>
      <c r="G371" s="182"/>
    </row>
    <row r="372" spans="1:7" ht="13.5" customHeight="1" x14ac:dyDescent="0.2">
      <c r="A372" s="70"/>
      <c r="B372" s="70"/>
      <c r="C372" s="63"/>
      <c r="D372" s="50"/>
      <c r="E372" s="13"/>
      <c r="F372" s="13"/>
      <c r="G372" s="182"/>
    </row>
    <row r="373" spans="1:7" ht="13.5" customHeight="1" x14ac:dyDescent="0.2">
      <c r="A373" s="70"/>
      <c r="B373" s="70"/>
      <c r="C373" s="63"/>
      <c r="D373" s="50"/>
      <c r="E373" s="13"/>
      <c r="F373" s="13"/>
      <c r="G373" s="182"/>
    </row>
    <row r="374" spans="1:7" ht="13.5" customHeight="1" x14ac:dyDescent="0.2">
      <c r="A374" s="70"/>
      <c r="B374" s="70"/>
      <c r="C374" s="63"/>
      <c r="D374" s="50"/>
      <c r="E374" s="13"/>
      <c r="F374" s="13"/>
      <c r="G374" s="182"/>
    </row>
    <row r="375" spans="1:7" ht="13.5" customHeight="1" x14ac:dyDescent="0.2">
      <c r="A375" s="70"/>
      <c r="B375" s="70"/>
      <c r="C375" s="63"/>
      <c r="D375" s="50"/>
      <c r="E375" s="13"/>
      <c r="F375" s="13"/>
      <c r="G375" s="182"/>
    </row>
    <row r="376" spans="1:7" ht="13.5" customHeight="1" x14ac:dyDescent="0.2">
      <c r="A376" s="70"/>
      <c r="B376" s="70"/>
      <c r="C376" s="63"/>
      <c r="D376" s="50"/>
      <c r="E376" s="13"/>
      <c r="F376" s="13"/>
      <c r="G376" s="182"/>
    </row>
    <row r="377" spans="1:7" ht="13.5" customHeight="1" x14ac:dyDescent="0.2">
      <c r="A377" s="70"/>
      <c r="B377" s="70"/>
      <c r="C377" s="63"/>
      <c r="D377" s="50"/>
      <c r="E377" s="13"/>
      <c r="F377" s="13"/>
      <c r="G377" s="182"/>
    </row>
    <row r="378" spans="1:7" ht="13.5" customHeight="1" x14ac:dyDescent="0.2">
      <c r="A378" s="70"/>
      <c r="B378" s="70"/>
      <c r="C378" s="63"/>
      <c r="D378" s="50"/>
      <c r="E378" s="13"/>
      <c r="F378" s="13"/>
      <c r="G378" s="182"/>
    </row>
    <row r="379" spans="1:7" ht="13.5" customHeight="1" x14ac:dyDescent="0.2">
      <c r="A379" s="70"/>
      <c r="B379" s="70"/>
      <c r="C379" s="63"/>
      <c r="D379" s="50"/>
      <c r="E379" s="13"/>
      <c r="F379" s="13"/>
      <c r="G379" s="182"/>
    </row>
    <row r="380" spans="1:7" ht="13.5" customHeight="1" x14ac:dyDescent="0.2">
      <c r="A380" s="70"/>
      <c r="B380" s="70"/>
      <c r="C380" s="63"/>
      <c r="D380" s="50"/>
      <c r="E380" s="13"/>
      <c r="F380" s="13"/>
      <c r="G380" s="182"/>
    </row>
    <row r="381" spans="1:7" ht="13.5" customHeight="1" x14ac:dyDescent="0.2">
      <c r="A381" s="70"/>
      <c r="B381" s="70"/>
      <c r="C381" s="63"/>
      <c r="D381" s="50"/>
      <c r="E381" s="13"/>
      <c r="F381" s="13"/>
      <c r="G381" s="182"/>
    </row>
    <row r="382" spans="1:7" ht="13.5" customHeight="1" x14ac:dyDescent="0.2">
      <c r="A382" s="70"/>
      <c r="B382" s="70"/>
      <c r="C382" s="63"/>
      <c r="D382" s="50"/>
      <c r="E382" s="13"/>
      <c r="F382" s="13"/>
      <c r="G382" s="182"/>
    </row>
    <row r="383" spans="1:7" ht="13.5" customHeight="1" x14ac:dyDescent="0.2">
      <c r="A383" s="70"/>
      <c r="B383" s="70"/>
      <c r="C383" s="63"/>
      <c r="D383" s="50"/>
      <c r="E383" s="13"/>
      <c r="F383" s="13"/>
      <c r="G383" s="182"/>
    </row>
    <row r="384" spans="1:7" ht="13.5" customHeight="1" x14ac:dyDescent="0.2">
      <c r="A384" s="70"/>
      <c r="B384" s="70"/>
      <c r="C384" s="63"/>
      <c r="D384" s="50"/>
      <c r="E384" s="13"/>
      <c r="F384" s="13"/>
      <c r="G384" s="182"/>
    </row>
    <row r="385" spans="1:7" ht="13.5" customHeight="1" x14ac:dyDescent="0.2">
      <c r="A385" s="70"/>
      <c r="B385" s="70"/>
      <c r="C385" s="63"/>
      <c r="D385" s="50"/>
      <c r="E385" s="13"/>
      <c r="F385" s="13"/>
      <c r="G385" s="182"/>
    </row>
    <row r="386" spans="1:7" ht="13.5" customHeight="1" x14ac:dyDescent="0.2">
      <c r="A386" s="70"/>
      <c r="B386" s="70"/>
      <c r="C386" s="63"/>
      <c r="D386" s="50"/>
      <c r="E386" s="13"/>
      <c r="F386" s="13"/>
      <c r="G386" s="182"/>
    </row>
    <row r="387" spans="1:7" ht="13.5" customHeight="1" x14ac:dyDescent="0.2">
      <c r="A387" s="70"/>
      <c r="B387" s="70"/>
      <c r="C387" s="63"/>
      <c r="D387" s="50"/>
      <c r="E387" s="13"/>
      <c r="F387" s="13"/>
      <c r="G387" s="182"/>
    </row>
    <row r="388" spans="1:7" ht="13.5" customHeight="1" x14ac:dyDescent="0.2">
      <c r="A388" s="70"/>
      <c r="B388" s="70"/>
      <c r="C388" s="63"/>
      <c r="D388" s="50"/>
      <c r="E388" s="13"/>
      <c r="F388" s="13"/>
      <c r="G388" s="182"/>
    </row>
    <row r="389" spans="1:7" ht="13.5" customHeight="1" x14ac:dyDescent="0.2">
      <c r="A389" s="70"/>
      <c r="B389" s="70"/>
      <c r="C389" s="63"/>
      <c r="D389" s="50"/>
      <c r="E389" s="13"/>
      <c r="F389" s="13"/>
      <c r="G389" s="182"/>
    </row>
    <row r="390" spans="1:7" ht="13.5" customHeight="1" x14ac:dyDescent="0.2">
      <c r="A390" s="131"/>
      <c r="B390" s="70"/>
      <c r="C390" s="64"/>
      <c r="D390" s="50"/>
      <c r="E390" s="13"/>
      <c r="F390" s="13"/>
      <c r="G390" s="182"/>
    </row>
    <row r="391" spans="1:7" ht="13.5" customHeight="1" x14ac:dyDescent="0.2">
      <c r="A391" s="70"/>
      <c r="B391" s="70"/>
      <c r="C391" s="63"/>
      <c r="D391" s="50"/>
      <c r="E391" s="13"/>
      <c r="F391" s="13"/>
      <c r="G391" s="182"/>
    </row>
    <row r="392" spans="1:7" ht="13.5" customHeight="1" x14ac:dyDescent="0.2">
      <c r="A392" s="70"/>
      <c r="B392" s="70"/>
      <c r="C392" s="63"/>
      <c r="D392" s="50"/>
      <c r="E392" s="13"/>
      <c r="F392" s="13"/>
      <c r="G392" s="182"/>
    </row>
    <row r="393" spans="1:7" ht="13.5" customHeight="1" x14ac:dyDescent="0.2">
      <c r="A393" s="131"/>
      <c r="B393" s="70"/>
      <c r="C393" s="85"/>
      <c r="D393" s="50"/>
      <c r="E393" s="13"/>
      <c r="F393" s="13"/>
      <c r="G393" s="182"/>
    </row>
    <row r="394" spans="1:7" ht="13.5" customHeight="1" x14ac:dyDescent="0.2">
      <c r="A394" s="131"/>
      <c r="B394" s="70"/>
      <c r="C394" s="63"/>
      <c r="D394" s="50"/>
      <c r="E394" s="13"/>
      <c r="F394" s="13"/>
      <c r="G394" s="182"/>
    </row>
    <row r="395" spans="1:7" ht="13.5" customHeight="1" x14ac:dyDescent="0.2">
      <c r="A395" s="131"/>
      <c r="B395" s="70"/>
      <c r="C395" s="63"/>
      <c r="D395" s="50"/>
      <c r="E395" s="13"/>
      <c r="F395" s="13"/>
      <c r="G395" s="182"/>
    </row>
    <row r="396" spans="1:7" ht="13.5" customHeight="1" x14ac:dyDescent="0.2">
      <c r="A396" s="131"/>
      <c r="B396" s="70"/>
      <c r="C396" s="64"/>
      <c r="D396" s="50"/>
      <c r="E396" s="13"/>
      <c r="F396" s="13"/>
      <c r="G396" s="182"/>
    </row>
    <row r="397" spans="1:7" ht="13.5" customHeight="1" x14ac:dyDescent="0.2">
      <c r="A397" s="70"/>
      <c r="B397" s="70"/>
      <c r="C397" s="63"/>
      <c r="D397" s="50"/>
      <c r="E397" s="13"/>
      <c r="F397" s="13"/>
      <c r="G397" s="182"/>
    </row>
    <row r="398" spans="1:7" ht="13.5" customHeight="1" x14ac:dyDescent="0.2">
      <c r="A398" s="131"/>
      <c r="B398" s="70"/>
      <c r="C398" s="63"/>
      <c r="D398" s="50"/>
      <c r="E398" s="13"/>
      <c r="F398" s="13"/>
      <c r="G398" s="182"/>
    </row>
    <row r="399" spans="1:7" ht="13.5" customHeight="1" x14ac:dyDescent="0.2">
      <c r="A399" s="131"/>
      <c r="B399" s="70"/>
      <c r="C399" s="64"/>
      <c r="D399" s="50"/>
      <c r="E399" s="13"/>
      <c r="F399" s="13"/>
      <c r="G399" s="182"/>
    </row>
    <row r="400" spans="1:7" ht="13.5" customHeight="1" x14ac:dyDescent="0.2">
      <c r="A400" s="70"/>
      <c r="B400" s="70"/>
      <c r="C400" s="63"/>
      <c r="D400" s="50"/>
      <c r="E400" s="13"/>
      <c r="F400" s="13"/>
      <c r="G400" s="182"/>
    </row>
    <row r="401" spans="1:7" ht="13.5" customHeight="1" x14ac:dyDescent="0.2">
      <c r="A401" s="131"/>
      <c r="B401" s="70"/>
      <c r="C401" s="63"/>
      <c r="D401" s="50"/>
      <c r="E401" s="13"/>
      <c r="F401" s="13"/>
      <c r="G401" s="182"/>
    </row>
    <row r="402" spans="1:7" ht="13.5" customHeight="1" x14ac:dyDescent="0.2">
      <c r="A402" s="131"/>
      <c r="B402" s="70"/>
      <c r="C402" s="64"/>
      <c r="D402" s="50"/>
      <c r="E402" s="13"/>
      <c r="F402" s="13"/>
      <c r="G402" s="182"/>
    </row>
    <row r="403" spans="1:7" ht="13.5" customHeight="1" x14ac:dyDescent="0.2">
      <c r="A403" s="70"/>
      <c r="B403" s="70"/>
      <c r="C403" s="63"/>
      <c r="D403" s="50"/>
      <c r="E403" s="13"/>
      <c r="F403" s="13"/>
      <c r="G403" s="182"/>
    </row>
    <row r="404" spans="1:7" ht="13.5" customHeight="1" x14ac:dyDescent="0.2">
      <c r="A404" s="70"/>
      <c r="B404" s="70"/>
      <c r="C404" s="63"/>
      <c r="D404" s="50"/>
      <c r="E404" s="13"/>
      <c r="F404" s="13"/>
      <c r="G404" s="182"/>
    </row>
    <row r="405" spans="1:7" ht="13.5" customHeight="1" x14ac:dyDescent="0.2">
      <c r="A405" s="70"/>
      <c r="B405" s="70"/>
      <c r="C405" s="63"/>
      <c r="D405" s="50"/>
      <c r="E405" s="13"/>
      <c r="F405" s="13"/>
      <c r="G405" s="182"/>
    </row>
    <row r="406" spans="1:7" ht="13.5" customHeight="1" x14ac:dyDescent="0.2">
      <c r="A406" s="131"/>
      <c r="B406" s="70"/>
      <c r="C406" s="86"/>
      <c r="D406" s="50"/>
      <c r="E406" s="13"/>
      <c r="F406" s="13"/>
      <c r="G406" s="182"/>
    </row>
    <row r="407" spans="1:7" ht="13.5" customHeight="1" x14ac:dyDescent="0.2">
      <c r="A407" s="131"/>
      <c r="B407" s="70"/>
      <c r="C407" s="85"/>
      <c r="D407" s="50"/>
      <c r="E407" s="13"/>
      <c r="F407" s="13"/>
      <c r="G407" s="182"/>
    </row>
    <row r="408" spans="1:7" ht="13.5" customHeight="1" x14ac:dyDescent="0.2">
      <c r="A408" s="131"/>
      <c r="B408" s="70"/>
      <c r="C408" s="87"/>
      <c r="D408" s="50"/>
      <c r="E408" s="13"/>
      <c r="F408" s="13"/>
      <c r="G408" s="182"/>
    </row>
    <row r="409" spans="1:7" ht="13.5" customHeight="1" x14ac:dyDescent="0.2">
      <c r="A409" s="131"/>
      <c r="B409" s="70"/>
      <c r="C409" s="88"/>
      <c r="D409" s="50"/>
      <c r="E409" s="13"/>
      <c r="F409" s="13"/>
      <c r="G409" s="182"/>
    </row>
    <row r="410" spans="1:7" ht="13.5" customHeight="1" x14ac:dyDescent="0.2">
      <c r="A410" s="91"/>
      <c r="B410" s="9"/>
      <c r="C410" s="56"/>
      <c r="D410" s="11"/>
      <c r="E410" s="12"/>
      <c r="F410" s="12"/>
      <c r="G410" s="182"/>
    </row>
    <row r="411" spans="1:7" ht="13.5" customHeight="1" x14ac:dyDescent="0.2">
      <c r="A411" s="9"/>
      <c r="B411" s="9"/>
      <c r="C411" s="56"/>
      <c r="D411" s="11"/>
      <c r="E411" s="12"/>
      <c r="F411" s="12"/>
      <c r="G411" s="182"/>
    </row>
    <row r="412" spans="1:7" ht="13.5" customHeight="1" x14ac:dyDescent="0.2">
      <c r="A412" s="9"/>
      <c r="B412" s="9"/>
      <c r="C412" s="56"/>
      <c r="D412" s="11"/>
      <c r="E412" s="12"/>
      <c r="F412" s="12"/>
      <c r="G412" s="182"/>
    </row>
    <row r="413" spans="1:7" ht="13.5" customHeight="1" x14ac:dyDescent="0.2">
      <c r="A413" s="91"/>
      <c r="B413" s="9"/>
      <c r="D413" s="11"/>
      <c r="E413" s="12"/>
      <c r="F413" s="12"/>
      <c r="G413" s="182"/>
    </row>
    <row r="414" spans="1:7" ht="13.5" customHeight="1" x14ac:dyDescent="0.2">
      <c r="A414" s="9"/>
      <c r="B414" s="9"/>
      <c r="C414" s="56"/>
      <c r="D414" s="11"/>
      <c r="E414" s="12"/>
      <c r="F414" s="12"/>
      <c r="G414" s="182"/>
    </row>
    <row r="415" spans="1:7" ht="13.5" customHeight="1" x14ac:dyDescent="0.2">
      <c r="A415" s="9"/>
      <c r="B415" s="9"/>
      <c r="C415" s="56"/>
      <c r="D415" s="11"/>
      <c r="E415" s="12"/>
      <c r="F415" s="12"/>
      <c r="G415" s="182"/>
    </row>
    <row r="416" spans="1:7" ht="13.5" customHeight="1" x14ac:dyDescent="0.2">
      <c r="A416" s="9"/>
      <c r="B416" s="9"/>
      <c r="C416" s="56"/>
      <c r="D416" s="11"/>
      <c r="E416" s="12"/>
      <c r="F416" s="12"/>
      <c r="G416" s="182"/>
    </row>
    <row r="417" spans="1:7" ht="13.5" customHeight="1" x14ac:dyDescent="0.2">
      <c r="A417" s="91"/>
      <c r="B417" s="9"/>
      <c r="C417" s="27"/>
      <c r="D417" s="11"/>
      <c r="E417" s="12"/>
      <c r="F417" s="12"/>
      <c r="G417" s="182"/>
    </row>
    <row r="418" spans="1:7" ht="13.5" customHeight="1" x14ac:dyDescent="0.2">
      <c r="A418" s="91"/>
      <c r="B418" s="9"/>
      <c r="C418" s="27"/>
      <c r="D418" s="11"/>
      <c r="E418" s="12"/>
      <c r="F418" s="12"/>
      <c r="G418" s="182"/>
    </row>
    <row r="419" spans="1:7" ht="13.5" customHeight="1" x14ac:dyDescent="0.2">
      <c r="A419" s="91"/>
      <c r="B419" s="9"/>
      <c r="D419" s="11"/>
      <c r="E419" s="12"/>
      <c r="F419" s="12"/>
      <c r="G419" s="182"/>
    </row>
    <row r="420" spans="1:7" ht="13.5" customHeight="1" x14ac:dyDescent="0.2">
      <c r="A420" s="9"/>
      <c r="B420" s="9"/>
      <c r="C420" s="56"/>
      <c r="D420" s="11"/>
      <c r="E420" s="12"/>
      <c r="F420" s="12"/>
      <c r="G420" s="182"/>
    </row>
    <row r="421" spans="1:7" ht="13.5" customHeight="1" x14ac:dyDescent="0.2">
      <c r="A421" s="9"/>
      <c r="B421" s="9"/>
      <c r="C421" s="56"/>
      <c r="D421" s="11"/>
      <c r="E421" s="12"/>
      <c r="F421" s="12"/>
      <c r="G421" s="182"/>
    </row>
    <row r="422" spans="1:7" ht="13.5" customHeight="1" x14ac:dyDescent="0.2">
      <c r="A422" s="9"/>
      <c r="B422" s="9"/>
      <c r="C422" s="56"/>
      <c r="D422" s="11"/>
      <c r="E422" s="12"/>
      <c r="F422" s="12"/>
      <c r="G422" s="182"/>
    </row>
    <row r="423" spans="1:7" ht="13.5" customHeight="1" x14ac:dyDescent="0.2">
      <c r="A423" s="9"/>
      <c r="B423" s="9"/>
      <c r="C423" s="56"/>
      <c r="D423" s="11"/>
      <c r="E423" s="12"/>
      <c r="F423" s="12"/>
      <c r="G423" s="182"/>
    </row>
    <row r="424" spans="1:7" x14ac:dyDescent="0.2">
      <c r="A424" s="132"/>
      <c r="B424" s="93"/>
      <c r="C424" s="94"/>
      <c r="D424" s="27"/>
      <c r="E424" s="27"/>
      <c r="F424" s="27"/>
      <c r="G424" s="182"/>
    </row>
  </sheetData>
  <mergeCells count="3">
    <mergeCell ref="A1:C1"/>
    <mergeCell ref="D1:G1"/>
    <mergeCell ref="H256:J256"/>
  </mergeCells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P353"/>
  <sheetViews>
    <sheetView topLeftCell="A51" zoomScale="90" zoomScaleNormal="90" workbookViewId="0">
      <selection activeCell="B67" sqref="B67"/>
    </sheetView>
  </sheetViews>
  <sheetFormatPr defaultColWidth="9" defaultRowHeight="12.75" x14ac:dyDescent="0.2"/>
  <cols>
    <col min="1" max="1" width="15.375" style="1" customWidth="1"/>
    <col min="2" max="2" width="99.25" style="1" customWidth="1"/>
    <col min="3" max="3" width="12.375" style="27" customWidth="1"/>
    <col min="4" max="4" width="13.125" style="622" customWidth="1"/>
    <col min="5" max="5" width="12.5" style="1" customWidth="1"/>
    <col min="6" max="6" width="11" style="1" customWidth="1"/>
    <col min="7" max="9" width="9" style="1"/>
    <col min="10" max="10" width="11.875" style="1" customWidth="1"/>
    <col min="11" max="16384" width="9" style="1"/>
  </cols>
  <sheetData>
    <row r="1" spans="1:10" x14ac:dyDescent="0.2">
      <c r="F1" s="97" t="s">
        <v>218</v>
      </c>
      <c r="G1" s="97" t="s">
        <v>219</v>
      </c>
      <c r="H1" s="97" t="s">
        <v>220</v>
      </c>
      <c r="I1" s="97" t="s">
        <v>221</v>
      </c>
      <c r="J1" s="97" t="s">
        <v>222</v>
      </c>
    </row>
    <row r="2" spans="1:10" ht="13.5" customHeight="1" x14ac:dyDescent="0.2">
      <c r="A2" s="126" t="s">
        <v>240</v>
      </c>
      <c r="B2" s="36" t="s">
        <v>2832</v>
      </c>
      <c r="C2" s="30"/>
      <c r="D2" s="622">
        <v>950.00000000000011</v>
      </c>
      <c r="F2" s="622">
        <v>1058.6300000000001</v>
      </c>
      <c r="G2" s="25">
        <v>90</v>
      </c>
      <c r="H2" s="402"/>
      <c r="I2" s="402">
        <v>18.63</v>
      </c>
      <c r="J2" s="104">
        <f>F2-G2-H2-I2</f>
        <v>950.00000000000011</v>
      </c>
    </row>
    <row r="3" spans="1:10" ht="13.5" customHeight="1" x14ac:dyDescent="0.2">
      <c r="A3" s="126" t="s">
        <v>240</v>
      </c>
      <c r="B3" s="36" t="s">
        <v>2761</v>
      </c>
      <c r="C3" s="30"/>
      <c r="D3" s="622">
        <v>1050</v>
      </c>
      <c r="F3" s="43">
        <v>1168.05</v>
      </c>
      <c r="G3" s="25">
        <v>90</v>
      </c>
      <c r="H3" s="402"/>
      <c r="I3" s="402">
        <v>28.05</v>
      </c>
      <c r="J3" s="104">
        <f>F3-G3-H3-I3</f>
        <v>1050</v>
      </c>
    </row>
    <row r="4" spans="1:10" ht="13.5" customHeight="1" x14ac:dyDescent="0.2">
      <c r="A4" s="126" t="s">
        <v>240</v>
      </c>
      <c r="B4" s="36" t="s">
        <v>2760</v>
      </c>
      <c r="C4" s="30"/>
      <c r="D4" s="622">
        <v>1010</v>
      </c>
      <c r="F4" s="622">
        <v>1100</v>
      </c>
      <c r="G4" s="25">
        <v>90</v>
      </c>
      <c r="H4" s="402"/>
      <c r="I4" s="402"/>
      <c r="J4" s="104">
        <f t="shared" ref="J4:J9" si="0">F4-G4-H4-I4</f>
        <v>1010</v>
      </c>
    </row>
    <row r="5" spans="1:10" ht="13.5" customHeight="1" x14ac:dyDescent="0.2">
      <c r="A5" s="126" t="s">
        <v>240</v>
      </c>
      <c r="B5" s="36" t="s">
        <v>2884</v>
      </c>
      <c r="C5" s="30"/>
      <c r="D5" s="622">
        <v>1119.28</v>
      </c>
      <c r="F5" s="622">
        <v>1230</v>
      </c>
      <c r="G5" s="25">
        <v>90</v>
      </c>
      <c r="H5" s="402">
        <v>20.72</v>
      </c>
      <c r="I5" s="402"/>
      <c r="J5" s="104">
        <f>F5-G5-H5-I5</f>
        <v>1119.28</v>
      </c>
    </row>
    <row r="6" spans="1:10" ht="13.5" customHeight="1" x14ac:dyDescent="0.2">
      <c r="A6" s="126" t="s">
        <v>240</v>
      </c>
      <c r="B6" s="36" t="s">
        <v>2818</v>
      </c>
      <c r="C6" s="30"/>
      <c r="D6" s="622">
        <v>1400</v>
      </c>
      <c r="F6" s="622">
        <v>1518.28</v>
      </c>
      <c r="G6" s="25">
        <v>90</v>
      </c>
      <c r="H6" s="402"/>
      <c r="I6" s="402">
        <v>28.28</v>
      </c>
      <c r="J6" s="104">
        <f t="shared" si="0"/>
        <v>1400</v>
      </c>
    </row>
    <row r="7" spans="1:10" ht="13.5" customHeight="1" x14ac:dyDescent="0.2">
      <c r="A7" s="126" t="s">
        <v>240</v>
      </c>
      <c r="B7" s="36" t="s">
        <v>2801</v>
      </c>
      <c r="C7" s="30"/>
      <c r="D7" s="622">
        <v>1400</v>
      </c>
      <c r="F7" s="622">
        <v>1507.15</v>
      </c>
      <c r="G7" s="25">
        <v>90</v>
      </c>
      <c r="H7" s="402"/>
      <c r="I7" s="402">
        <v>17.149999999999999</v>
      </c>
      <c r="J7" s="104">
        <f>F7-G7-H7-I7</f>
        <v>1400</v>
      </c>
    </row>
    <row r="8" spans="1:10" ht="13.5" customHeight="1" x14ac:dyDescent="0.2">
      <c r="A8" s="126" t="s">
        <v>240</v>
      </c>
      <c r="B8" s="36" t="s">
        <v>2830</v>
      </c>
      <c r="C8" s="30"/>
      <c r="D8" s="622">
        <v>280</v>
      </c>
      <c r="F8" s="622">
        <v>280</v>
      </c>
      <c r="G8" s="25"/>
      <c r="H8" s="403"/>
      <c r="I8" s="403"/>
      <c r="J8" s="104">
        <f>F8-G8-H8-I8</f>
        <v>280</v>
      </c>
    </row>
    <row r="9" spans="1:10" ht="13.5" customHeight="1" x14ac:dyDescent="0.2">
      <c r="A9" s="126" t="s">
        <v>240</v>
      </c>
      <c r="B9" s="36" t="s">
        <v>2810</v>
      </c>
      <c r="C9" s="30"/>
      <c r="D9" s="622">
        <v>420</v>
      </c>
      <c r="F9" s="622">
        <v>420</v>
      </c>
      <c r="G9" s="25"/>
      <c r="H9" s="403"/>
      <c r="I9" s="403"/>
      <c r="J9" s="104">
        <f t="shared" si="0"/>
        <v>420</v>
      </c>
    </row>
    <row r="10" spans="1:10" ht="13.5" customHeight="1" x14ac:dyDescent="0.2">
      <c r="A10" s="126" t="s">
        <v>240</v>
      </c>
      <c r="B10" s="36" t="s">
        <v>2784</v>
      </c>
      <c r="C10" s="30"/>
      <c r="D10" s="622">
        <v>1400</v>
      </c>
      <c r="F10" s="622">
        <v>1490</v>
      </c>
      <c r="G10" s="25">
        <v>90</v>
      </c>
      <c r="H10" s="403"/>
      <c r="I10" s="403"/>
      <c r="J10" s="104">
        <f>F10-G10-H10-I10</f>
        <v>1400</v>
      </c>
    </row>
    <row r="11" spans="1:10" ht="13.5" customHeight="1" x14ac:dyDescent="0.2">
      <c r="A11" s="126" t="s">
        <v>240</v>
      </c>
      <c r="B11" s="36" t="s">
        <v>3552</v>
      </c>
      <c r="C11" s="30"/>
      <c r="D11" s="622">
        <v>630</v>
      </c>
      <c r="F11" s="622"/>
      <c r="G11" s="25"/>
      <c r="H11" s="403"/>
      <c r="I11" s="403"/>
      <c r="J11" s="104">
        <f t="shared" ref="J11:J21" si="1">F11-G11-H11-I11</f>
        <v>0</v>
      </c>
    </row>
    <row r="12" spans="1:10" ht="13.5" customHeight="1" x14ac:dyDescent="0.2">
      <c r="A12" s="126" t="s">
        <v>240</v>
      </c>
      <c r="B12" s="36" t="s">
        <v>9</v>
      </c>
      <c r="C12" s="30"/>
      <c r="D12" s="622">
        <v>900</v>
      </c>
      <c r="F12" s="622"/>
      <c r="G12" s="25"/>
      <c r="H12" s="403"/>
      <c r="I12" s="403"/>
      <c r="J12" s="104">
        <f t="shared" si="1"/>
        <v>0</v>
      </c>
    </row>
    <row r="13" spans="1:10" ht="13.5" customHeight="1" x14ac:dyDescent="0.2">
      <c r="A13" s="126" t="s">
        <v>240</v>
      </c>
      <c r="B13" s="36" t="s">
        <v>2787</v>
      </c>
      <c r="C13" s="30"/>
      <c r="D13" s="622">
        <v>1500</v>
      </c>
      <c r="F13" s="622">
        <v>1500</v>
      </c>
      <c r="G13" s="25"/>
      <c r="H13" s="403"/>
      <c r="I13" s="403"/>
      <c r="J13" s="104">
        <f t="shared" si="1"/>
        <v>1500</v>
      </c>
    </row>
    <row r="14" spans="1:10" ht="13.5" customHeight="1" x14ac:dyDescent="0.2">
      <c r="A14" s="126" t="s">
        <v>240</v>
      </c>
      <c r="B14" s="36" t="s">
        <v>2929</v>
      </c>
      <c r="C14" s="30"/>
      <c r="D14" s="622">
        <v>3500</v>
      </c>
      <c r="F14" s="622">
        <v>3500</v>
      </c>
      <c r="G14" s="27"/>
      <c r="H14" s="403"/>
      <c r="I14" s="403"/>
      <c r="J14" s="104">
        <f t="shared" si="1"/>
        <v>3500</v>
      </c>
    </row>
    <row r="15" spans="1:10" ht="13.5" customHeight="1" x14ac:dyDescent="0.2">
      <c r="A15" s="126" t="s">
        <v>240</v>
      </c>
      <c r="B15" s="36" t="s">
        <v>2929</v>
      </c>
      <c r="C15" s="30"/>
      <c r="D15" s="622">
        <v>4000</v>
      </c>
      <c r="F15" s="622">
        <v>4000</v>
      </c>
      <c r="G15" s="27"/>
      <c r="H15" s="403"/>
      <c r="I15" s="403"/>
      <c r="J15" s="104">
        <f t="shared" si="1"/>
        <v>4000</v>
      </c>
    </row>
    <row r="16" spans="1:10" ht="13.5" customHeight="1" x14ac:dyDescent="0.2">
      <c r="A16" s="126" t="s">
        <v>240</v>
      </c>
      <c r="B16" s="36" t="s">
        <v>2788</v>
      </c>
      <c r="C16" s="30"/>
      <c r="D16" s="622">
        <v>1000</v>
      </c>
      <c r="F16" s="622">
        <v>1000</v>
      </c>
      <c r="G16" s="25"/>
      <c r="H16" s="403"/>
      <c r="I16" s="403"/>
      <c r="J16" s="104">
        <f t="shared" si="1"/>
        <v>1000</v>
      </c>
    </row>
    <row r="17" spans="1:10" ht="13.5" customHeight="1" x14ac:dyDescent="0.2">
      <c r="A17" s="126" t="s">
        <v>240</v>
      </c>
      <c r="B17" s="36" t="s">
        <v>2827</v>
      </c>
      <c r="C17" s="30"/>
      <c r="D17" s="622">
        <v>3765</v>
      </c>
      <c r="F17" s="622">
        <v>3855.73</v>
      </c>
      <c r="G17" s="25"/>
      <c r="H17" s="403"/>
      <c r="I17" s="403">
        <v>90.73</v>
      </c>
      <c r="J17" s="104">
        <f t="shared" si="1"/>
        <v>3765</v>
      </c>
    </row>
    <row r="18" spans="1:10" ht="13.5" customHeight="1" x14ac:dyDescent="0.2">
      <c r="A18" s="126" t="s">
        <v>240</v>
      </c>
      <c r="B18" s="36" t="s">
        <v>2808</v>
      </c>
      <c r="C18" s="30"/>
      <c r="D18" s="622">
        <v>2205.0020000000004</v>
      </c>
      <c r="F18" s="622">
        <v>2260.2800000000002</v>
      </c>
      <c r="G18" s="25"/>
      <c r="H18" s="403"/>
      <c r="I18" s="403">
        <v>55.277999999999999</v>
      </c>
      <c r="J18" s="104">
        <f t="shared" si="1"/>
        <v>2205.0020000000004</v>
      </c>
    </row>
    <row r="19" spans="1:10" ht="13.5" customHeight="1" x14ac:dyDescent="0.2">
      <c r="A19" s="126" t="s">
        <v>240</v>
      </c>
      <c r="B19" s="36" t="s">
        <v>2872</v>
      </c>
      <c r="C19" s="30"/>
      <c r="D19" s="622">
        <v>5075</v>
      </c>
      <c r="F19" s="622">
        <v>5075</v>
      </c>
      <c r="G19" s="25"/>
      <c r="H19" s="403"/>
      <c r="I19" s="403"/>
      <c r="J19" s="104">
        <f t="shared" si="1"/>
        <v>5075</v>
      </c>
    </row>
    <row r="20" spans="1:10" ht="13.5" customHeight="1" x14ac:dyDescent="0.2">
      <c r="A20" s="126" t="s">
        <v>240</v>
      </c>
      <c r="B20" s="36" t="s">
        <v>2763</v>
      </c>
      <c r="C20" s="30"/>
      <c r="D20" s="622">
        <v>1465</v>
      </c>
      <c r="F20" s="622">
        <v>1465</v>
      </c>
      <c r="G20" s="25"/>
      <c r="H20" s="403"/>
      <c r="I20" s="403"/>
      <c r="J20" s="104">
        <f t="shared" si="1"/>
        <v>1465</v>
      </c>
    </row>
    <row r="21" spans="1:10" ht="13.5" customHeight="1" x14ac:dyDescent="0.2">
      <c r="A21" s="126" t="s">
        <v>240</v>
      </c>
      <c r="B21" s="36" t="s">
        <v>2886</v>
      </c>
      <c r="C21" s="30"/>
      <c r="D21" s="622">
        <v>1465</v>
      </c>
      <c r="F21" s="622">
        <v>1465</v>
      </c>
      <c r="G21" s="25"/>
      <c r="H21" s="403"/>
      <c r="I21" s="403"/>
      <c r="J21" s="104">
        <f t="shared" si="1"/>
        <v>1465</v>
      </c>
    </row>
    <row r="22" spans="1:10" ht="13.5" customHeight="1" x14ac:dyDescent="0.2">
      <c r="A22" s="126" t="s">
        <v>240</v>
      </c>
      <c r="B22" s="36" t="s">
        <v>2785</v>
      </c>
      <c r="C22" s="30"/>
      <c r="D22" s="694">
        <v>250</v>
      </c>
      <c r="F22" s="399"/>
      <c r="G22" s="107">
        <f>SUM(G2:G21)</f>
        <v>630</v>
      </c>
      <c r="H22" s="107">
        <f>SUM(H2:H21)</f>
        <v>20.72</v>
      </c>
      <c r="I22" s="107">
        <f>SUM(I2:I21)</f>
        <v>238.11800000000002</v>
      </c>
    </row>
    <row r="23" spans="1:10" ht="13.5" customHeight="1" x14ac:dyDescent="0.2">
      <c r="A23" s="126" t="s">
        <v>240</v>
      </c>
      <c r="B23" s="36" t="s">
        <v>2804</v>
      </c>
      <c r="C23" s="30"/>
      <c r="D23" s="694">
        <v>250</v>
      </c>
    </row>
    <row r="24" spans="1:10" ht="13.5" customHeight="1" x14ac:dyDescent="0.2">
      <c r="A24" s="126" t="s">
        <v>240</v>
      </c>
      <c r="B24" s="36" t="s">
        <v>2803</v>
      </c>
      <c r="C24" s="30"/>
      <c r="D24" s="694">
        <v>200</v>
      </c>
    </row>
    <row r="25" spans="1:10" ht="13.5" customHeight="1" x14ac:dyDescent="0.2">
      <c r="A25" s="126" t="s">
        <v>240</v>
      </c>
      <c r="B25" s="36" t="s">
        <v>2897</v>
      </c>
      <c r="C25" s="30"/>
      <c r="D25" s="694">
        <v>220</v>
      </c>
    </row>
    <row r="26" spans="1:10" ht="13.5" customHeight="1" x14ac:dyDescent="0.2">
      <c r="A26" s="126" t="s">
        <v>240</v>
      </c>
      <c r="B26" s="36" t="s">
        <v>2762</v>
      </c>
      <c r="C26" s="30"/>
      <c r="D26" s="694">
        <v>150</v>
      </c>
    </row>
    <row r="27" spans="1:10" ht="13.5" customHeight="1" x14ac:dyDescent="0.2">
      <c r="A27" s="126" t="s">
        <v>240</v>
      </c>
      <c r="B27" s="36" t="s">
        <v>2802</v>
      </c>
      <c r="C27" s="30"/>
      <c r="D27" s="694">
        <v>250</v>
      </c>
    </row>
    <row r="28" spans="1:10" ht="13.5" customHeight="1" x14ac:dyDescent="0.2">
      <c r="A28" s="126" t="s">
        <v>240</v>
      </c>
      <c r="B28" s="36" t="s">
        <v>2806</v>
      </c>
      <c r="C28" s="30"/>
      <c r="D28" s="694">
        <v>200</v>
      </c>
    </row>
    <row r="29" spans="1:10" ht="13.5" customHeight="1" x14ac:dyDescent="0.2">
      <c r="A29" s="126" t="s">
        <v>240</v>
      </c>
      <c r="B29" s="36" t="s">
        <v>2926</v>
      </c>
      <c r="C29" s="30"/>
      <c r="D29" s="694">
        <v>200</v>
      </c>
    </row>
    <row r="30" spans="1:10" ht="13.5" customHeight="1" x14ac:dyDescent="0.2">
      <c r="A30" s="126" t="s">
        <v>240</v>
      </c>
      <c r="B30" s="36" t="s">
        <v>2759</v>
      </c>
      <c r="C30" s="30"/>
      <c r="D30" s="694">
        <v>200</v>
      </c>
    </row>
    <row r="31" spans="1:10" ht="13.5" customHeight="1" x14ac:dyDescent="0.2">
      <c r="A31" s="126" t="s">
        <v>240</v>
      </c>
      <c r="B31" s="36" t="s">
        <v>2764</v>
      </c>
      <c r="C31" s="30"/>
      <c r="D31" s="694">
        <v>220</v>
      </c>
    </row>
    <row r="32" spans="1:10" ht="13.5" customHeight="1" x14ac:dyDescent="0.2">
      <c r="A32" s="126" t="s">
        <v>240</v>
      </c>
      <c r="B32" s="36" t="s">
        <v>2786</v>
      </c>
      <c r="C32" s="30"/>
      <c r="D32" s="694">
        <v>60</v>
      </c>
    </row>
    <row r="33" spans="1:10" ht="13.5" customHeight="1" x14ac:dyDescent="0.2">
      <c r="A33" s="126" t="s">
        <v>240</v>
      </c>
      <c r="B33" s="36" t="s">
        <v>2901</v>
      </c>
      <c r="C33" s="30"/>
      <c r="D33" s="694">
        <v>80</v>
      </c>
      <c r="E33" s="695">
        <f>SUM(D22:D33)</f>
        <v>2280</v>
      </c>
    </row>
    <row r="34" spans="1:10" ht="13.5" customHeight="1" x14ac:dyDescent="0.2">
      <c r="A34" s="126" t="s">
        <v>240</v>
      </c>
      <c r="B34" s="36" t="s">
        <v>1792</v>
      </c>
      <c r="C34" s="30"/>
      <c r="D34" s="694">
        <f>I22</f>
        <v>238.11800000000002</v>
      </c>
      <c r="E34" s="627"/>
    </row>
    <row r="35" spans="1:10" ht="13.5" customHeight="1" x14ac:dyDescent="0.2">
      <c r="A35" s="126"/>
      <c r="B35" s="36"/>
      <c r="C35" s="30"/>
      <c r="D35" s="640">
        <f>SUM(D2:D34)</f>
        <v>37052.400000000001</v>
      </c>
    </row>
    <row r="36" spans="1:10" ht="13.5" customHeight="1" x14ac:dyDescent="0.2">
      <c r="A36" s="126"/>
      <c r="B36" s="36"/>
      <c r="C36" s="30"/>
    </row>
    <row r="37" spans="1:10" ht="13.5" customHeight="1" x14ac:dyDescent="0.2">
      <c r="A37" s="126" t="s">
        <v>240</v>
      </c>
      <c r="B37" s="36" t="s">
        <v>2906</v>
      </c>
      <c r="C37" s="30"/>
      <c r="D37" s="622">
        <v>900</v>
      </c>
      <c r="F37" s="100">
        <v>900</v>
      </c>
      <c r="G37" s="109"/>
      <c r="H37" s="109"/>
      <c r="I37" s="109"/>
      <c r="J37" s="104">
        <f>F37-G37-H37-I37</f>
        <v>900</v>
      </c>
    </row>
    <row r="38" spans="1:10" ht="13.5" customHeight="1" x14ac:dyDescent="0.2">
      <c r="A38" s="126" t="s">
        <v>240</v>
      </c>
      <c r="B38" s="36" t="s">
        <v>2968</v>
      </c>
      <c r="C38" s="30"/>
      <c r="D38" s="622">
        <v>300</v>
      </c>
      <c r="F38" s="100">
        <v>300</v>
      </c>
      <c r="G38" s="109"/>
      <c r="H38" s="109"/>
      <c r="I38" s="109"/>
      <c r="J38" s="104">
        <f>F38-G38-H38-I38</f>
        <v>300</v>
      </c>
    </row>
    <row r="39" spans="1:10" ht="13.5" customHeight="1" x14ac:dyDescent="0.2">
      <c r="A39" s="126" t="s">
        <v>240</v>
      </c>
      <c r="B39" s="36" t="s">
        <v>2829</v>
      </c>
      <c r="C39" s="30"/>
      <c r="D39" s="622">
        <v>7750</v>
      </c>
      <c r="F39" s="100">
        <v>8059.75</v>
      </c>
      <c r="G39" s="109"/>
      <c r="H39" s="109"/>
      <c r="I39" s="109">
        <v>309.75</v>
      </c>
      <c r="J39" s="104">
        <f>F39-G39-H39-I39</f>
        <v>7750</v>
      </c>
    </row>
    <row r="40" spans="1:10" ht="13.5" customHeight="1" x14ac:dyDescent="0.2">
      <c r="A40" s="126" t="s">
        <v>240</v>
      </c>
      <c r="B40" s="36" t="s">
        <v>2828</v>
      </c>
      <c r="C40" s="30"/>
      <c r="D40" s="622">
        <v>525</v>
      </c>
      <c r="F40" s="100">
        <v>525</v>
      </c>
      <c r="G40" s="109"/>
      <c r="H40" s="109"/>
      <c r="I40" s="109"/>
      <c r="J40" s="104">
        <f>F40-G40-H40-I40</f>
        <v>525</v>
      </c>
    </row>
    <row r="41" spans="1:10" ht="13.5" customHeight="1" x14ac:dyDescent="0.2">
      <c r="A41" s="126" t="s">
        <v>240</v>
      </c>
      <c r="B41" s="36" t="s">
        <v>2991</v>
      </c>
      <c r="C41" s="30"/>
      <c r="D41" s="622">
        <v>4731.47</v>
      </c>
      <c r="F41" s="100">
        <v>4731.47</v>
      </c>
      <c r="G41" s="109"/>
      <c r="H41" s="109"/>
      <c r="I41" s="109"/>
      <c r="J41" s="104">
        <f>F41-G41-H41-I41</f>
        <v>4731.47</v>
      </c>
    </row>
    <row r="42" spans="1:10" ht="13.5" customHeight="1" x14ac:dyDescent="0.2">
      <c r="A42" s="126" t="s">
        <v>240</v>
      </c>
      <c r="B42" s="36" t="s">
        <v>3542</v>
      </c>
      <c r="C42" s="30"/>
      <c r="D42" s="622">
        <f>I42</f>
        <v>309.75</v>
      </c>
      <c r="F42" s="18">
        <f>SUM(F37:F41)</f>
        <v>14516.220000000001</v>
      </c>
      <c r="G42" s="107">
        <f>SUM(G37:G41)</f>
        <v>0</v>
      </c>
      <c r="H42" s="107">
        <f>SUM(H37:H41)</f>
        <v>0</v>
      </c>
      <c r="I42" s="107">
        <f>SUM(I37:I41)</f>
        <v>309.75</v>
      </c>
      <c r="J42" s="107">
        <f>SUM(J37:J41)</f>
        <v>14206.470000000001</v>
      </c>
    </row>
    <row r="43" spans="1:10" ht="13.5" customHeight="1" x14ac:dyDescent="0.2">
      <c r="A43" s="126"/>
      <c r="B43" s="36"/>
      <c r="C43" s="30"/>
      <c r="D43" s="640">
        <f>SUM(D37:D42)</f>
        <v>14516.220000000001</v>
      </c>
    </row>
    <row r="44" spans="1:10" ht="13.5" customHeight="1" x14ac:dyDescent="0.2">
      <c r="A44" s="126"/>
      <c r="B44" s="36"/>
      <c r="C44" s="30"/>
    </row>
    <row r="45" spans="1:10" ht="13.5" customHeight="1" x14ac:dyDescent="0.2">
      <c r="A45" s="126" t="s">
        <v>241</v>
      </c>
      <c r="B45" s="36" t="s">
        <v>189</v>
      </c>
      <c r="C45" s="61">
        <v>5311.14</v>
      </c>
    </row>
    <row r="46" spans="1:10" ht="13.5" customHeight="1" x14ac:dyDescent="0.2">
      <c r="A46" s="126" t="s">
        <v>241</v>
      </c>
      <c r="B46" s="36" t="s">
        <v>189</v>
      </c>
      <c r="C46" s="61">
        <v>4506.47</v>
      </c>
    </row>
    <row r="47" spans="1:10" ht="13.5" customHeight="1" x14ac:dyDescent="0.2">
      <c r="A47" s="126" t="s">
        <v>241</v>
      </c>
      <c r="B47" s="36" t="s">
        <v>174</v>
      </c>
      <c r="C47" s="30">
        <v>-12.5</v>
      </c>
    </row>
    <row r="48" spans="1:10" ht="13.5" customHeight="1" x14ac:dyDescent="0.2">
      <c r="A48" s="126" t="s">
        <v>241</v>
      </c>
      <c r="B48" s="36" t="s">
        <v>174</v>
      </c>
      <c r="C48" s="30">
        <v>-79.150000000000006</v>
      </c>
    </row>
    <row r="49" spans="1:5" ht="13.5" customHeight="1" x14ac:dyDescent="0.2">
      <c r="A49" s="126" t="s">
        <v>241</v>
      </c>
      <c r="B49" s="36" t="s">
        <v>174</v>
      </c>
      <c r="C49" s="30">
        <v>-139.05000000000001</v>
      </c>
    </row>
    <row r="50" spans="1:5" ht="13.5" customHeight="1" x14ac:dyDescent="0.2">
      <c r="A50" s="126" t="s">
        <v>241</v>
      </c>
      <c r="B50" s="36" t="s">
        <v>174</v>
      </c>
      <c r="C50" s="30">
        <v>-145.80000000000001</v>
      </c>
    </row>
    <row r="51" spans="1:5" ht="13.5" customHeight="1" x14ac:dyDescent="0.2">
      <c r="A51" s="126" t="s">
        <v>241</v>
      </c>
      <c r="B51" s="36" t="s">
        <v>174</v>
      </c>
      <c r="C51" s="30">
        <v>-270.79000000000002</v>
      </c>
      <c r="E51"/>
    </row>
    <row r="52" spans="1:5" ht="13.5" customHeight="1" x14ac:dyDescent="0.2">
      <c r="A52" s="126" t="s">
        <v>241</v>
      </c>
      <c r="B52" s="36" t="s">
        <v>174</v>
      </c>
      <c r="C52" s="30">
        <v>-271.33</v>
      </c>
    </row>
    <row r="53" spans="1:5" ht="13.5" customHeight="1" x14ac:dyDescent="0.2">
      <c r="A53" s="126" t="s">
        <v>241</v>
      </c>
      <c r="B53" s="36" t="s">
        <v>174</v>
      </c>
      <c r="C53" s="30">
        <v>-303.33</v>
      </c>
    </row>
    <row r="54" spans="1:5" ht="13.5" customHeight="1" x14ac:dyDescent="0.2">
      <c r="A54" s="126" t="s">
        <v>241</v>
      </c>
      <c r="B54" s="36" t="s">
        <v>174</v>
      </c>
      <c r="C54" s="30">
        <v>-592.11</v>
      </c>
    </row>
    <row r="55" spans="1:5" ht="13.5" customHeight="1" x14ac:dyDescent="0.2">
      <c r="A55" s="126" t="s">
        <v>241</v>
      </c>
      <c r="B55" s="36" t="s">
        <v>174</v>
      </c>
      <c r="C55" s="30">
        <v>-600.35</v>
      </c>
    </row>
    <row r="56" spans="1:5" ht="13.5" customHeight="1" x14ac:dyDescent="0.2">
      <c r="A56" s="126" t="s">
        <v>241</v>
      </c>
      <c r="B56" s="36" t="s">
        <v>174</v>
      </c>
      <c r="C56" s="30">
        <v>-1300</v>
      </c>
    </row>
    <row r="57" spans="1:5" ht="13.5" customHeight="1" x14ac:dyDescent="0.2">
      <c r="A57" s="126" t="s">
        <v>241</v>
      </c>
      <c r="B57" s="36" t="s">
        <v>174</v>
      </c>
      <c r="C57" s="30">
        <v>-1495.56</v>
      </c>
    </row>
    <row r="58" spans="1:5" ht="13.5" customHeight="1" x14ac:dyDescent="0.2">
      <c r="A58" s="126" t="s">
        <v>241</v>
      </c>
      <c r="B58" s="36" t="s">
        <v>174</v>
      </c>
      <c r="C58" s="30">
        <v>-1660.1</v>
      </c>
    </row>
    <row r="59" spans="1:5" ht="13.5" customHeight="1" x14ac:dyDescent="0.2">
      <c r="A59" s="126" t="s">
        <v>241</v>
      </c>
      <c r="B59" s="36" t="s">
        <v>174</v>
      </c>
      <c r="C59" s="30">
        <v>-3713</v>
      </c>
    </row>
    <row r="60" spans="1:5" ht="13.5" customHeight="1" x14ac:dyDescent="0.2">
      <c r="A60" s="126" t="s">
        <v>241</v>
      </c>
      <c r="B60" s="36" t="s">
        <v>174</v>
      </c>
      <c r="C60" s="30">
        <v>-4118.2299999999996</v>
      </c>
    </row>
    <row r="61" spans="1:5" ht="13.5" customHeight="1" x14ac:dyDescent="0.2">
      <c r="A61" s="126"/>
      <c r="B61" s="36"/>
      <c r="C61" s="620">
        <f>SUM(C45:C60)</f>
        <v>-4883.6899999999987</v>
      </c>
    </row>
    <row r="62" spans="1:5" ht="13.5" customHeight="1" x14ac:dyDescent="0.2">
      <c r="A62" s="126"/>
      <c r="B62" s="36"/>
      <c r="C62" s="30"/>
    </row>
    <row r="63" spans="1:5" ht="13.5" customHeight="1" x14ac:dyDescent="0.2">
      <c r="A63" s="126" t="s">
        <v>224</v>
      </c>
      <c r="B63" s="36" t="s">
        <v>62</v>
      </c>
      <c r="C63" s="61">
        <v>412.4</v>
      </c>
    </row>
    <row r="64" spans="1:5" ht="13.5" customHeight="1" x14ac:dyDescent="0.2">
      <c r="A64" s="126" t="s">
        <v>224</v>
      </c>
      <c r="B64" s="36" t="s">
        <v>68</v>
      </c>
      <c r="C64" s="61">
        <v>129.9</v>
      </c>
    </row>
    <row r="65" spans="1:4" ht="13.5" customHeight="1" x14ac:dyDescent="0.2">
      <c r="A65" s="126" t="s">
        <v>224</v>
      </c>
      <c r="B65" s="36" t="s">
        <v>1597</v>
      </c>
      <c r="C65" s="61">
        <v>0.01</v>
      </c>
    </row>
    <row r="66" spans="1:4" ht="13.5" customHeight="1" x14ac:dyDescent="0.2">
      <c r="A66" s="64" t="s">
        <v>224</v>
      </c>
      <c r="B66" s="32" t="s">
        <v>199</v>
      </c>
      <c r="C66" s="61">
        <v>171.33</v>
      </c>
    </row>
    <row r="67" spans="1:4" ht="13.5" customHeight="1" x14ac:dyDescent="0.2">
      <c r="A67" s="126" t="s">
        <v>224</v>
      </c>
      <c r="B67" s="36" t="s">
        <v>1598</v>
      </c>
      <c r="C67" s="61">
        <v>0.7</v>
      </c>
    </row>
    <row r="68" spans="1:4" ht="13.5" customHeight="1" x14ac:dyDescent="0.2">
      <c r="A68" s="126" t="s">
        <v>224</v>
      </c>
      <c r="B68" s="36" t="s">
        <v>1795</v>
      </c>
      <c r="C68" s="61">
        <f>D71</f>
        <v>386.66666666666669</v>
      </c>
    </row>
    <row r="69" spans="1:4" ht="13.5" customHeight="1" x14ac:dyDescent="0.2">
      <c r="A69" s="126"/>
      <c r="B69" s="36"/>
      <c r="C69" s="421">
        <f>SUM(C63:C68)</f>
        <v>1101.0066666666667</v>
      </c>
    </row>
    <row r="70" spans="1:4" ht="13.5" customHeight="1" x14ac:dyDescent="0.2">
      <c r="A70" s="126"/>
      <c r="B70" s="36"/>
      <c r="C70" s="61"/>
    </row>
    <row r="71" spans="1:4" ht="13.5" customHeight="1" x14ac:dyDescent="0.2">
      <c r="A71" s="1" t="s">
        <v>224</v>
      </c>
      <c r="B71" s="36" t="s">
        <v>2860</v>
      </c>
      <c r="C71" s="196">
        <v>280</v>
      </c>
      <c r="D71" s="689">
        <f>SUM(C71:C72)-D72</f>
        <v>386.66666666666669</v>
      </c>
    </row>
    <row r="72" spans="1:4" ht="13.5" customHeight="1" x14ac:dyDescent="0.2">
      <c r="A72" s="1" t="s">
        <v>224</v>
      </c>
      <c r="B72" s="36" t="s">
        <v>2783</v>
      </c>
      <c r="C72" s="196">
        <v>300</v>
      </c>
      <c r="D72" s="622">
        <f t="array" ref="D72">SUM(C71:C72/3)</f>
        <v>193.33333333333331</v>
      </c>
    </row>
    <row r="73" spans="1:4" ht="13.5" customHeight="1" x14ac:dyDescent="0.2">
      <c r="A73" s="64"/>
      <c r="B73" s="32"/>
      <c r="C73" s="61"/>
    </row>
    <row r="74" spans="1:4" ht="13.5" customHeight="1" x14ac:dyDescent="0.2">
      <c r="A74" s="64"/>
      <c r="B74" s="32"/>
      <c r="C74" s="61"/>
    </row>
    <row r="75" spans="1:4" ht="13.5" customHeight="1" x14ac:dyDescent="0.2">
      <c r="A75" s="244" t="s">
        <v>225</v>
      </c>
      <c r="B75" s="32" t="s">
        <v>2997</v>
      </c>
      <c r="C75" s="421">
        <v>754</v>
      </c>
    </row>
    <row r="76" spans="1:4" ht="13.5" customHeight="1" x14ac:dyDescent="0.2">
      <c r="A76" s="244"/>
      <c r="B76" s="32"/>
      <c r="C76" s="61"/>
    </row>
    <row r="77" spans="1:4" ht="13.5" customHeight="1" x14ac:dyDescent="0.2">
      <c r="A77" s="244"/>
      <c r="B77" s="32"/>
      <c r="C77" s="61"/>
    </row>
    <row r="78" spans="1:4" ht="13.5" customHeight="1" x14ac:dyDescent="0.2">
      <c r="A78" s="244"/>
      <c r="B78" s="32" t="s">
        <v>3554</v>
      </c>
      <c r="C78" s="61">
        <v>-20.72</v>
      </c>
    </row>
    <row r="79" spans="1:4" ht="13.5" customHeight="1" x14ac:dyDescent="0.2">
      <c r="A79" s="126" t="s">
        <v>242</v>
      </c>
      <c r="B79" s="36" t="s">
        <v>127</v>
      </c>
      <c r="C79" s="61">
        <v>50.61</v>
      </c>
    </row>
    <row r="80" spans="1:4" ht="13.5" customHeight="1" x14ac:dyDescent="0.2">
      <c r="A80" s="126" t="s">
        <v>242</v>
      </c>
      <c r="B80" s="33" t="s">
        <v>736</v>
      </c>
      <c r="C80" s="61">
        <v>47.24</v>
      </c>
    </row>
    <row r="81" spans="1:8" ht="13.5" customHeight="1" x14ac:dyDescent="0.2">
      <c r="A81" s="126" t="s">
        <v>242</v>
      </c>
      <c r="B81" s="36" t="s">
        <v>129</v>
      </c>
      <c r="C81" s="61">
        <v>50.61</v>
      </c>
    </row>
    <row r="82" spans="1:8" ht="13.5" customHeight="1" x14ac:dyDescent="0.2">
      <c r="A82" s="126" t="s">
        <v>242</v>
      </c>
      <c r="B82" s="33" t="s">
        <v>737</v>
      </c>
      <c r="C82" s="61">
        <v>60.74</v>
      </c>
    </row>
    <row r="83" spans="1:8" ht="13.5" customHeight="1" x14ac:dyDescent="0.2">
      <c r="A83" s="126" t="s">
        <v>242</v>
      </c>
      <c r="B83" s="36" t="s">
        <v>2833</v>
      </c>
      <c r="C83" s="196">
        <v>6</v>
      </c>
    </row>
    <row r="84" spans="1:8" ht="13.5" customHeight="1" x14ac:dyDescent="0.2">
      <c r="A84" s="126" t="s">
        <v>242</v>
      </c>
      <c r="B84" s="36" t="s">
        <v>87</v>
      </c>
      <c r="C84" s="61">
        <v>40.630000000000003</v>
      </c>
    </row>
    <row r="85" spans="1:8" ht="13.5" customHeight="1" x14ac:dyDescent="0.2">
      <c r="A85" s="126" t="s">
        <v>242</v>
      </c>
      <c r="B85" s="32" t="s">
        <v>2921</v>
      </c>
      <c r="C85" s="51">
        <v>14</v>
      </c>
    </row>
    <row r="86" spans="1:8" ht="13.5" customHeight="1" x14ac:dyDescent="0.2">
      <c r="A86" s="126" t="s">
        <v>242</v>
      </c>
      <c r="B86" s="32" t="s">
        <v>2876</v>
      </c>
      <c r="C86" s="30">
        <v>53.7</v>
      </c>
    </row>
    <row r="87" spans="1:8" ht="13.5" customHeight="1" x14ac:dyDescent="0.2">
      <c r="A87" s="126" t="s">
        <v>242</v>
      </c>
      <c r="B87" s="36" t="s">
        <v>2898</v>
      </c>
      <c r="C87" s="30">
        <v>-1475</v>
      </c>
      <c r="F87" s="126" t="s">
        <v>242</v>
      </c>
      <c r="G87" s="32" t="s">
        <v>813</v>
      </c>
      <c r="H87" s="61">
        <v>75</v>
      </c>
    </row>
    <row r="88" spans="1:8" ht="13.5" customHeight="1" x14ac:dyDescent="0.2">
      <c r="A88" s="126" t="s">
        <v>242</v>
      </c>
      <c r="B88" s="36" t="s">
        <v>624</v>
      </c>
      <c r="C88" s="30">
        <f>H87/2</f>
        <v>37.5</v>
      </c>
      <c r="F88" s="126"/>
      <c r="G88" s="325"/>
      <c r="H88" s="430"/>
    </row>
    <row r="89" spans="1:8" ht="13.5" customHeight="1" x14ac:dyDescent="0.2">
      <c r="A89" s="126"/>
      <c r="B89" s="36"/>
      <c r="C89" s="620">
        <f>SUM(C78:C88)</f>
        <v>-1134.69</v>
      </c>
      <c r="F89" s="126"/>
      <c r="G89" s="325"/>
      <c r="H89" s="430"/>
    </row>
    <row r="90" spans="1:8" ht="13.5" customHeight="1" x14ac:dyDescent="0.2">
      <c r="A90" s="126"/>
      <c r="B90" s="36"/>
      <c r="C90" s="619"/>
      <c r="F90" s="126"/>
      <c r="G90" s="325"/>
      <c r="H90" s="430"/>
    </row>
    <row r="91" spans="1:8" ht="13.5" customHeight="1" x14ac:dyDescent="0.2">
      <c r="A91" s="126" t="s">
        <v>242</v>
      </c>
      <c r="B91" s="36"/>
      <c r="C91" s="30"/>
      <c r="F91" s="126"/>
      <c r="G91" s="325"/>
      <c r="H91" s="430"/>
    </row>
    <row r="92" spans="1:8" ht="13.5" customHeight="1" x14ac:dyDescent="0.2">
      <c r="A92" s="126" t="s">
        <v>242</v>
      </c>
      <c r="B92" s="36" t="s">
        <v>2882</v>
      </c>
      <c r="C92" s="30">
        <v>29.8</v>
      </c>
    </row>
    <row r="93" spans="1:8" ht="13.5" customHeight="1" x14ac:dyDescent="0.2">
      <c r="A93" s="126" t="s">
        <v>242</v>
      </c>
      <c r="B93" s="36" t="s">
        <v>2950</v>
      </c>
      <c r="C93" s="61">
        <v>11.98</v>
      </c>
    </row>
    <row r="94" spans="1:8" ht="13.5" customHeight="1" x14ac:dyDescent="0.2">
      <c r="A94" s="126" t="s">
        <v>242</v>
      </c>
      <c r="B94" s="36" t="s">
        <v>2880</v>
      </c>
      <c r="C94" s="30">
        <v>383.14</v>
      </c>
    </row>
    <row r="95" spans="1:8" ht="13.5" customHeight="1" x14ac:dyDescent="0.2">
      <c r="A95" s="126" t="s">
        <v>242</v>
      </c>
      <c r="B95" s="36" t="s">
        <v>2878</v>
      </c>
      <c r="C95" s="30">
        <v>91</v>
      </c>
    </row>
    <row r="96" spans="1:8" ht="13.5" customHeight="1" x14ac:dyDescent="0.2">
      <c r="A96" s="126" t="s">
        <v>242</v>
      </c>
      <c r="B96" s="36" t="s">
        <v>2820</v>
      </c>
      <c r="C96" s="196">
        <v>4.5</v>
      </c>
    </row>
    <row r="97" spans="1:5" ht="13.5" customHeight="1" x14ac:dyDescent="0.2">
      <c r="A97" s="126" t="s">
        <v>242</v>
      </c>
      <c r="B97" s="36" t="s">
        <v>2817</v>
      </c>
      <c r="C97" s="196">
        <v>85</v>
      </c>
    </row>
    <row r="98" spans="1:5" ht="13.5" customHeight="1" x14ac:dyDescent="0.2">
      <c r="A98" s="126" t="s">
        <v>242</v>
      </c>
      <c r="B98" s="36" t="s">
        <v>2854</v>
      </c>
      <c r="C98" s="196">
        <v>22.99</v>
      </c>
    </row>
    <row r="99" spans="1:5" ht="13.5" customHeight="1" x14ac:dyDescent="0.2">
      <c r="A99" s="126" t="s">
        <v>242</v>
      </c>
      <c r="B99" s="36" t="s">
        <v>2850</v>
      </c>
      <c r="C99" s="196">
        <v>45.35</v>
      </c>
    </row>
    <row r="100" spans="1:5" ht="13.5" customHeight="1" x14ac:dyDescent="0.2">
      <c r="A100" s="126" t="s">
        <v>242</v>
      </c>
      <c r="B100" s="36" t="s">
        <v>2815</v>
      </c>
      <c r="C100" s="196">
        <v>4.4000000000000004</v>
      </c>
    </row>
    <row r="101" spans="1:5" ht="13.5" customHeight="1" x14ac:dyDescent="0.2">
      <c r="A101" s="126" t="s">
        <v>242</v>
      </c>
      <c r="B101" s="36" t="s">
        <v>2819</v>
      </c>
      <c r="C101" s="196">
        <v>50</v>
      </c>
    </row>
    <row r="102" spans="1:5" ht="13.5" customHeight="1" x14ac:dyDescent="0.2">
      <c r="A102" s="126" t="s">
        <v>242</v>
      </c>
      <c r="B102" s="36" t="s">
        <v>180</v>
      </c>
      <c r="C102" s="61">
        <v>189.48</v>
      </c>
    </row>
    <row r="103" spans="1:5" ht="13.5" customHeight="1" x14ac:dyDescent="0.2">
      <c r="A103" s="126" t="s">
        <v>242</v>
      </c>
      <c r="B103" s="36" t="s">
        <v>2870</v>
      </c>
      <c r="C103" s="30">
        <v>65.56</v>
      </c>
      <c r="E103"/>
    </row>
    <row r="104" spans="1:5" ht="13.5" customHeight="1" x14ac:dyDescent="0.2">
      <c r="A104" s="126" t="s">
        <v>242</v>
      </c>
      <c r="B104" s="36" t="s">
        <v>2812</v>
      </c>
      <c r="C104" s="196">
        <v>120</v>
      </c>
    </row>
    <row r="105" spans="1:5" ht="13.5" customHeight="1" x14ac:dyDescent="0.2">
      <c r="A105" s="126" t="s">
        <v>242</v>
      </c>
      <c r="B105" s="36" t="s">
        <v>2813</v>
      </c>
      <c r="C105" s="196">
        <v>400</v>
      </c>
    </row>
    <row r="106" spans="1:5" ht="13.5" customHeight="1" x14ac:dyDescent="0.2">
      <c r="A106" s="126" t="s">
        <v>242</v>
      </c>
      <c r="B106" s="36" t="s">
        <v>2826</v>
      </c>
      <c r="C106" s="196">
        <v>216</v>
      </c>
    </row>
    <row r="107" spans="1:5" ht="13.5" customHeight="1" x14ac:dyDescent="0.2">
      <c r="A107" s="126" t="s">
        <v>242</v>
      </c>
      <c r="B107" s="36" t="s">
        <v>2881</v>
      </c>
      <c r="C107" s="30">
        <v>390</v>
      </c>
    </row>
    <row r="108" spans="1:5" ht="13.5" customHeight="1" x14ac:dyDescent="0.2">
      <c r="A108" s="126" t="s">
        <v>242</v>
      </c>
      <c r="B108" s="32" t="s">
        <v>2877</v>
      </c>
      <c r="C108" s="30">
        <v>200</v>
      </c>
    </row>
    <row r="109" spans="1:5" ht="13.5" customHeight="1" x14ac:dyDescent="0.2">
      <c r="A109" s="126" t="s">
        <v>242</v>
      </c>
      <c r="B109" s="36" t="s">
        <v>2866</v>
      </c>
      <c r="C109" s="30">
        <v>240</v>
      </c>
    </row>
    <row r="110" spans="1:5" ht="13.5" customHeight="1" x14ac:dyDescent="0.2">
      <c r="A110" s="126" t="s">
        <v>242</v>
      </c>
      <c r="B110" s="36" t="s">
        <v>2931</v>
      </c>
      <c r="C110" s="61">
        <v>799</v>
      </c>
    </row>
    <row r="111" spans="1:5" ht="13.5" customHeight="1" x14ac:dyDescent="0.2">
      <c r="A111" s="126" t="s">
        <v>242</v>
      </c>
      <c r="B111" s="32" t="s">
        <v>2874</v>
      </c>
      <c r="C111" s="30">
        <v>-1500</v>
      </c>
    </row>
    <row r="112" spans="1:5" ht="13.5" customHeight="1" x14ac:dyDescent="0.2">
      <c r="A112" s="126" t="s">
        <v>242</v>
      </c>
      <c r="B112" s="36" t="s">
        <v>2952</v>
      </c>
      <c r="C112" s="61">
        <v>91</v>
      </c>
    </row>
    <row r="113" spans="1:3" ht="13.5" customHeight="1" x14ac:dyDescent="0.2">
      <c r="A113" s="126" t="s">
        <v>242</v>
      </c>
      <c r="B113" s="36" t="s">
        <v>625</v>
      </c>
      <c r="C113" s="61">
        <f>C88</f>
        <v>37.5</v>
      </c>
    </row>
    <row r="114" spans="1:3" ht="13.5" customHeight="1" x14ac:dyDescent="0.2">
      <c r="A114" s="126"/>
      <c r="B114" s="36"/>
      <c r="C114" s="421">
        <f>SUM(C92:C113)</f>
        <v>1976.6999999999998</v>
      </c>
    </row>
    <row r="115" spans="1:3" ht="13.5" customHeight="1" x14ac:dyDescent="0.2">
      <c r="A115" s="126"/>
      <c r="B115" s="36"/>
      <c r="C115" s="61"/>
    </row>
    <row r="116" spans="1:3" ht="13.5" customHeight="1" x14ac:dyDescent="0.2">
      <c r="A116" s="126"/>
      <c r="B116" s="36" t="s">
        <v>1795</v>
      </c>
      <c r="C116" s="61">
        <f>D72</f>
        <v>193.33333333333331</v>
      </c>
    </row>
    <row r="117" spans="1:3" ht="13.5" customHeight="1" x14ac:dyDescent="0.2">
      <c r="A117" s="126"/>
      <c r="B117" s="36" t="s">
        <v>3553</v>
      </c>
      <c r="C117" s="61">
        <v>900</v>
      </c>
    </row>
    <row r="118" spans="1:3" ht="13.5" customHeight="1" x14ac:dyDescent="0.2">
      <c r="A118" s="64" t="s">
        <v>243</v>
      </c>
      <c r="B118" s="36" t="s">
        <v>2919</v>
      </c>
      <c r="C118" s="51">
        <v>3.78</v>
      </c>
    </row>
    <row r="119" spans="1:3" ht="13.5" customHeight="1" x14ac:dyDescent="0.2">
      <c r="A119" t="s">
        <v>243</v>
      </c>
      <c r="B119" s="36" t="s">
        <v>2780</v>
      </c>
      <c r="C119" s="196">
        <v>24.47</v>
      </c>
    </row>
    <row r="120" spans="1:3" ht="13.5" customHeight="1" x14ac:dyDescent="0.2">
      <c r="A120" t="s">
        <v>243</v>
      </c>
      <c r="B120" s="36" t="s">
        <v>2777</v>
      </c>
      <c r="C120" s="196">
        <v>20.48</v>
      </c>
    </row>
    <row r="121" spans="1:3" ht="13.5" customHeight="1" x14ac:dyDescent="0.2">
      <c r="A121" t="s">
        <v>243</v>
      </c>
      <c r="B121" s="36" t="s">
        <v>2778</v>
      </c>
      <c r="C121" s="196">
        <v>82.47</v>
      </c>
    </row>
    <row r="122" spans="1:3" ht="13.5" customHeight="1" x14ac:dyDescent="0.2">
      <c r="A122" t="s">
        <v>243</v>
      </c>
      <c r="B122" s="36" t="s">
        <v>2970</v>
      </c>
      <c r="C122" s="61">
        <v>570</v>
      </c>
    </row>
    <row r="123" spans="1:3" ht="13.5" customHeight="1" x14ac:dyDescent="0.2">
      <c r="A123" t="s">
        <v>243</v>
      </c>
      <c r="B123" s="36" t="s">
        <v>2965</v>
      </c>
      <c r="C123" s="61">
        <v>109.9</v>
      </c>
    </row>
    <row r="124" spans="1:3" ht="13.5" customHeight="1" x14ac:dyDescent="0.2">
      <c r="A124" t="s">
        <v>243</v>
      </c>
      <c r="B124" s="36" t="s">
        <v>2925</v>
      </c>
      <c r="C124" s="51">
        <v>58.15</v>
      </c>
    </row>
    <row r="125" spans="1:3" ht="13.5" customHeight="1" x14ac:dyDescent="0.2">
      <c r="A125" t="s">
        <v>243</v>
      </c>
      <c r="B125" s="36" t="s">
        <v>2916</v>
      </c>
      <c r="C125" s="51">
        <v>11.53</v>
      </c>
    </row>
    <row r="126" spans="1:3" ht="13.5" customHeight="1" x14ac:dyDescent="0.2">
      <c r="A126" t="s">
        <v>243</v>
      </c>
      <c r="B126" s="33" t="s">
        <v>81</v>
      </c>
      <c r="C126" s="61">
        <v>49.9</v>
      </c>
    </row>
    <row r="127" spans="1:3" ht="13.5" customHeight="1" x14ac:dyDescent="0.2">
      <c r="A127" t="s">
        <v>243</v>
      </c>
      <c r="B127" s="36" t="s">
        <v>673</v>
      </c>
      <c r="C127" s="61">
        <v>99.98</v>
      </c>
    </row>
    <row r="128" spans="1:3" ht="13.5" customHeight="1" x14ac:dyDescent="0.2">
      <c r="A128" s="64" t="s">
        <v>243</v>
      </c>
      <c r="B128" s="36" t="s">
        <v>2814</v>
      </c>
      <c r="C128" s="196">
        <v>75.400000000000006</v>
      </c>
    </row>
    <row r="129" spans="1:16" ht="13.5" customHeight="1" x14ac:dyDescent="0.2">
      <c r="A129" s="64" t="s">
        <v>243</v>
      </c>
      <c r="B129" s="36" t="s">
        <v>2772</v>
      </c>
      <c r="C129" s="196">
        <v>6.98</v>
      </c>
    </row>
    <row r="130" spans="1:16" ht="13.5" customHeight="1" x14ac:dyDescent="0.2">
      <c r="A130" s="64" t="s">
        <v>243</v>
      </c>
      <c r="B130" s="36" t="s">
        <v>2772</v>
      </c>
      <c r="C130" s="196">
        <v>6.98</v>
      </c>
    </row>
    <row r="131" spans="1:16" ht="13.5" customHeight="1" x14ac:dyDescent="0.2">
      <c r="A131" s="64" t="s">
        <v>243</v>
      </c>
      <c r="B131" s="36" t="s">
        <v>2839</v>
      </c>
      <c r="C131" s="196">
        <v>11.25</v>
      </c>
    </row>
    <row r="132" spans="1:16" ht="13.5" customHeight="1" x14ac:dyDescent="0.2">
      <c r="A132" s="64" t="s">
        <v>243</v>
      </c>
      <c r="B132" s="36" t="s">
        <v>2789</v>
      </c>
      <c r="C132" s="196">
        <v>32.35</v>
      </c>
    </row>
    <row r="133" spans="1:16" ht="13.5" customHeight="1" x14ac:dyDescent="0.2">
      <c r="A133" s="64" t="s">
        <v>243</v>
      </c>
      <c r="B133" s="36" t="s">
        <v>2843</v>
      </c>
      <c r="C133" s="196">
        <v>7.58</v>
      </c>
    </row>
    <row r="134" spans="1:16" ht="13.5" customHeight="1" x14ac:dyDescent="0.2">
      <c r="A134" s="64" t="s">
        <v>243</v>
      </c>
      <c r="B134" s="36" t="s">
        <v>2816</v>
      </c>
      <c r="C134" s="196">
        <v>50</v>
      </c>
    </row>
    <row r="135" spans="1:16" ht="13.5" customHeight="1" x14ac:dyDescent="0.2">
      <c r="A135" s="64" t="s">
        <v>243</v>
      </c>
      <c r="B135" s="36" t="s">
        <v>2420</v>
      </c>
      <c r="C135" s="196">
        <v>1.18</v>
      </c>
    </row>
    <row r="136" spans="1:16" ht="13.5" customHeight="1" x14ac:dyDescent="0.2">
      <c r="A136" s="64" t="s">
        <v>243</v>
      </c>
      <c r="B136" s="36" t="s">
        <v>2768</v>
      </c>
      <c r="C136" s="196">
        <v>19.96</v>
      </c>
    </row>
    <row r="137" spans="1:16" ht="13.5" customHeight="1" x14ac:dyDescent="0.2">
      <c r="A137" s="244" t="s">
        <v>243</v>
      </c>
      <c r="B137" s="36" t="s">
        <v>2775</v>
      </c>
      <c r="C137" s="196">
        <v>35.89</v>
      </c>
    </row>
    <row r="138" spans="1:16" ht="13.5" customHeight="1" x14ac:dyDescent="0.2">
      <c r="A138" s="244" t="s">
        <v>243</v>
      </c>
      <c r="B138" s="36" t="s">
        <v>2844</v>
      </c>
      <c r="C138" s="196">
        <v>18.43</v>
      </c>
    </row>
    <row r="139" spans="1:16" ht="13.5" customHeight="1" x14ac:dyDescent="0.2">
      <c r="A139" s="244" t="s">
        <v>243</v>
      </c>
      <c r="B139" s="36" t="s">
        <v>2848</v>
      </c>
      <c r="C139" s="196">
        <v>9.99</v>
      </c>
    </row>
    <row r="140" spans="1:16" ht="13.5" customHeight="1" x14ac:dyDescent="0.2">
      <c r="A140" s="244" t="s">
        <v>243</v>
      </c>
      <c r="B140" s="36" t="s">
        <v>2771</v>
      </c>
      <c r="C140" s="196">
        <v>8.48</v>
      </c>
    </row>
    <row r="141" spans="1:16" ht="13.5" customHeight="1" x14ac:dyDescent="0.2">
      <c r="A141" s="244" t="s">
        <v>243</v>
      </c>
      <c r="B141" s="36" t="s">
        <v>2773</v>
      </c>
      <c r="C141" s="196">
        <v>195.32</v>
      </c>
    </row>
    <row r="142" spans="1:16" s="64" customFormat="1" ht="13.5" customHeight="1" x14ac:dyDescent="0.2">
      <c r="A142" s="244" t="s">
        <v>243</v>
      </c>
      <c r="B142" s="36" t="s">
        <v>2807</v>
      </c>
      <c r="C142" s="196">
        <v>76.98</v>
      </c>
      <c r="D142" s="622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</row>
    <row r="143" spans="1:16" s="64" customFormat="1" ht="13.5" customHeight="1" x14ac:dyDescent="0.2">
      <c r="A143" s="244" t="s">
        <v>243</v>
      </c>
      <c r="B143" s="34" t="s">
        <v>2883</v>
      </c>
      <c r="C143" s="30">
        <v>88.49</v>
      </c>
      <c r="D143" s="622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</row>
    <row r="144" spans="1:16" s="64" customFormat="1" ht="13.5" customHeight="1" x14ac:dyDescent="0.2">
      <c r="A144" s="244" t="s">
        <v>243</v>
      </c>
      <c r="B144" s="36" t="s">
        <v>2867</v>
      </c>
      <c r="C144" s="50">
        <v>12</v>
      </c>
      <c r="D144" s="5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</row>
    <row r="145" spans="1:5" ht="13.5" customHeight="1" x14ac:dyDescent="0.2">
      <c r="A145" s="244" t="s">
        <v>243</v>
      </c>
      <c r="B145" s="34" t="s">
        <v>2867</v>
      </c>
      <c r="C145" s="30">
        <v>6</v>
      </c>
    </row>
    <row r="146" spans="1:5" ht="13.5" customHeight="1" x14ac:dyDescent="0.2">
      <c r="A146" s="244" t="s">
        <v>243</v>
      </c>
      <c r="B146" s="36" t="s">
        <v>2825</v>
      </c>
      <c r="C146" s="196">
        <v>200</v>
      </c>
    </row>
    <row r="147" spans="1:5" ht="13.5" customHeight="1" x14ac:dyDescent="0.2">
      <c r="A147" s="244" t="s">
        <v>243</v>
      </c>
      <c r="B147" s="34" t="s">
        <v>2800</v>
      </c>
      <c r="C147" s="196">
        <v>1575</v>
      </c>
    </row>
    <row r="148" spans="1:5" ht="13.5" customHeight="1" x14ac:dyDescent="0.2">
      <c r="A148" s="244" t="s">
        <v>243</v>
      </c>
      <c r="B148" s="34" t="s">
        <v>2345</v>
      </c>
      <c r="C148" s="196">
        <v>2490</v>
      </c>
    </row>
    <row r="149" spans="1:5" ht="13.5" customHeight="1" x14ac:dyDescent="0.2">
      <c r="A149" s="244" t="s">
        <v>243</v>
      </c>
      <c r="B149" s="34" t="s">
        <v>2907</v>
      </c>
      <c r="C149" s="51">
        <v>275</v>
      </c>
    </row>
    <row r="150" spans="1:5" ht="13.5" customHeight="1" x14ac:dyDescent="0.2">
      <c r="A150" s="244" t="s">
        <v>243</v>
      </c>
      <c r="B150" s="34" t="s">
        <v>2975</v>
      </c>
      <c r="C150" s="61">
        <v>230</v>
      </c>
    </row>
    <row r="151" spans="1:5" ht="13.5" customHeight="1" x14ac:dyDescent="0.2">
      <c r="A151" s="1" t="s">
        <v>243</v>
      </c>
      <c r="B151" s="34" t="s">
        <v>2799</v>
      </c>
      <c r="C151" s="196">
        <v>175</v>
      </c>
    </row>
    <row r="152" spans="1:5" ht="13.5" customHeight="1" x14ac:dyDescent="0.2">
      <c r="A152" t="s">
        <v>243</v>
      </c>
      <c r="B152" s="36" t="s">
        <v>2914</v>
      </c>
      <c r="C152" s="51">
        <v>55.9</v>
      </c>
    </row>
    <row r="153" spans="1:5" ht="13.5" customHeight="1" x14ac:dyDescent="0.2">
      <c r="A153"/>
      <c r="B153" s="36"/>
      <c r="C153" s="620">
        <f>SUM(C116:C152)</f>
        <v>7788.1533333333318</v>
      </c>
      <c r="D153" s="622">
        <f>SUM(C153/2)</f>
        <v>3894.0766666666659</v>
      </c>
    </row>
    <row r="154" spans="1:5" ht="13.5" customHeight="1" x14ac:dyDescent="0.2">
      <c r="A154"/>
      <c r="B154" s="36"/>
      <c r="C154" s="51"/>
    </row>
    <row r="155" spans="1:5" ht="13.5" customHeight="1" x14ac:dyDescent="0.2">
      <c r="A155" s="244" t="s">
        <v>230</v>
      </c>
      <c r="B155" s="36" t="s">
        <v>177</v>
      </c>
      <c r="C155" s="421">
        <v>232.49</v>
      </c>
      <c r="D155" s="622">
        <f>SUM(C155*D161)</f>
        <v>28.196162152918593</v>
      </c>
      <c r="E155" t="s">
        <v>1793</v>
      </c>
    </row>
    <row r="156" spans="1:5" ht="13.5" customHeight="1" x14ac:dyDescent="0.2">
      <c r="A156" s="244"/>
      <c r="B156" s="36"/>
      <c r="C156" s="61"/>
      <c r="D156" s="622">
        <f>SUM(C155-D155)</f>
        <v>204.29383784708142</v>
      </c>
      <c r="E156" t="s">
        <v>1794</v>
      </c>
    </row>
    <row r="157" spans="1:5" ht="13.5" customHeight="1" x14ac:dyDescent="0.2">
      <c r="A157" s="244"/>
      <c r="B157" s="36"/>
      <c r="C157" s="61"/>
    </row>
    <row r="158" spans="1:5" ht="13.5" customHeight="1" x14ac:dyDescent="0.2">
      <c r="A158" s="244" t="s">
        <v>231</v>
      </c>
      <c r="B158" s="32" t="s">
        <v>198</v>
      </c>
      <c r="C158" s="421">
        <v>1273.6099999999999</v>
      </c>
      <c r="D158" s="622">
        <f>SUM(C158*D161)</f>
        <v>154.46218796326141</v>
      </c>
      <c r="E158" t="s">
        <v>1793</v>
      </c>
    </row>
    <row r="159" spans="1:5" ht="13.5" customHeight="1" x14ac:dyDescent="0.2">
      <c r="A159" s="244"/>
      <c r="B159" s="32"/>
      <c r="C159" s="61"/>
      <c r="D159" s="622">
        <f>SUM(C158-D158)</f>
        <v>1119.1478120367385</v>
      </c>
      <c r="E159" t="s">
        <v>1794</v>
      </c>
    </row>
    <row r="160" spans="1:5" ht="13.5" customHeight="1" x14ac:dyDescent="0.2">
      <c r="A160" s="244"/>
      <c r="B160" s="32"/>
      <c r="C160" s="61"/>
    </row>
    <row r="161" spans="1:8" ht="13.5" customHeight="1" x14ac:dyDescent="0.2">
      <c r="A161" s="126" t="s">
        <v>417</v>
      </c>
      <c r="B161" s="36" t="s">
        <v>2892</v>
      </c>
      <c r="C161" s="30">
        <v>11.2</v>
      </c>
      <c r="D161" s="645">
        <f>SUM(C167/(C167+C200))</f>
        <v>0.12127903201393003</v>
      </c>
    </row>
    <row r="162" spans="1:8" ht="13.5" customHeight="1" x14ac:dyDescent="0.2">
      <c r="A162" s="126" t="s">
        <v>417</v>
      </c>
      <c r="B162" s="36" t="s">
        <v>2893</v>
      </c>
      <c r="C162" s="30">
        <v>70</v>
      </c>
    </row>
    <row r="163" spans="1:8" ht="13.5" customHeight="1" x14ac:dyDescent="0.2">
      <c r="A163" s="126" t="s">
        <v>417</v>
      </c>
      <c r="B163" s="36" t="s">
        <v>2895</v>
      </c>
      <c r="C163" s="30">
        <v>60</v>
      </c>
    </row>
    <row r="164" spans="1:8" ht="13.5" customHeight="1" x14ac:dyDescent="0.2">
      <c r="A164" s="126" t="s">
        <v>417</v>
      </c>
      <c r="B164" s="36" t="s">
        <v>2894</v>
      </c>
      <c r="C164" s="30">
        <v>60</v>
      </c>
    </row>
    <row r="165" spans="1:8" ht="13.5" customHeight="1" x14ac:dyDescent="0.2">
      <c r="A165" s="126" t="s">
        <v>417</v>
      </c>
      <c r="B165" s="36" t="s">
        <v>2896</v>
      </c>
      <c r="C165" s="30">
        <v>60</v>
      </c>
      <c r="F165" s="126" t="s">
        <v>417</v>
      </c>
      <c r="G165" s="36" t="s">
        <v>2915</v>
      </c>
      <c r="H165" s="51">
        <v>37.5</v>
      </c>
    </row>
    <row r="166" spans="1:8" ht="13.5" customHeight="1" x14ac:dyDescent="0.2">
      <c r="A166" s="126" t="s">
        <v>417</v>
      </c>
      <c r="B166" s="34" t="s">
        <v>422</v>
      </c>
      <c r="C166" s="200">
        <f t="array" ref="C166">SUM(H165:H168/2)</f>
        <v>788.43</v>
      </c>
      <c r="F166" s="126" t="s">
        <v>417</v>
      </c>
      <c r="G166" s="34" t="s">
        <v>2922</v>
      </c>
      <c r="H166" s="51">
        <v>43.8</v>
      </c>
    </row>
    <row r="167" spans="1:8" ht="13.5" customHeight="1" x14ac:dyDescent="0.2">
      <c r="A167" s="126"/>
      <c r="B167" s="34"/>
      <c r="C167" s="620">
        <f>SUM(C161:C166)</f>
        <v>1049.6299999999999</v>
      </c>
      <c r="F167" s="126" t="s">
        <v>417</v>
      </c>
      <c r="G167" s="34" t="s">
        <v>173</v>
      </c>
      <c r="H167" s="61">
        <v>886.88</v>
      </c>
    </row>
    <row r="168" spans="1:8" ht="13.5" customHeight="1" x14ac:dyDescent="0.2">
      <c r="A168" s="126"/>
      <c r="B168" s="34"/>
      <c r="C168" s="30"/>
      <c r="F168" s="126" t="s">
        <v>417</v>
      </c>
      <c r="G168" s="34" t="s">
        <v>172</v>
      </c>
      <c r="H168" s="61">
        <v>608.67999999999995</v>
      </c>
    </row>
    <row r="169" spans="1:8" ht="13.5" customHeight="1" x14ac:dyDescent="0.2">
      <c r="A169" s="126" t="s">
        <v>417</v>
      </c>
      <c r="B169" s="138" t="s">
        <v>3007</v>
      </c>
      <c r="C169" s="61">
        <v>793.85</v>
      </c>
    </row>
    <row r="170" spans="1:8" ht="13.5" customHeight="1" x14ac:dyDescent="0.2">
      <c r="A170" s="126" t="s">
        <v>417</v>
      </c>
      <c r="B170" s="138" t="s">
        <v>3009</v>
      </c>
      <c r="C170" s="61">
        <v>421.52</v>
      </c>
    </row>
    <row r="171" spans="1:8" ht="13.5" customHeight="1" x14ac:dyDescent="0.2">
      <c r="A171" s="126" t="s">
        <v>417</v>
      </c>
      <c r="B171" s="34" t="s">
        <v>2766</v>
      </c>
      <c r="C171" s="196">
        <v>42.2</v>
      </c>
    </row>
    <row r="172" spans="1:8" ht="13.5" customHeight="1" x14ac:dyDescent="0.2">
      <c r="A172" s="126" t="s">
        <v>417</v>
      </c>
      <c r="B172" s="34" t="s">
        <v>2849</v>
      </c>
      <c r="C172" s="196">
        <v>45.44</v>
      </c>
    </row>
    <row r="173" spans="1:8" ht="13.5" customHeight="1" x14ac:dyDescent="0.2">
      <c r="A173" s="126" t="s">
        <v>417</v>
      </c>
      <c r="B173" s="34" t="s">
        <v>2809</v>
      </c>
      <c r="C173" s="196">
        <v>20</v>
      </c>
    </row>
    <row r="174" spans="1:8" ht="13.5" customHeight="1" x14ac:dyDescent="0.2">
      <c r="A174" s="126" t="s">
        <v>417</v>
      </c>
      <c r="B174" s="34" t="s">
        <v>2824</v>
      </c>
      <c r="C174" s="196">
        <v>67</v>
      </c>
    </row>
    <row r="175" spans="1:8" ht="13.5" customHeight="1" x14ac:dyDescent="0.2">
      <c r="A175" s="126" t="s">
        <v>417</v>
      </c>
      <c r="B175" s="34" t="s">
        <v>1834</v>
      </c>
      <c r="C175" s="196">
        <v>33.299999999999997</v>
      </c>
    </row>
    <row r="176" spans="1:8" ht="13.5" customHeight="1" x14ac:dyDescent="0.2">
      <c r="A176" s="126" t="s">
        <v>417</v>
      </c>
      <c r="B176" s="36" t="s">
        <v>1834</v>
      </c>
      <c r="C176" s="196">
        <v>44.3</v>
      </c>
    </row>
    <row r="177" spans="1:16" ht="13.5" customHeight="1" x14ac:dyDescent="0.2">
      <c r="A177" s="126" t="s">
        <v>417</v>
      </c>
      <c r="B177" s="34" t="s">
        <v>2846</v>
      </c>
      <c r="C177" s="196">
        <v>40.5</v>
      </c>
    </row>
    <row r="178" spans="1:16" ht="13.5" customHeight="1" x14ac:dyDescent="0.2">
      <c r="A178" s="126" t="s">
        <v>417</v>
      </c>
      <c r="B178" s="34" t="s">
        <v>2851</v>
      </c>
      <c r="C178" s="196">
        <v>38.5</v>
      </c>
    </row>
    <row r="179" spans="1:16" ht="13.5" customHeight="1" x14ac:dyDescent="0.2">
      <c r="A179" s="126" t="s">
        <v>417</v>
      </c>
      <c r="B179" s="34" t="s">
        <v>2909</v>
      </c>
      <c r="C179" s="51">
        <v>70</v>
      </c>
    </row>
    <row r="180" spans="1:16" ht="13.5" customHeight="1" x14ac:dyDescent="0.2">
      <c r="A180" s="126" t="s">
        <v>417</v>
      </c>
      <c r="B180" s="36" t="s">
        <v>2823</v>
      </c>
      <c r="C180" s="196">
        <v>315</v>
      </c>
    </row>
    <row r="181" spans="1:16" ht="13.5" customHeight="1" x14ac:dyDescent="0.2">
      <c r="A181" s="126" t="s">
        <v>417</v>
      </c>
      <c r="B181" s="34" t="s">
        <v>2821</v>
      </c>
      <c r="C181" s="196">
        <v>352.5</v>
      </c>
    </row>
    <row r="182" spans="1:16" ht="13.5" customHeight="1" x14ac:dyDescent="0.2">
      <c r="A182" s="126" t="s">
        <v>417</v>
      </c>
      <c r="B182" s="34" t="s">
        <v>2822</v>
      </c>
      <c r="C182" s="196">
        <v>587.5</v>
      </c>
    </row>
    <row r="183" spans="1:16" ht="13.5" customHeight="1" x14ac:dyDescent="0.2">
      <c r="A183" s="126" t="s">
        <v>417</v>
      </c>
      <c r="B183" s="34" t="s">
        <v>2791</v>
      </c>
      <c r="C183" s="196">
        <v>300</v>
      </c>
    </row>
    <row r="184" spans="1:16" ht="13.5" customHeight="1" x14ac:dyDescent="0.2">
      <c r="A184" s="126" t="s">
        <v>417</v>
      </c>
      <c r="B184" s="34" t="s">
        <v>2794</v>
      </c>
      <c r="C184" s="196">
        <v>105</v>
      </c>
    </row>
    <row r="185" spans="1:16" ht="13.5" customHeight="1" x14ac:dyDescent="0.2">
      <c r="A185" s="126" t="s">
        <v>417</v>
      </c>
      <c r="B185" s="36" t="s">
        <v>2798</v>
      </c>
      <c r="C185" s="196">
        <v>227.5</v>
      </c>
    </row>
    <row r="186" spans="1:16" ht="13.5" customHeight="1" x14ac:dyDescent="0.2">
      <c r="A186" s="126" t="s">
        <v>417</v>
      </c>
      <c r="B186" s="36" t="s">
        <v>2797</v>
      </c>
      <c r="C186" s="196">
        <v>122.5</v>
      </c>
    </row>
    <row r="187" spans="1:16" s="64" customFormat="1" ht="13.5" customHeight="1" x14ac:dyDescent="0.2">
      <c r="A187" s="126" t="s">
        <v>417</v>
      </c>
      <c r="B187" s="36" t="s">
        <v>2863</v>
      </c>
      <c r="C187" s="196">
        <v>70</v>
      </c>
      <c r="D187" s="622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</row>
    <row r="188" spans="1:16" s="64" customFormat="1" ht="13.5" customHeight="1" x14ac:dyDescent="0.2">
      <c r="A188" s="126" t="s">
        <v>417</v>
      </c>
      <c r="B188" s="36" t="s">
        <v>2910</v>
      </c>
      <c r="C188" s="51">
        <v>300</v>
      </c>
      <c r="D188" s="622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</row>
    <row r="189" spans="1:16" s="64" customFormat="1" ht="13.5" customHeight="1" x14ac:dyDescent="0.2">
      <c r="A189" s="126" t="s">
        <v>417</v>
      </c>
      <c r="B189" s="36" t="s">
        <v>2861</v>
      </c>
      <c r="C189" s="196">
        <v>300</v>
      </c>
      <c r="D189" s="622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</row>
    <row r="190" spans="1:16" s="64" customFormat="1" ht="13.5" customHeight="1" x14ac:dyDescent="0.2">
      <c r="A190" s="126" t="s">
        <v>417</v>
      </c>
      <c r="B190" s="36" t="s">
        <v>2862</v>
      </c>
      <c r="C190" s="196">
        <v>500</v>
      </c>
      <c r="D190" s="622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</row>
    <row r="191" spans="1:16" s="64" customFormat="1" ht="13.5" customHeight="1" x14ac:dyDescent="0.2">
      <c r="A191" s="126" t="s">
        <v>417</v>
      </c>
      <c r="B191" s="36" t="s">
        <v>2908</v>
      </c>
      <c r="C191" s="51">
        <v>500</v>
      </c>
      <c r="D191" s="622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</row>
    <row r="192" spans="1:16" s="64" customFormat="1" ht="13.5" customHeight="1" x14ac:dyDescent="0.2">
      <c r="A192" s="126" t="s">
        <v>417</v>
      </c>
      <c r="B192" s="34" t="s">
        <v>2911</v>
      </c>
      <c r="C192" s="51">
        <v>180</v>
      </c>
      <c r="D192" s="622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</row>
    <row r="193" spans="1:16" s="64" customFormat="1" ht="13.5" customHeight="1" x14ac:dyDescent="0.2">
      <c r="A193" s="126" t="s">
        <v>417</v>
      </c>
      <c r="B193" s="36" t="s">
        <v>2793</v>
      </c>
      <c r="C193" s="196">
        <v>300</v>
      </c>
      <c r="D193" s="622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</row>
    <row r="194" spans="1:16" s="64" customFormat="1" ht="13.5" customHeight="1" x14ac:dyDescent="0.2">
      <c r="A194" s="126" t="s">
        <v>417</v>
      </c>
      <c r="B194" s="34" t="s">
        <v>2912</v>
      </c>
      <c r="C194" s="51">
        <v>60</v>
      </c>
      <c r="D194" s="622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</row>
    <row r="195" spans="1:16" s="64" customFormat="1" ht="13.5" customHeight="1" x14ac:dyDescent="0.2">
      <c r="A195" s="126" t="s">
        <v>417</v>
      </c>
      <c r="B195" s="34" t="s">
        <v>2792</v>
      </c>
      <c r="C195" s="196">
        <v>500</v>
      </c>
      <c r="D195" s="622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</row>
    <row r="196" spans="1:16" s="64" customFormat="1" ht="13.5" customHeight="1" x14ac:dyDescent="0.2">
      <c r="A196" s="126" t="s">
        <v>417</v>
      </c>
      <c r="B196" s="34" t="s">
        <v>2796</v>
      </c>
      <c r="C196" s="196">
        <v>175</v>
      </c>
      <c r="D196" s="622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</row>
    <row r="197" spans="1:16" s="64" customFormat="1" ht="13.5" customHeight="1" x14ac:dyDescent="0.2">
      <c r="A197" s="126" t="s">
        <v>417</v>
      </c>
      <c r="B197" s="34" t="s">
        <v>2795</v>
      </c>
      <c r="C197" s="196">
        <v>105</v>
      </c>
      <c r="D197" s="622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</row>
    <row r="198" spans="1:16" s="64" customFormat="1" ht="13.5" customHeight="1" x14ac:dyDescent="0.2">
      <c r="A198" s="126" t="s">
        <v>417</v>
      </c>
      <c r="B198" s="34" t="s">
        <v>2887</v>
      </c>
      <c r="C198" s="30">
        <v>200</v>
      </c>
      <c r="D198" s="622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</row>
    <row r="199" spans="1:16" s="64" customFormat="1" ht="13.5" customHeight="1" x14ac:dyDescent="0.2">
      <c r="A199" s="126"/>
      <c r="B199" s="34" t="s">
        <v>625</v>
      </c>
      <c r="C199" s="30">
        <f>C166</f>
        <v>788.43</v>
      </c>
      <c r="D199" s="622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</row>
    <row r="200" spans="1:16" s="64" customFormat="1" ht="13.5" customHeight="1" x14ac:dyDescent="0.2">
      <c r="A200" s="126"/>
      <c r="B200" s="34"/>
      <c r="C200" s="620">
        <f>SUM(C169:C199)</f>
        <v>7605.04</v>
      </c>
      <c r="D200" s="622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</row>
    <row r="201" spans="1:16" s="64" customFormat="1" ht="13.5" customHeight="1" x14ac:dyDescent="0.2">
      <c r="A201" s="126"/>
      <c r="B201" s="34"/>
      <c r="C201" s="30"/>
      <c r="D201" s="622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</row>
    <row r="202" spans="1:16" s="64" customFormat="1" ht="13.5" customHeight="1" x14ac:dyDescent="0.2">
      <c r="A202" s="126" t="s">
        <v>245</v>
      </c>
      <c r="B202" s="138" t="s">
        <v>2903</v>
      </c>
      <c r="C202" s="51">
        <v>16</v>
      </c>
      <c r="D202" s="622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</row>
    <row r="203" spans="1:16" s="64" customFormat="1" ht="13.5" customHeight="1" x14ac:dyDescent="0.2">
      <c r="A203" s="126" t="s">
        <v>245</v>
      </c>
      <c r="B203" s="34" t="s">
        <v>2767</v>
      </c>
      <c r="C203" s="196">
        <v>6.6</v>
      </c>
      <c r="D203" s="622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</row>
    <row r="204" spans="1:16" s="64" customFormat="1" ht="13.5" customHeight="1" x14ac:dyDescent="0.2">
      <c r="A204" s="126" t="s">
        <v>245</v>
      </c>
      <c r="B204" s="34" t="s">
        <v>2779</v>
      </c>
      <c r="C204" s="196">
        <v>8.98</v>
      </c>
      <c r="D204" s="622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</row>
    <row r="205" spans="1:16" s="64" customFormat="1" ht="13.5" customHeight="1" x14ac:dyDescent="0.2">
      <c r="A205" s="126" t="s">
        <v>245</v>
      </c>
      <c r="B205" s="34" t="s">
        <v>2834</v>
      </c>
      <c r="C205" s="196">
        <v>4.95</v>
      </c>
      <c r="D205" s="622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</row>
    <row r="206" spans="1:16" s="64" customFormat="1" ht="13.5" customHeight="1" x14ac:dyDescent="0.2">
      <c r="A206" s="126" t="s">
        <v>245</v>
      </c>
      <c r="B206" s="34" t="s">
        <v>2770</v>
      </c>
      <c r="C206" s="196">
        <v>20</v>
      </c>
      <c r="D206" s="622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</row>
    <row r="207" spans="1:16" s="64" customFormat="1" ht="13.5" customHeight="1" x14ac:dyDescent="0.2">
      <c r="A207" s="126" t="s">
        <v>245</v>
      </c>
      <c r="B207" s="34" t="s">
        <v>2765</v>
      </c>
      <c r="C207" s="196">
        <v>10</v>
      </c>
      <c r="D207" s="622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</row>
    <row r="208" spans="1:16" s="64" customFormat="1" ht="13.5" customHeight="1" x14ac:dyDescent="0.2">
      <c r="A208" s="126" t="s">
        <v>245</v>
      </c>
      <c r="B208" s="36" t="s">
        <v>2842</v>
      </c>
      <c r="C208" s="196">
        <v>26.15</v>
      </c>
      <c r="D208" s="622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</row>
    <row r="209" spans="1:16" s="64" customFormat="1" ht="13.5" customHeight="1" x14ac:dyDescent="0.2">
      <c r="A209" s="126" t="s">
        <v>245</v>
      </c>
      <c r="B209" s="138" t="s">
        <v>2918</v>
      </c>
      <c r="C209" s="51">
        <v>18</v>
      </c>
      <c r="D209" s="622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</row>
    <row r="210" spans="1:16" s="64" customFormat="1" ht="13.5" customHeight="1" x14ac:dyDescent="0.2">
      <c r="A210" s="126" t="s">
        <v>245</v>
      </c>
      <c r="B210" s="138" t="s">
        <v>422</v>
      </c>
      <c r="C210" s="200">
        <f t="array" ref="C210">SUM(H213:H219/2)</f>
        <v>307.34000000000003</v>
      </c>
      <c r="D210" s="622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</row>
    <row r="211" spans="1:16" s="64" customFormat="1" ht="13.5" customHeight="1" x14ac:dyDescent="0.2">
      <c r="A211" s="126"/>
      <c r="B211" s="138"/>
      <c r="C211" s="620">
        <f>SUM(C202:C210)</f>
        <v>418.02000000000004</v>
      </c>
      <c r="D211" s="622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</row>
    <row r="212" spans="1:16" s="64" customFormat="1" ht="13.5" customHeight="1" x14ac:dyDescent="0.2">
      <c r="A212" s="126"/>
      <c r="B212" s="138"/>
      <c r="C212" s="51"/>
      <c r="D212" s="622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</row>
    <row r="213" spans="1:16" s="64" customFormat="1" ht="13.5" customHeight="1" x14ac:dyDescent="0.2">
      <c r="A213" s="126" t="s">
        <v>245</v>
      </c>
      <c r="B213" s="36" t="s">
        <v>2989</v>
      </c>
      <c r="C213" s="61">
        <v>113.85</v>
      </c>
      <c r="D213" s="622"/>
      <c r="E213" s="1"/>
      <c r="F213" s="126" t="s">
        <v>245</v>
      </c>
      <c r="G213" s="36" t="s">
        <v>2899</v>
      </c>
      <c r="H213" s="30">
        <v>40</v>
      </c>
      <c r="I213" s="1"/>
      <c r="J213" s="1"/>
      <c r="K213" s="1"/>
      <c r="L213" s="1"/>
      <c r="M213" s="1"/>
      <c r="N213" s="1"/>
      <c r="O213" s="1"/>
      <c r="P213" s="1"/>
    </row>
    <row r="214" spans="1:16" s="64" customFormat="1" ht="13.5" customHeight="1" x14ac:dyDescent="0.2">
      <c r="A214" s="126" t="s">
        <v>245</v>
      </c>
      <c r="B214" s="34" t="s">
        <v>2994</v>
      </c>
      <c r="C214" s="61">
        <v>1300</v>
      </c>
      <c r="D214" s="622"/>
      <c r="E214" s="1"/>
      <c r="F214" s="126" t="s">
        <v>245</v>
      </c>
      <c r="G214" s="138" t="s">
        <v>2923</v>
      </c>
      <c r="H214" s="51">
        <v>5.5</v>
      </c>
      <c r="I214" s="1"/>
      <c r="J214" s="1"/>
      <c r="K214" s="1"/>
      <c r="L214" s="1"/>
      <c r="M214" s="1"/>
      <c r="N214" s="1"/>
      <c r="O214" s="1"/>
      <c r="P214" s="1"/>
    </row>
    <row r="215" spans="1:16" s="64" customFormat="1" ht="13.5" customHeight="1" x14ac:dyDescent="0.2">
      <c r="A215" s="126" t="s">
        <v>245</v>
      </c>
      <c r="B215" s="36" t="s">
        <v>2879</v>
      </c>
      <c r="C215" s="30">
        <v>380</v>
      </c>
      <c r="D215" s="622"/>
      <c r="E215" s="1"/>
      <c r="F215" s="126" t="s">
        <v>245</v>
      </c>
      <c r="G215" s="34" t="s">
        <v>2509</v>
      </c>
      <c r="H215" s="61">
        <v>100</v>
      </c>
      <c r="I215" s="1"/>
      <c r="J215" s="1"/>
      <c r="K215" s="1"/>
      <c r="L215" s="1"/>
      <c r="M215" s="1"/>
      <c r="N215" s="1"/>
      <c r="O215" s="1"/>
      <c r="P215" s="1"/>
    </row>
    <row r="216" spans="1:16" ht="13.5" customHeight="1" x14ac:dyDescent="0.2">
      <c r="A216" s="126" t="s">
        <v>245</v>
      </c>
      <c r="B216" s="34" t="s">
        <v>3020</v>
      </c>
      <c r="C216" s="61">
        <v>360</v>
      </c>
      <c r="F216" s="126" t="s">
        <v>245</v>
      </c>
      <c r="G216" s="34" t="s">
        <v>2992</v>
      </c>
      <c r="H216" s="61">
        <v>225</v>
      </c>
    </row>
    <row r="217" spans="1:16" ht="13.5" customHeight="1" x14ac:dyDescent="0.2">
      <c r="A217" s="126" t="s">
        <v>245</v>
      </c>
      <c r="B217" s="34" t="s">
        <v>2774</v>
      </c>
      <c r="C217" s="196">
        <v>7.5</v>
      </c>
      <c r="F217" s="126" t="s">
        <v>245</v>
      </c>
      <c r="G217" s="34" t="s">
        <v>2983</v>
      </c>
      <c r="H217" s="61">
        <v>139.05000000000001</v>
      </c>
    </row>
    <row r="218" spans="1:16" ht="13.5" customHeight="1" x14ac:dyDescent="0.2">
      <c r="A218" s="126" t="s">
        <v>245</v>
      </c>
      <c r="B218" s="36" t="s">
        <v>2835</v>
      </c>
      <c r="C218" s="196">
        <v>20</v>
      </c>
      <c r="F218" s="126" t="s">
        <v>245</v>
      </c>
      <c r="G218" s="635" t="s">
        <v>3001</v>
      </c>
      <c r="H218" s="61">
        <v>79.150000000000006</v>
      </c>
    </row>
    <row r="219" spans="1:16" ht="13.5" customHeight="1" x14ac:dyDescent="0.2">
      <c r="A219" s="126" t="s">
        <v>245</v>
      </c>
      <c r="B219" s="34" t="s">
        <v>2840</v>
      </c>
      <c r="C219" s="196">
        <v>33</v>
      </c>
      <c r="F219" s="126" t="s">
        <v>245</v>
      </c>
      <c r="G219" s="138" t="s">
        <v>2920</v>
      </c>
      <c r="H219" s="51">
        <v>25.98</v>
      </c>
    </row>
    <row r="220" spans="1:16" ht="13.5" customHeight="1" x14ac:dyDescent="0.2">
      <c r="A220" s="126" t="s">
        <v>245</v>
      </c>
      <c r="B220" s="34" t="s">
        <v>2859</v>
      </c>
      <c r="C220" s="196">
        <v>14</v>
      </c>
    </row>
    <row r="221" spans="1:16" ht="13.5" customHeight="1" x14ac:dyDescent="0.2">
      <c r="A221" s="126" t="s">
        <v>245</v>
      </c>
      <c r="B221" s="34" t="s">
        <v>2837</v>
      </c>
      <c r="C221" s="196">
        <v>5.7</v>
      </c>
    </row>
    <row r="222" spans="1:16" ht="13.5" customHeight="1" x14ac:dyDescent="0.2">
      <c r="A222" s="126" t="s">
        <v>245</v>
      </c>
      <c r="B222" s="36" t="s">
        <v>2852</v>
      </c>
      <c r="C222" s="196">
        <v>2.75</v>
      </c>
    </row>
    <row r="223" spans="1:16" ht="13.5" customHeight="1" x14ac:dyDescent="0.2">
      <c r="A223" s="126" t="s">
        <v>245</v>
      </c>
      <c r="B223" s="34" t="s">
        <v>2781</v>
      </c>
      <c r="C223" s="196">
        <v>243</v>
      </c>
    </row>
    <row r="224" spans="1:16" ht="13.5" customHeight="1" x14ac:dyDescent="0.2">
      <c r="A224" s="126" t="s">
        <v>245</v>
      </c>
      <c r="B224" s="34" t="s">
        <v>1652</v>
      </c>
      <c r="C224" s="196">
        <v>2.85</v>
      </c>
    </row>
    <row r="225" spans="1:3" ht="13.5" customHeight="1" x14ac:dyDescent="0.2">
      <c r="A225" s="126" t="s">
        <v>245</v>
      </c>
      <c r="B225" s="36" t="s">
        <v>2838</v>
      </c>
      <c r="C225" s="196">
        <v>10.9</v>
      </c>
    </row>
    <row r="226" spans="1:3" ht="13.5" customHeight="1" x14ac:dyDescent="0.2">
      <c r="A226" s="126" t="s">
        <v>245</v>
      </c>
      <c r="B226" s="34" t="s">
        <v>2845</v>
      </c>
      <c r="C226" s="196">
        <v>11.96</v>
      </c>
    </row>
    <row r="227" spans="1:3" ht="13.5" customHeight="1" x14ac:dyDescent="0.2">
      <c r="A227" s="126" t="s">
        <v>245</v>
      </c>
      <c r="B227" s="34" t="s">
        <v>2858</v>
      </c>
      <c r="C227" s="196">
        <v>6</v>
      </c>
    </row>
    <row r="228" spans="1:3" ht="13.5" customHeight="1" x14ac:dyDescent="0.2">
      <c r="A228" s="126" t="s">
        <v>245</v>
      </c>
      <c r="B228" s="34" t="s">
        <v>1824</v>
      </c>
      <c r="C228" s="196">
        <v>11</v>
      </c>
    </row>
    <row r="229" spans="1:3" ht="13.5" customHeight="1" x14ac:dyDescent="0.2">
      <c r="A229" s="126" t="s">
        <v>245</v>
      </c>
      <c r="B229" s="36" t="s">
        <v>2856</v>
      </c>
      <c r="C229" s="196">
        <v>2</v>
      </c>
    </row>
    <row r="230" spans="1:3" ht="13.5" customHeight="1" x14ac:dyDescent="0.2">
      <c r="A230" s="126" t="s">
        <v>245</v>
      </c>
      <c r="B230" s="34" t="s">
        <v>2857</v>
      </c>
      <c r="C230" s="196">
        <v>16</v>
      </c>
    </row>
    <row r="231" spans="1:3" ht="13.5" customHeight="1" x14ac:dyDescent="0.2">
      <c r="A231" s="126" t="s">
        <v>245</v>
      </c>
      <c r="B231" s="34" t="s">
        <v>2847</v>
      </c>
      <c r="C231" s="196">
        <v>19.96</v>
      </c>
    </row>
    <row r="232" spans="1:3" ht="13.5" customHeight="1" x14ac:dyDescent="0.2">
      <c r="A232" s="126" t="s">
        <v>245</v>
      </c>
      <c r="B232" s="34" t="s">
        <v>2769</v>
      </c>
      <c r="C232" s="196">
        <v>5.25</v>
      </c>
    </row>
    <row r="233" spans="1:3" ht="13.5" customHeight="1" x14ac:dyDescent="0.2">
      <c r="A233" s="126" t="s">
        <v>245</v>
      </c>
      <c r="B233" s="34" t="s">
        <v>2382</v>
      </c>
      <c r="C233" s="196">
        <v>6.75</v>
      </c>
    </row>
    <row r="234" spans="1:3" ht="13.5" customHeight="1" x14ac:dyDescent="0.2">
      <c r="A234" s="126" t="s">
        <v>245</v>
      </c>
      <c r="B234" s="34" t="s">
        <v>2836</v>
      </c>
      <c r="C234" s="196">
        <v>25.5</v>
      </c>
    </row>
    <row r="235" spans="1:3" ht="13.5" customHeight="1" x14ac:dyDescent="0.2">
      <c r="A235" s="126" t="s">
        <v>245</v>
      </c>
      <c r="B235" s="34" t="s">
        <v>2855</v>
      </c>
      <c r="C235" s="196">
        <v>35</v>
      </c>
    </row>
    <row r="236" spans="1:3" ht="13.5" customHeight="1" x14ac:dyDescent="0.2">
      <c r="A236" s="126" t="s">
        <v>245</v>
      </c>
      <c r="B236" s="36" t="s">
        <v>2782</v>
      </c>
      <c r="C236" s="196">
        <v>22.9</v>
      </c>
    </row>
    <row r="237" spans="1:3" ht="13.5" customHeight="1" x14ac:dyDescent="0.2">
      <c r="A237" s="126" t="s">
        <v>245</v>
      </c>
      <c r="B237" s="36" t="s">
        <v>2853</v>
      </c>
      <c r="C237" s="196">
        <v>10.9</v>
      </c>
    </row>
    <row r="238" spans="1:3" ht="13.5" customHeight="1" x14ac:dyDescent="0.2">
      <c r="A238" s="126" t="s">
        <v>245</v>
      </c>
      <c r="B238" s="36" t="s">
        <v>3029</v>
      </c>
      <c r="C238" s="61">
        <v>129.69999999999999</v>
      </c>
    </row>
    <row r="239" spans="1:3" ht="13.5" customHeight="1" x14ac:dyDescent="0.2">
      <c r="A239" s="126" t="s">
        <v>245</v>
      </c>
      <c r="B239" s="34" t="s">
        <v>3028</v>
      </c>
      <c r="C239" s="61">
        <v>387.41</v>
      </c>
    </row>
    <row r="240" spans="1:3" ht="13.5" customHeight="1" x14ac:dyDescent="0.2">
      <c r="A240" s="126" t="s">
        <v>245</v>
      </c>
      <c r="B240" s="635" t="s">
        <v>3004</v>
      </c>
      <c r="C240" s="61">
        <v>89.73</v>
      </c>
    </row>
    <row r="241" spans="1:3" ht="13.5" customHeight="1" x14ac:dyDescent="0.2">
      <c r="A241" s="126" t="s">
        <v>245</v>
      </c>
      <c r="B241" s="34" t="s">
        <v>3025</v>
      </c>
      <c r="C241" s="61">
        <v>600.35</v>
      </c>
    </row>
    <row r="242" spans="1:3" ht="13.5" customHeight="1" x14ac:dyDescent="0.2">
      <c r="A242" s="126" t="s">
        <v>245</v>
      </c>
      <c r="B242" s="634" t="s">
        <v>3017</v>
      </c>
      <c r="C242" s="61">
        <v>158.47999999999999</v>
      </c>
    </row>
    <row r="243" spans="1:3" ht="13.5" customHeight="1" x14ac:dyDescent="0.2">
      <c r="A243" s="126" t="s">
        <v>245</v>
      </c>
      <c r="B243" s="635" t="s">
        <v>2986</v>
      </c>
      <c r="C243" s="61">
        <v>38.299999999999997</v>
      </c>
    </row>
    <row r="244" spans="1:3" ht="13.5" customHeight="1" x14ac:dyDescent="0.2">
      <c r="A244" s="126" t="s">
        <v>245</v>
      </c>
      <c r="B244" s="635" t="s">
        <v>3012</v>
      </c>
      <c r="C244" s="61">
        <v>145.80000000000001</v>
      </c>
    </row>
    <row r="245" spans="1:3" ht="13.5" customHeight="1" x14ac:dyDescent="0.2">
      <c r="A245" s="126" t="s">
        <v>245</v>
      </c>
      <c r="B245" s="36" t="s">
        <v>2973</v>
      </c>
      <c r="C245" s="61">
        <v>44.99</v>
      </c>
    </row>
    <row r="246" spans="1:3" ht="13.5" customHeight="1" x14ac:dyDescent="0.2">
      <c r="A246" s="126" t="s">
        <v>245</v>
      </c>
      <c r="B246" s="36" t="s">
        <v>2935</v>
      </c>
      <c r="C246" s="61">
        <v>1400</v>
      </c>
    </row>
    <row r="247" spans="1:3" ht="13.5" customHeight="1" x14ac:dyDescent="0.2">
      <c r="A247" s="126" t="s">
        <v>245</v>
      </c>
      <c r="B247" s="36" t="s">
        <v>2969</v>
      </c>
      <c r="C247" s="61">
        <v>1034.8900000000001</v>
      </c>
    </row>
    <row r="248" spans="1:3" ht="13.5" customHeight="1" x14ac:dyDescent="0.2">
      <c r="A248" s="126" t="s">
        <v>245</v>
      </c>
      <c r="B248" s="36" t="s">
        <v>3019</v>
      </c>
      <c r="C248" s="61">
        <v>70</v>
      </c>
    </row>
    <row r="249" spans="1:3" ht="13.5" customHeight="1" x14ac:dyDescent="0.2">
      <c r="A249" s="126" t="s">
        <v>245</v>
      </c>
      <c r="B249" s="32" t="s">
        <v>2924</v>
      </c>
      <c r="C249" s="51">
        <v>4.2</v>
      </c>
    </row>
    <row r="250" spans="1:3" ht="13.5" customHeight="1" x14ac:dyDescent="0.2">
      <c r="A250" s="126" t="s">
        <v>245</v>
      </c>
      <c r="B250" s="635" t="s">
        <v>2998</v>
      </c>
      <c r="C250" s="61">
        <v>1459</v>
      </c>
    </row>
    <row r="251" spans="1:3" ht="13.5" customHeight="1" x14ac:dyDescent="0.2">
      <c r="A251" s="126" t="s">
        <v>245</v>
      </c>
      <c r="B251" s="138" t="s">
        <v>2868</v>
      </c>
      <c r="C251" s="51">
        <v>6.9</v>
      </c>
    </row>
    <row r="252" spans="1:3" ht="13.5" customHeight="1" x14ac:dyDescent="0.2">
      <c r="A252" s="126" t="s">
        <v>245</v>
      </c>
      <c r="B252" s="34" t="s">
        <v>3021</v>
      </c>
      <c r="C252" s="61">
        <v>962.52</v>
      </c>
    </row>
    <row r="253" spans="1:3" ht="13.5" customHeight="1" x14ac:dyDescent="0.2">
      <c r="A253" s="126" t="s">
        <v>245</v>
      </c>
      <c r="B253" s="34" t="s">
        <v>2944</v>
      </c>
      <c r="C253" s="61">
        <v>110</v>
      </c>
    </row>
    <row r="254" spans="1:3" ht="13.5" customHeight="1" x14ac:dyDescent="0.2">
      <c r="A254" s="126" t="s">
        <v>245</v>
      </c>
      <c r="B254" s="34" t="s">
        <v>3006</v>
      </c>
      <c r="C254" s="61">
        <v>355</v>
      </c>
    </row>
    <row r="255" spans="1:3" ht="13.5" customHeight="1" x14ac:dyDescent="0.2">
      <c r="A255" s="126" t="s">
        <v>245</v>
      </c>
      <c r="B255" s="138" t="s">
        <v>2917</v>
      </c>
      <c r="C255" s="51">
        <v>36</v>
      </c>
    </row>
    <row r="256" spans="1:3" ht="13.5" customHeight="1" x14ac:dyDescent="0.2">
      <c r="A256" s="126" t="s">
        <v>245</v>
      </c>
      <c r="B256" s="34" t="s">
        <v>2932</v>
      </c>
      <c r="C256" s="61">
        <v>1579.21</v>
      </c>
    </row>
    <row r="257" spans="1:3" ht="13.5" customHeight="1" x14ac:dyDescent="0.2">
      <c r="A257" s="126" t="s">
        <v>245</v>
      </c>
      <c r="B257" s="36" t="s">
        <v>2902</v>
      </c>
      <c r="C257" s="30">
        <v>460</v>
      </c>
    </row>
    <row r="258" spans="1:3" ht="13.5" customHeight="1" x14ac:dyDescent="0.2">
      <c r="A258" s="126" t="s">
        <v>245</v>
      </c>
      <c r="B258" s="36" t="s">
        <v>423</v>
      </c>
      <c r="C258" s="30">
        <f>C210</f>
        <v>307.34000000000003</v>
      </c>
    </row>
    <row r="259" spans="1:3" ht="13.5" customHeight="1" x14ac:dyDescent="0.2">
      <c r="A259" s="126"/>
      <c r="B259" s="36"/>
      <c r="C259" s="620">
        <f>SUM(C213:C258)</f>
        <v>12046.59</v>
      </c>
    </row>
    <row r="260" spans="1:3" ht="13.5" customHeight="1" x14ac:dyDescent="0.2">
      <c r="A260" s="126"/>
      <c r="B260" s="36"/>
      <c r="C260" s="30"/>
    </row>
    <row r="261" spans="1:3" ht="13.5" customHeight="1" x14ac:dyDescent="0.2">
      <c r="A261" s="64" t="s">
        <v>246</v>
      </c>
      <c r="B261" s="32" t="s">
        <v>195</v>
      </c>
      <c r="C261" s="61">
        <v>390.19</v>
      </c>
    </row>
    <row r="262" spans="1:3" ht="13.5" customHeight="1" x14ac:dyDescent="0.2">
      <c r="A262" t="s">
        <v>246</v>
      </c>
      <c r="B262" s="138" t="s">
        <v>194</v>
      </c>
      <c r="C262" s="61">
        <v>84.54</v>
      </c>
    </row>
    <row r="263" spans="1:3" ht="13.5" customHeight="1" x14ac:dyDescent="0.2">
      <c r="A263"/>
      <c r="B263" s="138"/>
      <c r="C263" s="421">
        <f>SUM(C261:C262)</f>
        <v>474.73</v>
      </c>
    </row>
    <row r="264" spans="1:3" ht="13.5" customHeight="1" x14ac:dyDescent="0.2">
      <c r="A264"/>
      <c r="B264" s="138"/>
      <c r="C264" s="61"/>
    </row>
    <row r="265" spans="1:3" ht="13.5" customHeight="1" x14ac:dyDescent="0.2">
      <c r="A265" s="126" t="s">
        <v>247</v>
      </c>
      <c r="B265" s="32" t="s">
        <v>2904</v>
      </c>
      <c r="C265" s="620">
        <v>55</v>
      </c>
    </row>
    <row r="266" spans="1:3" ht="13.5" customHeight="1" x14ac:dyDescent="0.2">
      <c r="A266" s="126"/>
      <c r="B266" s="138"/>
      <c r="C266" s="51"/>
    </row>
    <row r="267" spans="1:3" ht="13.5" customHeight="1" x14ac:dyDescent="0.2">
      <c r="A267" s="126"/>
      <c r="B267" s="138"/>
      <c r="C267" s="51"/>
    </row>
    <row r="268" spans="1:3" ht="13.5" customHeight="1" x14ac:dyDescent="0.2">
      <c r="A268" t="s">
        <v>248</v>
      </c>
      <c r="B268" s="34" t="s">
        <v>132</v>
      </c>
      <c r="C268" s="61">
        <v>2735.53</v>
      </c>
    </row>
    <row r="269" spans="1:3" ht="12.75" customHeight="1" x14ac:dyDescent="0.2">
      <c r="A269" t="s">
        <v>248</v>
      </c>
      <c r="B269" s="34" t="s">
        <v>130</v>
      </c>
      <c r="C269" s="61">
        <v>148.69999999999999</v>
      </c>
    </row>
    <row r="270" spans="1:3" ht="12.75" customHeight="1" x14ac:dyDescent="0.2">
      <c r="A270" t="s">
        <v>248</v>
      </c>
      <c r="B270" s="36" t="s">
        <v>53</v>
      </c>
      <c r="C270" s="61">
        <v>532.21</v>
      </c>
    </row>
    <row r="271" spans="1:3" ht="12.75" customHeight="1" x14ac:dyDescent="0.2">
      <c r="A271" t="s">
        <v>248</v>
      </c>
      <c r="B271" s="34" t="s">
        <v>55</v>
      </c>
      <c r="C271" s="61">
        <v>400</v>
      </c>
    </row>
    <row r="272" spans="1:3" ht="12.75" customHeight="1" x14ac:dyDescent="0.2">
      <c r="A272" t="s">
        <v>248</v>
      </c>
      <c r="B272" s="36" t="s">
        <v>2891</v>
      </c>
      <c r="C272" s="30">
        <v>-1584.8999999999999</v>
      </c>
    </row>
    <row r="273" spans="1:3" ht="13.5" customHeight="1" x14ac:dyDescent="0.2">
      <c r="A273" t="s">
        <v>248</v>
      </c>
      <c r="B273" s="36" t="s">
        <v>2972</v>
      </c>
      <c r="C273" s="61">
        <v>170</v>
      </c>
    </row>
    <row r="274" spans="1:3" ht="13.5" customHeight="1" x14ac:dyDescent="0.2">
      <c r="A274" t="s">
        <v>248</v>
      </c>
      <c r="B274" s="36" t="s">
        <v>136</v>
      </c>
      <c r="C274" s="61">
        <v>45.9</v>
      </c>
    </row>
    <row r="275" spans="1:3" ht="13.5" customHeight="1" x14ac:dyDescent="0.2">
      <c r="A275" t="s">
        <v>248</v>
      </c>
      <c r="B275" s="36" t="s">
        <v>82</v>
      </c>
      <c r="C275" s="61">
        <v>916.42</v>
      </c>
    </row>
    <row r="276" spans="1:3" ht="13.5" customHeight="1" x14ac:dyDescent="0.2">
      <c r="A276" t="s">
        <v>248</v>
      </c>
      <c r="B276" s="36" t="s">
        <v>18</v>
      </c>
      <c r="C276" s="61">
        <v>399.97</v>
      </c>
    </row>
    <row r="277" spans="1:3" ht="13.5" customHeight="1" x14ac:dyDescent="0.2">
      <c r="A277"/>
      <c r="B277" s="34"/>
      <c r="C277" s="421">
        <f>SUM(C268:C276)</f>
        <v>3763.83</v>
      </c>
    </row>
    <row r="278" spans="1:3" ht="13.5" customHeight="1" x14ac:dyDescent="0.2">
      <c r="A278"/>
      <c r="B278" s="34"/>
      <c r="C278" s="61"/>
    </row>
    <row r="279" spans="1:3" ht="13.5" customHeight="1" x14ac:dyDescent="0.2">
      <c r="A279" t="s">
        <v>248</v>
      </c>
      <c r="B279" s="34" t="s">
        <v>1553</v>
      </c>
      <c r="C279" s="30">
        <v>6000</v>
      </c>
    </row>
    <row r="280" spans="1:3" ht="13.5" customHeight="1" x14ac:dyDescent="0.2">
      <c r="A280" t="s">
        <v>248</v>
      </c>
      <c r="B280" s="36" t="s">
        <v>2927</v>
      </c>
      <c r="C280" s="30">
        <v>730</v>
      </c>
    </row>
    <row r="281" spans="1:3" ht="13.5" customHeight="1" x14ac:dyDescent="0.2">
      <c r="A281" t="s">
        <v>248</v>
      </c>
      <c r="B281" s="36" t="s">
        <v>2956</v>
      </c>
      <c r="C281" s="61">
        <v>150</v>
      </c>
    </row>
    <row r="282" spans="1:3" ht="13.5" customHeight="1" x14ac:dyDescent="0.2">
      <c r="A282" t="s">
        <v>248</v>
      </c>
      <c r="B282" s="34" t="s">
        <v>2471</v>
      </c>
      <c r="C282" s="61">
        <v>467</v>
      </c>
    </row>
    <row r="283" spans="1:3" ht="13.5" customHeight="1" x14ac:dyDescent="0.2">
      <c r="A283" t="s">
        <v>248</v>
      </c>
      <c r="B283" s="36" t="s">
        <v>2462</v>
      </c>
      <c r="C283" s="61">
        <v>71.19</v>
      </c>
    </row>
    <row r="284" spans="1:3" ht="13.5" customHeight="1" x14ac:dyDescent="0.2">
      <c r="A284" t="s">
        <v>248</v>
      </c>
      <c r="B284" s="34" t="s">
        <v>2873</v>
      </c>
      <c r="C284" s="30">
        <v>50</v>
      </c>
    </row>
    <row r="285" spans="1:3" ht="13.5" customHeight="1" x14ac:dyDescent="0.2">
      <c r="A285" t="s">
        <v>248</v>
      </c>
      <c r="B285" s="36" t="s">
        <v>2960</v>
      </c>
      <c r="C285" s="61">
        <v>845</v>
      </c>
    </row>
    <row r="286" spans="1:3" ht="13.5" customHeight="1" x14ac:dyDescent="0.2">
      <c r="A286" t="s">
        <v>248</v>
      </c>
      <c r="B286" s="36" t="s">
        <v>2871</v>
      </c>
      <c r="C286" s="30">
        <v>43.75</v>
      </c>
    </row>
    <row r="287" spans="1:3" ht="13.5" customHeight="1" x14ac:dyDescent="0.2">
      <c r="A287" t="s">
        <v>248</v>
      </c>
      <c r="B287" s="36" t="s">
        <v>2954</v>
      </c>
      <c r="C287" s="61">
        <v>427</v>
      </c>
    </row>
    <row r="288" spans="1:3" ht="13.5" customHeight="1" x14ac:dyDescent="0.2">
      <c r="A288" t="s">
        <v>248</v>
      </c>
      <c r="B288" s="36" t="s">
        <v>2940</v>
      </c>
      <c r="C288" s="61">
        <v>528.54</v>
      </c>
    </row>
    <row r="289" spans="1:3" ht="13.5" customHeight="1" x14ac:dyDescent="0.2">
      <c r="A289" t="s">
        <v>248</v>
      </c>
      <c r="B289" s="36" t="s">
        <v>2940</v>
      </c>
      <c r="C289" s="61">
        <v>309.36</v>
      </c>
    </row>
    <row r="290" spans="1:3" ht="13.5" customHeight="1" x14ac:dyDescent="0.2">
      <c r="A290" t="s">
        <v>248</v>
      </c>
      <c r="B290" s="36" t="s">
        <v>2486</v>
      </c>
      <c r="C290" s="61">
        <v>133.03</v>
      </c>
    </row>
    <row r="291" spans="1:3" ht="13.5" customHeight="1" x14ac:dyDescent="0.2">
      <c r="A291"/>
      <c r="B291" s="36"/>
      <c r="C291" s="421">
        <f>SUM(C279:C290)</f>
        <v>9754.8700000000008</v>
      </c>
    </row>
    <row r="292" spans="1:3" ht="13.5" customHeight="1" x14ac:dyDescent="0.2">
      <c r="A292"/>
      <c r="B292" s="36"/>
      <c r="C292" s="61"/>
    </row>
    <row r="293" spans="1:3" ht="13.5" customHeight="1" x14ac:dyDescent="0.2">
      <c r="A293" s="126" t="s">
        <v>249</v>
      </c>
      <c r="B293" s="36" t="s">
        <v>2905</v>
      </c>
      <c r="C293" s="51">
        <v>1130</v>
      </c>
    </row>
    <row r="294" spans="1:3" ht="13.5" customHeight="1" x14ac:dyDescent="0.2">
      <c r="A294" s="126" t="s">
        <v>249</v>
      </c>
      <c r="B294" s="34" t="s">
        <v>2888</v>
      </c>
      <c r="C294" s="30">
        <v>950</v>
      </c>
    </row>
    <row r="295" spans="1:3" ht="13.5" customHeight="1" x14ac:dyDescent="0.2">
      <c r="A295" s="126"/>
      <c r="B295" s="34"/>
      <c r="C295" s="620">
        <f>SUM(C293:C294)</f>
        <v>2080</v>
      </c>
    </row>
    <row r="296" spans="1:3" ht="13.5" customHeight="1" x14ac:dyDescent="0.2">
      <c r="A296" s="126"/>
      <c r="B296" s="34"/>
      <c r="C296" s="30"/>
    </row>
    <row r="297" spans="1:3" ht="13.5" customHeight="1" x14ac:dyDescent="0.2">
      <c r="A297" s="126" t="s">
        <v>249</v>
      </c>
      <c r="B297" s="36" t="s">
        <v>2869</v>
      </c>
      <c r="C297" s="51">
        <v>750</v>
      </c>
    </row>
    <row r="298" spans="1:3" ht="13.5" customHeight="1" x14ac:dyDescent="0.2">
      <c r="A298" s="126" t="s">
        <v>249</v>
      </c>
      <c r="B298" s="36" t="s">
        <v>2864</v>
      </c>
      <c r="C298" s="30">
        <v>900</v>
      </c>
    </row>
    <row r="299" spans="1:3" ht="13.5" customHeight="1" x14ac:dyDescent="0.2">
      <c r="A299" s="126" t="s">
        <v>249</v>
      </c>
      <c r="B299" s="36" t="s">
        <v>2900</v>
      </c>
      <c r="C299" s="30">
        <v>1800</v>
      </c>
    </row>
    <row r="300" spans="1:3" ht="13.5" customHeight="1" x14ac:dyDescent="0.2">
      <c r="A300" s="126" t="s">
        <v>249</v>
      </c>
      <c r="B300" s="36" t="s">
        <v>2841</v>
      </c>
      <c r="C300" s="196">
        <v>20</v>
      </c>
    </row>
    <row r="301" spans="1:3" ht="13.5" customHeight="1" x14ac:dyDescent="0.2">
      <c r="A301" s="126" t="s">
        <v>249</v>
      </c>
      <c r="B301" s="36" t="s">
        <v>2811</v>
      </c>
      <c r="C301" s="196">
        <v>540</v>
      </c>
    </row>
    <row r="302" spans="1:3" ht="13.5" customHeight="1" x14ac:dyDescent="0.2">
      <c r="A302" s="126"/>
      <c r="B302" s="36"/>
      <c r="C302" s="620">
        <f>SUM(C297:C301)</f>
        <v>4010</v>
      </c>
    </row>
    <row r="303" spans="1:3" ht="13.5" customHeight="1" x14ac:dyDescent="0.2">
      <c r="A303" s="126"/>
      <c r="B303" s="36"/>
      <c r="C303" s="196"/>
    </row>
    <row r="304" spans="1:3" ht="13.5" customHeight="1" x14ac:dyDescent="0.2">
      <c r="A304" s="126" t="s">
        <v>250</v>
      </c>
      <c r="B304" s="36" t="s">
        <v>20</v>
      </c>
      <c r="C304" s="30">
        <v>-0.01</v>
      </c>
    </row>
    <row r="305" spans="1:4" ht="13.5" customHeight="1" x14ac:dyDescent="0.2">
      <c r="A305" s="126" t="s">
        <v>250</v>
      </c>
      <c r="B305" s="36" t="s">
        <v>20</v>
      </c>
      <c r="C305" s="30">
        <v>-0.01</v>
      </c>
    </row>
    <row r="306" spans="1:4" ht="13.5" customHeight="1" x14ac:dyDescent="0.2">
      <c r="A306" s="126" t="s">
        <v>250</v>
      </c>
      <c r="B306" s="36" t="s">
        <v>20</v>
      </c>
      <c r="C306" s="30">
        <v>-0.01</v>
      </c>
    </row>
    <row r="307" spans="1:4" ht="13.5" customHeight="1" x14ac:dyDescent="0.2">
      <c r="A307" s="126" t="s">
        <v>250</v>
      </c>
      <c r="B307" s="36" t="s">
        <v>20</v>
      </c>
      <c r="C307" s="30">
        <v>-0.01</v>
      </c>
    </row>
    <row r="308" spans="1:4" ht="13.5" customHeight="1" x14ac:dyDescent="0.2">
      <c r="A308" s="126" t="s">
        <v>250</v>
      </c>
      <c r="B308" s="34" t="s">
        <v>20</v>
      </c>
      <c r="C308" s="30">
        <v>-0.01</v>
      </c>
    </row>
    <row r="309" spans="1:4" ht="13.5" customHeight="1" x14ac:dyDescent="0.2">
      <c r="A309" s="126" t="s">
        <v>250</v>
      </c>
      <c r="B309" s="34" t="s">
        <v>20</v>
      </c>
      <c r="C309" s="30">
        <v>-0.01</v>
      </c>
    </row>
    <row r="310" spans="1:4" ht="13.5" customHeight="1" x14ac:dyDescent="0.2">
      <c r="A310" s="126" t="s">
        <v>250</v>
      </c>
      <c r="B310" s="34" t="s">
        <v>20</v>
      </c>
      <c r="C310" s="30">
        <v>-0.02</v>
      </c>
    </row>
    <row r="311" spans="1:4" ht="13.5" customHeight="1" x14ac:dyDescent="0.2">
      <c r="A311" s="126" t="s">
        <v>250</v>
      </c>
      <c r="B311" s="36" t="s">
        <v>20</v>
      </c>
      <c r="C311" s="30">
        <v>-0.03</v>
      </c>
    </row>
    <row r="312" spans="1:4" ht="13.5" customHeight="1" x14ac:dyDescent="0.2">
      <c r="A312" s="126" t="s">
        <v>250</v>
      </c>
      <c r="B312" s="36" t="s">
        <v>86</v>
      </c>
      <c r="C312" s="61">
        <v>92.5</v>
      </c>
    </row>
    <row r="313" spans="1:4" ht="13.5" customHeight="1" x14ac:dyDescent="0.2">
      <c r="A313" s="126" t="s">
        <v>250</v>
      </c>
      <c r="B313" s="36" t="s">
        <v>86</v>
      </c>
      <c r="C313" s="61">
        <v>75.900000000000006</v>
      </c>
    </row>
    <row r="314" spans="1:4" ht="13.5" customHeight="1" x14ac:dyDescent="0.2">
      <c r="A314" s="126" t="s">
        <v>250</v>
      </c>
      <c r="B314" s="34" t="s">
        <v>86</v>
      </c>
      <c r="C314" s="61">
        <v>12.5</v>
      </c>
    </row>
    <row r="315" spans="1:4" ht="13.5" customHeight="1" x14ac:dyDescent="0.2">
      <c r="A315" s="126" t="s">
        <v>250</v>
      </c>
      <c r="B315" s="36" t="s">
        <v>86</v>
      </c>
      <c r="C315" s="61">
        <v>10.3</v>
      </c>
    </row>
    <row r="316" spans="1:4" ht="13.5" customHeight="1" x14ac:dyDescent="0.2">
      <c r="A316" s="126"/>
      <c r="B316" s="34"/>
      <c r="C316" s="421">
        <f>SUM(C304:C315)</f>
        <v>191.09000000000003</v>
      </c>
      <c r="D316" s="622">
        <f>SUM(C316/2)</f>
        <v>95.545000000000016</v>
      </c>
    </row>
    <row r="317" spans="1:4" ht="13.5" customHeight="1" x14ac:dyDescent="0.2">
      <c r="A317" s="126"/>
      <c r="B317" s="34"/>
      <c r="C317" s="186"/>
    </row>
    <row r="318" spans="1:4" ht="13.5" customHeight="1" x14ac:dyDescent="0.2">
      <c r="A318" t="s">
        <v>251</v>
      </c>
      <c r="B318" s="138" t="s">
        <v>2913</v>
      </c>
      <c r="C318" s="51">
        <v>195.67</v>
      </c>
      <c r="D318" s="622">
        <f>SUM(C318/2)</f>
        <v>97.834999999999994</v>
      </c>
    </row>
    <row r="319" spans="1:4" ht="13.5" customHeight="1" x14ac:dyDescent="0.2">
      <c r="A319" s="126"/>
      <c r="B319" s="34"/>
      <c r="C319" s="61"/>
    </row>
    <row r="320" spans="1:4" ht="13.5" customHeight="1" x14ac:dyDescent="0.2">
      <c r="A320"/>
      <c r="B320" s="34"/>
      <c r="C320" s="619"/>
    </row>
    <row r="321" spans="1:6" ht="13.5" customHeight="1" x14ac:dyDescent="0.2">
      <c r="A321"/>
      <c r="B321" s="34"/>
      <c r="C321" s="30"/>
    </row>
    <row r="322" spans="1:6" ht="13.5" customHeight="1" x14ac:dyDescent="0.2">
      <c r="A322" s="126" t="s">
        <v>421</v>
      </c>
      <c r="B322" s="34" t="s">
        <v>2890</v>
      </c>
      <c r="C322" s="30">
        <v>433.8</v>
      </c>
    </row>
    <row r="323" spans="1:6" ht="13.5" customHeight="1" x14ac:dyDescent="0.2">
      <c r="A323" s="126" t="s">
        <v>421</v>
      </c>
      <c r="B323" s="34" t="s">
        <v>2885</v>
      </c>
      <c r="C323" s="30">
        <v>200</v>
      </c>
    </row>
    <row r="324" spans="1:6" ht="13.5" customHeight="1" x14ac:dyDescent="0.2">
      <c r="A324" s="126" t="s">
        <v>421</v>
      </c>
      <c r="B324" s="36" t="s">
        <v>2889</v>
      </c>
      <c r="C324" s="30">
        <v>1151.0999999999999</v>
      </c>
    </row>
    <row r="325" spans="1:6" ht="13.5" customHeight="1" x14ac:dyDescent="0.2">
      <c r="A325" s="126"/>
      <c r="B325" s="36"/>
      <c r="C325" s="620">
        <f>SUM(C322:C324)</f>
        <v>1784.8999999999999</v>
      </c>
    </row>
    <row r="326" spans="1:6" ht="13.5" customHeight="1" x14ac:dyDescent="0.2">
      <c r="A326" s="126"/>
      <c r="B326" s="36"/>
      <c r="C326" s="30"/>
      <c r="F326" s="40">
        <f>SUM(C327,C325,C318,C316,C302,C295,C291,C277,C265,C263,C259,C211,C200,C167,C158,C155,C153,C114,C89,C75,C69,C61)-SUM(D43,D35)</f>
        <v>-1121.6700000000201</v>
      </c>
    </row>
    <row r="327" spans="1:6" ht="13.5" customHeight="1" x14ac:dyDescent="0.2">
      <c r="A327" s="126" t="s">
        <v>421</v>
      </c>
      <c r="B327" s="32" t="s">
        <v>2875</v>
      </c>
      <c r="C327" s="620">
        <v>-90</v>
      </c>
    </row>
    <row r="328" spans="1:6" ht="13.5" customHeight="1" x14ac:dyDescent="0.2">
      <c r="B328" s="56"/>
    </row>
    <row r="329" spans="1:6" ht="13.5" customHeight="1" x14ac:dyDescent="0.2">
      <c r="B329" s="56"/>
    </row>
    <row r="330" spans="1:6" ht="13.5" customHeight="1" x14ac:dyDescent="0.2">
      <c r="B330" s="27"/>
    </row>
    <row r="331" spans="1:6" ht="13.5" customHeight="1" x14ac:dyDescent="0.2">
      <c r="B331" s="27"/>
    </row>
    <row r="332" spans="1:6" ht="13.5" customHeight="1" x14ac:dyDescent="0.2"/>
    <row r="333" spans="1:6" ht="13.5" customHeight="1" x14ac:dyDescent="0.2">
      <c r="B333" s="56"/>
    </row>
    <row r="334" spans="1:6" ht="13.5" customHeight="1" x14ac:dyDescent="0.2">
      <c r="B334" s="56"/>
    </row>
    <row r="335" spans="1:6" ht="13.5" customHeight="1" x14ac:dyDescent="0.2">
      <c r="B335" s="56"/>
    </row>
    <row r="336" spans="1:6" ht="13.5" customHeight="1" x14ac:dyDescent="0.2">
      <c r="B336" s="56"/>
    </row>
    <row r="337" spans="2:2" ht="13.5" customHeight="1" x14ac:dyDescent="0.2">
      <c r="B337" s="94"/>
    </row>
    <row r="338" spans="2:2" ht="13.5" customHeight="1" x14ac:dyDescent="0.2"/>
    <row r="339" spans="2:2" ht="13.5" customHeight="1" x14ac:dyDescent="0.2"/>
    <row r="340" spans="2:2" ht="13.5" customHeight="1" x14ac:dyDescent="0.2"/>
    <row r="341" spans="2:2" ht="13.5" customHeight="1" x14ac:dyDescent="0.2"/>
    <row r="342" spans="2:2" ht="13.5" customHeight="1" x14ac:dyDescent="0.2"/>
    <row r="343" spans="2:2" ht="13.5" customHeight="1" x14ac:dyDescent="0.2"/>
    <row r="344" spans="2:2" ht="13.5" customHeight="1" x14ac:dyDescent="0.2"/>
    <row r="345" spans="2:2" ht="13.5" customHeight="1" x14ac:dyDescent="0.2"/>
    <row r="346" spans="2:2" ht="13.5" customHeight="1" x14ac:dyDescent="0.2"/>
    <row r="347" spans="2:2" ht="13.5" customHeight="1" x14ac:dyDescent="0.2"/>
    <row r="348" spans="2:2" ht="13.5" customHeight="1" x14ac:dyDescent="0.2"/>
    <row r="349" spans="2:2" ht="13.5" customHeight="1" x14ac:dyDescent="0.2"/>
    <row r="350" spans="2:2" ht="13.5" customHeight="1" x14ac:dyDescent="0.2"/>
    <row r="351" spans="2:2" ht="13.5" customHeight="1" x14ac:dyDescent="0.2"/>
    <row r="352" spans="2:2" ht="13.5" customHeight="1" x14ac:dyDescent="0.2"/>
    <row r="353" ht="13.5" customHeight="1" x14ac:dyDescent="0.2"/>
  </sheetData>
  <sortState xmlns:xlrd2="http://schemas.microsoft.com/office/spreadsheetml/2017/richdata2" ref="A2:P354">
    <sortCondition ref="A2:A354"/>
    <sortCondition ref="B2:B354"/>
  </sortState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A332"/>
  <sheetViews>
    <sheetView topLeftCell="C220" zoomScale="80" zoomScaleNormal="80" workbookViewId="0">
      <selection activeCell="I226" sqref="I226:J233"/>
    </sheetView>
  </sheetViews>
  <sheetFormatPr defaultColWidth="9" defaultRowHeight="12.75" x14ac:dyDescent="0.2"/>
  <cols>
    <col min="1" max="1" width="14" style="1" customWidth="1"/>
    <col min="2" max="2" width="1.875" style="1" customWidth="1"/>
    <col min="3" max="3" width="99.25" style="1" customWidth="1"/>
    <col min="4" max="4" width="12" style="1" customWidth="1"/>
    <col min="5" max="5" width="12.375" style="1" customWidth="1"/>
    <col min="6" max="6" width="10.75" style="1" customWidth="1"/>
    <col min="7" max="7" width="11.875" style="1" customWidth="1"/>
    <col min="8" max="8" width="13.625" style="1" customWidth="1"/>
    <col min="9" max="9" width="12.125" style="1" customWidth="1"/>
    <col min="10" max="10" width="13.875" style="1" customWidth="1"/>
    <col min="11" max="16384" width="9" style="1"/>
  </cols>
  <sheetData>
    <row r="1" spans="1:8" ht="13.5" customHeight="1" thickBot="1" x14ac:dyDescent="0.25">
      <c r="A1" s="1407" t="s">
        <v>3034</v>
      </c>
      <c r="B1" s="1407"/>
      <c r="C1" s="1408"/>
      <c r="D1" s="1409" t="s">
        <v>0</v>
      </c>
      <c r="E1" s="1410"/>
      <c r="F1" s="1410"/>
      <c r="G1" s="1411"/>
    </row>
    <row r="2" spans="1:8" ht="13.5" customHeight="1" thickBot="1" x14ac:dyDescent="0.25">
      <c r="A2" s="2" t="s">
        <v>2</v>
      </c>
      <c r="B2" s="3"/>
      <c r="C2" s="3" t="s">
        <v>2335</v>
      </c>
      <c r="D2" s="3" t="s">
        <v>4</v>
      </c>
      <c r="E2" s="3" t="s">
        <v>5</v>
      </c>
      <c r="F2" s="3" t="s">
        <v>6</v>
      </c>
      <c r="G2" s="5" t="s">
        <v>7</v>
      </c>
    </row>
    <row r="3" spans="1:8" ht="13.5" customHeight="1" x14ac:dyDescent="0.2">
      <c r="A3" s="8">
        <v>43739</v>
      </c>
      <c r="B3" s="56"/>
      <c r="C3" s="10" t="s">
        <v>8</v>
      </c>
      <c r="D3" s="11">
        <v>0</v>
      </c>
      <c r="E3" s="51"/>
      <c r="F3" s="12"/>
      <c r="G3" s="178">
        <v>291.32000000001335</v>
      </c>
      <c r="H3" s="18"/>
    </row>
    <row r="4" spans="1:8" ht="13.5" customHeight="1" x14ac:dyDescent="0.2">
      <c r="A4" s="180">
        <v>43745</v>
      </c>
      <c r="B4" s="56"/>
      <c r="C4" s="36" t="s">
        <v>3035</v>
      </c>
      <c r="D4" s="11"/>
      <c r="E4" s="30"/>
      <c r="F4" s="12">
        <v>379.2</v>
      </c>
      <c r="G4" s="182"/>
      <c r="H4" s="18"/>
    </row>
    <row r="5" spans="1:8" ht="13.5" customHeight="1" x14ac:dyDescent="0.2">
      <c r="A5" s="180"/>
      <c r="B5" s="56"/>
      <c r="C5" s="36" t="s">
        <v>3036</v>
      </c>
      <c r="D5" s="11"/>
      <c r="E5" s="30">
        <v>47</v>
      </c>
      <c r="F5" s="12"/>
      <c r="G5" s="182"/>
      <c r="H5" s="18"/>
    </row>
    <row r="6" spans="1:8" ht="13.5" customHeight="1" x14ac:dyDescent="0.2">
      <c r="A6" s="180"/>
      <c r="B6" s="56"/>
      <c r="C6" s="36" t="s">
        <v>3037</v>
      </c>
      <c r="D6" s="11"/>
      <c r="E6" s="30">
        <v>50</v>
      </c>
      <c r="F6" s="12"/>
      <c r="G6" s="182"/>
      <c r="H6" s="18"/>
    </row>
    <row r="7" spans="1:8" ht="13.5" customHeight="1" x14ac:dyDescent="0.2">
      <c r="A7" s="180"/>
      <c r="B7" s="56"/>
      <c r="C7" s="36" t="s">
        <v>3038</v>
      </c>
      <c r="D7" s="11"/>
      <c r="E7" s="30"/>
      <c r="F7" s="12">
        <v>1100</v>
      </c>
      <c r="G7" s="182"/>
      <c r="H7" s="18"/>
    </row>
    <row r="8" spans="1:8" ht="13.5" customHeight="1" x14ac:dyDescent="0.2">
      <c r="A8" s="180"/>
      <c r="B8" s="56"/>
      <c r="C8" s="36" t="s">
        <v>3039</v>
      </c>
      <c r="D8" s="11"/>
      <c r="E8" s="30"/>
      <c r="F8" s="12">
        <v>1507.15</v>
      </c>
      <c r="G8" s="182"/>
      <c r="H8" s="18"/>
    </row>
    <row r="9" spans="1:8" ht="13.5" customHeight="1" x14ac:dyDescent="0.2">
      <c r="A9" s="180"/>
      <c r="B9" s="56"/>
      <c r="C9" s="34" t="s">
        <v>3040</v>
      </c>
      <c r="D9" s="11"/>
      <c r="E9" s="30"/>
      <c r="F9" s="12">
        <v>1000</v>
      </c>
      <c r="G9" s="182">
        <v>4180.6700000000137</v>
      </c>
      <c r="H9" s="18"/>
    </row>
    <row r="10" spans="1:8" ht="13.5" customHeight="1" x14ac:dyDescent="0.2">
      <c r="A10" s="180">
        <v>43746</v>
      </c>
      <c r="B10" s="56"/>
      <c r="C10" s="34" t="s">
        <v>3041</v>
      </c>
      <c r="D10" s="11"/>
      <c r="E10" s="30"/>
      <c r="F10" s="12">
        <v>419.2</v>
      </c>
      <c r="G10" s="182"/>
      <c r="H10" s="18"/>
    </row>
    <row r="11" spans="1:8" ht="13.5" customHeight="1" x14ac:dyDescent="0.2">
      <c r="A11" s="180"/>
      <c r="B11" s="56"/>
      <c r="C11" s="34" t="s">
        <v>3042</v>
      </c>
      <c r="D11" s="11"/>
      <c r="E11" s="30"/>
      <c r="F11" s="12">
        <v>200</v>
      </c>
      <c r="G11" s="182"/>
      <c r="H11" s="18"/>
    </row>
    <row r="12" spans="1:8" ht="13.5" customHeight="1" x14ac:dyDescent="0.2">
      <c r="A12" s="180"/>
      <c r="B12" s="56"/>
      <c r="C12" s="34" t="s">
        <v>3043</v>
      </c>
      <c r="D12" s="11"/>
      <c r="E12" s="30">
        <v>60</v>
      </c>
      <c r="F12" s="12"/>
      <c r="G12" s="182"/>
      <c r="H12" s="18"/>
    </row>
    <row r="13" spans="1:8" ht="13.5" customHeight="1" x14ac:dyDescent="0.2">
      <c r="A13" s="180"/>
      <c r="B13" s="56"/>
      <c r="C13" s="34" t="s">
        <v>3044</v>
      </c>
      <c r="D13" s="11"/>
      <c r="E13" s="30"/>
      <c r="F13" s="277">
        <v>800</v>
      </c>
      <c r="G13" s="182"/>
      <c r="H13" s="18"/>
    </row>
    <row r="14" spans="1:8" ht="13.5" customHeight="1" x14ac:dyDescent="0.2">
      <c r="A14" s="180"/>
      <c r="B14" s="56"/>
      <c r="C14" s="34" t="s">
        <v>3045</v>
      </c>
      <c r="D14" s="11"/>
      <c r="E14" s="30">
        <v>2138</v>
      </c>
      <c r="F14" s="12"/>
      <c r="G14" s="182">
        <v>3401.8700000000135</v>
      </c>
      <c r="H14" s="18"/>
    </row>
    <row r="15" spans="1:8" ht="13.5" customHeight="1" x14ac:dyDescent="0.2">
      <c r="A15" s="180">
        <v>43747</v>
      </c>
      <c r="B15" s="56"/>
      <c r="C15" s="34" t="s">
        <v>3046</v>
      </c>
      <c r="D15" s="11"/>
      <c r="E15" s="30">
        <v>28.2</v>
      </c>
      <c r="F15" s="12"/>
      <c r="G15" s="182"/>
      <c r="H15" s="18"/>
    </row>
    <row r="16" spans="1:8" ht="13.5" customHeight="1" x14ac:dyDescent="0.2">
      <c r="A16" s="180"/>
      <c r="B16" s="56"/>
      <c r="C16" s="34" t="s">
        <v>3047</v>
      </c>
      <c r="D16" s="11"/>
      <c r="E16" s="30">
        <v>36.5</v>
      </c>
      <c r="F16" s="12"/>
      <c r="G16" s="182"/>
      <c r="H16" s="18"/>
    </row>
    <row r="17" spans="1:8" ht="13.5" customHeight="1" x14ac:dyDescent="0.2">
      <c r="A17" s="180"/>
      <c r="B17" s="56"/>
      <c r="C17" s="34" t="s">
        <v>3048</v>
      </c>
      <c r="D17" s="11"/>
      <c r="E17" s="30">
        <v>6.98</v>
      </c>
      <c r="F17" s="12"/>
      <c r="G17" s="182"/>
      <c r="H17" s="18"/>
    </row>
    <row r="18" spans="1:8" ht="13.5" customHeight="1" x14ac:dyDescent="0.2">
      <c r="A18" s="180"/>
      <c r="B18" s="56"/>
      <c r="C18" s="34" t="s">
        <v>3049</v>
      </c>
      <c r="D18" s="11"/>
      <c r="E18" s="30">
        <v>33.880000000000003</v>
      </c>
      <c r="F18" s="12"/>
      <c r="G18" s="182"/>
      <c r="H18" s="18"/>
    </row>
    <row r="19" spans="1:8" ht="13.5" customHeight="1" x14ac:dyDescent="0.2">
      <c r="A19" s="180"/>
      <c r="B19" s="56"/>
      <c r="C19" s="34" t="s">
        <v>3050</v>
      </c>
      <c r="D19" s="11"/>
      <c r="E19" s="30">
        <v>66.349999999999994</v>
      </c>
      <c r="F19" s="12"/>
      <c r="G19" s="182"/>
      <c r="H19" s="18"/>
    </row>
    <row r="20" spans="1:8" ht="13.5" customHeight="1" x14ac:dyDescent="0.2">
      <c r="A20" s="180"/>
      <c r="B20" s="56"/>
      <c r="C20" s="34" t="s">
        <v>3051</v>
      </c>
      <c r="D20" s="11"/>
      <c r="E20" s="30">
        <v>83.7</v>
      </c>
      <c r="F20" s="12"/>
      <c r="G20" s="182"/>
      <c r="H20" s="18"/>
    </row>
    <row r="21" spans="1:8" ht="13.5" customHeight="1" x14ac:dyDescent="0.2">
      <c r="A21" s="180"/>
      <c r="B21" s="56"/>
      <c r="C21" s="34" t="s">
        <v>3052</v>
      </c>
      <c r="D21" s="11"/>
      <c r="E21" s="30">
        <v>12.75</v>
      </c>
      <c r="F21" s="12"/>
      <c r="G21" s="182"/>
      <c r="H21" s="18"/>
    </row>
    <row r="22" spans="1:8" ht="13.5" customHeight="1" x14ac:dyDescent="0.2">
      <c r="A22" s="180"/>
      <c r="B22" s="56"/>
      <c r="C22" s="34" t="s">
        <v>3053</v>
      </c>
      <c r="D22" s="11"/>
      <c r="E22" s="30">
        <v>6.2</v>
      </c>
      <c r="F22" s="12"/>
      <c r="G22" s="182">
        <v>3127.310000000014</v>
      </c>
      <c r="H22" s="18"/>
    </row>
    <row r="23" spans="1:8" ht="13.5" customHeight="1" x14ac:dyDescent="0.2">
      <c r="A23" s="180">
        <v>43748</v>
      </c>
      <c r="B23" s="56"/>
      <c r="C23" s="34" t="s">
        <v>3054</v>
      </c>
      <c r="D23" s="11"/>
      <c r="E23" s="30"/>
      <c r="F23" s="12">
        <v>200</v>
      </c>
      <c r="G23" s="182"/>
      <c r="H23" s="18"/>
    </row>
    <row r="24" spans="1:8" ht="13.5" customHeight="1" x14ac:dyDescent="0.2">
      <c r="A24" s="180"/>
      <c r="B24" s="56"/>
      <c r="C24" s="34" t="s">
        <v>3055</v>
      </c>
      <c r="D24" s="11"/>
      <c r="E24" s="30">
        <v>57.62</v>
      </c>
      <c r="F24" s="12"/>
      <c r="G24" s="182"/>
      <c r="H24" s="18"/>
    </row>
    <row r="25" spans="1:8" ht="13.5" customHeight="1" x14ac:dyDescent="0.2">
      <c r="A25" s="180"/>
      <c r="B25" s="56"/>
      <c r="C25" s="34" t="s">
        <v>3056</v>
      </c>
      <c r="D25" s="11"/>
      <c r="E25" s="165">
        <v>400</v>
      </c>
      <c r="F25" s="12"/>
      <c r="G25" s="182"/>
      <c r="H25" s="18"/>
    </row>
    <row r="26" spans="1:8" ht="13.5" customHeight="1" x14ac:dyDescent="0.2">
      <c r="A26" s="180"/>
      <c r="B26" s="56"/>
      <c r="C26" s="34" t="s">
        <v>3057</v>
      </c>
      <c r="D26" s="11"/>
      <c r="E26" s="30"/>
      <c r="F26" s="12">
        <v>200</v>
      </c>
      <c r="G26" s="182"/>
      <c r="H26" s="18"/>
    </row>
    <row r="27" spans="1:8" ht="13.5" customHeight="1" x14ac:dyDescent="0.2">
      <c r="A27" s="180"/>
      <c r="B27" s="56"/>
      <c r="C27" s="34" t="s">
        <v>3058</v>
      </c>
      <c r="D27" s="11"/>
      <c r="E27" s="30"/>
      <c r="F27" s="12">
        <v>250</v>
      </c>
      <c r="G27" s="182">
        <v>3319.6900000000142</v>
      </c>
      <c r="H27" s="18"/>
    </row>
    <row r="28" spans="1:8" ht="13.5" customHeight="1" x14ac:dyDescent="0.2">
      <c r="A28" s="180">
        <v>43749</v>
      </c>
      <c r="B28" s="56"/>
      <c r="C28" s="34" t="s">
        <v>3059</v>
      </c>
      <c r="D28" s="11"/>
      <c r="E28" s="30">
        <v>8.48</v>
      </c>
      <c r="F28" s="12"/>
      <c r="G28" s="182"/>
      <c r="H28" s="18"/>
    </row>
    <row r="29" spans="1:8" ht="13.5" customHeight="1" x14ac:dyDescent="0.2">
      <c r="A29" s="180"/>
      <c r="B29" s="56"/>
      <c r="C29" s="34" t="s">
        <v>3060</v>
      </c>
      <c r="D29" s="11"/>
      <c r="E29" s="30">
        <v>38.4</v>
      </c>
      <c r="F29" s="12"/>
      <c r="G29" s="182"/>
      <c r="H29" s="18"/>
    </row>
    <row r="30" spans="1:8" ht="13.5" customHeight="1" x14ac:dyDescent="0.2">
      <c r="A30" s="180"/>
      <c r="B30" s="56"/>
      <c r="C30" s="34" t="s">
        <v>3061</v>
      </c>
      <c r="D30" s="11"/>
      <c r="E30" s="30">
        <v>47</v>
      </c>
      <c r="F30" s="12"/>
      <c r="G30" s="182"/>
      <c r="H30" s="18"/>
    </row>
    <row r="31" spans="1:8" ht="13.5" customHeight="1" x14ac:dyDescent="0.2">
      <c r="A31" s="180"/>
      <c r="B31" s="56"/>
      <c r="C31" s="34" t="s">
        <v>3062</v>
      </c>
      <c r="D31" s="11"/>
      <c r="E31" s="30"/>
      <c r="F31" s="12">
        <v>1518.28</v>
      </c>
      <c r="G31" s="182"/>
      <c r="H31" s="18"/>
    </row>
    <row r="32" spans="1:8" ht="13.5" customHeight="1" x14ac:dyDescent="0.2">
      <c r="A32" s="180"/>
      <c r="B32" s="56"/>
      <c r="C32" s="34" t="s">
        <v>3063</v>
      </c>
      <c r="D32" s="11"/>
      <c r="E32" s="30">
        <v>300</v>
      </c>
      <c r="F32" s="12"/>
      <c r="G32" s="182"/>
      <c r="H32" s="18"/>
    </row>
    <row r="33" spans="1:8" ht="13.5" customHeight="1" x14ac:dyDescent="0.2">
      <c r="A33" s="180"/>
      <c r="B33" s="56"/>
      <c r="C33" s="34" t="s">
        <v>3064</v>
      </c>
      <c r="D33" s="11"/>
      <c r="E33" s="30">
        <v>525</v>
      </c>
      <c r="F33" s="12"/>
      <c r="G33" s="182"/>
      <c r="H33" s="18"/>
    </row>
    <row r="34" spans="1:8" ht="13.5" customHeight="1" x14ac:dyDescent="0.2">
      <c r="A34" s="180"/>
      <c r="B34" s="56"/>
      <c r="C34" s="34" t="s">
        <v>3065</v>
      </c>
      <c r="D34" s="11"/>
      <c r="E34" s="30">
        <v>70</v>
      </c>
      <c r="F34" s="12"/>
      <c r="G34" s="182"/>
      <c r="H34" s="18"/>
    </row>
    <row r="35" spans="1:8" ht="13.5" customHeight="1" x14ac:dyDescent="0.2">
      <c r="A35" s="180"/>
      <c r="B35" s="56"/>
      <c r="C35" s="34" t="s">
        <v>3066</v>
      </c>
      <c r="D35" s="11"/>
      <c r="E35" s="30">
        <v>120</v>
      </c>
      <c r="F35" s="12"/>
      <c r="G35" s="182"/>
      <c r="H35" s="18"/>
    </row>
    <row r="36" spans="1:8" ht="13.5" customHeight="1" x14ac:dyDescent="0.2">
      <c r="A36" s="180"/>
      <c r="B36" s="56"/>
      <c r="C36" s="34" t="s">
        <v>3067</v>
      </c>
      <c r="D36" s="11"/>
      <c r="E36" s="30"/>
      <c r="F36" s="12">
        <v>3765</v>
      </c>
      <c r="G36" s="182"/>
      <c r="H36" s="18"/>
    </row>
    <row r="37" spans="1:8" ht="13.5" customHeight="1" x14ac:dyDescent="0.2">
      <c r="A37" s="180"/>
      <c r="B37" s="56"/>
      <c r="C37" s="34" t="s">
        <v>3068</v>
      </c>
      <c r="D37" s="11"/>
      <c r="E37" s="30">
        <v>1840</v>
      </c>
      <c r="F37" s="12"/>
      <c r="G37" s="182"/>
      <c r="H37" s="18"/>
    </row>
    <row r="38" spans="1:8" ht="13.5" customHeight="1" x14ac:dyDescent="0.2">
      <c r="A38" s="180"/>
      <c r="B38" s="56"/>
      <c r="C38" s="34" t="s">
        <v>1981</v>
      </c>
      <c r="D38" s="11"/>
      <c r="E38" s="552">
        <v>1500</v>
      </c>
      <c r="F38" s="12"/>
      <c r="G38" s="182">
        <v>4154.0900000000138</v>
      </c>
      <c r="H38" s="18"/>
    </row>
    <row r="39" spans="1:8" ht="13.5" customHeight="1" x14ac:dyDescent="0.2">
      <c r="A39" s="180">
        <v>43752</v>
      </c>
      <c r="B39" s="56"/>
      <c r="C39" s="34" t="s">
        <v>3069</v>
      </c>
      <c r="D39" s="11"/>
      <c r="E39" s="30">
        <v>10.38</v>
      </c>
      <c r="F39" s="12"/>
      <c r="G39" s="182"/>
      <c r="H39" s="18"/>
    </row>
    <row r="40" spans="1:8" ht="13.5" customHeight="1" x14ac:dyDescent="0.2">
      <c r="A40" s="180"/>
      <c r="B40" s="56"/>
      <c r="C40" s="34" t="s">
        <v>3070</v>
      </c>
      <c r="D40" s="11"/>
      <c r="E40" s="30"/>
      <c r="F40" s="12">
        <v>700</v>
      </c>
      <c r="G40" s="182">
        <v>4843.7100000000137</v>
      </c>
      <c r="H40" s="18"/>
    </row>
    <row r="41" spans="1:8" ht="13.5" customHeight="1" x14ac:dyDescent="0.2">
      <c r="A41" s="180">
        <v>43753</v>
      </c>
      <c r="B41" s="56"/>
      <c r="C41" s="34" t="s">
        <v>3071</v>
      </c>
      <c r="D41" s="11"/>
      <c r="E41" s="30"/>
      <c r="F41" s="12">
        <v>5200</v>
      </c>
      <c r="G41" s="182"/>
      <c r="H41" s="18"/>
    </row>
    <row r="42" spans="1:8" ht="13.5" customHeight="1" x14ac:dyDescent="0.2">
      <c r="A42" s="180"/>
      <c r="B42" s="56"/>
      <c r="C42" s="34" t="s">
        <v>3072</v>
      </c>
      <c r="D42" s="11"/>
      <c r="E42" s="30">
        <v>6000</v>
      </c>
      <c r="F42" s="12"/>
      <c r="G42" s="182"/>
      <c r="H42" s="18"/>
    </row>
    <row r="43" spans="1:8" ht="13.5" customHeight="1" x14ac:dyDescent="0.2">
      <c r="A43" s="180"/>
      <c r="B43" s="56"/>
      <c r="C43" s="34" t="s">
        <v>3073</v>
      </c>
      <c r="D43" s="11"/>
      <c r="E43" s="30"/>
      <c r="F43" s="12">
        <v>1058.6300000000001</v>
      </c>
      <c r="G43" s="182"/>
      <c r="H43" s="18"/>
    </row>
    <row r="44" spans="1:8" ht="13.5" customHeight="1" x14ac:dyDescent="0.2">
      <c r="A44" s="180"/>
      <c r="B44" s="56"/>
      <c r="C44" s="34" t="s">
        <v>3074</v>
      </c>
      <c r="D44" s="11"/>
      <c r="E44" s="30"/>
      <c r="F44" s="12">
        <v>525</v>
      </c>
      <c r="G44" s="182"/>
      <c r="H44" s="18"/>
    </row>
    <row r="45" spans="1:8" ht="13.5" customHeight="1" x14ac:dyDescent="0.2">
      <c r="A45" s="180"/>
      <c r="B45" s="56"/>
      <c r="C45" s="34" t="s">
        <v>3075</v>
      </c>
      <c r="D45" s="11"/>
      <c r="E45" s="30"/>
      <c r="F45" s="12">
        <v>8059.75</v>
      </c>
      <c r="G45" s="182">
        <v>13687.090000000015</v>
      </c>
      <c r="H45" s="18"/>
    </row>
    <row r="46" spans="1:8" ht="13.5" customHeight="1" x14ac:dyDescent="0.2">
      <c r="A46" s="180">
        <v>43754</v>
      </c>
      <c r="B46" s="56"/>
      <c r="C46" s="34" t="s">
        <v>3076</v>
      </c>
      <c r="D46" s="11"/>
      <c r="E46" s="30"/>
      <c r="F46" s="12">
        <v>1130</v>
      </c>
      <c r="G46" s="182"/>
      <c r="H46" s="18"/>
    </row>
    <row r="47" spans="1:8" ht="13.5" customHeight="1" x14ac:dyDescent="0.2">
      <c r="A47" s="180"/>
      <c r="B47" s="56"/>
      <c r="C47" s="34" t="s">
        <v>3077</v>
      </c>
      <c r="D47" s="11"/>
      <c r="E47" s="30"/>
      <c r="F47" s="12">
        <v>250</v>
      </c>
      <c r="G47" s="182">
        <v>15067.090000000015</v>
      </c>
      <c r="H47" s="18"/>
    </row>
    <row r="48" spans="1:8" ht="13.5" customHeight="1" x14ac:dyDescent="0.2">
      <c r="A48" s="180">
        <v>43755</v>
      </c>
      <c r="B48" s="56"/>
      <c r="C48" s="36" t="s">
        <v>3078</v>
      </c>
      <c r="D48" s="11"/>
      <c r="E48" s="30">
        <v>3.5</v>
      </c>
      <c r="F48" s="12"/>
      <c r="G48" s="182"/>
      <c r="H48" s="18"/>
    </row>
    <row r="49" spans="1:8" ht="13.5" customHeight="1" x14ac:dyDescent="0.2">
      <c r="A49" s="180"/>
      <c r="B49" s="56"/>
      <c r="C49" s="36" t="s">
        <v>3079</v>
      </c>
      <c r="D49" s="11"/>
      <c r="E49" s="30">
        <v>39.99</v>
      </c>
      <c r="F49" s="30"/>
      <c r="G49" s="182"/>
      <c r="H49" s="18"/>
    </row>
    <row r="50" spans="1:8" ht="13.5" customHeight="1" x14ac:dyDescent="0.2">
      <c r="A50" s="180"/>
      <c r="B50" s="56"/>
      <c r="C50" s="36" t="s">
        <v>3080</v>
      </c>
      <c r="D50" s="11"/>
      <c r="E50" s="30">
        <v>9.99</v>
      </c>
      <c r="F50" s="30"/>
      <c r="G50" s="182"/>
      <c r="H50" s="18"/>
    </row>
    <row r="51" spans="1:8" ht="13.5" customHeight="1" x14ac:dyDescent="0.2">
      <c r="A51" s="180"/>
      <c r="B51" s="56"/>
      <c r="C51" s="36" t="s">
        <v>3081</v>
      </c>
      <c r="D51" s="11"/>
      <c r="E51" s="30">
        <v>7.9</v>
      </c>
      <c r="F51" s="30"/>
      <c r="G51" s="182"/>
      <c r="H51" s="18"/>
    </row>
    <row r="52" spans="1:8" ht="13.5" customHeight="1" x14ac:dyDescent="0.2">
      <c r="A52" s="180"/>
      <c r="B52" s="56"/>
      <c r="C52" s="36" t="s">
        <v>3082</v>
      </c>
      <c r="D52" s="11"/>
      <c r="E52" s="30">
        <v>27.44</v>
      </c>
      <c r="F52" s="30"/>
      <c r="G52" s="182"/>
      <c r="H52" s="18"/>
    </row>
    <row r="53" spans="1:8" ht="13.5" customHeight="1" x14ac:dyDescent="0.2">
      <c r="A53" s="180"/>
      <c r="B53" s="56"/>
      <c r="C53" s="34" t="s">
        <v>3083</v>
      </c>
      <c r="D53" s="11"/>
      <c r="E53" s="30">
        <v>48.89</v>
      </c>
      <c r="F53" s="30"/>
      <c r="G53" s="182"/>
      <c r="H53" s="18"/>
    </row>
    <row r="54" spans="1:8" ht="13.5" customHeight="1" x14ac:dyDescent="0.2">
      <c r="A54" s="180"/>
      <c r="B54" s="56"/>
      <c r="C54" s="34" t="s">
        <v>3084</v>
      </c>
      <c r="D54" s="11"/>
      <c r="E54" s="30">
        <v>25</v>
      </c>
      <c r="F54" s="30"/>
      <c r="G54" s="182"/>
      <c r="H54" s="18"/>
    </row>
    <row r="55" spans="1:8" ht="13.5" customHeight="1" x14ac:dyDescent="0.2">
      <c r="A55" s="180"/>
      <c r="B55" s="56"/>
      <c r="C55" s="34" t="s">
        <v>3085</v>
      </c>
      <c r="D55" s="11"/>
      <c r="E55" s="30">
        <v>27.75</v>
      </c>
      <c r="F55" s="30"/>
      <c r="G55" s="182"/>
      <c r="H55" s="18"/>
    </row>
    <row r="56" spans="1:8" ht="13.5" customHeight="1" x14ac:dyDescent="0.2">
      <c r="A56" s="180"/>
      <c r="B56" s="56"/>
      <c r="C56" s="36" t="s">
        <v>3086</v>
      </c>
      <c r="D56" s="11"/>
      <c r="E56" s="30">
        <v>320</v>
      </c>
      <c r="F56" s="30"/>
      <c r="G56" s="182"/>
      <c r="H56" s="18"/>
    </row>
    <row r="57" spans="1:8" ht="13.5" customHeight="1" x14ac:dyDescent="0.2">
      <c r="A57" s="180"/>
      <c r="B57" s="56"/>
      <c r="C57" s="36" t="s">
        <v>3087</v>
      </c>
      <c r="D57" s="11"/>
      <c r="E57" s="165">
        <v>8584.75</v>
      </c>
      <c r="F57" s="30"/>
      <c r="G57" s="182">
        <v>5971.8800000000156</v>
      </c>
      <c r="H57" s="18"/>
    </row>
    <row r="58" spans="1:8" ht="13.5" customHeight="1" x14ac:dyDescent="0.2">
      <c r="A58" s="180">
        <v>43756</v>
      </c>
      <c r="B58" s="56"/>
      <c r="C58" s="36" t="s">
        <v>3088</v>
      </c>
      <c r="D58" s="11"/>
      <c r="E58" s="30">
        <v>300</v>
      </c>
      <c r="F58" s="30"/>
      <c r="G58" s="182"/>
      <c r="H58" s="18"/>
    </row>
    <row r="59" spans="1:8" ht="13.5" customHeight="1" x14ac:dyDescent="0.2">
      <c r="A59" s="180"/>
      <c r="B59" s="56"/>
      <c r="C59" s="36" t="s">
        <v>3089</v>
      </c>
      <c r="D59" s="11"/>
      <c r="E59" s="30">
        <v>525</v>
      </c>
      <c r="F59" s="30"/>
      <c r="G59" s="182">
        <v>5146.8800000000156</v>
      </c>
      <c r="H59" s="18"/>
    </row>
    <row r="60" spans="1:8" ht="13.5" customHeight="1" x14ac:dyDescent="0.2">
      <c r="A60" s="180">
        <v>43761</v>
      </c>
      <c r="B60" s="56"/>
      <c r="C60" s="36" t="s">
        <v>3090</v>
      </c>
      <c r="D60" s="11"/>
      <c r="E60" s="30"/>
      <c r="F60" s="30">
        <v>1900</v>
      </c>
      <c r="G60" s="182"/>
      <c r="H60" s="18"/>
    </row>
    <row r="61" spans="1:8" ht="13.5" customHeight="1" x14ac:dyDescent="0.2">
      <c r="A61" s="180"/>
      <c r="B61" s="56"/>
      <c r="C61" s="36" t="s">
        <v>3091</v>
      </c>
      <c r="D61" s="11"/>
      <c r="E61" s="30"/>
      <c r="F61" s="30">
        <v>400</v>
      </c>
      <c r="G61" s="182">
        <v>7446.8800000000156</v>
      </c>
      <c r="H61" s="18"/>
    </row>
    <row r="62" spans="1:8" ht="13.5" customHeight="1" x14ac:dyDescent="0.2">
      <c r="A62" s="180">
        <v>43762</v>
      </c>
      <c r="B62" s="56"/>
      <c r="C62" s="34" t="s">
        <v>1625</v>
      </c>
      <c r="D62" s="11"/>
      <c r="E62" s="165">
        <v>4000</v>
      </c>
      <c r="F62" s="30"/>
      <c r="G62" s="182"/>
      <c r="H62" s="18"/>
    </row>
    <row r="63" spans="1:8" ht="13.5" customHeight="1" x14ac:dyDescent="0.2">
      <c r="A63" s="180"/>
      <c r="B63" s="56"/>
      <c r="C63" s="36" t="s">
        <v>3092</v>
      </c>
      <c r="D63" s="11"/>
      <c r="E63" s="30"/>
      <c r="F63" s="30">
        <v>1465</v>
      </c>
      <c r="G63" s="182">
        <v>4911.8800000000156</v>
      </c>
      <c r="H63" s="18"/>
    </row>
    <row r="64" spans="1:8" ht="13.5" customHeight="1" x14ac:dyDescent="0.2">
      <c r="A64" s="180">
        <v>43763</v>
      </c>
      <c r="B64" s="56"/>
      <c r="C64" s="36" t="s">
        <v>3093</v>
      </c>
      <c r="D64" s="11"/>
      <c r="E64" s="30">
        <v>300</v>
      </c>
      <c r="F64" s="30"/>
      <c r="G64" s="182"/>
      <c r="H64" s="18"/>
    </row>
    <row r="65" spans="1:27" ht="13.5" customHeight="1" x14ac:dyDescent="0.2">
      <c r="A65" s="180"/>
      <c r="B65" s="56"/>
      <c r="C65" s="36" t="s">
        <v>3094</v>
      </c>
      <c r="D65" s="11"/>
      <c r="E65" s="30">
        <v>525</v>
      </c>
      <c r="F65" s="30"/>
      <c r="G65" s="182"/>
      <c r="H65" s="18"/>
    </row>
    <row r="66" spans="1:27" ht="13.5" customHeight="1" x14ac:dyDescent="0.2">
      <c r="A66" s="180"/>
      <c r="B66" s="56"/>
      <c r="C66" s="36" t="s">
        <v>3095</v>
      </c>
      <c r="D66" s="11"/>
      <c r="E66" s="30"/>
      <c r="F66" s="30">
        <v>2205</v>
      </c>
      <c r="G66" s="182">
        <v>6291.8800000000156</v>
      </c>
      <c r="H66" s="18"/>
    </row>
    <row r="67" spans="1:27" ht="13.5" customHeight="1" x14ac:dyDescent="0.2">
      <c r="A67" s="180">
        <v>43767</v>
      </c>
      <c r="B67" s="56"/>
      <c r="C67" s="36" t="s">
        <v>3096</v>
      </c>
      <c r="D67" s="11"/>
      <c r="E67" s="30">
        <v>19.899999999999999</v>
      </c>
      <c r="F67" s="30"/>
      <c r="G67" s="182"/>
      <c r="H67" s="18"/>
    </row>
    <row r="68" spans="1:27" ht="13.5" customHeight="1" x14ac:dyDescent="0.2">
      <c r="A68" s="180"/>
      <c r="B68" s="56"/>
      <c r="C68" s="36" t="s">
        <v>3097</v>
      </c>
      <c r="D68" s="11"/>
      <c r="E68" s="30"/>
      <c r="F68" s="30">
        <v>900</v>
      </c>
      <c r="G68" s="182">
        <v>7171.9800000000159</v>
      </c>
      <c r="H68" s="18"/>
    </row>
    <row r="69" spans="1:27" ht="13.5" customHeight="1" x14ac:dyDescent="0.2">
      <c r="A69" s="180">
        <v>43769</v>
      </c>
      <c r="B69" s="56"/>
      <c r="C69" s="36" t="s">
        <v>3098</v>
      </c>
      <c r="D69" s="11"/>
      <c r="E69" s="30"/>
      <c r="F69" s="30">
        <v>200</v>
      </c>
      <c r="G69" s="182"/>
      <c r="H69" s="18"/>
    </row>
    <row r="70" spans="1:27" ht="13.5" customHeight="1" x14ac:dyDescent="0.2">
      <c r="A70" s="180"/>
      <c r="B70" s="56"/>
      <c r="C70" s="36" t="s">
        <v>3099</v>
      </c>
      <c r="D70" s="11"/>
      <c r="E70" s="30">
        <v>320</v>
      </c>
      <c r="F70" s="30"/>
      <c r="G70" s="182"/>
      <c r="H70" s="18"/>
    </row>
    <row r="71" spans="1:27" ht="13.5" customHeight="1" x14ac:dyDescent="0.2">
      <c r="A71" s="180"/>
      <c r="B71" s="56"/>
      <c r="C71" s="36" t="s">
        <v>2776</v>
      </c>
      <c r="D71" s="11"/>
      <c r="E71" s="552">
        <v>3000</v>
      </c>
      <c r="F71" s="30"/>
      <c r="G71" s="182"/>
      <c r="H71" s="18"/>
    </row>
    <row r="72" spans="1:27" ht="13.5" customHeight="1" x14ac:dyDescent="0.2">
      <c r="A72" s="180"/>
      <c r="B72" s="56"/>
      <c r="C72" s="36" t="s">
        <v>3100</v>
      </c>
      <c r="D72" s="11"/>
      <c r="E72" s="30">
        <v>190</v>
      </c>
      <c r="F72" s="30"/>
      <c r="G72" s="205">
        <v>3861.9800000000159</v>
      </c>
      <c r="H72" s="124"/>
    </row>
    <row r="73" spans="1:27" s="64" customFormat="1" ht="13.5" customHeight="1" thickBot="1" x14ac:dyDescent="0.25">
      <c r="A73" s="184"/>
      <c r="B73" s="63"/>
      <c r="C73" s="63"/>
      <c r="D73" s="50"/>
      <c r="E73" s="650">
        <f>-SUM(E5:E24,E28:E37,E39:E56,E58:E59,E64:E69,E70,E72)</f>
        <v>-14276.799999999997</v>
      </c>
      <c r="F73" s="651">
        <f>SUM(F4:F11,F23:F72)</f>
        <v>34532.210000000006</v>
      </c>
      <c r="G73" s="53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3.5" customHeight="1" thickBot="1" x14ac:dyDescent="0.25">
      <c r="A74" s="2" t="s">
        <v>2</v>
      </c>
      <c r="B74" s="3"/>
      <c r="C74" s="3" t="s">
        <v>536</v>
      </c>
      <c r="D74" s="3" t="s">
        <v>4</v>
      </c>
      <c r="E74" s="3" t="s">
        <v>5</v>
      </c>
      <c r="F74" s="3" t="s">
        <v>6</v>
      </c>
      <c r="G74" s="5" t="s">
        <v>7</v>
      </c>
    </row>
    <row r="75" spans="1:27" ht="13.5" customHeight="1" x14ac:dyDescent="0.2">
      <c r="A75" s="8">
        <v>43739</v>
      </c>
      <c r="B75" s="56"/>
      <c r="C75" s="10" t="s">
        <v>8</v>
      </c>
      <c r="D75" s="11"/>
      <c r="E75" s="51"/>
      <c r="F75" s="12"/>
      <c r="G75" s="205">
        <v>5467.1800000000067</v>
      </c>
      <c r="H75" s="18"/>
    </row>
    <row r="76" spans="1:27" ht="13.5" customHeight="1" x14ac:dyDescent="0.2">
      <c r="A76" s="180"/>
      <c r="B76" s="56"/>
      <c r="C76" s="36" t="s">
        <v>3101</v>
      </c>
      <c r="D76" s="11"/>
      <c r="E76" s="30"/>
      <c r="F76" s="12">
        <v>220</v>
      </c>
      <c r="G76" s="182">
        <v>5687.1800000000067</v>
      </c>
      <c r="H76" s="18"/>
    </row>
    <row r="77" spans="1:27" ht="13.5" customHeight="1" x14ac:dyDescent="0.2">
      <c r="A77" s="180"/>
      <c r="B77" s="56"/>
      <c r="C77" s="36" t="s">
        <v>3102</v>
      </c>
      <c r="D77" s="11"/>
      <c r="E77" s="30">
        <v>280</v>
      </c>
      <c r="F77" s="12"/>
      <c r="G77" s="182">
        <v>5407.1800000000067</v>
      </c>
      <c r="H77" s="18"/>
    </row>
    <row r="78" spans="1:27" ht="13.5" customHeight="1" x14ac:dyDescent="0.2">
      <c r="A78" s="180">
        <v>43740</v>
      </c>
      <c r="B78" s="56"/>
      <c r="C78" s="36" t="s">
        <v>3103</v>
      </c>
      <c r="D78" s="11"/>
      <c r="E78" s="30"/>
      <c r="F78" s="12">
        <v>1500</v>
      </c>
      <c r="G78" s="182">
        <v>6907.1800000000067</v>
      </c>
      <c r="H78" s="18"/>
    </row>
    <row r="79" spans="1:27" ht="13.5" customHeight="1" x14ac:dyDescent="0.2">
      <c r="A79" s="180"/>
      <c r="B79" s="56"/>
      <c r="C79" s="36" t="s">
        <v>3104</v>
      </c>
      <c r="D79" s="11"/>
      <c r="E79" s="30">
        <v>140</v>
      </c>
      <c r="F79" s="12"/>
      <c r="G79" s="182">
        <v>6767.1800000000067</v>
      </c>
      <c r="H79" s="18"/>
      <c r="I79"/>
    </row>
    <row r="80" spans="1:27" ht="13.5" customHeight="1" x14ac:dyDescent="0.2">
      <c r="A80" s="180"/>
      <c r="B80" s="56"/>
      <c r="C80" s="36" t="s">
        <v>3105</v>
      </c>
      <c r="D80" s="11"/>
      <c r="E80" s="30"/>
      <c r="F80" s="12">
        <v>250</v>
      </c>
      <c r="G80" s="182">
        <v>7017.1800000000067</v>
      </c>
      <c r="H80" s="18"/>
    </row>
    <row r="81" spans="1:27" ht="13.5" customHeight="1" x14ac:dyDescent="0.2">
      <c r="A81" s="180"/>
      <c r="B81" s="56"/>
      <c r="C81" s="36" t="s">
        <v>3106</v>
      </c>
      <c r="D81" s="11"/>
      <c r="E81" s="30"/>
      <c r="F81" s="12">
        <v>60</v>
      </c>
      <c r="G81" s="182">
        <v>7077.1800000000067</v>
      </c>
      <c r="H81" s="18"/>
      <c r="I81" s="18"/>
      <c r="J81"/>
    </row>
    <row r="82" spans="1:27" ht="13.5" customHeight="1" x14ac:dyDescent="0.2">
      <c r="A82" s="180">
        <v>43741</v>
      </c>
      <c r="B82" s="56"/>
      <c r="C82" s="36" t="s">
        <v>3107</v>
      </c>
      <c r="D82" s="11"/>
      <c r="E82" s="30">
        <v>10</v>
      </c>
      <c r="F82" s="12"/>
      <c r="G82" s="182">
        <v>7067.1800000000067</v>
      </c>
      <c r="H82" s="18"/>
      <c r="J82"/>
    </row>
    <row r="83" spans="1:27" s="64" customFormat="1" ht="13.5" customHeight="1" x14ac:dyDescent="0.2">
      <c r="A83" s="184"/>
      <c r="B83" s="63"/>
      <c r="C83" s="36" t="s">
        <v>3108</v>
      </c>
      <c r="D83" s="50"/>
      <c r="E83" s="51"/>
      <c r="F83" s="13">
        <v>1168.05</v>
      </c>
      <c r="G83" s="182">
        <v>8235.2300000000068</v>
      </c>
      <c r="H83" s="18"/>
      <c r="I83" s="1"/>
      <c r="J83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s="64" customFormat="1" ht="13.5" customHeight="1" x14ac:dyDescent="0.2">
      <c r="A84" s="184"/>
      <c r="B84" s="63"/>
      <c r="C84" s="36" t="s">
        <v>3109</v>
      </c>
      <c r="D84" s="50"/>
      <c r="E84" s="51"/>
      <c r="F84" s="13">
        <v>150</v>
      </c>
      <c r="G84" s="182">
        <v>8385.2300000000068</v>
      </c>
      <c r="H84" s="18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s="64" customFormat="1" ht="13.5" customHeight="1" x14ac:dyDescent="0.2">
      <c r="A85" s="184"/>
      <c r="B85" s="63"/>
      <c r="C85" s="41" t="s">
        <v>3110</v>
      </c>
      <c r="D85" s="50"/>
      <c r="E85" s="51">
        <v>350</v>
      </c>
      <c r="F85" s="13"/>
      <c r="G85" s="182">
        <v>8035.2300000000068</v>
      </c>
      <c r="H85" s="18"/>
      <c r="I85" s="1"/>
      <c r="J85" s="18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s="64" customFormat="1" ht="13.5" customHeight="1" x14ac:dyDescent="0.2">
      <c r="A86" s="184"/>
      <c r="B86" s="63"/>
      <c r="C86" s="138" t="s">
        <v>3111</v>
      </c>
      <c r="D86" s="50"/>
      <c r="E86" s="51"/>
      <c r="F86" s="13">
        <v>3000</v>
      </c>
      <c r="G86" s="182">
        <v>11035.230000000007</v>
      </c>
      <c r="H86" s="18"/>
      <c r="I86" s="1"/>
      <c r="J86" s="18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s="64" customFormat="1" ht="13.5" customHeight="1" x14ac:dyDescent="0.2">
      <c r="A87" s="184"/>
      <c r="B87" s="63"/>
      <c r="C87" s="32" t="s">
        <v>3112</v>
      </c>
      <c r="D87" s="50"/>
      <c r="E87" s="51">
        <v>172</v>
      </c>
      <c r="F87" s="13"/>
      <c r="G87" s="182">
        <v>10863.230000000007</v>
      </c>
      <c r="H87" s="18"/>
      <c r="I87" s="1"/>
      <c r="J87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s="64" customFormat="1" ht="13.5" customHeight="1" x14ac:dyDescent="0.2">
      <c r="A88" s="184"/>
      <c r="B88" s="63"/>
      <c r="C88" s="138" t="s">
        <v>3113</v>
      </c>
      <c r="D88" s="50"/>
      <c r="E88" s="51">
        <v>525</v>
      </c>
      <c r="F88" s="13"/>
      <c r="G88" s="182">
        <v>10338.230000000007</v>
      </c>
      <c r="H88" s="18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s="64" customFormat="1" ht="13.5" customHeight="1" x14ac:dyDescent="0.2">
      <c r="A89" s="184"/>
      <c r="B89" s="63"/>
      <c r="C89" s="138" t="s">
        <v>2649</v>
      </c>
      <c r="D89" s="50"/>
      <c r="E89" s="552">
        <v>3500</v>
      </c>
      <c r="F89" s="13"/>
      <c r="G89" s="182">
        <v>6838.2300000000068</v>
      </c>
      <c r="H89" s="18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s="64" customFormat="1" ht="13.5" customHeight="1" x14ac:dyDescent="0.2">
      <c r="A90" s="184"/>
      <c r="B90" s="63"/>
      <c r="C90" s="34" t="s">
        <v>1625</v>
      </c>
      <c r="D90" s="50"/>
      <c r="E90" s="552">
        <v>3000</v>
      </c>
      <c r="F90" s="13"/>
      <c r="G90" s="182">
        <v>3838.2300000000068</v>
      </c>
      <c r="H90" s="18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s="64" customFormat="1" ht="13.5" customHeight="1" x14ac:dyDescent="0.2">
      <c r="A91" s="184"/>
      <c r="B91" s="63"/>
      <c r="C91" s="36" t="s">
        <v>3114</v>
      </c>
      <c r="D91" s="50"/>
      <c r="E91" s="51">
        <v>320</v>
      </c>
      <c r="F91" s="13"/>
      <c r="G91" s="182">
        <v>3518.2300000000068</v>
      </c>
      <c r="H91" s="18"/>
      <c r="I91" s="1"/>
      <c r="J91" s="18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s="64" customFormat="1" ht="13.5" customHeight="1" x14ac:dyDescent="0.2">
      <c r="A92" s="184"/>
      <c r="B92" s="63"/>
      <c r="C92" s="36" t="s">
        <v>3115</v>
      </c>
      <c r="D92" s="50"/>
      <c r="E92" s="51">
        <v>240</v>
      </c>
      <c r="F92" s="13"/>
      <c r="G92" s="182">
        <v>3278.2300000000068</v>
      </c>
      <c r="H92" s="18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s="64" customFormat="1" ht="13.5" customHeight="1" x14ac:dyDescent="0.2">
      <c r="A93" s="184"/>
      <c r="B93" s="63"/>
      <c r="C93" s="36" t="s">
        <v>3116</v>
      </c>
      <c r="D93" s="50"/>
      <c r="E93" s="51">
        <v>500</v>
      </c>
      <c r="F93" s="13"/>
      <c r="G93" s="182">
        <v>2778.2300000000068</v>
      </c>
      <c r="H93" s="18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s="64" customFormat="1" ht="13.5" customHeight="1" x14ac:dyDescent="0.2">
      <c r="A94" s="184"/>
      <c r="B94" s="63"/>
      <c r="C94" s="36" t="s">
        <v>3117</v>
      </c>
      <c r="D94" s="50"/>
      <c r="E94" s="51">
        <v>300</v>
      </c>
      <c r="F94" s="13"/>
      <c r="G94" s="182">
        <v>2478.2300000000068</v>
      </c>
      <c r="H94" s="18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s="64" customFormat="1" ht="13.5" customHeight="1" x14ac:dyDescent="0.2">
      <c r="A95" s="184"/>
      <c r="B95" s="63"/>
      <c r="C95" s="138" t="s">
        <v>3118</v>
      </c>
      <c r="D95" s="50"/>
      <c r="E95" s="51">
        <v>379.2</v>
      </c>
      <c r="F95" s="13"/>
      <c r="G95" s="182">
        <v>2099.030000000007</v>
      </c>
      <c r="H95" s="18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s="64" customFormat="1" ht="13.5" customHeight="1" x14ac:dyDescent="0.2">
      <c r="A96" s="184">
        <v>43746</v>
      </c>
      <c r="B96" s="63"/>
      <c r="C96" s="36" t="s">
        <v>3119</v>
      </c>
      <c r="D96" s="50"/>
      <c r="E96" s="51"/>
      <c r="F96" s="13">
        <v>60</v>
      </c>
      <c r="G96" s="182">
        <v>2159.030000000007</v>
      </c>
      <c r="H96" s="18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s="64" customFormat="1" ht="13.5" customHeight="1" x14ac:dyDescent="0.2">
      <c r="A97" s="184"/>
      <c r="B97" s="63"/>
      <c r="C97" s="34" t="s">
        <v>3044</v>
      </c>
      <c r="D97" s="50"/>
      <c r="E97" s="552">
        <v>800</v>
      </c>
      <c r="F97" s="13"/>
      <c r="G97" s="182">
        <v>1359.030000000007</v>
      </c>
      <c r="H97" s="18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s="64" customFormat="1" ht="13.5" customHeight="1" x14ac:dyDescent="0.2">
      <c r="A98" s="184"/>
      <c r="B98" s="63"/>
      <c r="C98" s="138" t="s">
        <v>3120</v>
      </c>
      <c r="D98" s="50"/>
      <c r="E98" s="51">
        <v>54</v>
      </c>
      <c r="F98" s="13"/>
      <c r="G98" s="182">
        <v>1305.030000000007</v>
      </c>
      <c r="H98" s="18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s="64" customFormat="1" ht="13.5" customHeight="1" x14ac:dyDescent="0.2">
      <c r="A99" s="184"/>
      <c r="B99" s="63"/>
      <c r="C99" s="138" t="s">
        <v>3121</v>
      </c>
      <c r="D99" s="50"/>
      <c r="E99" s="51">
        <v>84</v>
      </c>
      <c r="F99" s="13"/>
      <c r="G99" s="182">
        <v>1221.030000000007</v>
      </c>
      <c r="H99" s="18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s="64" customFormat="1" ht="13.5" customHeight="1" x14ac:dyDescent="0.2">
      <c r="A100" s="184"/>
      <c r="B100" s="63"/>
      <c r="C100" s="138" t="s">
        <v>3122</v>
      </c>
      <c r="D100" s="50"/>
      <c r="E100" s="51">
        <v>21</v>
      </c>
      <c r="F100" s="13"/>
      <c r="G100" s="182">
        <v>1200.030000000007</v>
      </c>
      <c r="H100" s="18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s="64" customFormat="1" ht="13.5" customHeight="1" x14ac:dyDescent="0.2">
      <c r="A101" s="184"/>
      <c r="B101" s="63"/>
      <c r="C101" s="138" t="s">
        <v>1002</v>
      </c>
      <c r="D101" s="50"/>
      <c r="E101" s="51">
        <v>2584.3000000000002</v>
      </c>
      <c r="F101" s="13"/>
      <c r="G101" s="182">
        <v>-1384.2699999999932</v>
      </c>
      <c r="H101" s="18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s="64" customFormat="1" ht="13.5" customHeight="1" x14ac:dyDescent="0.2">
      <c r="A102" s="184">
        <v>43749</v>
      </c>
      <c r="B102" s="63"/>
      <c r="C102" s="34" t="s">
        <v>1981</v>
      </c>
      <c r="D102" s="50"/>
      <c r="E102" s="51"/>
      <c r="F102" s="277">
        <v>1500</v>
      </c>
      <c r="G102" s="182">
        <v>115.73000000000684</v>
      </c>
      <c r="H102" s="18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s="64" customFormat="1" ht="13.5" customHeight="1" x14ac:dyDescent="0.2">
      <c r="A103" s="184">
        <v>43749</v>
      </c>
      <c r="B103" s="63"/>
      <c r="C103" s="138" t="s">
        <v>3123</v>
      </c>
      <c r="D103" s="50"/>
      <c r="E103" s="51">
        <v>5000</v>
      </c>
      <c r="F103" s="13"/>
      <c r="G103" s="182">
        <v>-4884.2699999999932</v>
      </c>
      <c r="H103" s="18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s="64" customFormat="1" ht="13.5" customHeight="1" x14ac:dyDescent="0.2">
      <c r="A104" s="184"/>
      <c r="B104" s="63"/>
      <c r="C104" s="34" t="s">
        <v>3124</v>
      </c>
      <c r="D104" s="50"/>
      <c r="E104" s="51"/>
      <c r="F104" s="13">
        <v>3000</v>
      </c>
      <c r="G104" s="182">
        <v>-1884.2699999999932</v>
      </c>
      <c r="H104" s="18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s="64" customFormat="1" ht="13.5" customHeight="1" x14ac:dyDescent="0.2">
      <c r="A105" s="184">
        <v>43754</v>
      </c>
      <c r="B105" s="63"/>
      <c r="C105" s="138" t="s">
        <v>3125</v>
      </c>
      <c r="D105" s="50"/>
      <c r="E105" s="51">
        <v>8000</v>
      </c>
      <c r="F105" s="13"/>
      <c r="G105" s="182">
        <v>-9884.2699999999932</v>
      </c>
      <c r="H105" s="18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s="64" customFormat="1" ht="13.5" customHeight="1" x14ac:dyDescent="0.2">
      <c r="A106" s="184"/>
      <c r="B106" s="63"/>
      <c r="C106" s="34" t="s">
        <v>3124</v>
      </c>
      <c r="D106" s="50"/>
      <c r="E106" s="51"/>
      <c r="F106" s="13">
        <v>8000</v>
      </c>
      <c r="G106" s="182">
        <v>-1884.2699999999932</v>
      </c>
      <c r="H106" s="18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s="64" customFormat="1" ht="13.5" customHeight="1" x14ac:dyDescent="0.2">
      <c r="A107" s="184">
        <v>43762</v>
      </c>
      <c r="B107" s="63"/>
      <c r="C107" s="34" t="s">
        <v>3126</v>
      </c>
      <c r="D107" s="50"/>
      <c r="E107" s="51">
        <v>70</v>
      </c>
      <c r="F107" s="13"/>
      <c r="G107" s="182">
        <v>-1954.2699999999932</v>
      </c>
      <c r="H107" s="18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s="64" customFormat="1" ht="13.5" customHeight="1" x14ac:dyDescent="0.2">
      <c r="A108" s="184"/>
      <c r="B108" s="63"/>
      <c r="C108" s="34" t="s">
        <v>3127</v>
      </c>
      <c r="D108" s="50"/>
      <c r="E108" s="51">
        <v>13.6</v>
      </c>
      <c r="F108" s="13"/>
      <c r="G108" s="182">
        <v>-1967.8699999999931</v>
      </c>
      <c r="H108" s="18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s="64" customFormat="1" ht="13.5" customHeight="1" x14ac:dyDescent="0.2">
      <c r="A109" s="184"/>
      <c r="B109" s="63"/>
      <c r="C109" s="34" t="s">
        <v>3128</v>
      </c>
      <c r="D109" s="50"/>
      <c r="E109" s="51">
        <v>150</v>
      </c>
      <c r="F109" s="13"/>
      <c r="G109" s="182">
        <v>-2117.8699999999931</v>
      </c>
      <c r="H109" s="18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s="64" customFormat="1" ht="13.5" customHeight="1" x14ac:dyDescent="0.2">
      <c r="A110" s="184"/>
      <c r="B110" s="63"/>
      <c r="C110" s="34" t="s">
        <v>3129</v>
      </c>
      <c r="D110" s="50"/>
      <c r="E110" s="51">
        <v>121</v>
      </c>
      <c r="F110" s="13"/>
      <c r="G110" s="182">
        <v>-2238.8699999999931</v>
      </c>
      <c r="H110" s="18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s="64" customFormat="1" ht="13.5" customHeight="1" x14ac:dyDescent="0.2">
      <c r="A111" s="184"/>
      <c r="B111" s="63"/>
      <c r="C111" s="34" t="s">
        <v>3130</v>
      </c>
      <c r="D111" s="50"/>
      <c r="E111" s="51">
        <v>200</v>
      </c>
      <c r="F111" s="13"/>
      <c r="G111" s="182">
        <v>-2438.8699999999931</v>
      </c>
      <c r="H111" s="18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s="64" customFormat="1" ht="13.5" customHeight="1" x14ac:dyDescent="0.2">
      <c r="A112" s="184"/>
      <c r="B112" s="63"/>
      <c r="C112" s="34" t="s">
        <v>3131</v>
      </c>
      <c r="D112" s="50"/>
      <c r="E112" s="51">
        <v>150</v>
      </c>
      <c r="F112" s="13"/>
      <c r="G112" s="182">
        <v>-2588.8699999999931</v>
      </c>
      <c r="H112" s="18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s="64" customFormat="1" ht="13.5" customHeight="1" x14ac:dyDescent="0.2">
      <c r="A113" s="184">
        <v>43763</v>
      </c>
      <c r="B113" s="63"/>
      <c r="C113" s="34" t="s">
        <v>3132</v>
      </c>
      <c r="D113" s="50"/>
      <c r="E113" s="51"/>
      <c r="F113" s="13">
        <v>3000</v>
      </c>
      <c r="G113" s="182">
        <v>411.13000000000693</v>
      </c>
      <c r="H113" s="18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s="64" customFormat="1" ht="13.5" customHeight="1" x14ac:dyDescent="0.2">
      <c r="A114" s="184"/>
      <c r="B114" s="63"/>
      <c r="C114" s="34" t="s">
        <v>3133</v>
      </c>
      <c r="D114" s="50"/>
      <c r="E114" s="51">
        <v>30</v>
      </c>
      <c r="F114" s="13"/>
      <c r="G114" s="182">
        <v>381.13000000000693</v>
      </c>
      <c r="H114" s="18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s="64" customFormat="1" ht="13.5" customHeight="1" x14ac:dyDescent="0.2">
      <c r="A115" s="184"/>
      <c r="B115" s="63"/>
      <c r="C115" s="34" t="s">
        <v>3134</v>
      </c>
      <c r="D115" s="50"/>
      <c r="E115" s="51"/>
      <c r="F115" s="13">
        <v>300</v>
      </c>
      <c r="G115" s="182">
        <v>681.13000000000693</v>
      </c>
      <c r="H115" s="18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s="64" customFormat="1" ht="13.5" customHeight="1" x14ac:dyDescent="0.2">
      <c r="A116" s="184"/>
      <c r="B116" s="63"/>
      <c r="C116" s="34" t="s">
        <v>2439</v>
      </c>
      <c r="D116" s="50"/>
      <c r="E116" s="51">
        <v>181.13</v>
      </c>
      <c r="F116" s="13"/>
      <c r="G116" s="182">
        <v>500.00000000000693</v>
      </c>
      <c r="H116" s="18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s="64" customFormat="1" ht="13.5" customHeight="1" x14ac:dyDescent="0.2">
      <c r="A117" s="184">
        <v>43769</v>
      </c>
      <c r="B117" s="63"/>
      <c r="C117" s="36" t="s">
        <v>2776</v>
      </c>
      <c r="D117" s="50"/>
      <c r="E117" s="51"/>
      <c r="F117" s="277">
        <v>3000</v>
      </c>
      <c r="G117" s="205">
        <v>3500.0000000000068</v>
      </c>
      <c r="H117" s="18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3.5" customHeight="1" thickBot="1" x14ac:dyDescent="0.25">
      <c r="A118" s="180"/>
      <c r="B118" s="56"/>
      <c r="C118" s="56"/>
      <c r="D118" s="11"/>
      <c r="E118" s="653">
        <f>-SUM(E77:E88,E91:E95,E98:E117)</f>
        <v>-19875.23</v>
      </c>
      <c r="F118" s="647">
        <f>SUM(F76:F101,F104:F116)</f>
        <v>20708.05</v>
      </c>
      <c r="G118" s="182"/>
    </row>
    <row r="119" spans="1:27" ht="13.5" customHeight="1" thickBot="1" x14ac:dyDescent="0.25">
      <c r="A119" s="2" t="s">
        <v>2</v>
      </c>
      <c r="B119" s="3"/>
      <c r="C119" s="3" t="s">
        <v>3</v>
      </c>
      <c r="D119" s="3"/>
      <c r="E119" s="3"/>
      <c r="F119" s="3"/>
      <c r="G119" s="5" t="s">
        <v>7</v>
      </c>
    </row>
    <row r="120" spans="1:27" ht="13.5" customHeight="1" x14ac:dyDescent="0.2">
      <c r="A120" s="8">
        <v>43739</v>
      </c>
      <c r="B120" s="70"/>
      <c r="C120" s="10" t="s">
        <v>537</v>
      </c>
      <c r="D120" s="46"/>
      <c r="E120" s="67"/>
      <c r="F120" s="67"/>
      <c r="G120" s="205">
        <v>1906.31</v>
      </c>
      <c r="H120" s="18"/>
    </row>
    <row r="121" spans="1:27" ht="13.5" customHeight="1" x14ac:dyDescent="0.2">
      <c r="A121" s="171"/>
      <c r="B121" s="46"/>
      <c r="C121" s="34" t="s">
        <v>1402</v>
      </c>
      <c r="D121" s="46" t="s">
        <v>3135</v>
      </c>
      <c r="E121" s="601">
        <v>-1500</v>
      </c>
      <c r="F121" s="69" t="s">
        <v>549</v>
      </c>
      <c r="G121" s="182"/>
      <c r="H121" s="18"/>
    </row>
    <row r="122" spans="1:27" ht="13.5" customHeight="1" x14ac:dyDescent="0.2">
      <c r="A122" s="171"/>
      <c r="B122" s="46"/>
      <c r="C122" s="34" t="s">
        <v>1597</v>
      </c>
      <c r="D122" s="46" t="s">
        <v>19</v>
      </c>
      <c r="E122" s="69">
        <v>-0.12</v>
      </c>
      <c r="F122" s="69" t="s">
        <v>549</v>
      </c>
      <c r="G122" s="182"/>
      <c r="H122" s="18"/>
    </row>
    <row r="123" spans="1:27" ht="13.5" customHeight="1" x14ac:dyDescent="0.2">
      <c r="A123" s="180"/>
      <c r="B123" s="46"/>
      <c r="C123" s="34" t="s">
        <v>1598</v>
      </c>
      <c r="D123" s="46" t="s">
        <v>19</v>
      </c>
      <c r="E123" s="69">
        <v>-4.09</v>
      </c>
      <c r="F123" s="69" t="s">
        <v>549</v>
      </c>
      <c r="G123" s="182"/>
      <c r="H123" s="18"/>
    </row>
    <row r="124" spans="1:27" ht="13.5" customHeight="1" x14ac:dyDescent="0.2">
      <c r="A124" s="180"/>
      <c r="B124" s="46"/>
      <c r="C124" s="36" t="s">
        <v>20</v>
      </c>
      <c r="D124" s="46" t="s">
        <v>19</v>
      </c>
      <c r="E124" s="61" t="s">
        <v>549</v>
      </c>
      <c r="F124" s="61">
        <v>0.01</v>
      </c>
      <c r="G124" s="182"/>
      <c r="H124" s="18"/>
    </row>
    <row r="125" spans="1:27" ht="13.5" customHeight="1" x14ac:dyDescent="0.2">
      <c r="A125" s="180" t="s">
        <v>3136</v>
      </c>
      <c r="B125" s="46"/>
      <c r="C125" s="138" t="s">
        <v>2649</v>
      </c>
      <c r="D125" s="46" t="s">
        <v>3137</v>
      </c>
      <c r="E125" s="69" t="s">
        <v>549</v>
      </c>
      <c r="F125" s="601">
        <v>3000</v>
      </c>
      <c r="G125" s="182"/>
      <c r="H125" s="18"/>
    </row>
    <row r="126" spans="1:27" ht="13.5" customHeight="1" x14ac:dyDescent="0.2">
      <c r="A126" s="180"/>
      <c r="B126" s="9"/>
      <c r="C126" s="138" t="s">
        <v>2649</v>
      </c>
      <c r="D126" s="46" t="s">
        <v>3138</v>
      </c>
      <c r="E126" s="61" t="s">
        <v>549</v>
      </c>
      <c r="F126" s="599">
        <v>500</v>
      </c>
      <c r="G126" s="182"/>
      <c r="H126" s="18"/>
    </row>
    <row r="127" spans="1:27" ht="13.5" customHeight="1" x14ac:dyDescent="0.2">
      <c r="A127" s="180" t="s">
        <v>3139</v>
      </c>
      <c r="B127" s="9"/>
      <c r="C127" s="34" t="s">
        <v>55</v>
      </c>
      <c r="D127" s="46" t="s">
        <v>19</v>
      </c>
      <c r="E127" s="61">
        <v>-400</v>
      </c>
      <c r="F127" s="61" t="s">
        <v>549</v>
      </c>
      <c r="G127" s="182"/>
      <c r="H127" s="18"/>
    </row>
    <row r="128" spans="1:27" ht="13.5" customHeight="1" x14ac:dyDescent="0.2">
      <c r="A128" s="180"/>
      <c r="B128" s="9"/>
      <c r="C128" s="34" t="s">
        <v>53</v>
      </c>
      <c r="D128" s="46" t="s">
        <v>2938</v>
      </c>
      <c r="E128" s="61">
        <v>-532.21</v>
      </c>
      <c r="F128" s="61" t="s">
        <v>549</v>
      </c>
      <c r="G128" s="182"/>
      <c r="H128" s="18"/>
    </row>
    <row r="129" spans="1:8" ht="13.5" customHeight="1" x14ac:dyDescent="0.2">
      <c r="A129" s="180"/>
      <c r="B129" s="9"/>
      <c r="C129" s="36" t="s">
        <v>20</v>
      </c>
      <c r="D129" s="46"/>
      <c r="E129" s="61"/>
      <c r="F129" s="61">
        <v>0.01</v>
      </c>
      <c r="G129" s="182"/>
      <c r="H129" s="18"/>
    </row>
    <row r="130" spans="1:8" ht="13.5" customHeight="1" x14ac:dyDescent="0.2">
      <c r="A130" s="180" t="s">
        <v>3140</v>
      </c>
      <c r="B130" s="9"/>
      <c r="C130" s="34" t="s">
        <v>62</v>
      </c>
      <c r="D130" s="46" t="s">
        <v>19</v>
      </c>
      <c r="E130" s="61">
        <v>-379.5</v>
      </c>
      <c r="F130" s="61" t="s">
        <v>549</v>
      </c>
      <c r="G130" s="182"/>
      <c r="H130" s="18"/>
    </row>
    <row r="131" spans="1:8" ht="13.5" customHeight="1" x14ac:dyDescent="0.2">
      <c r="A131" s="180"/>
      <c r="B131" s="9"/>
      <c r="C131" s="34" t="s">
        <v>2462</v>
      </c>
      <c r="D131" s="46" t="s">
        <v>19</v>
      </c>
      <c r="E131" s="61">
        <v>-54.36</v>
      </c>
      <c r="F131" s="61" t="s">
        <v>549</v>
      </c>
      <c r="G131" s="182"/>
      <c r="H131" s="18"/>
    </row>
    <row r="132" spans="1:8" ht="13.5" customHeight="1" x14ac:dyDescent="0.2">
      <c r="A132" s="171" t="s">
        <v>3141</v>
      </c>
      <c r="B132" s="46"/>
      <c r="C132" s="34" t="s">
        <v>82</v>
      </c>
      <c r="D132" s="46" t="s">
        <v>2698</v>
      </c>
      <c r="E132" s="69">
        <v>-859.41</v>
      </c>
      <c r="F132" s="69" t="s">
        <v>549</v>
      </c>
      <c r="G132" s="182"/>
      <c r="H132" s="18"/>
    </row>
    <row r="133" spans="1:8" ht="13.5" customHeight="1" x14ac:dyDescent="0.2">
      <c r="A133" s="171"/>
      <c r="B133" s="46"/>
      <c r="C133" s="34" t="s">
        <v>68</v>
      </c>
      <c r="D133" s="46" t="s">
        <v>3142</v>
      </c>
      <c r="E133" s="69">
        <v>-129.9</v>
      </c>
      <c r="F133" s="69" t="s">
        <v>549</v>
      </c>
      <c r="G133" s="182"/>
      <c r="H133" s="18"/>
    </row>
    <row r="134" spans="1:8" ht="13.5" customHeight="1" x14ac:dyDescent="0.2">
      <c r="A134" s="171"/>
      <c r="B134" s="46"/>
      <c r="C134" s="34" t="s">
        <v>3056</v>
      </c>
      <c r="D134" s="46" t="s">
        <v>3143</v>
      </c>
      <c r="E134" s="69" t="s">
        <v>549</v>
      </c>
      <c r="F134" s="322">
        <v>400</v>
      </c>
      <c r="G134" s="182"/>
      <c r="H134" s="18"/>
    </row>
    <row r="135" spans="1:8" ht="13.5" customHeight="1" x14ac:dyDescent="0.2">
      <c r="A135" s="171"/>
      <c r="B135" s="46"/>
      <c r="C135" s="36" t="s">
        <v>20</v>
      </c>
      <c r="D135" s="46" t="s">
        <v>19</v>
      </c>
      <c r="E135" s="69" t="s">
        <v>549</v>
      </c>
      <c r="F135" s="69">
        <v>0.01</v>
      </c>
      <c r="G135" s="182"/>
      <c r="H135" s="18"/>
    </row>
    <row r="136" spans="1:8" ht="13.5" customHeight="1" x14ac:dyDescent="0.2">
      <c r="A136" s="171" t="s">
        <v>3144</v>
      </c>
      <c r="B136" s="46"/>
      <c r="C136" s="34" t="s">
        <v>87</v>
      </c>
      <c r="D136" s="46" t="s">
        <v>19</v>
      </c>
      <c r="E136" s="69">
        <v>-42.25</v>
      </c>
      <c r="F136" s="69" t="s">
        <v>549</v>
      </c>
      <c r="G136" s="182"/>
      <c r="H136" s="18"/>
    </row>
    <row r="137" spans="1:8" ht="13.5" customHeight="1" x14ac:dyDescent="0.2">
      <c r="A137" s="171" t="s">
        <v>3145</v>
      </c>
      <c r="B137" s="46"/>
      <c r="C137" s="34" t="s">
        <v>86</v>
      </c>
      <c r="D137" s="46" t="s">
        <v>19</v>
      </c>
      <c r="E137" s="69">
        <v>-75.900000000000006</v>
      </c>
      <c r="F137" s="69" t="s">
        <v>549</v>
      </c>
      <c r="G137" s="182"/>
      <c r="H137" s="18"/>
    </row>
    <row r="138" spans="1:8" ht="13.5" customHeight="1" x14ac:dyDescent="0.2">
      <c r="A138" s="171"/>
      <c r="B138" s="46"/>
      <c r="C138" s="34" t="s">
        <v>673</v>
      </c>
      <c r="D138" s="46" t="s">
        <v>3146</v>
      </c>
      <c r="E138" s="69">
        <v>-114.98</v>
      </c>
      <c r="F138" s="69" t="s">
        <v>549</v>
      </c>
      <c r="G138" s="182"/>
      <c r="H138" s="18"/>
    </row>
    <row r="139" spans="1:8" ht="13.5" customHeight="1" x14ac:dyDescent="0.2">
      <c r="A139" s="171"/>
      <c r="B139" s="46"/>
      <c r="C139" s="33" t="s">
        <v>81</v>
      </c>
      <c r="D139" s="46" t="s">
        <v>2078</v>
      </c>
      <c r="E139" s="69">
        <v>-52.35</v>
      </c>
      <c r="F139" s="69" t="s">
        <v>549</v>
      </c>
      <c r="G139" s="182"/>
      <c r="H139" s="18"/>
    </row>
    <row r="140" spans="1:8" ht="13.5" customHeight="1" x14ac:dyDescent="0.2">
      <c r="A140" s="171"/>
      <c r="B140" s="46"/>
      <c r="C140" s="34" t="s">
        <v>2970</v>
      </c>
      <c r="D140" s="46" t="s">
        <v>3147</v>
      </c>
      <c r="E140" s="69">
        <v>-1140</v>
      </c>
      <c r="F140" s="69" t="s">
        <v>549</v>
      </c>
      <c r="G140" s="182"/>
      <c r="H140" s="18"/>
    </row>
    <row r="141" spans="1:8" ht="13.5" customHeight="1" x14ac:dyDescent="0.2">
      <c r="A141" s="171"/>
      <c r="B141" s="46"/>
      <c r="C141" s="36" t="s">
        <v>20</v>
      </c>
      <c r="D141" s="46" t="s">
        <v>19</v>
      </c>
      <c r="E141" s="69" t="s">
        <v>549</v>
      </c>
      <c r="F141" s="69">
        <v>0.04</v>
      </c>
      <c r="G141" s="182"/>
      <c r="H141" s="18"/>
    </row>
    <row r="142" spans="1:8" ht="13.5" customHeight="1" x14ac:dyDescent="0.2">
      <c r="A142" s="171" t="s">
        <v>3148</v>
      </c>
      <c r="B142" s="46"/>
      <c r="C142" s="34" t="s">
        <v>3149</v>
      </c>
      <c r="D142" s="46" t="s">
        <v>1622</v>
      </c>
      <c r="E142" s="69">
        <v>-675.92</v>
      </c>
      <c r="F142" s="69" t="s">
        <v>549</v>
      </c>
      <c r="G142" s="182"/>
      <c r="H142" s="18"/>
    </row>
    <row r="143" spans="1:8" ht="13.5" customHeight="1" x14ac:dyDescent="0.2">
      <c r="A143" s="171"/>
      <c r="B143" s="46"/>
      <c r="C143" s="36" t="s">
        <v>20</v>
      </c>
      <c r="D143" s="46" t="s">
        <v>19</v>
      </c>
      <c r="E143" s="69" t="s">
        <v>549</v>
      </c>
      <c r="F143" s="69">
        <v>0.02</v>
      </c>
      <c r="G143" s="182"/>
      <c r="H143" s="18"/>
    </row>
    <row r="144" spans="1:8" ht="13.5" customHeight="1" x14ac:dyDescent="0.2">
      <c r="A144" s="171" t="s">
        <v>3150</v>
      </c>
      <c r="B144" s="46"/>
      <c r="C144" s="34" t="s">
        <v>18</v>
      </c>
      <c r="D144" s="46" t="s">
        <v>2698</v>
      </c>
      <c r="E144" s="69">
        <v>-408.23</v>
      </c>
      <c r="F144" s="69" t="s">
        <v>549</v>
      </c>
      <c r="G144" s="182"/>
      <c r="H144" s="18"/>
    </row>
    <row r="145" spans="1:10" ht="13.5" customHeight="1" x14ac:dyDescent="0.2">
      <c r="A145" s="171"/>
      <c r="B145" s="46"/>
      <c r="C145" s="34" t="s">
        <v>2486</v>
      </c>
      <c r="D145" s="46" t="s">
        <v>474</v>
      </c>
      <c r="E145" s="69">
        <v>-132.66999999999999</v>
      </c>
      <c r="F145" s="69" t="s">
        <v>549</v>
      </c>
      <c r="G145" s="182"/>
      <c r="H145" s="18"/>
    </row>
    <row r="146" spans="1:10" ht="13.5" customHeight="1" x14ac:dyDescent="0.2">
      <c r="A146" s="171" t="s">
        <v>3151</v>
      </c>
      <c r="B146" s="46"/>
      <c r="C146" s="34" t="s">
        <v>132</v>
      </c>
      <c r="D146" s="46" t="s">
        <v>3152</v>
      </c>
      <c r="E146" s="69">
        <v>-1050.9100000000001</v>
      </c>
      <c r="F146" s="69" t="s">
        <v>549</v>
      </c>
      <c r="G146" s="182"/>
      <c r="H146" s="18"/>
    </row>
    <row r="147" spans="1:10" ht="13.5" customHeight="1" x14ac:dyDescent="0.2">
      <c r="A147" s="171"/>
      <c r="B147" s="46"/>
      <c r="C147" s="34" t="s">
        <v>2965</v>
      </c>
      <c r="D147" s="46" t="s">
        <v>2078</v>
      </c>
      <c r="E147" s="69">
        <v>-109.9</v>
      </c>
      <c r="F147" s="69" t="s">
        <v>549</v>
      </c>
      <c r="G147" s="182"/>
      <c r="H147" s="18"/>
    </row>
    <row r="148" spans="1:10" ht="13.5" customHeight="1" x14ac:dyDescent="0.2">
      <c r="A148" s="171" t="s">
        <v>3153</v>
      </c>
      <c r="B148" s="46"/>
      <c r="C148" s="33" t="s">
        <v>736</v>
      </c>
      <c r="D148" s="46" t="s">
        <v>19</v>
      </c>
      <c r="E148" s="69">
        <v>-46.76</v>
      </c>
      <c r="F148" s="69" t="s">
        <v>549</v>
      </c>
      <c r="G148" s="182"/>
      <c r="H148" s="18"/>
    </row>
    <row r="149" spans="1:10" ht="13.5" customHeight="1" x14ac:dyDescent="0.2">
      <c r="A149" s="171"/>
      <c r="B149" s="46"/>
      <c r="C149" s="36" t="s">
        <v>129</v>
      </c>
      <c r="D149" s="46" t="s">
        <v>19</v>
      </c>
      <c r="E149" s="69">
        <v>-57.1</v>
      </c>
      <c r="F149" s="69" t="s">
        <v>549</v>
      </c>
      <c r="G149" s="182"/>
      <c r="H149" s="18"/>
    </row>
    <row r="150" spans="1:10" ht="13.5" customHeight="1" x14ac:dyDescent="0.2">
      <c r="A150" s="171"/>
      <c r="B150" s="46"/>
      <c r="C150" s="36" t="s">
        <v>127</v>
      </c>
      <c r="D150" s="46" t="s">
        <v>19</v>
      </c>
      <c r="E150" s="69">
        <v>-126.85</v>
      </c>
      <c r="F150" s="69" t="s">
        <v>549</v>
      </c>
      <c r="G150" s="182"/>
      <c r="H150" s="18"/>
    </row>
    <row r="151" spans="1:10" ht="13.5" customHeight="1" x14ac:dyDescent="0.2">
      <c r="A151" s="171"/>
      <c r="B151" s="46"/>
      <c r="C151" s="36" t="s">
        <v>130</v>
      </c>
      <c r="D151" s="46" t="s">
        <v>19</v>
      </c>
      <c r="E151" s="69">
        <v>-163.93</v>
      </c>
      <c r="F151" s="69" t="s">
        <v>549</v>
      </c>
      <c r="G151" s="182"/>
      <c r="H151" s="18"/>
    </row>
    <row r="152" spans="1:10" ht="13.5" customHeight="1" x14ac:dyDescent="0.2">
      <c r="A152" s="171"/>
      <c r="B152" s="46"/>
      <c r="C152" s="33" t="s">
        <v>737</v>
      </c>
      <c r="D152" s="46" t="s">
        <v>19</v>
      </c>
      <c r="E152" s="69">
        <v>-178.97</v>
      </c>
      <c r="F152" s="69" t="s">
        <v>549</v>
      </c>
      <c r="G152" s="182"/>
      <c r="H152" s="18"/>
    </row>
    <row r="153" spans="1:10" ht="13.5" customHeight="1" x14ac:dyDescent="0.2">
      <c r="A153" s="171"/>
      <c r="B153" s="46"/>
      <c r="C153" s="34" t="s">
        <v>1625</v>
      </c>
      <c r="D153" s="46" t="s">
        <v>3154</v>
      </c>
      <c r="E153" s="69" t="s">
        <v>549</v>
      </c>
      <c r="F153" s="322">
        <v>3000</v>
      </c>
      <c r="G153" s="182"/>
      <c r="H153" s="18"/>
    </row>
    <row r="154" spans="1:10" ht="13.5" customHeight="1" x14ac:dyDescent="0.2">
      <c r="A154" s="171" t="s">
        <v>3155</v>
      </c>
      <c r="B154" s="46"/>
      <c r="C154" s="34" t="s">
        <v>2968</v>
      </c>
      <c r="D154" s="46" t="s">
        <v>3156</v>
      </c>
      <c r="E154" s="69" t="s">
        <v>549</v>
      </c>
      <c r="F154" s="69">
        <v>300</v>
      </c>
      <c r="G154" s="182"/>
      <c r="H154" s="18"/>
    </row>
    <row r="155" spans="1:10" ht="13.5" customHeight="1" x14ac:dyDescent="0.2">
      <c r="A155" s="171"/>
      <c r="B155" s="46"/>
      <c r="C155" s="34" t="s">
        <v>3157</v>
      </c>
      <c r="D155" s="46" t="s">
        <v>19</v>
      </c>
      <c r="E155" s="69">
        <v>-20.67</v>
      </c>
      <c r="F155" s="69" t="s">
        <v>549</v>
      </c>
      <c r="G155" s="182"/>
      <c r="H155" s="18"/>
    </row>
    <row r="156" spans="1:10" ht="13.5" customHeight="1" x14ac:dyDescent="0.2">
      <c r="A156" s="171">
        <v>43762</v>
      </c>
      <c r="B156" s="46"/>
      <c r="C156" s="34" t="s">
        <v>136</v>
      </c>
      <c r="D156" s="46" t="s">
        <v>19</v>
      </c>
      <c r="E156" s="69">
        <v>-45.9</v>
      </c>
      <c r="F156" s="69"/>
      <c r="G156" s="205">
        <v>803.52</v>
      </c>
      <c r="H156" s="124"/>
    </row>
    <row r="157" spans="1:10" ht="13.5" customHeight="1" thickBot="1" x14ac:dyDescent="0.25">
      <c r="A157" s="171"/>
      <c r="B157" s="46"/>
      <c r="C157" s="34"/>
      <c r="D157" s="46"/>
      <c r="E157" s="654">
        <f>SUM(E122:E156)</f>
        <v>-6802.88</v>
      </c>
      <c r="F157" s="654">
        <f>SUM(F124,F129,F135,F141,F143,F154,)</f>
        <v>300.08999999999997</v>
      </c>
      <c r="G157" s="182"/>
      <c r="H157" s="18"/>
    </row>
    <row r="158" spans="1:10" ht="13.5" customHeight="1" thickBot="1" x14ac:dyDescent="0.25">
      <c r="A158" s="2" t="s">
        <v>2</v>
      </c>
      <c r="B158" s="3"/>
      <c r="C158" s="3" t="s">
        <v>481</v>
      </c>
      <c r="D158" s="3"/>
      <c r="E158" s="3"/>
      <c r="F158" s="3"/>
      <c r="G158" s="5" t="s">
        <v>7</v>
      </c>
      <c r="H158" s="1415"/>
      <c r="I158" s="1416"/>
      <c r="J158" s="1417"/>
    </row>
    <row r="159" spans="1:10" ht="13.5" customHeight="1" x14ac:dyDescent="0.2">
      <c r="A159" s="8">
        <v>43739</v>
      </c>
      <c r="B159" s="70"/>
      <c r="C159" s="10" t="s">
        <v>537</v>
      </c>
      <c r="D159" s="11"/>
      <c r="E159" s="67"/>
      <c r="F159" s="67"/>
      <c r="G159" s="205">
        <v>0</v>
      </c>
      <c r="H159" s="179"/>
      <c r="I159" s="57"/>
      <c r="J159" s="58"/>
    </row>
    <row r="160" spans="1:10" ht="13.5" customHeight="1" x14ac:dyDescent="0.2">
      <c r="A160" s="171" t="s">
        <v>3158</v>
      </c>
      <c r="B160" s="46" t="s">
        <v>483</v>
      </c>
      <c r="C160" s="34" t="s">
        <v>3159</v>
      </c>
      <c r="D160" s="11" t="s">
        <v>2530</v>
      </c>
      <c r="E160" s="557">
        <v>-1610.66</v>
      </c>
      <c r="F160" s="69"/>
      <c r="G160" s="182">
        <v>-1610.66</v>
      </c>
      <c r="H160" s="59"/>
      <c r="I160" s="60"/>
      <c r="J160" s="61"/>
    </row>
    <row r="161" spans="1:12" ht="13.5" customHeight="1" x14ac:dyDescent="0.2">
      <c r="A161" s="171"/>
      <c r="B161" s="46" t="s">
        <v>483</v>
      </c>
      <c r="C161" s="34" t="s">
        <v>1402</v>
      </c>
      <c r="D161" s="11" t="s">
        <v>3160</v>
      </c>
      <c r="E161" s="612"/>
      <c r="F161" s="601">
        <v>1500</v>
      </c>
      <c r="G161" s="182" t="s">
        <v>483</v>
      </c>
      <c r="H161" s="59"/>
      <c r="I161" s="60"/>
      <c r="J161" s="61"/>
    </row>
    <row r="162" spans="1:12" ht="13.5" customHeight="1" x14ac:dyDescent="0.2">
      <c r="A162" s="171"/>
      <c r="B162" s="46" t="s">
        <v>483</v>
      </c>
      <c r="C162" s="36" t="s">
        <v>174</v>
      </c>
      <c r="D162" s="11" t="s">
        <v>488</v>
      </c>
      <c r="E162" s="69"/>
      <c r="F162" s="557">
        <v>110.66</v>
      </c>
      <c r="G162" s="182">
        <v>0</v>
      </c>
      <c r="H162" s="59"/>
      <c r="I162" s="60"/>
      <c r="J162" s="61"/>
    </row>
    <row r="163" spans="1:12" ht="13.5" customHeight="1" x14ac:dyDescent="0.2">
      <c r="A163" s="171" t="s">
        <v>3161</v>
      </c>
      <c r="B163" s="46" t="s">
        <v>483</v>
      </c>
      <c r="C163" s="32" t="s">
        <v>199</v>
      </c>
      <c r="D163" s="11" t="s">
        <v>488</v>
      </c>
      <c r="E163" s="557">
        <v>-290.92</v>
      </c>
      <c r="F163" s="69"/>
      <c r="G163" s="182" t="s">
        <v>483</v>
      </c>
      <c r="H163" s="59"/>
      <c r="I163" s="60"/>
      <c r="J163" s="61"/>
    </row>
    <row r="164" spans="1:12" ht="13.5" customHeight="1" x14ac:dyDescent="0.2">
      <c r="A164" s="171"/>
      <c r="B164" s="46" t="s">
        <v>483</v>
      </c>
      <c r="C164" s="97" t="s">
        <v>3162</v>
      </c>
      <c r="D164" s="11" t="s">
        <v>519</v>
      </c>
      <c r="E164" s="557">
        <v>-70.2</v>
      </c>
      <c r="F164" s="69"/>
      <c r="G164" s="182" t="s">
        <v>483</v>
      </c>
      <c r="H164" s="59"/>
      <c r="I164" s="60"/>
      <c r="J164" s="61"/>
    </row>
    <row r="165" spans="1:12" ht="13.5" customHeight="1" x14ac:dyDescent="0.2">
      <c r="A165" s="171"/>
      <c r="B165" s="46" t="s">
        <v>483</v>
      </c>
      <c r="C165" s="34" t="s">
        <v>173</v>
      </c>
      <c r="D165" s="11" t="s">
        <v>3163</v>
      </c>
      <c r="E165" s="557">
        <v>-1007.27</v>
      </c>
      <c r="F165" s="69"/>
      <c r="G165" s="182" t="s">
        <v>483</v>
      </c>
      <c r="H165" s="59"/>
      <c r="I165" s="60"/>
      <c r="J165" s="61"/>
    </row>
    <row r="166" spans="1:12" ht="13.5" customHeight="1" x14ac:dyDescent="0.2">
      <c r="A166" s="171"/>
      <c r="B166" s="46" t="s">
        <v>483</v>
      </c>
      <c r="C166" s="34" t="s">
        <v>172</v>
      </c>
      <c r="D166" s="11" t="s">
        <v>3164</v>
      </c>
      <c r="E166" s="557">
        <v>-608.67999999999995</v>
      </c>
      <c r="F166" s="69"/>
      <c r="G166" s="182" t="s">
        <v>483</v>
      </c>
      <c r="H166" s="59"/>
      <c r="I166" s="60"/>
      <c r="J166" s="61"/>
    </row>
    <row r="167" spans="1:12" ht="13.5" customHeight="1" x14ac:dyDescent="0.2">
      <c r="A167" s="171"/>
      <c r="B167" s="46" t="s">
        <v>483</v>
      </c>
      <c r="C167" s="36" t="s">
        <v>174</v>
      </c>
      <c r="D167" s="11" t="s">
        <v>488</v>
      </c>
      <c r="E167" s="69"/>
      <c r="F167" s="557">
        <v>920.65</v>
      </c>
      <c r="G167" s="182">
        <v>-1056.42</v>
      </c>
      <c r="H167" s="59"/>
      <c r="I167" s="60"/>
      <c r="J167" s="61"/>
    </row>
    <row r="168" spans="1:12" ht="13.5" customHeight="1" x14ac:dyDescent="0.2">
      <c r="A168" s="171" t="s">
        <v>3165</v>
      </c>
      <c r="B168" s="46" t="s">
        <v>483</v>
      </c>
      <c r="C168" s="34" t="s">
        <v>1625</v>
      </c>
      <c r="D168" s="11" t="s">
        <v>3166</v>
      </c>
      <c r="E168" s="612"/>
      <c r="F168" s="601">
        <v>3000</v>
      </c>
      <c r="G168" s="182" t="s">
        <v>483</v>
      </c>
      <c r="H168" s="59"/>
      <c r="I168" s="60"/>
      <c r="J168" s="61"/>
    </row>
    <row r="169" spans="1:12" ht="13.5" customHeight="1" x14ac:dyDescent="0.2">
      <c r="A169" s="171"/>
      <c r="B169" s="46" t="s">
        <v>483</v>
      </c>
      <c r="C169" s="34" t="s">
        <v>3159</v>
      </c>
      <c r="D169" s="11" t="s">
        <v>488</v>
      </c>
      <c r="E169" s="557">
        <v>-180.78</v>
      </c>
      <c r="F169" s="69"/>
      <c r="G169" s="182" t="s">
        <v>483</v>
      </c>
      <c r="H169" s="59"/>
      <c r="I169" s="60"/>
      <c r="J169" s="61"/>
    </row>
    <row r="170" spans="1:12" ht="13.5" customHeight="1" x14ac:dyDescent="0.2">
      <c r="A170" s="171"/>
      <c r="B170" s="46" t="s">
        <v>483</v>
      </c>
      <c r="C170" s="34" t="s">
        <v>3159</v>
      </c>
      <c r="D170" s="11" t="s">
        <v>488</v>
      </c>
      <c r="E170" s="557">
        <v>-345.16</v>
      </c>
      <c r="F170" s="69"/>
      <c r="G170" s="182" t="s">
        <v>483</v>
      </c>
      <c r="H170" s="59"/>
      <c r="I170" s="60"/>
      <c r="J170" s="61"/>
    </row>
    <row r="171" spans="1:12" ht="13.5" customHeight="1" x14ac:dyDescent="0.2">
      <c r="A171" s="171"/>
      <c r="B171" s="46" t="s">
        <v>483</v>
      </c>
      <c r="C171" s="36" t="s">
        <v>189</v>
      </c>
      <c r="D171" s="11" t="s">
        <v>488</v>
      </c>
      <c r="E171" s="557">
        <v>-1417.64</v>
      </c>
      <c r="F171" s="69"/>
      <c r="G171" s="182">
        <v>0</v>
      </c>
      <c r="H171" s="59"/>
      <c r="I171" s="60"/>
      <c r="J171" s="61"/>
    </row>
    <row r="172" spans="1:12" ht="13.5" customHeight="1" x14ac:dyDescent="0.2">
      <c r="A172" s="171" t="s">
        <v>3167</v>
      </c>
      <c r="B172" s="46" t="s">
        <v>483</v>
      </c>
      <c r="C172" s="36" t="s">
        <v>3168</v>
      </c>
      <c r="D172" s="11" t="s">
        <v>1367</v>
      </c>
      <c r="E172" s="557">
        <v>-453.8</v>
      </c>
      <c r="F172" s="69"/>
      <c r="G172" s="182" t="s">
        <v>483</v>
      </c>
      <c r="H172" s="59"/>
      <c r="I172" s="60"/>
      <c r="J172" s="61"/>
    </row>
    <row r="173" spans="1:12" ht="13.5" customHeight="1" x14ac:dyDescent="0.2">
      <c r="A173" s="171"/>
      <c r="B173" s="46" t="s">
        <v>483</v>
      </c>
      <c r="C173" s="36" t="s">
        <v>3169</v>
      </c>
      <c r="D173" s="11" t="s">
        <v>3170</v>
      </c>
      <c r="E173" s="557">
        <v>-136.85</v>
      </c>
      <c r="F173" s="69"/>
      <c r="G173" s="182" t="s">
        <v>483</v>
      </c>
      <c r="H173" s="59"/>
      <c r="I173" s="60"/>
      <c r="J173" s="61"/>
    </row>
    <row r="174" spans="1:12" ht="13.5" customHeight="1" x14ac:dyDescent="0.2">
      <c r="A174" s="171"/>
      <c r="B174" s="46" t="s">
        <v>483</v>
      </c>
      <c r="C174" s="36" t="s">
        <v>174</v>
      </c>
      <c r="D174" s="11" t="s">
        <v>488</v>
      </c>
      <c r="E174" s="69"/>
      <c r="F174" s="557">
        <v>590.65</v>
      </c>
      <c r="G174" s="182">
        <v>0</v>
      </c>
      <c r="H174" s="59"/>
      <c r="I174" s="60"/>
      <c r="J174" s="61"/>
    </row>
    <row r="175" spans="1:12" ht="13.5" customHeight="1" x14ac:dyDescent="0.2">
      <c r="A175" s="171" t="s">
        <v>3171</v>
      </c>
      <c r="B175" s="46" t="s">
        <v>483</v>
      </c>
      <c r="C175" s="36" t="s">
        <v>180</v>
      </c>
      <c r="D175" s="11" t="s">
        <v>488</v>
      </c>
      <c r="E175" s="557">
        <v>-426.41</v>
      </c>
      <c r="F175" s="69"/>
      <c r="G175" s="182" t="s">
        <v>483</v>
      </c>
      <c r="H175" s="59"/>
      <c r="I175" s="60"/>
      <c r="J175" s="61"/>
    </row>
    <row r="176" spans="1:12" ht="13.5" customHeight="1" x14ac:dyDescent="0.2">
      <c r="A176" s="171"/>
      <c r="B176" s="46" t="s">
        <v>483</v>
      </c>
      <c r="C176" s="36" t="s">
        <v>177</v>
      </c>
      <c r="D176" s="11" t="s">
        <v>3172</v>
      </c>
      <c r="E176" s="557">
        <v>-243.07</v>
      </c>
      <c r="F176" s="69"/>
      <c r="G176" s="182" t="s">
        <v>483</v>
      </c>
      <c r="H176" s="59"/>
      <c r="I176" s="60"/>
      <c r="J176" s="61"/>
      <c r="L176"/>
    </row>
    <row r="177" spans="1:10" ht="13.5" customHeight="1" x14ac:dyDescent="0.2">
      <c r="A177" s="171"/>
      <c r="B177" s="46" t="s">
        <v>483</v>
      </c>
      <c r="C177" s="34" t="s">
        <v>2509</v>
      </c>
      <c r="D177" s="11" t="s">
        <v>1944</v>
      </c>
      <c r="E177" s="557">
        <v>-100</v>
      </c>
      <c r="F177" s="69"/>
      <c r="G177" s="182" t="s">
        <v>483</v>
      </c>
      <c r="H177" s="59"/>
      <c r="I177" s="60"/>
      <c r="J177" s="61"/>
    </row>
    <row r="178" spans="1:10" ht="13.5" customHeight="1" x14ac:dyDescent="0.2">
      <c r="A178" s="171"/>
      <c r="B178" s="46" t="s">
        <v>483</v>
      </c>
      <c r="C178" s="36" t="s">
        <v>174</v>
      </c>
      <c r="D178" s="11" t="s">
        <v>488</v>
      </c>
      <c r="E178" s="69"/>
      <c r="F178" s="557">
        <v>769.48</v>
      </c>
      <c r="G178" s="182">
        <v>0</v>
      </c>
      <c r="H178" s="59"/>
      <c r="I178" s="60"/>
      <c r="J178" s="61"/>
    </row>
    <row r="179" spans="1:10" ht="13.5" customHeight="1" x14ac:dyDescent="0.2">
      <c r="A179" s="171" t="s">
        <v>3173</v>
      </c>
      <c r="B179" s="46" t="s">
        <v>483</v>
      </c>
      <c r="C179" s="97" t="s">
        <v>3174</v>
      </c>
      <c r="D179" s="11" t="s">
        <v>777</v>
      </c>
      <c r="E179" s="557">
        <v>-175.26</v>
      </c>
      <c r="F179" s="69"/>
      <c r="G179" s="182"/>
      <c r="H179" s="59"/>
      <c r="I179" s="60"/>
      <c r="J179" s="61"/>
    </row>
    <row r="180" spans="1:10" ht="13.5" customHeight="1" x14ac:dyDescent="0.2">
      <c r="A180" s="171"/>
      <c r="B180" s="46" t="s">
        <v>483</v>
      </c>
      <c r="C180" s="36" t="s">
        <v>174</v>
      </c>
      <c r="D180" s="11" t="s">
        <v>488</v>
      </c>
      <c r="E180" s="69"/>
      <c r="F180" s="557">
        <v>57.52</v>
      </c>
      <c r="G180" s="182">
        <v>-117.74</v>
      </c>
      <c r="H180" s="59"/>
      <c r="I180" s="60"/>
      <c r="J180" s="61"/>
    </row>
    <row r="181" spans="1:10" ht="13.5" customHeight="1" x14ac:dyDescent="0.2">
      <c r="A181" s="171" t="s">
        <v>3175</v>
      </c>
      <c r="B181" s="46" t="s">
        <v>483</v>
      </c>
      <c r="C181" s="36" t="s">
        <v>3176</v>
      </c>
      <c r="D181" s="11" t="s">
        <v>1944</v>
      </c>
      <c r="E181" s="557">
        <v>-540.79999999999995</v>
      </c>
      <c r="F181" s="69"/>
      <c r="G181" s="182" t="s">
        <v>483</v>
      </c>
      <c r="H181" s="59"/>
      <c r="I181" s="60"/>
      <c r="J181" s="61"/>
    </row>
    <row r="182" spans="1:10" ht="13.5" customHeight="1" x14ac:dyDescent="0.2">
      <c r="A182" s="171"/>
      <c r="B182" s="46" t="s">
        <v>483</v>
      </c>
      <c r="C182" s="97" t="s">
        <v>3177</v>
      </c>
      <c r="D182" s="11" t="s">
        <v>1388</v>
      </c>
      <c r="E182" s="557">
        <v>-111.8</v>
      </c>
      <c r="F182" s="69"/>
      <c r="G182" s="182" t="s">
        <v>483</v>
      </c>
      <c r="H182" s="59"/>
      <c r="I182" s="60"/>
      <c r="J182" s="61"/>
    </row>
    <row r="183" spans="1:10" ht="13.5" customHeight="1" x14ac:dyDescent="0.2">
      <c r="A183" s="171"/>
      <c r="B183" s="46" t="s">
        <v>483</v>
      </c>
      <c r="C183" s="36" t="s">
        <v>3178</v>
      </c>
      <c r="D183" s="11" t="s">
        <v>488</v>
      </c>
      <c r="E183" s="69"/>
      <c r="F183" s="557">
        <v>4731.47</v>
      </c>
      <c r="G183" s="182" t="s">
        <v>483</v>
      </c>
      <c r="H183" s="59"/>
      <c r="I183" s="60"/>
      <c r="J183" s="61"/>
    </row>
    <row r="184" spans="1:10" ht="13.5" customHeight="1" x14ac:dyDescent="0.2">
      <c r="A184" s="171"/>
      <c r="B184" s="46" t="s">
        <v>483</v>
      </c>
      <c r="C184" s="36" t="s">
        <v>189</v>
      </c>
      <c r="D184" s="11" t="s">
        <v>488</v>
      </c>
      <c r="E184" s="557">
        <v>-3961.13</v>
      </c>
      <c r="F184" s="69"/>
      <c r="G184" s="182">
        <v>0</v>
      </c>
      <c r="H184" s="59"/>
      <c r="I184" s="60"/>
      <c r="J184" s="61"/>
    </row>
    <row r="185" spans="1:10" ht="13.5" customHeight="1" x14ac:dyDescent="0.2">
      <c r="A185" s="171" t="s">
        <v>3179</v>
      </c>
      <c r="B185" s="46" t="s">
        <v>483</v>
      </c>
      <c r="C185" s="97" t="s">
        <v>3180</v>
      </c>
      <c r="D185" s="11" t="s">
        <v>3181</v>
      </c>
      <c r="E185" s="557">
        <v>-222</v>
      </c>
      <c r="F185" s="69"/>
      <c r="G185" s="182" t="s">
        <v>483</v>
      </c>
      <c r="H185" s="59"/>
      <c r="I185" s="60"/>
      <c r="J185" s="61"/>
    </row>
    <row r="186" spans="1:10" ht="13.5" customHeight="1" x14ac:dyDescent="0.2">
      <c r="A186" s="171"/>
      <c r="B186" s="46" t="s">
        <v>483</v>
      </c>
      <c r="C186" s="36" t="s">
        <v>174</v>
      </c>
      <c r="D186" s="11" t="s">
        <v>488</v>
      </c>
      <c r="E186" s="69"/>
      <c r="F186" s="557">
        <v>222</v>
      </c>
      <c r="G186" s="182">
        <v>0</v>
      </c>
      <c r="H186" s="59"/>
      <c r="I186" s="60"/>
      <c r="J186" s="61"/>
    </row>
    <row r="187" spans="1:10" ht="13.5" customHeight="1" x14ac:dyDescent="0.2">
      <c r="A187" s="171" t="s">
        <v>3182</v>
      </c>
      <c r="B187" s="46" t="s">
        <v>483</v>
      </c>
      <c r="C187" s="34" t="s">
        <v>3183</v>
      </c>
      <c r="D187" s="11" t="s">
        <v>495</v>
      </c>
      <c r="E187" s="557">
        <v>-158</v>
      </c>
      <c r="F187" s="69"/>
      <c r="G187" s="182">
        <v>-158</v>
      </c>
      <c r="H187" s="59"/>
      <c r="I187" s="60"/>
      <c r="J187" s="61"/>
    </row>
    <row r="188" spans="1:10" ht="13.5" customHeight="1" x14ac:dyDescent="0.2">
      <c r="A188" s="171"/>
      <c r="B188" s="46" t="s">
        <v>483</v>
      </c>
      <c r="C188" s="36" t="s">
        <v>174</v>
      </c>
      <c r="D188" s="11" t="s">
        <v>488</v>
      </c>
      <c r="E188" s="69"/>
      <c r="F188" s="557">
        <v>158</v>
      </c>
      <c r="G188" s="182">
        <v>0</v>
      </c>
      <c r="H188" s="59"/>
      <c r="I188" s="60"/>
      <c r="J188" s="61"/>
    </row>
    <row r="189" spans="1:10" ht="13.5" customHeight="1" x14ac:dyDescent="0.2">
      <c r="A189" s="171" t="s">
        <v>3184</v>
      </c>
      <c r="B189" s="46" t="s">
        <v>483</v>
      </c>
      <c r="C189" s="97" t="s">
        <v>3185</v>
      </c>
      <c r="D189" s="11" t="s">
        <v>490</v>
      </c>
      <c r="E189" s="557">
        <v>-1610.65</v>
      </c>
      <c r="F189" s="69"/>
      <c r="G189" s="182" t="s">
        <v>483</v>
      </c>
      <c r="H189" s="59"/>
      <c r="I189" s="60"/>
      <c r="J189" s="61"/>
    </row>
    <row r="190" spans="1:10" ht="13.5" customHeight="1" x14ac:dyDescent="0.2">
      <c r="A190" s="171"/>
      <c r="B190" s="46" t="s">
        <v>483</v>
      </c>
      <c r="C190" s="32" t="s">
        <v>3186</v>
      </c>
      <c r="D190" s="11" t="s">
        <v>582</v>
      </c>
      <c r="E190" s="557">
        <v>-754</v>
      </c>
      <c r="F190" s="69"/>
      <c r="G190" s="182" t="s">
        <v>483</v>
      </c>
      <c r="H190" s="59"/>
      <c r="I190" s="60"/>
      <c r="J190" s="61"/>
    </row>
    <row r="191" spans="1:10" ht="13.5" customHeight="1" x14ac:dyDescent="0.2">
      <c r="A191" s="171"/>
      <c r="B191" s="46" t="s">
        <v>483</v>
      </c>
      <c r="C191" s="36" t="s">
        <v>174</v>
      </c>
      <c r="D191" s="11" t="s">
        <v>488</v>
      </c>
      <c r="E191" s="69"/>
      <c r="F191" s="557">
        <v>2364.65</v>
      </c>
      <c r="G191" s="182">
        <v>0</v>
      </c>
      <c r="H191" s="59"/>
      <c r="I191" s="60"/>
      <c r="J191" s="61"/>
    </row>
    <row r="192" spans="1:10" ht="13.5" customHeight="1" x14ac:dyDescent="0.2">
      <c r="A192" s="171" t="s">
        <v>3187</v>
      </c>
      <c r="B192" s="46" t="s">
        <v>483</v>
      </c>
      <c r="C192" s="32" t="s">
        <v>3188</v>
      </c>
      <c r="D192" s="11" t="s">
        <v>3189</v>
      </c>
      <c r="E192" s="557">
        <v>-421.52</v>
      </c>
      <c r="F192" s="69"/>
      <c r="G192" s="182" t="s">
        <v>483</v>
      </c>
      <c r="H192" s="59"/>
      <c r="I192" s="60"/>
      <c r="J192" s="61"/>
    </row>
    <row r="193" spans="1:12" ht="13.5" customHeight="1" x14ac:dyDescent="0.2">
      <c r="A193" s="171"/>
      <c r="B193" s="46" t="s">
        <v>483</v>
      </c>
      <c r="C193" s="32" t="s">
        <v>3190</v>
      </c>
      <c r="D193" s="11" t="s">
        <v>3191</v>
      </c>
      <c r="E193" s="557">
        <v>-793.85</v>
      </c>
      <c r="F193" s="69"/>
      <c r="G193" s="182" t="s">
        <v>483</v>
      </c>
      <c r="H193" s="59"/>
      <c r="I193" s="60"/>
      <c r="J193" s="61"/>
    </row>
    <row r="194" spans="1:12" ht="13.5" customHeight="1" x14ac:dyDescent="0.2">
      <c r="A194" s="171"/>
      <c r="B194" s="46" t="s">
        <v>483</v>
      </c>
      <c r="C194" s="36" t="s">
        <v>174</v>
      </c>
      <c r="D194" s="11" t="s">
        <v>488</v>
      </c>
      <c r="E194" s="69"/>
      <c r="F194" s="557">
        <v>1215.3699999999999</v>
      </c>
      <c r="G194" s="182">
        <v>0</v>
      </c>
      <c r="H194" s="59"/>
      <c r="I194" s="60"/>
      <c r="J194" s="61"/>
    </row>
    <row r="195" spans="1:12" ht="13.5" customHeight="1" x14ac:dyDescent="0.2">
      <c r="A195" s="171" t="s">
        <v>3192</v>
      </c>
      <c r="B195" s="46" t="s">
        <v>483</v>
      </c>
      <c r="C195" s="32" t="s">
        <v>198</v>
      </c>
      <c r="D195" s="11" t="s">
        <v>3005</v>
      </c>
      <c r="E195" s="557">
        <v>-1320.97</v>
      </c>
      <c r="F195" s="69"/>
      <c r="G195" s="182" t="s">
        <v>483</v>
      </c>
      <c r="H195" s="59"/>
      <c r="I195" s="60"/>
      <c r="J195" s="61"/>
    </row>
    <row r="196" spans="1:12" ht="13.5" customHeight="1" x14ac:dyDescent="0.2">
      <c r="A196" s="171"/>
      <c r="B196" s="46" t="s">
        <v>591</v>
      </c>
      <c r="C196" s="36" t="s">
        <v>3087</v>
      </c>
      <c r="D196" s="11" t="s">
        <v>3193</v>
      </c>
      <c r="E196" s="557"/>
      <c r="F196" s="322">
        <v>8584.75</v>
      </c>
      <c r="G196" s="182" t="s">
        <v>483</v>
      </c>
      <c r="H196" s="59"/>
      <c r="I196" s="60"/>
      <c r="J196" s="61"/>
    </row>
    <row r="197" spans="1:12" ht="13.5" customHeight="1" x14ac:dyDescent="0.2">
      <c r="A197" s="171"/>
      <c r="B197" s="46" t="s">
        <v>483</v>
      </c>
      <c r="C197" s="36" t="s">
        <v>174</v>
      </c>
      <c r="D197" s="11" t="s">
        <v>488</v>
      </c>
      <c r="E197" s="69"/>
      <c r="F197" s="557">
        <v>1.1399999999999999</v>
      </c>
      <c r="G197" s="182">
        <v>7264.92</v>
      </c>
      <c r="H197" s="59"/>
      <c r="I197" s="60"/>
      <c r="J197" s="61"/>
    </row>
    <row r="198" spans="1:12" ht="13.5" customHeight="1" x14ac:dyDescent="0.2">
      <c r="A198" s="171" t="s">
        <v>3194</v>
      </c>
      <c r="B198" s="46" t="s">
        <v>483</v>
      </c>
      <c r="C198" s="34" t="s">
        <v>86</v>
      </c>
      <c r="D198" s="11" t="s">
        <v>488</v>
      </c>
      <c r="E198" s="557">
        <v>-92.5</v>
      </c>
      <c r="F198" s="69"/>
      <c r="G198" s="182" t="s">
        <v>483</v>
      </c>
      <c r="H198" s="59"/>
      <c r="I198" s="60"/>
      <c r="J198" s="61"/>
    </row>
    <row r="199" spans="1:12" ht="13.5" customHeight="1" x14ac:dyDescent="0.2">
      <c r="A199" s="171"/>
      <c r="B199" s="46" t="s">
        <v>483</v>
      </c>
      <c r="C199" s="34" t="s">
        <v>3195</v>
      </c>
      <c r="D199" s="11" t="s">
        <v>3196</v>
      </c>
      <c r="E199" s="557">
        <v>-360</v>
      </c>
      <c r="F199" s="69"/>
      <c r="G199" s="182" t="s">
        <v>483</v>
      </c>
      <c r="H199" s="59"/>
      <c r="I199" s="60"/>
      <c r="J199" s="61"/>
    </row>
    <row r="200" spans="1:12" ht="13.5" customHeight="1" x14ac:dyDescent="0.2">
      <c r="A200" s="171"/>
      <c r="B200" s="46" t="s">
        <v>483</v>
      </c>
      <c r="C200" s="36" t="s">
        <v>189</v>
      </c>
      <c r="D200" s="11" t="s">
        <v>488</v>
      </c>
      <c r="E200" s="557">
        <v>-6812.42</v>
      </c>
      <c r="F200" s="69"/>
      <c r="G200" s="182">
        <v>0</v>
      </c>
      <c r="H200" s="59"/>
      <c r="I200" s="60"/>
      <c r="J200" s="61"/>
    </row>
    <row r="201" spans="1:12" ht="13.5" customHeight="1" x14ac:dyDescent="0.2">
      <c r="A201" s="171" t="s">
        <v>3197</v>
      </c>
      <c r="B201" s="46" t="s">
        <v>483</v>
      </c>
      <c r="C201" s="34" t="s">
        <v>3198</v>
      </c>
      <c r="D201" s="11" t="s">
        <v>488</v>
      </c>
      <c r="E201" s="557">
        <v>-26.99</v>
      </c>
      <c r="F201" s="69"/>
      <c r="G201" s="182" t="s">
        <v>483</v>
      </c>
      <c r="H201" s="59"/>
      <c r="I201" s="60"/>
      <c r="J201" s="61"/>
    </row>
    <row r="202" spans="1:12" ht="13.5" customHeight="1" x14ac:dyDescent="0.2">
      <c r="A202" s="171"/>
      <c r="B202" s="46" t="s">
        <v>483</v>
      </c>
      <c r="C202" s="34" t="s">
        <v>1625</v>
      </c>
      <c r="D202" s="11" t="s">
        <v>3199</v>
      </c>
      <c r="E202" s="322">
        <v>-3000</v>
      </c>
      <c r="F202" s="557"/>
      <c r="G202" s="613"/>
      <c r="H202" s="59"/>
      <c r="I202" s="60"/>
      <c r="J202" s="61"/>
      <c r="L202" s="1">
        <v>6812.43</v>
      </c>
    </row>
    <row r="203" spans="1:12" ht="13.5" customHeight="1" x14ac:dyDescent="0.2">
      <c r="A203" s="171" t="s">
        <v>3197</v>
      </c>
      <c r="B203" s="46" t="s">
        <v>483</v>
      </c>
      <c r="C203" s="36" t="s">
        <v>174</v>
      </c>
      <c r="D203" s="11" t="s">
        <v>488</v>
      </c>
      <c r="E203" s="69"/>
      <c r="F203" s="557">
        <v>3026.99</v>
      </c>
      <c r="G203" s="182">
        <v>0</v>
      </c>
      <c r="H203" s="59"/>
      <c r="I203" s="60"/>
      <c r="J203" s="61"/>
    </row>
    <row r="204" spans="1:12" ht="13.5" customHeight="1" x14ac:dyDescent="0.2">
      <c r="A204" s="171" t="s">
        <v>3200</v>
      </c>
      <c r="B204" s="46" t="s">
        <v>483</v>
      </c>
      <c r="C204" s="97" t="s">
        <v>3201</v>
      </c>
      <c r="D204" s="11" t="s">
        <v>3202</v>
      </c>
      <c r="E204" s="557">
        <v>-120.8</v>
      </c>
      <c r="F204" s="69"/>
      <c r="G204" s="182" t="s">
        <v>483</v>
      </c>
      <c r="H204" s="59"/>
      <c r="I204" s="60"/>
      <c r="J204" s="61"/>
    </row>
    <row r="205" spans="1:12" ht="13.5" customHeight="1" x14ac:dyDescent="0.2">
      <c r="A205" s="171"/>
      <c r="B205" s="46" t="s">
        <v>483</v>
      </c>
      <c r="C205" s="32" t="s">
        <v>194</v>
      </c>
      <c r="D205" s="11" t="s">
        <v>488</v>
      </c>
      <c r="E205" s="557">
        <v>-84.54</v>
      </c>
      <c r="F205" s="69"/>
      <c r="G205" s="182" t="s">
        <v>483</v>
      </c>
      <c r="H205" s="59"/>
      <c r="I205" s="60"/>
      <c r="J205" s="61"/>
    </row>
    <row r="206" spans="1:12" ht="13.5" customHeight="1" x14ac:dyDescent="0.2">
      <c r="A206" s="171"/>
      <c r="B206" s="46" t="s">
        <v>483</v>
      </c>
      <c r="C206" s="32" t="s">
        <v>195</v>
      </c>
      <c r="D206" s="11" t="s">
        <v>488</v>
      </c>
      <c r="E206" s="557">
        <v>-390.19</v>
      </c>
      <c r="F206" s="69"/>
      <c r="G206" s="182"/>
      <c r="H206" s="59"/>
      <c r="I206" s="60"/>
      <c r="J206" s="61"/>
    </row>
    <row r="207" spans="1:12" ht="13.5" customHeight="1" x14ac:dyDescent="0.2">
      <c r="A207" s="171"/>
      <c r="B207" s="46" t="s">
        <v>483</v>
      </c>
      <c r="C207" s="36" t="s">
        <v>174</v>
      </c>
      <c r="D207" s="11" t="s">
        <v>488</v>
      </c>
      <c r="E207" s="69"/>
      <c r="F207" s="557">
        <v>595.53</v>
      </c>
      <c r="G207" s="182">
        <v>0</v>
      </c>
      <c r="H207" s="59"/>
      <c r="I207" s="60"/>
      <c r="J207" s="61"/>
    </row>
    <row r="208" spans="1:12" ht="13.5" customHeight="1" x14ac:dyDescent="0.2">
      <c r="A208" s="171" t="s">
        <v>3203</v>
      </c>
      <c r="B208" s="46" t="s">
        <v>483</v>
      </c>
      <c r="C208" s="138" t="s">
        <v>3204</v>
      </c>
      <c r="D208" s="11" t="s">
        <v>1175</v>
      </c>
      <c r="E208" s="557">
        <v>-303</v>
      </c>
      <c r="F208" s="69"/>
      <c r="G208" s="182" t="s">
        <v>483</v>
      </c>
      <c r="H208" s="59"/>
      <c r="I208" s="60"/>
      <c r="J208" s="61"/>
    </row>
    <row r="209" spans="1:10" ht="13.5" customHeight="1" x14ac:dyDescent="0.2">
      <c r="A209" s="171"/>
      <c r="B209" s="46" t="s">
        <v>483</v>
      </c>
      <c r="C209" s="34" t="s">
        <v>1625</v>
      </c>
      <c r="D209" s="11" t="s">
        <v>3205</v>
      </c>
      <c r="E209" s="612"/>
      <c r="F209" s="322">
        <v>2000</v>
      </c>
      <c r="G209" s="182" t="s">
        <v>483</v>
      </c>
      <c r="H209" s="59"/>
      <c r="I209" s="60"/>
      <c r="J209" s="61"/>
    </row>
    <row r="210" spans="1:10" ht="13.5" customHeight="1" x14ac:dyDescent="0.2">
      <c r="A210" s="171"/>
      <c r="B210" s="46" t="s">
        <v>483</v>
      </c>
      <c r="C210" s="34" t="s">
        <v>1625</v>
      </c>
      <c r="D210" s="11" t="s">
        <v>3206</v>
      </c>
      <c r="E210" s="612"/>
      <c r="F210" s="322">
        <v>2000</v>
      </c>
      <c r="G210" s="182" t="s">
        <v>483</v>
      </c>
      <c r="H210" s="59"/>
      <c r="I210" s="60"/>
      <c r="J210" s="61"/>
    </row>
    <row r="211" spans="1:10" ht="13.5" customHeight="1" x14ac:dyDescent="0.2">
      <c r="A211" s="171"/>
      <c r="B211" s="46" t="s">
        <v>483</v>
      </c>
      <c r="C211" s="36" t="s">
        <v>189</v>
      </c>
      <c r="D211" s="11" t="s">
        <v>488</v>
      </c>
      <c r="E211" s="557">
        <v>-3697</v>
      </c>
      <c r="F211" s="69"/>
      <c r="G211" s="182">
        <v>0</v>
      </c>
      <c r="H211" s="59"/>
      <c r="I211" s="60"/>
      <c r="J211" s="61"/>
    </row>
    <row r="212" spans="1:10" ht="13.5" customHeight="1" x14ac:dyDescent="0.2">
      <c r="A212" s="171" t="s">
        <v>3207</v>
      </c>
      <c r="B212" s="46" t="s">
        <v>483</v>
      </c>
      <c r="C212" s="34" t="s">
        <v>86</v>
      </c>
      <c r="D212" s="11" t="s">
        <v>488</v>
      </c>
      <c r="E212" s="557">
        <v>-12.5</v>
      </c>
      <c r="F212" s="69"/>
      <c r="G212" s="182" t="s">
        <v>483</v>
      </c>
      <c r="H212" s="59"/>
      <c r="I212" s="60"/>
      <c r="J212" s="61"/>
    </row>
    <row r="213" spans="1:10" ht="13.5" customHeight="1" x14ac:dyDescent="0.2">
      <c r="A213" s="171"/>
      <c r="B213" s="46" t="s">
        <v>483</v>
      </c>
      <c r="C213" s="36" t="s">
        <v>174</v>
      </c>
      <c r="D213" s="11" t="s">
        <v>488</v>
      </c>
      <c r="E213" s="69"/>
      <c r="F213" s="557">
        <v>12.5</v>
      </c>
      <c r="G213" s="182">
        <v>0</v>
      </c>
      <c r="H213" s="59"/>
      <c r="I213" s="60"/>
      <c r="J213" s="61"/>
    </row>
    <row r="214" spans="1:10" ht="13.5" customHeight="1" x14ac:dyDescent="0.2">
      <c r="A214" s="171" t="s">
        <v>3208</v>
      </c>
      <c r="B214" s="46" t="s">
        <v>483</v>
      </c>
      <c r="C214" s="34" t="s">
        <v>3209</v>
      </c>
      <c r="D214" s="11" t="s">
        <v>3210</v>
      </c>
      <c r="E214" s="557">
        <v>-185</v>
      </c>
      <c r="F214" s="69"/>
      <c r="G214" s="182" t="s">
        <v>483</v>
      </c>
      <c r="H214" s="59"/>
      <c r="I214" s="60"/>
      <c r="J214" s="61"/>
    </row>
    <row r="215" spans="1:10" ht="13.5" customHeight="1" x14ac:dyDescent="0.2">
      <c r="A215" s="171"/>
      <c r="B215" s="46" t="s">
        <v>483</v>
      </c>
      <c r="C215" s="36" t="s">
        <v>174</v>
      </c>
      <c r="D215" s="11" t="s">
        <v>488</v>
      </c>
      <c r="E215" s="69"/>
      <c r="F215" s="557">
        <v>185</v>
      </c>
      <c r="G215" s="182">
        <v>0</v>
      </c>
      <c r="H215" s="59"/>
      <c r="I215" s="60"/>
      <c r="J215" s="61"/>
    </row>
    <row r="216" spans="1:10" ht="13.5" customHeight="1" x14ac:dyDescent="0.2">
      <c r="A216" s="171" t="s">
        <v>3211</v>
      </c>
      <c r="B216" s="46" t="s">
        <v>483</v>
      </c>
      <c r="C216" s="97" t="s">
        <v>3185</v>
      </c>
      <c r="D216" s="11" t="s">
        <v>1353</v>
      </c>
      <c r="E216" s="557">
        <v>-1610.65</v>
      </c>
      <c r="F216" s="69"/>
      <c r="G216" s="182" t="s">
        <v>483</v>
      </c>
      <c r="H216" s="59"/>
      <c r="I216" s="60"/>
      <c r="J216" s="61"/>
    </row>
    <row r="217" spans="1:10" ht="13.5" customHeight="1" x14ac:dyDescent="0.2">
      <c r="A217" s="171"/>
      <c r="B217" s="46" t="s">
        <v>483</v>
      </c>
      <c r="C217" s="36" t="s">
        <v>174</v>
      </c>
      <c r="D217" s="11" t="s">
        <v>488</v>
      </c>
      <c r="E217" s="69"/>
      <c r="F217" s="557">
        <v>1610.65</v>
      </c>
      <c r="G217" s="182">
        <v>0</v>
      </c>
      <c r="H217" s="59"/>
      <c r="I217" s="60"/>
      <c r="J217" s="61"/>
    </row>
    <row r="218" spans="1:10" ht="13.5" customHeight="1" x14ac:dyDescent="0.2">
      <c r="A218" s="171" t="s">
        <v>3212</v>
      </c>
      <c r="B218" s="46" t="s">
        <v>483</v>
      </c>
      <c r="C218" s="32" t="s">
        <v>813</v>
      </c>
      <c r="D218" s="11" t="s">
        <v>810</v>
      </c>
      <c r="E218" s="557">
        <v>-75</v>
      </c>
      <c r="F218" s="69"/>
      <c r="G218" s="182" t="s">
        <v>483</v>
      </c>
      <c r="H218" s="59"/>
      <c r="I218" s="60"/>
      <c r="J218" s="61"/>
    </row>
    <row r="219" spans="1:10" ht="13.5" customHeight="1" x14ac:dyDescent="0.2">
      <c r="A219" s="171"/>
      <c r="B219" s="46" t="s">
        <v>483</v>
      </c>
      <c r="C219" s="34" t="s">
        <v>196</v>
      </c>
      <c r="D219" s="11" t="s">
        <v>488</v>
      </c>
      <c r="E219" s="557">
        <v>-1123.76</v>
      </c>
      <c r="F219" s="69"/>
      <c r="G219" s="182" t="s">
        <v>483</v>
      </c>
      <c r="H219" s="59"/>
      <c r="I219" s="60"/>
      <c r="J219" s="61"/>
    </row>
    <row r="220" spans="1:10" ht="13.5" customHeight="1" x14ac:dyDescent="0.2">
      <c r="A220" s="171"/>
      <c r="B220" s="46" t="s">
        <v>483</v>
      </c>
      <c r="C220" s="34" t="s">
        <v>197</v>
      </c>
      <c r="D220" s="11" t="s">
        <v>488</v>
      </c>
      <c r="E220" s="557">
        <v>-1872.93</v>
      </c>
      <c r="F220" s="69"/>
      <c r="G220" s="182"/>
      <c r="H220" s="59"/>
      <c r="I220" s="60"/>
      <c r="J220" s="61"/>
    </row>
    <row r="221" spans="1:10" ht="13.5" customHeight="1" x14ac:dyDescent="0.2">
      <c r="A221" s="171"/>
      <c r="B221" s="46" t="s">
        <v>483</v>
      </c>
      <c r="C221" s="36" t="s">
        <v>174</v>
      </c>
      <c r="D221" s="11" t="s">
        <v>488</v>
      </c>
      <c r="E221" s="69"/>
      <c r="F221" s="557">
        <v>3071.69</v>
      </c>
      <c r="G221" s="205">
        <v>0</v>
      </c>
      <c r="H221" s="123"/>
      <c r="I221" s="60"/>
      <c r="J221" s="61"/>
    </row>
    <row r="222" spans="1:10" ht="13.5" customHeight="1" x14ac:dyDescent="0.2">
      <c r="A222" s="171"/>
      <c r="B222" s="46"/>
      <c r="C222" s="32" t="s">
        <v>20</v>
      </c>
      <c r="D222" s="11"/>
      <c r="E222" s="69"/>
      <c r="F222" s="69"/>
      <c r="G222" s="182"/>
      <c r="H222" s="59"/>
      <c r="I222" s="60"/>
      <c r="J222" s="186"/>
    </row>
    <row r="223" spans="1:10" ht="13.5" customHeight="1" thickBot="1" x14ac:dyDescent="0.25">
      <c r="A223" s="171"/>
      <c r="B223" s="46"/>
      <c r="C223" s="34"/>
      <c r="D223" s="11"/>
      <c r="E223" s="654">
        <f>SUM(E160:E201,E204:E222)</f>
        <v>-33728.700000000004</v>
      </c>
      <c r="F223" s="69">
        <f>SUM(F162:F167,F174,F178:F194,F197:F208,F213:F221,)</f>
        <v>19643.95</v>
      </c>
      <c r="G223" s="182"/>
      <c r="H223" s="179"/>
      <c r="I223" s="57"/>
      <c r="J223" s="67"/>
    </row>
    <row r="224" spans="1:10" ht="13.5" customHeight="1" thickBot="1" x14ac:dyDescent="0.25">
      <c r="A224" s="2" t="s">
        <v>2</v>
      </c>
      <c r="B224" s="3"/>
      <c r="C224" s="3" t="s">
        <v>525</v>
      </c>
      <c r="D224" s="3"/>
      <c r="E224" s="3"/>
      <c r="F224" s="696"/>
      <c r="G224" s="5" t="s">
        <v>7</v>
      </c>
    </row>
    <row r="225" spans="1:12" ht="13.5" customHeight="1" x14ac:dyDescent="0.2">
      <c r="A225" s="8">
        <v>43739</v>
      </c>
      <c r="B225" s="70"/>
      <c r="C225" s="10" t="s">
        <v>537</v>
      </c>
      <c r="D225" s="125"/>
      <c r="E225" s="67"/>
      <c r="F225" s="67"/>
      <c r="G225" s="205">
        <v>1036.1899999999987</v>
      </c>
    </row>
    <row r="226" spans="1:12" ht="13.5" customHeight="1" x14ac:dyDescent="0.2">
      <c r="A226" s="171">
        <v>43745</v>
      </c>
      <c r="B226" s="46"/>
      <c r="C226" s="36" t="s">
        <v>815</v>
      </c>
      <c r="D226" s="11"/>
      <c r="E226" s="181">
        <v>888.22</v>
      </c>
      <c r="F226" s="69"/>
      <c r="G226" s="205">
        <v>147.96999999999866</v>
      </c>
      <c r="I226" s="30">
        <f>SUM(G3,G75,G120,G159,)</f>
        <v>7664.8100000000195</v>
      </c>
      <c r="J226" t="s">
        <v>8082</v>
      </c>
    </row>
    <row r="227" spans="1:12" ht="13.5" customHeight="1" thickBot="1" x14ac:dyDescent="0.25">
      <c r="A227" s="171"/>
      <c r="B227" s="46"/>
      <c r="C227" s="34"/>
      <c r="D227" s="229"/>
      <c r="E227" s="69"/>
      <c r="F227" s="69"/>
      <c r="G227" s="182"/>
      <c r="I227" s="1159"/>
    </row>
    <row r="228" spans="1:12" s="97" customFormat="1" ht="13.5" customHeight="1" thickBot="1" x14ac:dyDescent="0.25">
      <c r="A228" s="561" t="s">
        <v>2</v>
      </c>
      <c r="B228" s="562"/>
      <c r="C228" s="562" t="s">
        <v>534</v>
      </c>
      <c r="D228" s="563" t="s">
        <v>4</v>
      </c>
      <c r="E228" s="562" t="s">
        <v>5</v>
      </c>
      <c r="F228" s="562" t="s">
        <v>6</v>
      </c>
      <c r="G228" s="564" t="s">
        <v>7</v>
      </c>
      <c r="H228" s="1"/>
      <c r="I228" s="30">
        <f>SUM(G117,G156,G221,G72)</f>
        <v>8165.5000000000227</v>
      </c>
      <c r="J228" t="s">
        <v>8083</v>
      </c>
      <c r="L228" s="567"/>
    </row>
    <row r="229" spans="1:12" s="97" customFormat="1" ht="13.5" customHeight="1" x14ac:dyDescent="0.2">
      <c r="A229" s="568">
        <v>42370</v>
      </c>
      <c r="B229" s="569"/>
      <c r="C229" s="570" t="s">
        <v>8</v>
      </c>
      <c r="D229" s="571"/>
      <c r="E229" s="572"/>
      <c r="F229" s="573"/>
      <c r="G229" s="574">
        <v>0</v>
      </c>
      <c r="H229" s="1"/>
      <c r="I229" s="1159"/>
      <c r="J229" s="1"/>
      <c r="L229" s="567"/>
    </row>
    <row r="230" spans="1:12" s="97" customFormat="1" ht="13.5" customHeight="1" x14ac:dyDescent="0.2">
      <c r="A230" s="578">
        <v>43284</v>
      </c>
      <c r="B230" s="569"/>
      <c r="C230" s="569" t="s">
        <v>535</v>
      </c>
      <c r="D230" s="571"/>
      <c r="E230" s="572"/>
      <c r="F230" s="579">
        <v>500</v>
      </c>
      <c r="G230" s="580">
        <v>500</v>
      </c>
      <c r="H230" s="1"/>
      <c r="I230" s="30">
        <f>SUM(E223,F223,F157,E157,F118,E118,F73,E73,)</f>
        <v>500.69000000000415</v>
      </c>
      <c r="J230" t="s">
        <v>8085</v>
      </c>
      <c r="L230" s="567"/>
    </row>
    <row r="231" spans="1:12" s="97" customFormat="1" ht="13.5" customHeight="1" x14ac:dyDescent="0.2">
      <c r="A231" s="578">
        <v>43346</v>
      </c>
      <c r="B231" s="569"/>
      <c r="C231" s="569" t="s">
        <v>535</v>
      </c>
      <c r="D231" s="571"/>
      <c r="E231" s="572"/>
      <c r="F231" s="579">
        <v>3000</v>
      </c>
      <c r="G231" s="580">
        <v>3500</v>
      </c>
      <c r="H231" s="1"/>
      <c r="I231" s="1159"/>
      <c r="J231" s="1"/>
      <c r="L231" s="567"/>
    </row>
    <row r="232" spans="1:12" s="97" customFormat="1" ht="13.5" customHeight="1" x14ac:dyDescent="0.2">
      <c r="A232" s="578">
        <v>43374</v>
      </c>
      <c r="B232" s="569"/>
      <c r="C232" s="569" t="s">
        <v>535</v>
      </c>
      <c r="D232" s="571"/>
      <c r="E232" s="572"/>
      <c r="F232" s="579">
        <v>2000</v>
      </c>
      <c r="G232" s="580">
        <v>5500</v>
      </c>
      <c r="H232" s="1"/>
      <c r="I232" s="1159"/>
      <c r="J232" s="1"/>
      <c r="L232" s="567"/>
    </row>
    <row r="233" spans="1:12" s="97" customFormat="1" ht="13.5" customHeight="1" x14ac:dyDescent="0.2">
      <c r="A233" s="578">
        <v>43409</v>
      </c>
      <c r="B233" s="569"/>
      <c r="C233" s="569" t="s">
        <v>535</v>
      </c>
      <c r="D233" s="571"/>
      <c r="E233" s="572"/>
      <c r="F233" s="579">
        <v>1000</v>
      </c>
      <c r="G233" s="580">
        <v>6500</v>
      </c>
      <c r="H233" s="1"/>
      <c r="I233" s="615">
        <f>I226+I230-I228</f>
        <v>0</v>
      </c>
      <c r="J233" t="s">
        <v>8084</v>
      </c>
      <c r="L233" s="567"/>
    </row>
    <row r="234" spans="1:12" s="97" customFormat="1" ht="13.5" customHeight="1" x14ac:dyDescent="0.2">
      <c r="A234" s="578">
        <v>43804</v>
      </c>
      <c r="B234" s="569"/>
      <c r="C234" s="569" t="s">
        <v>535</v>
      </c>
      <c r="D234" s="571"/>
      <c r="E234" s="572"/>
      <c r="F234" s="579">
        <v>500</v>
      </c>
      <c r="G234" s="580">
        <v>7000</v>
      </c>
      <c r="H234" s="1"/>
      <c r="I234" s="1"/>
      <c r="J234" s="1"/>
      <c r="L234" s="567"/>
    </row>
    <row r="235" spans="1:12" s="97" customFormat="1" ht="13.5" customHeight="1" x14ac:dyDescent="0.2">
      <c r="A235" s="578">
        <v>43469</v>
      </c>
      <c r="B235" s="569"/>
      <c r="C235" s="569" t="s">
        <v>1390</v>
      </c>
      <c r="D235" s="581"/>
      <c r="E235" s="572"/>
      <c r="F235" s="579">
        <v>1500</v>
      </c>
      <c r="G235" s="580">
        <v>8500</v>
      </c>
      <c r="H235" s="1"/>
      <c r="I235" s="1"/>
      <c r="J235" s="1"/>
      <c r="L235" s="567"/>
    </row>
    <row r="236" spans="1:12" s="97" customFormat="1" ht="13.5" customHeight="1" x14ac:dyDescent="0.2">
      <c r="A236" s="578">
        <v>43475</v>
      </c>
      <c r="B236" s="569"/>
      <c r="C236" s="569" t="s">
        <v>1391</v>
      </c>
      <c r="D236" s="581"/>
      <c r="E236" s="572"/>
      <c r="F236" s="579">
        <v>5000</v>
      </c>
      <c r="G236" s="580">
        <v>13500</v>
      </c>
      <c r="H236" s="1"/>
      <c r="I236" s="584"/>
      <c r="J236" s="583"/>
      <c r="L236" s="567"/>
    </row>
    <row r="237" spans="1:12" s="97" customFormat="1" ht="13.5" customHeight="1" x14ac:dyDescent="0.2">
      <c r="A237" s="578">
        <v>43482</v>
      </c>
      <c r="B237" s="569"/>
      <c r="C237" s="569" t="s">
        <v>1391</v>
      </c>
      <c r="D237" s="581"/>
      <c r="E237" s="572"/>
      <c r="F237" s="579">
        <v>5000</v>
      </c>
      <c r="G237" s="580">
        <v>18500</v>
      </c>
      <c r="H237" s="1"/>
      <c r="L237" s="567"/>
    </row>
    <row r="238" spans="1:12" s="97" customFormat="1" ht="13.5" customHeight="1" x14ac:dyDescent="0.2">
      <c r="A238" s="578">
        <v>43500</v>
      </c>
      <c r="B238" s="569"/>
      <c r="C238" s="569" t="s">
        <v>1391</v>
      </c>
      <c r="D238" s="581"/>
      <c r="E238" s="572"/>
      <c r="F238" s="579">
        <v>3000</v>
      </c>
      <c r="G238" s="580">
        <v>21500</v>
      </c>
      <c r="H238" s="1"/>
      <c r="L238" s="567"/>
    </row>
    <row r="239" spans="1:12" s="97" customFormat="1" ht="13.5" customHeight="1" x14ac:dyDescent="0.2">
      <c r="A239" s="578">
        <v>43501</v>
      </c>
      <c r="B239" s="569"/>
      <c r="C239" s="569" t="s">
        <v>1391</v>
      </c>
      <c r="D239" s="581"/>
      <c r="E239" s="572"/>
      <c r="F239" s="579">
        <v>4000</v>
      </c>
      <c r="G239" s="580">
        <v>25500</v>
      </c>
      <c r="H239" s="1"/>
      <c r="L239" s="567"/>
    </row>
    <row r="240" spans="1:12" s="97" customFormat="1" ht="13.5" customHeight="1" x14ac:dyDescent="0.2">
      <c r="A240" s="578">
        <v>43503</v>
      </c>
      <c r="B240" s="569"/>
      <c r="C240" s="569" t="s">
        <v>1391</v>
      </c>
      <c r="D240" s="581"/>
      <c r="E240" s="572"/>
      <c r="F240" s="579">
        <v>2000</v>
      </c>
      <c r="G240" s="580">
        <v>27500</v>
      </c>
      <c r="H240" s="1"/>
      <c r="L240" s="567"/>
    </row>
    <row r="241" spans="1:12" s="97" customFormat="1" ht="13.5" customHeight="1" x14ac:dyDescent="0.2">
      <c r="A241" s="578">
        <v>43504</v>
      </c>
      <c r="B241" s="569"/>
      <c r="C241" s="569" t="s">
        <v>1390</v>
      </c>
      <c r="D241" s="581"/>
      <c r="E241" s="572"/>
      <c r="F241" s="579">
        <v>1500</v>
      </c>
      <c r="G241" s="580">
        <v>29000</v>
      </c>
      <c r="H241" s="1"/>
      <c r="L241" s="567"/>
    </row>
    <row r="242" spans="1:12" s="97" customFormat="1" ht="13.5" customHeight="1" x14ac:dyDescent="0.2">
      <c r="A242" s="578">
        <v>43522</v>
      </c>
      <c r="B242" s="569"/>
      <c r="C242" s="569" t="s">
        <v>1544</v>
      </c>
      <c r="D242" s="581"/>
      <c r="E242" s="582">
        <v>5000</v>
      </c>
      <c r="F242" s="573"/>
      <c r="G242" s="580">
        <v>24000</v>
      </c>
      <c r="H242" s="1"/>
      <c r="L242" s="567"/>
    </row>
    <row r="243" spans="1:12" s="97" customFormat="1" ht="13.5" customHeight="1" x14ac:dyDescent="0.2">
      <c r="A243" s="578">
        <v>43531</v>
      </c>
      <c r="B243" s="569"/>
      <c r="C243" s="569" t="s">
        <v>1390</v>
      </c>
      <c r="D243" s="581"/>
      <c r="E243" s="572"/>
      <c r="F243" s="579">
        <v>3000</v>
      </c>
      <c r="G243" s="580">
        <v>27000</v>
      </c>
      <c r="H243" s="1"/>
      <c r="L243" s="567"/>
    </row>
    <row r="244" spans="1:12" s="97" customFormat="1" ht="13.5" customHeight="1" x14ac:dyDescent="0.2">
      <c r="A244" s="578">
        <v>43536</v>
      </c>
      <c r="B244" s="569"/>
      <c r="C244" s="569" t="s">
        <v>1391</v>
      </c>
      <c r="D244" s="581"/>
      <c r="E244" s="572"/>
      <c r="F244" s="579">
        <v>3000</v>
      </c>
      <c r="G244" s="580">
        <v>30000</v>
      </c>
      <c r="H244" s="1"/>
      <c r="L244" s="567"/>
    </row>
    <row r="245" spans="1:12" s="97" customFormat="1" ht="13.5" customHeight="1" x14ac:dyDescent="0.2">
      <c r="A245" s="578">
        <v>43560</v>
      </c>
      <c r="B245" s="569"/>
      <c r="C245" s="569" t="s">
        <v>1390</v>
      </c>
      <c r="D245" s="581"/>
      <c r="E245" s="572"/>
      <c r="F245" s="579">
        <v>2000</v>
      </c>
      <c r="G245" s="580">
        <v>32000</v>
      </c>
      <c r="H245" s="1"/>
      <c r="L245" s="567"/>
    </row>
    <row r="246" spans="1:12" s="97" customFormat="1" ht="13.5" customHeight="1" x14ac:dyDescent="0.2">
      <c r="A246" s="578">
        <v>43565</v>
      </c>
      <c r="B246" s="569"/>
      <c r="C246" s="569" t="s">
        <v>1390</v>
      </c>
      <c r="D246" s="581"/>
      <c r="E246" s="572"/>
      <c r="F246" s="579">
        <v>8000</v>
      </c>
      <c r="G246" s="580">
        <v>40000</v>
      </c>
      <c r="H246" s="1"/>
      <c r="I246" s="1"/>
      <c r="J246" s="1"/>
      <c r="L246" s="567"/>
    </row>
    <row r="247" spans="1:12" s="97" customFormat="1" ht="13.5" customHeight="1" x14ac:dyDescent="0.2">
      <c r="A247" s="578">
        <v>43571</v>
      </c>
      <c r="B247" s="569"/>
      <c r="C247" s="569" t="s">
        <v>1544</v>
      </c>
      <c r="D247" s="581"/>
      <c r="E247" s="582">
        <v>4000</v>
      </c>
      <c r="F247" s="573"/>
      <c r="G247" s="580">
        <v>36000</v>
      </c>
      <c r="H247" s="1"/>
      <c r="I247" s="1"/>
      <c r="J247" s="1"/>
      <c r="L247" s="567"/>
    </row>
    <row r="248" spans="1:12" s="97" customFormat="1" ht="13.5" customHeight="1" x14ac:dyDescent="0.2">
      <c r="A248" s="578">
        <v>43580</v>
      </c>
      <c r="B248" s="569"/>
      <c r="C248" s="569" t="s">
        <v>1544</v>
      </c>
      <c r="D248" s="581"/>
      <c r="E248" s="582">
        <v>2000</v>
      </c>
      <c r="F248" s="573"/>
      <c r="G248" s="580">
        <v>34000</v>
      </c>
      <c r="H248" s="1"/>
      <c r="I248" s="1"/>
      <c r="J248" s="1"/>
      <c r="L248" s="567"/>
    </row>
    <row r="249" spans="1:12" s="97" customFormat="1" ht="13.5" customHeight="1" x14ac:dyDescent="0.2">
      <c r="A249" s="578">
        <v>43593</v>
      </c>
      <c r="B249" s="569"/>
      <c r="C249" s="569" t="s">
        <v>1390</v>
      </c>
      <c r="D249" s="581"/>
      <c r="E249" s="572"/>
      <c r="F249" s="579">
        <v>500</v>
      </c>
      <c r="G249" s="580">
        <v>34500</v>
      </c>
      <c r="H249" s="1"/>
      <c r="I249" s="1"/>
      <c r="J249" s="1"/>
      <c r="L249" s="567"/>
    </row>
    <row r="250" spans="1:12" s="97" customFormat="1" ht="13.5" customHeight="1" x14ac:dyDescent="0.2">
      <c r="A250" s="578">
        <v>43620</v>
      </c>
      <c r="B250" s="569"/>
      <c r="C250" s="569" t="s">
        <v>1390</v>
      </c>
      <c r="D250" s="581"/>
      <c r="E250" s="572"/>
      <c r="F250" s="579">
        <v>2500</v>
      </c>
      <c r="G250" s="580">
        <v>37000</v>
      </c>
      <c r="H250" s="1"/>
      <c r="I250" s="1"/>
      <c r="J250" s="1"/>
      <c r="L250" s="567"/>
    </row>
    <row r="251" spans="1:12" s="97" customFormat="1" ht="13.5" customHeight="1" x14ac:dyDescent="0.2">
      <c r="A251" s="578">
        <v>43633</v>
      </c>
      <c r="B251" s="569"/>
      <c r="C251" s="569" t="s">
        <v>1544</v>
      </c>
      <c r="D251" s="581"/>
      <c r="E251" s="582">
        <v>4000</v>
      </c>
      <c r="F251" s="573"/>
      <c r="G251" s="580">
        <v>33000</v>
      </c>
      <c r="H251" s="583"/>
      <c r="I251" s="1"/>
      <c r="J251" s="1"/>
      <c r="L251" s="567"/>
    </row>
    <row r="252" spans="1:12" s="97" customFormat="1" ht="13.5" customHeight="1" x14ac:dyDescent="0.2">
      <c r="A252" s="578">
        <v>43651</v>
      </c>
      <c r="B252" s="585"/>
      <c r="C252" s="569" t="s">
        <v>1544</v>
      </c>
      <c r="D252" s="586"/>
      <c r="E252" s="579">
        <v>3000</v>
      </c>
      <c r="F252" s="573"/>
      <c r="G252" s="580">
        <v>30000</v>
      </c>
      <c r="I252" s="1"/>
      <c r="J252" s="1"/>
    </row>
    <row r="253" spans="1:12" s="97" customFormat="1" ht="13.5" customHeight="1" x14ac:dyDescent="0.2">
      <c r="A253" s="578">
        <v>43668</v>
      </c>
      <c r="B253" s="585"/>
      <c r="C253" s="569" t="s">
        <v>1544</v>
      </c>
      <c r="D253" s="586"/>
      <c r="E253" s="579">
        <v>3000</v>
      </c>
      <c r="F253" s="573"/>
      <c r="G253" s="580">
        <v>27000</v>
      </c>
      <c r="I253" s="1"/>
      <c r="J253" s="1"/>
    </row>
    <row r="254" spans="1:12" s="97" customFormat="1" ht="13.5" customHeight="1" x14ac:dyDescent="0.2">
      <c r="A254" s="578">
        <v>43682</v>
      </c>
      <c r="B254" s="603"/>
      <c r="C254" s="569" t="s">
        <v>1390</v>
      </c>
      <c r="D254" s="604"/>
      <c r="E254" s="573"/>
      <c r="F254" s="579">
        <v>2000</v>
      </c>
      <c r="G254" s="580">
        <v>29000</v>
      </c>
      <c r="I254" s="1"/>
      <c r="J254" s="1"/>
    </row>
    <row r="255" spans="1:12" s="97" customFormat="1" ht="13.5" customHeight="1" x14ac:dyDescent="0.2">
      <c r="A255" s="171" t="s">
        <v>3158</v>
      </c>
      <c r="B255" s="603"/>
      <c r="C255" s="569" t="s">
        <v>1391</v>
      </c>
      <c r="D255" s="604"/>
      <c r="E255" s="573"/>
      <c r="F255" s="579">
        <v>1500</v>
      </c>
      <c r="G255" s="580">
        <v>30500</v>
      </c>
      <c r="I255" s="1"/>
      <c r="J255" s="1"/>
    </row>
    <row r="256" spans="1:12" s="97" customFormat="1" ht="13.5" customHeight="1" x14ac:dyDescent="0.2">
      <c r="A256" s="171" t="s">
        <v>3165</v>
      </c>
      <c r="B256" s="603"/>
      <c r="C256" s="569" t="s">
        <v>1391</v>
      </c>
      <c r="D256" s="604"/>
      <c r="E256" s="573"/>
      <c r="F256" s="579">
        <v>3000</v>
      </c>
      <c r="G256" s="580">
        <v>33500</v>
      </c>
      <c r="I256" s="1"/>
      <c r="J256" s="1"/>
    </row>
    <row r="257" spans="1:11" s="97" customFormat="1" ht="13.5" customHeight="1" x14ac:dyDescent="0.2">
      <c r="A257" s="171" t="s">
        <v>3197</v>
      </c>
      <c r="B257" s="603"/>
      <c r="C257" s="569" t="s">
        <v>1544</v>
      </c>
      <c r="D257" s="604"/>
      <c r="E257" s="579">
        <v>3000</v>
      </c>
      <c r="F257" s="573"/>
      <c r="G257" s="580">
        <v>30500</v>
      </c>
      <c r="I257" s="1"/>
      <c r="J257" s="1"/>
    </row>
    <row r="258" spans="1:11" s="97" customFormat="1" ht="13.5" customHeight="1" x14ac:dyDescent="0.2">
      <c r="A258" s="171" t="s">
        <v>3203</v>
      </c>
      <c r="B258" s="603"/>
      <c r="C258" s="569" t="s">
        <v>1391</v>
      </c>
      <c r="D258" s="604"/>
      <c r="E258" s="573"/>
      <c r="F258" s="579">
        <v>2000</v>
      </c>
      <c r="G258" s="580">
        <v>32500</v>
      </c>
      <c r="I258" s="1"/>
      <c r="J258" s="1"/>
    </row>
    <row r="259" spans="1:11" s="97" customFormat="1" ht="13.5" customHeight="1" x14ac:dyDescent="0.2">
      <c r="A259" s="578"/>
      <c r="B259" s="603"/>
      <c r="C259" s="569" t="s">
        <v>1391</v>
      </c>
      <c r="D259" s="604"/>
      <c r="E259" s="573"/>
      <c r="F259" s="579">
        <v>2000</v>
      </c>
      <c r="G259" s="574">
        <v>34500</v>
      </c>
      <c r="I259" s="1"/>
      <c r="J259" s="1"/>
    </row>
    <row r="260" spans="1:11" s="97" customFormat="1" ht="13.5" customHeight="1" thickBot="1" x14ac:dyDescent="0.25">
      <c r="A260" s="578"/>
      <c r="B260" s="569"/>
      <c r="C260" s="569"/>
      <c r="D260" s="581"/>
      <c r="E260" s="572"/>
      <c r="F260" s="573"/>
      <c r="G260" s="580"/>
      <c r="I260" s="1"/>
      <c r="J260" s="1"/>
      <c r="K260" s="1"/>
    </row>
    <row r="261" spans="1:11" ht="13.5" customHeight="1" thickBot="1" x14ac:dyDescent="0.25">
      <c r="A261" s="213"/>
      <c r="B261" s="214"/>
      <c r="C261" s="215" t="s">
        <v>539</v>
      </c>
      <c r="D261" s="216"/>
      <c r="E261" s="187"/>
      <c r="F261" s="187"/>
      <c r="G261" s="217" t="s">
        <v>7</v>
      </c>
    </row>
    <row r="262" spans="1:11" ht="13.5" customHeight="1" x14ac:dyDescent="0.2">
      <c r="A262" s="74" t="s">
        <v>540</v>
      </c>
      <c r="B262" s="74"/>
      <c r="C262" s="218" t="s">
        <v>541</v>
      </c>
      <c r="D262" s="219"/>
      <c r="E262" s="220"/>
      <c r="F262" s="220"/>
      <c r="G262" s="75">
        <v>0</v>
      </c>
    </row>
    <row r="263" spans="1:11" ht="13.5" customHeight="1" x14ac:dyDescent="0.2">
      <c r="A263" s="221" t="s">
        <v>540</v>
      </c>
      <c r="B263" s="70"/>
      <c r="C263" s="63" t="s">
        <v>542</v>
      </c>
      <c r="D263" s="50"/>
      <c r="E263" s="13"/>
      <c r="F263" s="13"/>
      <c r="G263" s="75">
        <v>2007.17</v>
      </c>
    </row>
    <row r="264" spans="1:11" ht="13.5" customHeight="1" x14ac:dyDescent="0.2">
      <c r="A264" s="70"/>
      <c r="B264" s="70"/>
      <c r="C264" s="222" t="s">
        <v>543</v>
      </c>
      <c r="D264" s="50"/>
      <c r="E264" s="13"/>
      <c r="F264" s="13"/>
      <c r="G264" s="14">
        <v>2007.17</v>
      </c>
    </row>
    <row r="265" spans="1:11" ht="13.5" customHeight="1" x14ac:dyDescent="0.2">
      <c r="A265" s="70"/>
      <c r="B265" s="70"/>
      <c r="C265" s="63"/>
      <c r="D265" s="50"/>
      <c r="E265" s="13"/>
      <c r="F265" s="13"/>
      <c r="G265" s="14"/>
    </row>
    <row r="266" spans="1:11" ht="13.5" customHeight="1" x14ac:dyDescent="0.2">
      <c r="A266" s="70"/>
      <c r="B266" s="70"/>
      <c r="C266" s="222" t="s">
        <v>544</v>
      </c>
      <c r="D266" s="50"/>
      <c r="E266" s="13"/>
      <c r="F266" s="13"/>
      <c r="G266" s="14">
        <v>8165.5000000000227</v>
      </c>
    </row>
    <row r="267" spans="1:11" ht="13.5" customHeight="1" x14ac:dyDescent="0.2">
      <c r="A267" s="70"/>
      <c r="B267" s="70"/>
      <c r="C267" s="63"/>
      <c r="D267" s="50"/>
      <c r="E267" s="13"/>
      <c r="F267" s="13"/>
      <c r="G267" s="75"/>
    </row>
    <row r="268" spans="1:11" ht="13.5" customHeight="1" x14ac:dyDescent="0.2">
      <c r="A268" s="76"/>
      <c r="B268" s="76"/>
      <c r="C268" s="222" t="s">
        <v>545</v>
      </c>
      <c r="D268" s="78"/>
      <c r="E268" s="78"/>
      <c r="F268" s="78"/>
      <c r="G268" s="14">
        <v>10172.670000000024</v>
      </c>
    </row>
    <row r="269" spans="1:11" ht="13.5" customHeight="1" x14ac:dyDescent="0.2">
      <c r="A269" s="76"/>
      <c r="B269" s="76"/>
      <c r="C269" s="78"/>
      <c r="D269" s="78"/>
      <c r="E269" s="78"/>
      <c r="F269" s="78"/>
      <c r="G269" s="75"/>
    </row>
    <row r="270" spans="1:11" ht="13.5" customHeight="1" x14ac:dyDescent="0.2">
      <c r="A270" s="70"/>
      <c r="B270" s="70"/>
      <c r="C270" s="63"/>
      <c r="D270" s="50"/>
      <c r="E270" s="13"/>
      <c r="F270" s="13"/>
      <c r="G270" s="75"/>
    </row>
    <row r="271" spans="1:11" ht="13.5" customHeight="1" x14ac:dyDescent="0.2">
      <c r="A271" s="70"/>
      <c r="B271" s="70"/>
      <c r="C271" s="63"/>
      <c r="D271" s="50"/>
      <c r="E271" s="13"/>
      <c r="F271" s="13"/>
      <c r="G271" s="182"/>
    </row>
    <row r="272" spans="1:11" ht="13.5" customHeight="1" x14ac:dyDescent="0.2">
      <c r="A272" s="70"/>
      <c r="B272" s="70"/>
      <c r="C272" s="63"/>
      <c r="D272" s="50"/>
      <c r="E272" s="13"/>
      <c r="F272" s="13"/>
      <c r="G272" s="182"/>
    </row>
    <row r="273" spans="1:7" ht="13.5" customHeight="1" x14ac:dyDescent="0.2">
      <c r="A273" s="70"/>
      <c r="B273" s="70"/>
      <c r="C273" s="63"/>
      <c r="D273" s="50"/>
      <c r="E273" s="13"/>
      <c r="F273" s="13"/>
      <c r="G273" s="182"/>
    </row>
    <row r="274" spans="1:7" ht="13.5" customHeight="1" x14ac:dyDescent="0.2">
      <c r="A274" s="70"/>
      <c r="B274" s="70"/>
      <c r="C274" s="63"/>
      <c r="D274" s="50"/>
      <c r="E274" s="13"/>
      <c r="F274" s="13"/>
      <c r="G274" s="182"/>
    </row>
    <row r="275" spans="1:7" ht="13.5" customHeight="1" x14ac:dyDescent="0.2">
      <c r="A275" s="70"/>
      <c r="B275" s="70"/>
      <c r="C275" s="63"/>
      <c r="D275" s="50"/>
      <c r="E275" s="13"/>
      <c r="F275" s="13"/>
      <c r="G275" s="182"/>
    </row>
    <row r="276" spans="1:7" ht="13.5" customHeight="1" x14ac:dyDescent="0.2">
      <c r="A276" s="70"/>
      <c r="B276" s="70"/>
      <c r="C276" s="63"/>
      <c r="D276" s="50"/>
      <c r="E276" s="13"/>
      <c r="F276" s="13"/>
      <c r="G276" s="182"/>
    </row>
    <row r="277" spans="1:7" ht="13.5" customHeight="1" x14ac:dyDescent="0.2">
      <c r="A277" s="70"/>
      <c r="B277" s="70"/>
      <c r="C277" s="63"/>
      <c r="D277" s="50"/>
      <c r="E277" s="13"/>
      <c r="F277" s="13"/>
      <c r="G277" s="182"/>
    </row>
    <row r="278" spans="1:7" ht="13.5" customHeight="1" x14ac:dyDescent="0.2">
      <c r="A278" s="70"/>
      <c r="B278" s="70"/>
      <c r="C278" s="63"/>
      <c r="D278" s="50"/>
      <c r="E278" s="13"/>
      <c r="F278" s="13"/>
      <c r="G278" s="182"/>
    </row>
    <row r="279" spans="1:7" ht="13.5" customHeight="1" x14ac:dyDescent="0.2">
      <c r="A279" s="70"/>
      <c r="B279" s="70"/>
      <c r="C279" s="63"/>
      <c r="D279" s="50"/>
      <c r="E279" s="13"/>
      <c r="F279" s="13"/>
      <c r="G279" s="182"/>
    </row>
    <row r="280" spans="1:7" ht="13.5" customHeight="1" x14ac:dyDescent="0.2">
      <c r="A280" s="70"/>
      <c r="B280" s="70"/>
      <c r="C280" s="63"/>
      <c r="D280" s="50"/>
      <c r="E280" s="13"/>
      <c r="F280" s="13"/>
      <c r="G280" s="182"/>
    </row>
    <row r="281" spans="1:7" ht="13.5" customHeight="1" x14ac:dyDescent="0.2">
      <c r="A281" s="70"/>
      <c r="B281" s="70"/>
      <c r="C281" s="63"/>
      <c r="D281" s="50"/>
      <c r="E281" s="13"/>
      <c r="F281" s="13"/>
      <c r="G281" s="182"/>
    </row>
    <row r="282" spans="1:7" ht="13.5" customHeight="1" x14ac:dyDescent="0.2">
      <c r="A282" s="70"/>
      <c r="B282" s="70"/>
      <c r="C282" s="63"/>
      <c r="D282" s="50"/>
      <c r="E282" s="13"/>
      <c r="F282" s="13"/>
      <c r="G282" s="182"/>
    </row>
    <row r="283" spans="1:7" ht="13.5" customHeight="1" x14ac:dyDescent="0.2">
      <c r="A283" s="70"/>
      <c r="B283" s="70"/>
      <c r="C283" s="63"/>
      <c r="D283" s="50"/>
      <c r="E283" s="13"/>
      <c r="F283" s="13"/>
      <c r="G283" s="182"/>
    </row>
    <row r="284" spans="1:7" ht="13.5" customHeight="1" x14ac:dyDescent="0.2">
      <c r="A284" s="70"/>
      <c r="B284" s="70"/>
      <c r="C284" s="63"/>
      <c r="D284" s="50"/>
      <c r="E284" s="13"/>
      <c r="F284" s="13"/>
      <c r="G284" s="182"/>
    </row>
    <row r="285" spans="1:7" ht="13.5" customHeight="1" x14ac:dyDescent="0.2">
      <c r="A285" s="70"/>
      <c r="B285" s="70"/>
      <c r="C285" s="63"/>
      <c r="D285" s="50"/>
      <c r="E285" s="13"/>
      <c r="F285" s="13"/>
      <c r="G285" s="182"/>
    </row>
    <row r="286" spans="1:7" ht="13.5" customHeight="1" x14ac:dyDescent="0.2">
      <c r="A286" s="70"/>
      <c r="B286" s="70"/>
      <c r="C286" s="63"/>
      <c r="D286" s="50"/>
      <c r="E286" s="13"/>
      <c r="F286" s="13"/>
      <c r="G286" s="182"/>
    </row>
    <row r="287" spans="1:7" ht="13.5" customHeight="1" x14ac:dyDescent="0.2">
      <c r="A287" s="70"/>
      <c r="B287" s="70"/>
      <c r="C287" s="63"/>
      <c r="D287" s="50"/>
      <c r="E287" s="13"/>
      <c r="F287" s="13"/>
      <c r="G287" s="182"/>
    </row>
    <row r="288" spans="1:7" ht="13.5" customHeight="1" x14ac:dyDescent="0.2">
      <c r="A288" s="70"/>
      <c r="B288" s="70"/>
      <c r="C288" s="63"/>
      <c r="D288" s="50"/>
      <c r="E288" s="13"/>
      <c r="F288" s="13"/>
      <c r="G288" s="182"/>
    </row>
    <row r="289" spans="1:7" ht="13.5" customHeight="1" x14ac:dyDescent="0.2">
      <c r="A289" s="70"/>
      <c r="B289" s="70"/>
      <c r="C289" s="63"/>
      <c r="D289" s="50"/>
      <c r="E289" s="13"/>
      <c r="F289" s="13"/>
      <c r="G289" s="182"/>
    </row>
    <row r="290" spans="1:7" ht="13.5" customHeight="1" x14ac:dyDescent="0.2">
      <c r="A290" s="70"/>
      <c r="B290" s="70"/>
      <c r="C290" s="63"/>
      <c r="D290" s="50"/>
      <c r="E290" s="13"/>
      <c r="F290" s="13"/>
      <c r="G290" s="182"/>
    </row>
    <row r="291" spans="1:7" ht="13.5" customHeight="1" x14ac:dyDescent="0.2">
      <c r="A291" s="70"/>
      <c r="B291" s="70"/>
      <c r="C291" s="63"/>
      <c r="D291" s="50"/>
      <c r="E291" s="13"/>
      <c r="F291" s="13"/>
      <c r="G291" s="182"/>
    </row>
    <row r="292" spans="1:7" ht="13.5" customHeight="1" x14ac:dyDescent="0.2">
      <c r="A292" s="70"/>
      <c r="B292" s="70"/>
      <c r="C292" s="63"/>
      <c r="D292" s="50"/>
      <c r="E292" s="13"/>
      <c r="F292" s="13"/>
      <c r="G292" s="182"/>
    </row>
    <row r="293" spans="1:7" ht="13.5" customHeight="1" x14ac:dyDescent="0.2">
      <c r="A293" s="70"/>
      <c r="B293" s="70"/>
      <c r="C293" s="63"/>
      <c r="D293" s="50"/>
      <c r="E293" s="13"/>
      <c r="F293" s="13"/>
      <c r="G293" s="182"/>
    </row>
    <row r="294" spans="1:7" ht="13.5" customHeight="1" x14ac:dyDescent="0.2">
      <c r="A294" s="70"/>
      <c r="B294" s="70"/>
      <c r="C294" s="63"/>
      <c r="D294" s="50"/>
      <c r="E294" s="13"/>
      <c r="F294" s="13"/>
      <c r="G294" s="182"/>
    </row>
    <row r="295" spans="1:7" ht="13.5" customHeight="1" x14ac:dyDescent="0.2">
      <c r="A295" s="70"/>
      <c r="B295" s="70"/>
      <c r="C295" s="63"/>
      <c r="D295" s="50"/>
      <c r="E295" s="13"/>
      <c r="F295" s="13"/>
      <c r="G295" s="182"/>
    </row>
    <row r="296" spans="1:7" ht="13.5" customHeight="1" x14ac:dyDescent="0.2">
      <c r="A296" s="70"/>
      <c r="B296" s="70"/>
      <c r="C296" s="63"/>
      <c r="D296" s="50"/>
      <c r="E296" s="13"/>
      <c r="F296" s="13"/>
      <c r="G296" s="182"/>
    </row>
    <row r="297" spans="1:7" ht="13.5" customHeight="1" x14ac:dyDescent="0.2">
      <c r="A297" s="70"/>
      <c r="B297" s="70"/>
      <c r="C297" s="63"/>
      <c r="D297" s="50"/>
      <c r="E297" s="13"/>
      <c r="F297" s="13"/>
      <c r="G297" s="182"/>
    </row>
    <row r="298" spans="1:7" ht="13.5" customHeight="1" x14ac:dyDescent="0.2">
      <c r="A298" s="131"/>
      <c r="B298" s="70"/>
      <c r="C298" s="64"/>
      <c r="D298" s="50"/>
      <c r="E298" s="13"/>
      <c r="F298" s="13"/>
      <c r="G298" s="182"/>
    </row>
    <row r="299" spans="1:7" ht="13.5" customHeight="1" x14ac:dyDescent="0.2">
      <c r="A299" s="70"/>
      <c r="B299" s="70"/>
      <c r="C299" s="63"/>
      <c r="D299" s="50"/>
      <c r="E299" s="13"/>
      <c r="F299" s="13"/>
      <c r="G299" s="182"/>
    </row>
    <row r="300" spans="1:7" ht="13.5" customHeight="1" x14ac:dyDescent="0.2">
      <c r="A300" s="70"/>
      <c r="B300" s="70"/>
      <c r="C300" s="63"/>
      <c r="D300" s="50"/>
      <c r="E300" s="13"/>
      <c r="F300" s="13"/>
      <c r="G300" s="182"/>
    </row>
    <row r="301" spans="1:7" ht="13.5" customHeight="1" x14ac:dyDescent="0.2">
      <c r="A301" s="131"/>
      <c r="B301" s="70"/>
      <c r="C301" s="85"/>
      <c r="D301" s="50"/>
      <c r="E301" s="13"/>
      <c r="F301" s="13"/>
      <c r="G301" s="182"/>
    </row>
    <row r="302" spans="1:7" ht="13.5" customHeight="1" x14ac:dyDescent="0.2">
      <c r="A302" s="131"/>
      <c r="B302" s="70"/>
      <c r="C302" s="63"/>
      <c r="D302" s="50"/>
      <c r="E302" s="13"/>
      <c r="F302" s="13"/>
      <c r="G302" s="182"/>
    </row>
    <row r="303" spans="1:7" ht="13.5" customHeight="1" x14ac:dyDescent="0.2">
      <c r="A303" s="131"/>
      <c r="B303" s="70"/>
      <c r="C303" s="63"/>
      <c r="D303" s="50"/>
      <c r="E303" s="13"/>
      <c r="F303" s="13"/>
      <c r="G303" s="182"/>
    </row>
    <row r="304" spans="1:7" ht="13.5" customHeight="1" x14ac:dyDescent="0.2">
      <c r="A304" s="131"/>
      <c r="B304" s="70"/>
      <c r="C304" s="64"/>
      <c r="D304" s="50"/>
      <c r="E304" s="13"/>
      <c r="F304" s="13"/>
      <c r="G304" s="182"/>
    </row>
    <row r="305" spans="1:7" ht="13.5" customHeight="1" x14ac:dyDescent="0.2">
      <c r="A305" s="70"/>
      <c r="B305" s="70"/>
      <c r="C305" s="63"/>
      <c r="D305" s="50"/>
      <c r="E305" s="13"/>
      <c r="F305" s="13"/>
      <c r="G305" s="182"/>
    </row>
    <row r="306" spans="1:7" ht="13.5" customHeight="1" x14ac:dyDescent="0.2">
      <c r="A306" s="131"/>
      <c r="B306" s="70"/>
      <c r="C306" s="63"/>
      <c r="D306" s="50"/>
      <c r="E306" s="13"/>
      <c r="F306" s="13"/>
      <c r="G306" s="182"/>
    </row>
    <row r="307" spans="1:7" ht="13.5" customHeight="1" x14ac:dyDescent="0.2">
      <c r="A307" s="131"/>
      <c r="B307" s="70"/>
      <c r="C307" s="64"/>
      <c r="D307" s="50"/>
      <c r="E307" s="13"/>
      <c r="F307" s="13"/>
      <c r="G307" s="182"/>
    </row>
    <row r="308" spans="1:7" ht="13.5" customHeight="1" x14ac:dyDescent="0.2">
      <c r="A308" s="70"/>
      <c r="B308" s="70"/>
      <c r="C308" s="63"/>
      <c r="D308" s="50"/>
      <c r="E308" s="13"/>
      <c r="F308" s="13"/>
      <c r="G308" s="182"/>
    </row>
    <row r="309" spans="1:7" ht="13.5" customHeight="1" x14ac:dyDescent="0.2">
      <c r="A309" s="131"/>
      <c r="B309" s="70"/>
      <c r="C309" s="63"/>
      <c r="D309" s="50"/>
      <c r="E309" s="13"/>
      <c r="F309" s="13"/>
      <c r="G309" s="182"/>
    </row>
    <row r="310" spans="1:7" ht="13.5" customHeight="1" x14ac:dyDescent="0.2">
      <c r="A310" s="131"/>
      <c r="B310" s="70"/>
      <c r="C310" s="64"/>
      <c r="D310" s="50"/>
      <c r="E310" s="13"/>
      <c r="F310" s="13"/>
      <c r="G310" s="182"/>
    </row>
    <row r="311" spans="1:7" ht="13.5" customHeight="1" x14ac:dyDescent="0.2">
      <c r="A311" s="70"/>
      <c r="B311" s="70"/>
      <c r="C311" s="63"/>
      <c r="D311" s="50"/>
      <c r="E311" s="13"/>
      <c r="F311" s="13"/>
      <c r="G311" s="182"/>
    </row>
    <row r="312" spans="1:7" ht="13.5" customHeight="1" x14ac:dyDescent="0.2">
      <c r="A312" s="70"/>
      <c r="B312" s="70"/>
      <c r="C312" s="63"/>
      <c r="D312" s="50"/>
      <c r="E312" s="13"/>
      <c r="F312" s="13"/>
      <c r="G312" s="182"/>
    </row>
    <row r="313" spans="1:7" ht="13.5" customHeight="1" x14ac:dyDescent="0.2">
      <c r="A313" s="70"/>
      <c r="B313" s="70"/>
      <c r="C313" s="63"/>
      <c r="D313" s="50"/>
      <c r="E313" s="13"/>
      <c r="F313" s="13"/>
      <c r="G313" s="182"/>
    </row>
    <row r="314" spans="1:7" ht="13.5" customHeight="1" x14ac:dyDescent="0.2">
      <c r="A314" s="131"/>
      <c r="B314" s="70"/>
      <c r="C314" s="86"/>
      <c r="D314" s="50"/>
      <c r="E314" s="13"/>
      <c r="F314" s="13"/>
      <c r="G314" s="182"/>
    </row>
    <row r="315" spans="1:7" ht="13.5" customHeight="1" x14ac:dyDescent="0.2">
      <c r="A315" s="131"/>
      <c r="B315" s="70"/>
      <c r="C315" s="85"/>
      <c r="D315" s="50"/>
      <c r="E315" s="13"/>
      <c r="F315" s="13"/>
      <c r="G315" s="182"/>
    </row>
    <row r="316" spans="1:7" ht="13.5" customHeight="1" x14ac:dyDescent="0.2">
      <c r="A316" s="131"/>
      <c r="B316" s="70"/>
      <c r="C316" s="87"/>
      <c r="D316" s="50"/>
      <c r="E316" s="13"/>
      <c r="F316" s="13"/>
      <c r="G316" s="182"/>
    </row>
    <row r="317" spans="1:7" ht="13.5" customHeight="1" x14ac:dyDescent="0.2">
      <c r="A317" s="131"/>
      <c r="B317" s="70"/>
      <c r="C317" s="88"/>
      <c r="D317" s="50"/>
      <c r="E317" s="13"/>
      <c r="F317" s="13"/>
      <c r="G317" s="182"/>
    </row>
    <row r="318" spans="1:7" ht="13.5" customHeight="1" x14ac:dyDescent="0.2">
      <c r="A318" s="91"/>
      <c r="B318" s="9"/>
      <c r="C318" s="56"/>
      <c r="D318" s="11"/>
      <c r="E318" s="12"/>
      <c r="F318" s="12"/>
      <c r="G318" s="182"/>
    </row>
    <row r="319" spans="1:7" ht="13.5" customHeight="1" x14ac:dyDescent="0.2">
      <c r="A319" s="9"/>
      <c r="B319" s="9"/>
      <c r="C319" s="56"/>
      <c r="D319" s="11"/>
      <c r="E319" s="12"/>
      <c r="F319" s="12"/>
      <c r="G319" s="182"/>
    </row>
    <row r="320" spans="1:7" ht="13.5" customHeight="1" x14ac:dyDescent="0.2">
      <c r="A320" s="9"/>
      <c r="B320" s="9"/>
      <c r="C320" s="56"/>
      <c r="D320" s="11"/>
      <c r="E320" s="12"/>
      <c r="F320" s="12"/>
      <c r="G320" s="182"/>
    </row>
    <row r="321" spans="1:7" ht="13.5" customHeight="1" x14ac:dyDescent="0.2">
      <c r="A321" s="91"/>
      <c r="B321" s="9"/>
      <c r="D321" s="11"/>
      <c r="E321" s="12"/>
      <c r="F321" s="12"/>
      <c r="G321" s="182"/>
    </row>
    <row r="322" spans="1:7" ht="13.5" customHeight="1" x14ac:dyDescent="0.2">
      <c r="A322" s="9"/>
      <c r="B322" s="9"/>
      <c r="C322" s="56"/>
      <c r="D322" s="11"/>
      <c r="E322" s="12"/>
      <c r="F322" s="12"/>
      <c r="G322" s="182"/>
    </row>
    <row r="323" spans="1:7" ht="13.5" customHeight="1" x14ac:dyDescent="0.2">
      <c r="A323" s="9"/>
      <c r="B323" s="9"/>
      <c r="C323" s="56"/>
      <c r="D323" s="11"/>
      <c r="E323" s="12"/>
      <c r="F323" s="12"/>
      <c r="G323" s="182"/>
    </row>
    <row r="324" spans="1:7" ht="13.5" customHeight="1" x14ac:dyDescent="0.2">
      <c r="A324" s="9"/>
      <c r="B324" s="9"/>
      <c r="C324" s="56"/>
      <c r="D324" s="11"/>
      <c r="E324" s="12"/>
      <c r="F324" s="12"/>
      <c r="G324" s="182"/>
    </row>
    <row r="325" spans="1:7" ht="13.5" customHeight="1" x14ac:dyDescent="0.2">
      <c r="A325" s="91"/>
      <c r="B325" s="9"/>
      <c r="C325" s="27"/>
      <c r="D325" s="11"/>
      <c r="E325" s="12"/>
      <c r="F325" s="12"/>
      <c r="G325" s="182"/>
    </row>
    <row r="326" spans="1:7" ht="13.5" customHeight="1" x14ac:dyDescent="0.2">
      <c r="A326" s="91"/>
      <c r="B326" s="9"/>
      <c r="C326" s="27"/>
      <c r="D326" s="11"/>
      <c r="E326" s="12"/>
      <c r="F326" s="12"/>
      <c r="G326" s="182"/>
    </row>
    <row r="327" spans="1:7" ht="13.5" customHeight="1" x14ac:dyDescent="0.2">
      <c r="A327" s="91"/>
      <c r="B327" s="9"/>
      <c r="D327" s="11"/>
      <c r="E327" s="12"/>
      <c r="F327" s="12"/>
      <c r="G327" s="182"/>
    </row>
    <row r="328" spans="1:7" ht="13.5" customHeight="1" x14ac:dyDescent="0.2">
      <c r="A328" s="9"/>
      <c r="B328" s="9"/>
      <c r="C328" s="56"/>
      <c r="D328" s="11"/>
      <c r="E328" s="12"/>
      <c r="F328" s="12"/>
      <c r="G328" s="182"/>
    </row>
    <row r="329" spans="1:7" ht="13.5" customHeight="1" x14ac:dyDescent="0.2">
      <c r="A329" s="9"/>
      <c r="B329" s="9"/>
      <c r="C329" s="56"/>
      <c r="D329" s="11"/>
      <c r="E329" s="12"/>
      <c r="F329" s="12"/>
      <c r="G329" s="182"/>
    </row>
    <row r="330" spans="1:7" ht="13.5" customHeight="1" x14ac:dyDescent="0.2">
      <c r="A330" s="9"/>
      <c r="B330" s="9"/>
      <c r="C330" s="56"/>
      <c r="D330" s="11"/>
      <c r="E330" s="12"/>
      <c r="F330" s="12"/>
      <c r="G330" s="182"/>
    </row>
    <row r="331" spans="1:7" ht="13.5" customHeight="1" x14ac:dyDescent="0.2">
      <c r="A331" s="9"/>
      <c r="B331" s="9"/>
      <c r="C331" s="56"/>
      <c r="D331" s="11"/>
      <c r="E331" s="12"/>
      <c r="F331" s="12"/>
      <c r="G331" s="182"/>
    </row>
    <row r="332" spans="1:7" x14ac:dyDescent="0.2">
      <c r="A332" s="132"/>
      <c r="B332" s="93"/>
      <c r="C332" s="94"/>
      <c r="D332" s="27"/>
      <c r="E332" s="27"/>
      <c r="F332" s="27"/>
      <c r="G332" s="182"/>
    </row>
  </sheetData>
  <mergeCells count="3">
    <mergeCell ref="A1:C1"/>
    <mergeCell ref="D1:G1"/>
    <mergeCell ref="H158:J158"/>
  </mergeCells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U287"/>
  <sheetViews>
    <sheetView topLeftCell="A43" zoomScale="80" zoomScaleNormal="80" workbookViewId="0">
      <selection activeCell="F1" sqref="F1:J18"/>
    </sheetView>
  </sheetViews>
  <sheetFormatPr defaultColWidth="9" defaultRowHeight="12.75" x14ac:dyDescent="0.2"/>
  <cols>
    <col min="1" max="1" width="18.25" style="1" customWidth="1"/>
    <col min="2" max="2" width="99.25" style="1" customWidth="1"/>
    <col min="3" max="3" width="13.625" style="697" customWidth="1"/>
    <col min="4" max="4" width="13.5" style="615" customWidth="1"/>
    <col min="5" max="5" width="9" style="1"/>
    <col min="6" max="6" width="10.625" style="1" customWidth="1"/>
    <col min="7" max="9" width="9" style="1"/>
    <col min="10" max="10" width="11.75" style="1" customWidth="1"/>
    <col min="11" max="16384" width="9" style="1"/>
  </cols>
  <sheetData>
    <row r="1" spans="1:10" x14ac:dyDescent="0.2">
      <c r="F1" s="97" t="s">
        <v>218</v>
      </c>
      <c r="G1" s="97" t="s">
        <v>219</v>
      </c>
      <c r="H1" s="97" t="s">
        <v>220</v>
      </c>
      <c r="I1" s="97" t="s">
        <v>221</v>
      </c>
      <c r="J1" s="97" t="s">
        <v>222</v>
      </c>
    </row>
    <row r="2" spans="1:10" ht="13.5" customHeight="1" x14ac:dyDescent="0.2">
      <c r="A2" s="126" t="s">
        <v>240</v>
      </c>
      <c r="B2" s="36" t="s">
        <v>3073</v>
      </c>
      <c r="D2" s="615">
        <v>950.00000000000011</v>
      </c>
      <c r="F2" s="622">
        <v>1058.6300000000001</v>
      </c>
      <c r="G2" s="25">
        <v>90</v>
      </c>
      <c r="H2" s="402"/>
      <c r="I2" s="402">
        <v>18.63</v>
      </c>
      <c r="J2" s="104">
        <f>F2-G2-H2-I2</f>
        <v>950.00000000000011</v>
      </c>
    </row>
    <row r="3" spans="1:10" ht="13.5" customHeight="1" x14ac:dyDescent="0.2">
      <c r="A3" s="126" t="s">
        <v>240</v>
      </c>
      <c r="B3" s="36" t="s">
        <v>3108</v>
      </c>
      <c r="D3" s="615">
        <v>1050</v>
      </c>
      <c r="F3" s="622">
        <v>1168.05</v>
      </c>
      <c r="G3" s="25">
        <v>90</v>
      </c>
      <c r="H3" s="402"/>
      <c r="I3" s="402">
        <v>28.05</v>
      </c>
      <c r="J3" s="104">
        <f t="shared" ref="J3:J13" si="0">F3-G3-H3-I3</f>
        <v>1050</v>
      </c>
    </row>
    <row r="4" spans="1:10" ht="13.5" customHeight="1" x14ac:dyDescent="0.2">
      <c r="A4" s="126" t="s">
        <v>240</v>
      </c>
      <c r="B4" s="36" t="s">
        <v>3038</v>
      </c>
      <c r="D4" s="615">
        <v>1010</v>
      </c>
      <c r="F4" s="622">
        <v>1100</v>
      </c>
      <c r="G4" s="25">
        <v>90</v>
      </c>
      <c r="H4" s="402"/>
      <c r="I4" s="402"/>
      <c r="J4" s="104">
        <f t="shared" si="0"/>
        <v>1010</v>
      </c>
    </row>
    <row r="5" spans="1:10" ht="13.5" customHeight="1" x14ac:dyDescent="0.2">
      <c r="A5" s="126" t="s">
        <v>240</v>
      </c>
      <c r="B5" s="36" t="s">
        <v>3076</v>
      </c>
      <c r="D5" s="615">
        <v>1019.28</v>
      </c>
      <c r="F5" s="622">
        <v>1130</v>
      </c>
      <c r="G5" s="25">
        <v>90</v>
      </c>
      <c r="H5" s="402"/>
      <c r="I5" s="402">
        <v>20.72</v>
      </c>
      <c r="J5" s="104">
        <f>F5-G5-H5-I5</f>
        <v>1019.28</v>
      </c>
    </row>
    <row r="6" spans="1:10" ht="13.5" customHeight="1" x14ac:dyDescent="0.2">
      <c r="A6" s="126" t="s">
        <v>240</v>
      </c>
      <c r="B6" s="36" t="s">
        <v>3062</v>
      </c>
      <c r="D6" s="615">
        <v>1400</v>
      </c>
      <c r="F6" s="622">
        <v>1518.28</v>
      </c>
      <c r="G6" s="25">
        <v>90</v>
      </c>
      <c r="H6" s="402"/>
      <c r="I6" s="402">
        <v>28.28</v>
      </c>
      <c r="J6" s="104">
        <f t="shared" si="0"/>
        <v>1400</v>
      </c>
    </row>
    <row r="7" spans="1:10" ht="13.5" customHeight="1" x14ac:dyDescent="0.2">
      <c r="A7" s="126" t="s">
        <v>240</v>
      </c>
      <c r="B7" s="34" t="s">
        <v>3039</v>
      </c>
      <c r="D7" s="615">
        <v>1400</v>
      </c>
      <c r="F7" s="622">
        <v>1507.15</v>
      </c>
      <c r="G7" s="25">
        <v>90</v>
      </c>
      <c r="H7" s="402"/>
      <c r="I7" s="402">
        <v>17.149999999999999</v>
      </c>
      <c r="J7" s="104">
        <f>F7-G7-H7-I7</f>
        <v>1400</v>
      </c>
    </row>
    <row r="8" spans="1:10" ht="13.5" customHeight="1" x14ac:dyDescent="0.2">
      <c r="A8" s="126" t="s">
        <v>240</v>
      </c>
      <c r="B8" s="34" t="s">
        <v>3070</v>
      </c>
      <c r="D8" s="615">
        <v>700</v>
      </c>
      <c r="F8" s="622">
        <v>700</v>
      </c>
      <c r="G8" s="25"/>
      <c r="H8" s="403"/>
      <c r="I8" s="403"/>
      <c r="J8" s="104">
        <f>F8-G8-H8-I8</f>
        <v>700</v>
      </c>
    </row>
    <row r="9" spans="1:10" ht="13.5" customHeight="1" x14ac:dyDescent="0.2">
      <c r="A9" s="126" t="s">
        <v>240</v>
      </c>
      <c r="B9" s="34" t="s">
        <v>3090</v>
      </c>
      <c r="D9" s="615">
        <v>1900</v>
      </c>
      <c r="F9" s="622">
        <v>1900</v>
      </c>
      <c r="G9" s="25"/>
      <c r="H9" s="403"/>
      <c r="I9" s="403"/>
      <c r="J9" s="104">
        <f t="shared" si="0"/>
        <v>1900</v>
      </c>
    </row>
    <row r="10" spans="1:10" ht="13.5" customHeight="1" x14ac:dyDescent="0.2">
      <c r="A10" s="126" t="s">
        <v>240</v>
      </c>
      <c r="B10" s="34" t="s">
        <v>2332</v>
      </c>
      <c r="D10" s="615">
        <v>900</v>
      </c>
      <c r="F10" s="622">
        <v>900</v>
      </c>
      <c r="G10" s="25"/>
      <c r="H10" s="403"/>
      <c r="I10" s="403"/>
      <c r="J10" s="104"/>
    </row>
    <row r="11" spans="1:10" ht="13.5" customHeight="1" x14ac:dyDescent="0.2">
      <c r="A11" s="126" t="s">
        <v>240</v>
      </c>
      <c r="B11" s="34" t="s">
        <v>840</v>
      </c>
      <c r="D11" s="615">
        <f>G18</f>
        <v>540</v>
      </c>
      <c r="F11" s="622"/>
      <c r="G11" s="25"/>
      <c r="H11" s="403"/>
      <c r="I11" s="403"/>
      <c r="J11" s="104"/>
    </row>
    <row r="12" spans="1:10" ht="13.5" customHeight="1" x14ac:dyDescent="0.2">
      <c r="A12" s="126" t="s">
        <v>240</v>
      </c>
      <c r="B12" s="34" t="s">
        <v>3103</v>
      </c>
      <c r="D12" s="615">
        <v>1500</v>
      </c>
      <c r="F12" s="622">
        <v>1500</v>
      </c>
      <c r="G12" s="25"/>
      <c r="H12" s="403"/>
      <c r="I12" s="403"/>
      <c r="J12" s="104">
        <f t="shared" si="0"/>
        <v>1500</v>
      </c>
    </row>
    <row r="13" spans="1:10" ht="13.5" customHeight="1" x14ac:dyDescent="0.2">
      <c r="A13" s="126" t="s">
        <v>240</v>
      </c>
      <c r="B13" s="34" t="s">
        <v>3040</v>
      </c>
      <c r="D13" s="615">
        <v>1000</v>
      </c>
      <c r="F13" s="622">
        <v>1000</v>
      </c>
      <c r="G13" s="25"/>
      <c r="H13" s="403"/>
      <c r="I13" s="403"/>
      <c r="J13" s="104">
        <f t="shared" si="0"/>
        <v>1000</v>
      </c>
    </row>
    <row r="14" spans="1:10" ht="13.5" customHeight="1" x14ac:dyDescent="0.2">
      <c r="A14" s="126" t="s">
        <v>240</v>
      </c>
      <c r="B14" s="34" t="s">
        <v>3067</v>
      </c>
      <c r="D14" s="615">
        <v>3765</v>
      </c>
      <c r="F14" s="622">
        <v>3765</v>
      </c>
      <c r="G14" s="25"/>
      <c r="H14" s="403"/>
      <c r="I14" s="403"/>
      <c r="J14" s="104">
        <f>F14-G14-H14-I14</f>
        <v>3765</v>
      </c>
    </row>
    <row r="15" spans="1:10" ht="13.5" customHeight="1" x14ac:dyDescent="0.2">
      <c r="A15" s="126" t="s">
        <v>240</v>
      </c>
      <c r="B15" s="34" t="s">
        <v>3095</v>
      </c>
      <c r="D15" s="615">
        <v>2205</v>
      </c>
      <c r="F15" s="622">
        <v>2205</v>
      </c>
      <c r="G15" s="25"/>
      <c r="H15" s="403"/>
      <c r="I15" s="403"/>
      <c r="J15" s="104">
        <f>F15-G15-H15-I15</f>
        <v>2205</v>
      </c>
    </row>
    <row r="16" spans="1:10" ht="13.5" customHeight="1" x14ac:dyDescent="0.2">
      <c r="A16" s="126" t="s">
        <v>240</v>
      </c>
      <c r="B16" s="34" t="s">
        <v>3071</v>
      </c>
      <c r="D16" s="615">
        <v>5200</v>
      </c>
      <c r="F16" s="622">
        <v>5200</v>
      </c>
      <c r="G16" s="25"/>
      <c r="H16" s="403"/>
      <c r="I16" s="403"/>
      <c r="J16" s="104">
        <f>F16-G16-H16-I16</f>
        <v>5200</v>
      </c>
    </row>
    <row r="17" spans="1:10" ht="13.5" customHeight="1" x14ac:dyDescent="0.2">
      <c r="A17" s="126" t="s">
        <v>240</v>
      </c>
      <c r="B17" s="34" t="s">
        <v>3092</v>
      </c>
      <c r="D17" s="615">
        <v>1465</v>
      </c>
      <c r="F17" s="622">
        <v>1465</v>
      </c>
      <c r="G17" s="25"/>
      <c r="H17" s="403"/>
      <c r="I17" s="403"/>
      <c r="J17" s="104">
        <f>F17-G17-H17-I17</f>
        <v>1465</v>
      </c>
    </row>
    <row r="18" spans="1:10" ht="13.5" customHeight="1" x14ac:dyDescent="0.2">
      <c r="A18" s="126" t="s">
        <v>240</v>
      </c>
      <c r="B18" s="34" t="s">
        <v>3105</v>
      </c>
      <c r="D18" s="700">
        <v>250</v>
      </c>
      <c r="F18" s="399"/>
      <c r="G18" s="107">
        <f>SUM(G2:G17)</f>
        <v>540</v>
      </c>
      <c r="H18" s="107">
        <f>SUM(H2:H17)</f>
        <v>0</v>
      </c>
      <c r="I18" s="107">
        <f>SUM(I2:I17)</f>
        <v>112.83000000000001</v>
      </c>
    </row>
    <row r="19" spans="1:10" ht="13.5" customHeight="1" x14ac:dyDescent="0.2">
      <c r="A19" s="126" t="s">
        <v>240</v>
      </c>
      <c r="B19" s="34" t="s">
        <v>3058</v>
      </c>
      <c r="D19" s="700">
        <v>250</v>
      </c>
    </row>
    <row r="20" spans="1:10" ht="13.5" customHeight="1" x14ac:dyDescent="0.2">
      <c r="A20" s="126" t="s">
        <v>240</v>
      </c>
      <c r="B20" s="34" t="s">
        <v>3054</v>
      </c>
      <c r="D20" s="700">
        <v>200</v>
      </c>
    </row>
    <row r="21" spans="1:10" ht="13.5" customHeight="1" x14ac:dyDescent="0.2">
      <c r="A21" s="126" t="s">
        <v>240</v>
      </c>
      <c r="B21" s="34" t="s">
        <v>3042</v>
      </c>
      <c r="D21" s="700">
        <v>200</v>
      </c>
    </row>
    <row r="22" spans="1:10" ht="13.5" customHeight="1" x14ac:dyDescent="0.2">
      <c r="A22" s="126" t="s">
        <v>240</v>
      </c>
      <c r="B22" s="34" t="s">
        <v>3109</v>
      </c>
      <c r="D22" s="700">
        <v>150</v>
      </c>
    </row>
    <row r="23" spans="1:10" ht="13.5" customHeight="1" x14ac:dyDescent="0.2">
      <c r="A23" s="126" t="s">
        <v>240</v>
      </c>
      <c r="B23" s="34" t="s">
        <v>3077</v>
      </c>
      <c r="D23" s="700">
        <v>250</v>
      </c>
    </row>
    <row r="24" spans="1:10" ht="13.5" customHeight="1" x14ac:dyDescent="0.2">
      <c r="A24" s="126" t="s">
        <v>240</v>
      </c>
      <c r="B24" s="34" t="s">
        <v>3057</v>
      </c>
      <c r="D24" s="700">
        <v>200</v>
      </c>
    </row>
    <row r="25" spans="1:10" ht="13.5" customHeight="1" x14ac:dyDescent="0.2">
      <c r="A25" s="126" t="s">
        <v>240</v>
      </c>
      <c r="B25" s="34" t="s">
        <v>3098</v>
      </c>
      <c r="D25" s="700">
        <v>200</v>
      </c>
    </row>
    <row r="26" spans="1:10" ht="13.5" customHeight="1" x14ac:dyDescent="0.2">
      <c r="A26" s="126" t="s">
        <v>240</v>
      </c>
      <c r="B26" s="34" t="s">
        <v>3101</v>
      </c>
      <c r="D26" s="700">
        <v>220</v>
      </c>
    </row>
    <row r="27" spans="1:10" ht="13.5" customHeight="1" x14ac:dyDescent="0.2">
      <c r="A27" s="126" t="s">
        <v>240</v>
      </c>
      <c r="B27" s="34" t="s">
        <v>3106</v>
      </c>
      <c r="D27" s="700">
        <v>60</v>
      </c>
      <c r="E27" s="702">
        <f>SUM(D18:D27)</f>
        <v>1980</v>
      </c>
    </row>
    <row r="28" spans="1:10" ht="13.5" customHeight="1" x14ac:dyDescent="0.2">
      <c r="A28" s="126" t="s">
        <v>240</v>
      </c>
      <c r="B28" s="34" t="s">
        <v>1792</v>
      </c>
      <c r="D28" s="700">
        <f>I18</f>
        <v>112.83000000000001</v>
      </c>
    </row>
    <row r="29" spans="1:10" ht="13.5" customHeight="1" x14ac:dyDescent="0.2">
      <c r="A29" s="126"/>
      <c r="B29" s="34"/>
      <c r="D29" s="701">
        <f>SUM(D2:D28)</f>
        <v>28097.11</v>
      </c>
    </row>
    <row r="30" spans="1:10" ht="13.5" customHeight="1" x14ac:dyDescent="0.2">
      <c r="A30" s="126"/>
      <c r="B30" s="34"/>
    </row>
    <row r="31" spans="1:10" ht="13.5" customHeight="1" x14ac:dyDescent="0.2">
      <c r="A31" s="126" t="s">
        <v>240</v>
      </c>
      <c r="B31" s="34" t="s">
        <v>3097</v>
      </c>
      <c r="D31" s="615">
        <v>900</v>
      </c>
      <c r="F31" s="622">
        <v>900</v>
      </c>
      <c r="G31" s="109"/>
      <c r="H31" s="109"/>
      <c r="I31" s="109"/>
      <c r="J31" s="104">
        <f t="shared" ref="J31:J36" si="1">F31-G31-H31-I31</f>
        <v>900</v>
      </c>
    </row>
    <row r="32" spans="1:10" ht="13.5" customHeight="1" x14ac:dyDescent="0.2">
      <c r="A32" s="126" t="s">
        <v>240</v>
      </c>
      <c r="B32" s="34" t="s">
        <v>2968</v>
      </c>
      <c r="D32" s="615">
        <v>300</v>
      </c>
      <c r="F32" s="622">
        <v>300</v>
      </c>
      <c r="G32" s="109"/>
      <c r="H32" s="109"/>
      <c r="I32" s="109"/>
      <c r="J32" s="104">
        <f t="shared" si="1"/>
        <v>300</v>
      </c>
    </row>
    <row r="33" spans="1:10" ht="13.5" customHeight="1" x14ac:dyDescent="0.2">
      <c r="A33" s="126" t="s">
        <v>240</v>
      </c>
      <c r="B33" s="34" t="s">
        <v>3075</v>
      </c>
      <c r="D33" s="615">
        <v>7750</v>
      </c>
      <c r="F33" s="622">
        <v>8059.75</v>
      </c>
      <c r="G33" s="109"/>
      <c r="H33" s="109"/>
      <c r="I33" s="109">
        <v>309.75</v>
      </c>
      <c r="J33" s="104">
        <f t="shared" si="1"/>
        <v>7750</v>
      </c>
    </row>
    <row r="34" spans="1:10" ht="13.5" customHeight="1" x14ac:dyDescent="0.2">
      <c r="A34" s="126" t="s">
        <v>240</v>
      </c>
      <c r="B34" s="34" t="s">
        <v>3074</v>
      </c>
      <c r="D34" s="615">
        <v>525</v>
      </c>
      <c r="F34" s="622">
        <v>525</v>
      </c>
      <c r="G34" s="109"/>
      <c r="H34" s="109"/>
      <c r="I34" s="109"/>
      <c r="J34" s="104">
        <f t="shared" si="1"/>
        <v>525</v>
      </c>
    </row>
    <row r="35" spans="1:10" ht="13.5" customHeight="1" x14ac:dyDescent="0.2">
      <c r="A35" s="126" t="s">
        <v>240</v>
      </c>
      <c r="B35" s="34" t="s">
        <v>3178</v>
      </c>
      <c r="D35" s="615">
        <v>4731.47</v>
      </c>
      <c r="F35" s="622">
        <v>4731.47</v>
      </c>
      <c r="G35" s="109"/>
      <c r="H35" s="109"/>
      <c r="I35" s="109"/>
      <c r="J35" s="104">
        <f t="shared" si="1"/>
        <v>4731.47</v>
      </c>
    </row>
    <row r="36" spans="1:10" ht="13.5" customHeight="1" x14ac:dyDescent="0.2">
      <c r="A36" s="126"/>
      <c r="B36" s="34"/>
      <c r="D36" s="615">
        <v>309.75</v>
      </c>
      <c r="F36" s="622">
        <v>309.75</v>
      </c>
      <c r="G36" s="642"/>
      <c r="H36" s="642"/>
      <c r="I36" s="642"/>
      <c r="J36" s="104">
        <f t="shared" si="1"/>
        <v>309.75</v>
      </c>
    </row>
    <row r="37" spans="1:10" ht="13.5" customHeight="1" x14ac:dyDescent="0.2">
      <c r="A37" s="126"/>
      <c r="B37" s="34"/>
      <c r="D37" s="701">
        <f>SUM(D31:D36)</f>
        <v>14516.220000000001</v>
      </c>
      <c r="F37" s="18">
        <f>SUM(F31:F36)</f>
        <v>14825.970000000001</v>
      </c>
      <c r="G37" s="107">
        <f>SUM(G31:G35)</f>
        <v>0</v>
      </c>
      <c r="H37" s="107">
        <f>SUM(H31:H35)</f>
        <v>0</v>
      </c>
      <c r="I37" s="107">
        <f>SUM(I31:I35)</f>
        <v>309.75</v>
      </c>
      <c r="J37" s="107">
        <f>SUM(J31:J36)</f>
        <v>14516.220000000001</v>
      </c>
    </row>
    <row r="38" spans="1:10" ht="13.5" customHeight="1" x14ac:dyDescent="0.2">
      <c r="A38" s="126"/>
      <c r="B38" s="34"/>
    </row>
    <row r="39" spans="1:10" ht="13.5" customHeight="1" x14ac:dyDescent="0.2">
      <c r="A39" s="126" t="s">
        <v>241</v>
      </c>
      <c r="B39" s="34" t="s">
        <v>189</v>
      </c>
      <c r="C39" s="697">
        <v>6812.42</v>
      </c>
    </row>
    <row r="40" spans="1:10" ht="13.5" customHeight="1" x14ac:dyDescent="0.2">
      <c r="A40" s="126" t="s">
        <v>241</v>
      </c>
      <c r="B40" s="34" t="s">
        <v>189</v>
      </c>
      <c r="C40" s="697">
        <v>3961.13</v>
      </c>
    </row>
    <row r="41" spans="1:10" ht="13.5" customHeight="1" x14ac:dyDescent="0.2">
      <c r="A41" s="126" t="s">
        <v>241</v>
      </c>
      <c r="B41" s="34" t="s">
        <v>189</v>
      </c>
      <c r="C41" s="697">
        <v>3697</v>
      </c>
    </row>
    <row r="42" spans="1:10" ht="13.5" customHeight="1" x14ac:dyDescent="0.2">
      <c r="A42" s="126" t="s">
        <v>241</v>
      </c>
      <c r="B42" s="34" t="s">
        <v>189</v>
      </c>
      <c r="C42" s="697">
        <v>1417.64</v>
      </c>
    </row>
    <row r="43" spans="1:10" ht="13.5" customHeight="1" x14ac:dyDescent="0.2">
      <c r="A43" s="126" t="s">
        <v>241</v>
      </c>
      <c r="B43" s="34" t="s">
        <v>174</v>
      </c>
      <c r="C43" s="697">
        <v>-1.1399999999999999</v>
      </c>
    </row>
    <row r="44" spans="1:10" ht="13.5" customHeight="1" x14ac:dyDescent="0.2">
      <c r="A44" s="126" t="s">
        <v>241</v>
      </c>
      <c r="B44" s="34" t="s">
        <v>174</v>
      </c>
      <c r="C44" s="697">
        <v>-12.5</v>
      </c>
    </row>
    <row r="45" spans="1:10" ht="13.5" customHeight="1" x14ac:dyDescent="0.2">
      <c r="A45" s="126" t="s">
        <v>241</v>
      </c>
      <c r="B45" s="34" t="s">
        <v>174</v>
      </c>
      <c r="C45" s="697">
        <v>-57.52</v>
      </c>
    </row>
    <row r="46" spans="1:10" ht="13.5" customHeight="1" x14ac:dyDescent="0.2">
      <c r="A46" s="126" t="s">
        <v>241</v>
      </c>
      <c r="B46" s="34" t="s">
        <v>174</v>
      </c>
      <c r="C46" s="697">
        <v>-110.66</v>
      </c>
    </row>
    <row r="47" spans="1:10" ht="13.5" customHeight="1" x14ac:dyDescent="0.2">
      <c r="A47" s="126" t="s">
        <v>241</v>
      </c>
      <c r="B47" s="34" t="s">
        <v>174</v>
      </c>
      <c r="C47" s="697">
        <v>-158</v>
      </c>
    </row>
    <row r="48" spans="1:10" ht="13.5" customHeight="1" x14ac:dyDescent="0.2">
      <c r="A48" s="126" t="s">
        <v>241</v>
      </c>
      <c r="B48" s="34" t="s">
        <v>174</v>
      </c>
      <c r="C48" s="697">
        <v>-185</v>
      </c>
    </row>
    <row r="49" spans="1:3" ht="13.5" customHeight="1" x14ac:dyDescent="0.2">
      <c r="A49" s="126" t="s">
        <v>241</v>
      </c>
      <c r="B49" s="34" t="s">
        <v>174</v>
      </c>
      <c r="C49" s="697">
        <v>-222</v>
      </c>
    </row>
    <row r="50" spans="1:3" ht="13.5" customHeight="1" x14ac:dyDescent="0.2">
      <c r="A50" s="126" t="s">
        <v>241</v>
      </c>
      <c r="B50" s="34" t="s">
        <v>174</v>
      </c>
      <c r="C50" s="697">
        <v>-590.65</v>
      </c>
    </row>
    <row r="51" spans="1:3" ht="13.5" customHeight="1" x14ac:dyDescent="0.2">
      <c r="A51" s="126" t="s">
        <v>241</v>
      </c>
      <c r="B51" s="36" t="s">
        <v>174</v>
      </c>
      <c r="C51" s="697">
        <v>-595.53</v>
      </c>
    </row>
    <row r="52" spans="1:3" ht="13.5" customHeight="1" x14ac:dyDescent="0.2">
      <c r="A52" s="126" t="s">
        <v>241</v>
      </c>
      <c r="B52" s="36" t="s">
        <v>174</v>
      </c>
      <c r="C52" s="697">
        <v>-769.48</v>
      </c>
    </row>
    <row r="53" spans="1:3" ht="13.5" customHeight="1" x14ac:dyDescent="0.2">
      <c r="A53" s="126" t="s">
        <v>241</v>
      </c>
      <c r="B53" s="36" t="s">
        <v>174</v>
      </c>
      <c r="C53" s="697">
        <v>-920.65</v>
      </c>
    </row>
    <row r="54" spans="1:3" ht="13.5" customHeight="1" x14ac:dyDescent="0.2">
      <c r="A54" s="126" t="s">
        <v>241</v>
      </c>
      <c r="B54" s="36" t="s">
        <v>174</v>
      </c>
      <c r="C54" s="697">
        <v>-1215.3699999999999</v>
      </c>
    </row>
    <row r="55" spans="1:3" ht="13.5" customHeight="1" x14ac:dyDescent="0.2">
      <c r="A55" s="126" t="s">
        <v>241</v>
      </c>
      <c r="B55" s="36" t="s">
        <v>174</v>
      </c>
      <c r="C55" s="697">
        <v>-1610.65</v>
      </c>
    </row>
    <row r="56" spans="1:3" ht="13.5" customHeight="1" x14ac:dyDescent="0.2">
      <c r="A56" s="126" t="s">
        <v>241</v>
      </c>
      <c r="B56" s="34" t="s">
        <v>174</v>
      </c>
      <c r="C56" s="697">
        <v>-2364.65</v>
      </c>
    </row>
    <row r="57" spans="1:3" ht="13.5" customHeight="1" x14ac:dyDescent="0.2">
      <c r="A57" s="126" t="s">
        <v>241</v>
      </c>
      <c r="B57" s="34" t="s">
        <v>174</v>
      </c>
      <c r="C57" s="697">
        <v>-3026.99</v>
      </c>
    </row>
    <row r="58" spans="1:3" ht="13.5" customHeight="1" x14ac:dyDescent="0.2">
      <c r="A58" s="126" t="s">
        <v>241</v>
      </c>
      <c r="B58" s="34" t="s">
        <v>174</v>
      </c>
      <c r="C58" s="697">
        <v>-3071.69</v>
      </c>
    </row>
    <row r="59" spans="1:3" ht="13.5" customHeight="1" x14ac:dyDescent="0.2">
      <c r="A59" s="126"/>
      <c r="B59" s="34"/>
      <c r="C59" s="701">
        <f>SUM(C39:C58)</f>
        <v>975.70999999999958</v>
      </c>
    </row>
    <row r="60" spans="1:3" ht="13.5" customHeight="1" x14ac:dyDescent="0.2">
      <c r="A60" s="126"/>
      <c r="B60" s="34"/>
    </row>
    <row r="61" spans="1:3" ht="13.5" customHeight="1" x14ac:dyDescent="0.2">
      <c r="A61" s="126" t="s">
        <v>224</v>
      </c>
      <c r="B61" s="36" t="s">
        <v>62</v>
      </c>
      <c r="C61" s="697">
        <v>379.5</v>
      </c>
    </row>
    <row r="62" spans="1:3" ht="13.5" customHeight="1" x14ac:dyDescent="0.2">
      <c r="A62" s="126" t="s">
        <v>224</v>
      </c>
      <c r="B62" s="36" t="s">
        <v>68</v>
      </c>
      <c r="C62" s="697">
        <v>129.9</v>
      </c>
    </row>
    <row r="63" spans="1:3" ht="13.5" customHeight="1" x14ac:dyDescent="0.2">
      <c r="A63" s="126" t="s">
        <v>224</v>
      </c>
      <c r="B63" s="36" t="s">
        <v>1597</v>
      </c>
      <c r="C63" s="697">
        <v>0.12</v>
      </c>
    </row>
    <row r="64" spans="1:3" ht="13.5" customHeight="1" x14ac:dyDescent="0.2">
      <c r="A64" s="126" t="s">
        <v>224</v>
      </c>
      <c r="B64" s="36" t="s">
        <v>1598</v>
      </c>
      <c r="C64" s="697">
        <v>4.09</v>
      </c>
    </row>
    <row r="65" spans="1:4" ht="13.5" customHeight="1" x14ac:dyDescent="0.2">
      <c r="A65" s="126" t="s">
        <v>224</v>
      </c>
      <c r="B65" s="32" t="s">
        <v>199</v>
      </c>
      <c r="C65" s="697">
        <v>290.92</v>
      </c>
    </row>
    <row r="66" spans="1:4" ht="13.5" customHeight="1" x14ac:dyDescent="0.2">
      <c r="A66" s="244"/>
      <c r="B66" s="32" t="s">
        <v>3557</v>
      </c>
      <c r="C66" s="697">
        <f>D69</f>
        <v>640</v>
      </c>
    </row>
    <row r="67" spans="1:4" ht="13.5" customHeight="1" x14ac:dyDescent="0.2">
      <c r="A67" s="244"/>
      <c r="B67" s="32"/>
      <c r="C67" s="701">
        <f>SUM(C61:C66)</f>
        <v>1444.53</v>
      </c>
    </row>
    <row r="68" spans="1:4" ht="13.5" customHeight="1" x14ac:dyDescent="0.2">
      <c r="A68" s="244"/>
      <c r="B68" s="32"/>
    </row>
    <row r="69" spans="1:4" ht="13.5" customHeight="1" x14ac:dyDescent="0.2">
      <c r="A69" s="126" t="s">
        <v>224</v>
      </c>
      <c r="B69" s="36" t="s">
        <v>3086</v>
      </c>
      <c r="C69" s="697">
        <v>320</v>
      </c>
      <c r="D69" s="615">
        <f>SUM(C69:C71)-D71</f>
        <v>640</v>
      </c>
    </row>
    <row r="70" spans="1:4" ht="13.5" customHeight="1" x14ac:dyDescent="0.2">
      <c r="A70" s="126" t="s">
        <v>224</v>
      </c>
      <c r="B70" s="36" t="s">
        <v>3099</v>
      </c>
      <c r="C70" s="697">
        <v>320</v>
      </c>
    </row>
    <row r="71" spans="1:4" ht="13.5" customHeight="1" x14ac:dyDescent="0.2">
      <c r="A71" s="126" t="s">
        <v>224</v>
      </c>
      <c r="B71" s="36" t="s">
        <v>3114</v>
      </c>
      <c r="C71" s="698">
        <v>320</v>
      </c>
      <c r="D71" s="615">
        <f t="array" ref="D71">SUM(C69:C71/3)</f>
        <v>320</v>
      </c>
    </row>
    <row r="72" spans="1:4" ht="13.5" customHeight="1" x14ac:dyDescent="0.2">
      <c r="A72" s="244"/>
      <c r="B72" s="32"/>
    </row>
    <row r="73" spans="1:4" ht="13.5" customHeight="1" x14ac:dyDescent="0.2">
      <c r="A73" s="244"/>
      <c r="B73" s="32"/>
    </row>
    <row r="74" spans="1:4" ht="13.5" customHeight="1" x14ac:dyDescent="0.2">
      <c r="A74" s="244" t="s">
        <v>225</v>
      </c>
      <c r="B74" s="32" t="s">
        <v>3186</v>
      </c>
      <c r="C74" s="703">
        <v>754</v>
      </c>
    </row>
    <row r="75" spans="1:4" ht="13.5" customHeight="1" x14ac:dyDescent="0.2">
      <c r="A75" s="244"/>
      <c r="B75" s="32"/>
    </row>
    <row r="76" spans="1:4" ht="13.5" customHeight="1" x14ac:dyDescent="0.2">
      <c r="A76" s="244"/>
      <c r="B76" s="32"/>
    </row>
    <row r="77" spans="1:4" ht="13.5" customHeight="1" x14ac:dyDescent="0.2">
      <c r="A77" s="244" t="s">
        <v>428</v>
      </c>
      <c r="B77" s="36" t="s">
        <v>196</v>
      </c>
      <c r="C77" s="697">
        <v>1123.76</v>
      </c>
    </row>
    <row r="78" spans="1:4" ht="13.5" customHeight="1" x14ac:dyDescent="0.2">
      <c r="A78" s="244" t="s">
        <v>428</v>
      </c>
      <c r="B78" s="36" t="s">
        <v>197</v>
      </c>
      <c r="C78" s="697">
        <v>1872.93</v>
      </c>
    </row>
    <row r="79" spans="1:4" ht="13.5" customHeight="1" x14ac:dyDescent="0.2">
      <c r="A79" s="244"/>
      <c r="B79" s="36"/>
      <c r="C79" s="701">
        <f>SUM(C77:C78)</f>
        <v>2996.69</v>
      </c>
    </row>
    <row r="80" spans="1:4" ht="13.5" customHeight="1" x14ac:dyDescent="0.2">
      <c r="A80" s="244"/>
      <c r="B80" s="36"/>
    </row>
    <row r="81" spans="1:21" ht="13.5" customHeight="1" x14ac:dyDescent="0.2">
      <c r="A81" s="126" t="s">
        <v>242</v>
      </c>
      <c r="B81" s="36" t="s">
        <v>3556</v>
      </c>
      <c r="C81" s="697">
        <v>-379.2</v>
      </c>
    </row>
    <row r="82" spans="1:21" ht="13.5" customHeight="1" x14ac:dyDescent="0.2">
      <c r="A82" s="126" t="s">
        <v>242</v>
      </c>
      <c r="B82" s="36" t="s">
        <v>3091</v>
      </c>
      <c r="C82" s="697">
        <v>-400</v>
      </c>
    </row>
    <row r="83" spans="1:21" ht="13.5" customHeight="1" x14ac:dyDescent="0.2">
      <c r="A83" s="126" t="s">
        <v>242</v>
      </c>
      <c r="B83" s="36" t="s">
        <v>3110</v>
      </c>
      <c r="C83" s="698">
        <v>350</v>
      </c>
    </row>
    <row r="84" spans="1:21" s="64" customFormat="1" ht="13.5" customHeight="1" x14ac:dyDescent="0.2">
      <c r="A84" s="126" t="s">
        <v>242</v>
      </c>
      <c r="B84" s="36" t="s">
        <v>127</v>
      </c>
      <c r="C84" s="697">
        <v>126.85</v>
      </c>
      <c r="D84" s="615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</row>
    <row r="85" spans="1:21" ht="13.5" customHeight="1" x14ac:dyDescent="0.2">
      <c r="A85" s="126" t="s">
        <v>242</v>
      </c>
      <c r="B85" s="33" t="s">
        <v>736</v>
      </c>
      <c r="C85" s="697">
        <v>46.76</v>
      </c>
    </row>
    <row r="86" spans="1:21" ht="13.5" customHeight="1" x14ac:dyDescent="0.2">
      <c r="A86" s="126" t="s">
        <v>242</v>
      </c>
      <c r="B86" s="36" t="s">
        <v>3157</v>
      </c>
      <c r="C86" s="697">
        <v>20.67</v>
      </c>
    </row>
    <row r="87" spans="1:21" ht="13.5" customHeight="1" x14ac:dyDescent="0.2">
      <c r="A87" s="126" t="s">
        <v>242</v>
      </c>
      <c r="B87" s="36" t="s">
        <v>129</v>
      </c>
      <c r="C87" s="697">
        <v>57.1</v>
      </c>
    </row>
    <row r="88" spans="1:21" ht="13.5" customHeight="1" x14ac:dyDescent="0.2">
      <c r="A88" s="126" t="s">
        <v>242</v>
      </c>
      <c r="B88" s="33" t="s">
        <v>737</v>
      </c>
      <c r="C88" s="697">
        <v>178.97</v>
      </c>
    </row>
    <row r="89" spans="1:21" ht="13.5" customHeight="1" x14ac:dyDescent="0.2">
      <c r="A89" s="126" t="s">
        <v>242</v>
      </c>
      <c r="B89" s="32" t="s">
        <v>3113</v>
      </c>
      <c r="C89" s="698">
        <v>525</v>
      </c>
    </row>
    <row r="90" spans="1:21" ht="13.5" customHeight="1" x14ac:dyDescent="0.2">
      <c r="A90" s="126" t="s">
        <v>242</v>
      </c>
      <c r="B90" s="36" t="s">
        <v>3069</v>
      </c>
      <c r="C90" s="697">
        <v>10.38</v>
      </c>
    </row>
    <row r="91" spans="1:21" ht="13.5" customHeight="1" x14ac:dyDescent="0.2">
      <c r="A91" s="126" t="s">
        <v>242</v>
      </c>
      <c r="B91" s="36" t="s">
        <v>87</v>
      </c>
      <c r="C91" s="697">
        <v>42.25</v>
      </c>
    </row>
    <row r="92" spans="1:21" s="64" customFormat="1" ht="13.5" customHeight="1" x14ac:dyDescent="0.2">
      <c r="A92" s="126" t="s">
        <v>242</v>
      </c>
      <c r="B92" s="32" t="s">
        <v>3118</v>
      </c>
      <c r="C92" s="698">
        <v>379.2</v>
      </c>
      <c r="D92" s="615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</row>
    <row r="93" spans="1:21" s="64" customFormat="1" ht="13.5" customHeight="1" x14ac:dyDescent="0.2">
      <c r="A93" s="126" t="s">
        <v>242</v>
      </c>
      <c r="B93" s="138" t="s">
        <v>422</v>
      </c>
      <c r="C93" s="704">
        <f t="array" ref="C93">SUM(I96:I99/2)</f>
        <v>120.22</v>
      </c>
      <c r="D93" s="615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</row>
    <row r="94" spans="1:21" s="64" customFormat="1" ht="13.5" customHeight="1" x14ac:dyDescent="0.2">
      <c r="A94" s="126"/>
      <c r="B94" s="138"/>
      <c r="C94" s="701">
        <f>SUM(C81:C93)</f>
        <v>1078.2</v>
      </c>
      <c r="D94" s="615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</row>
    <row r="95" spans="1:21" s="64" customFormat="1" ht="13.5" customHeight="1" x14ac:dyDescent="0.2">
      <c r="A95" s="126"/>
      <c r="B95" s="138"/>
      <c r="C95" s="698"/>
      <c r="D95" s="615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</row>
    <row r="96" spans="1:21" s="64" customFormat="1" ht="13.5" customHeight="1" x14ac:dyDescent="0.2">
      <c r="A96" s="126" t="s">
        <v>242</v>
      </c>
      <c r="B96" s="138" t="s">
        <v>3111</v>
      </c>
      <c r="C96" s="697">
        <v>-3000</v>
      </c>
      <c r="D96" s="615"/>
      <c r="E96" s="1"/>
      <c r="F96" s="1"/>
      <c r="G96" s="126" t="s">
        <v>242</v>
      </c>
      <c r="H96" s="32" t="s">
        <v>3121</v>
      </c>
      <c r="I96" s="698">
        <v>84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</row>
    <row r="97" spans="1:21" s="64" customFormat="1" ht="13.5" customHeight="1" x14ac:dyDescent="0.2">
      <c r="A97" s="126" t="s">
        <v>242</v>
      </c>
      <c r="B97" s="36" t="s">
        <v>3041</v>
      </c>
      <c r="C97" s="697">
        <v>-419.2</v>
      </c>
      <c r="D97" s="615"/>
      <c r="E97" s="1"/>
      <c r="F97" s="1"/>
      <c r="G97" s="126" t="s">
        <v>242</v>
      </c>
      <c r="H97" s="32" t="s">
        <v>3120</v>
      </c>
      <c r="I97" s="698">
        <v>54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</row>
    <row r="98" spans="1:21" s="64" customFormat="1" ht="13.5" customHeight="1" x14ac:dyDescent="0.2">
      <c r="A98" s="126" t="s">
        <v>242</v>
      </c>
      <c r="B98" s="36" t="s">
        <v>3195</v>
      </c>
      <c r="C98" s="697">
        <v>360</v>
      </c>
      <c r="D98" s="615"/>
      <c r="E98" s="1"/>
      <c r="F98" s="1"/>
      <c r="G98" s="126" t="s">
        <v>242</v>
      </c>
      <c r="H98" s="34" t="s">
        <v>3082</v>
      </c>
      <c r="I98" s="697">
        <v>27.44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</row>
    <row r="99" spans="1:21" s="64" customFormat="1" ht="13.5" customHeight="1" x14ac:dyDescent="0.2">
      <c r="A99" s="126" t="s">
        <v>242</v>
      </c>
      <c r="B99" s="36" t="s">
        <v>3049</v>
      </c>
      <c r="C99" s="697">
        <v>33.880000000000003</v>
      </c>
      <c r="D99" s="615"/>
      <c r="E99" s="1"/>
      <c r="F99" s="1"/>
      <c r="G99" s="126" t="s">
        <v>242</v>
      </c>
      <c r="H99" s="32" t="s">
        <v>813</v>
      </c>
      <c r="I99" s="697">
        <v>75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</row>
    <row r="100" spans="1:21" s="64" customFormat="1" ht="13.5" customHeight="1" x14ac:dyDescent="0.2">
      <c r="A100" s="126" t="s">
        <v>242</v>
      </c>
      <c r="B100" s="32" t="s">
        <v>3125</v>
      </c>
      <c r="C100" s="698">
        <v>8000</v>
      </c>
      <c r="D100" s="615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</row>
    <row r="101" spans="1:21" s="64" customFormat="1" ht="13.5" customHeight="1" x14ac:dyDescent="0.2">
      <c r="A101" s="126" t="s">
        <v>242</v>
      </c>
      <c r="B101" s="138" t="s">
        <v>3123</v>
      </c>
      <c r="C101" s="698">
        <v>5000</v>
      </c>
      <c r="D101" s="615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</row>
    <row r="102" spans="1:21" s="64" customFormat="1" ht="13.5" customHeight="1" x14ac:dyDescent="0.2">
      <c r="A102" s="126" t="s">
        <v>242</v>
      </c>
      <c r="B102" s="36" t="s">
        <v>180</v>
      </c>
      <c r="C102" s="697">
        <v>426.41</v>
      </c>
      <c r="D102" s="615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</row>
    <row r="103" spans="1:21" s="64" customFormat="1" ht="13.5" customHeight="1" x14ac:dyDescent="0.2">
      <c r="A103" s="126" t="s">
        <v>242</v>
      </c>
      <c r="B103" s="34" t="s">
        <v>3132</v>
      </c>
      <c r="C103" s="697">
        <v>-3000</v>
      </c>
      <c r="D103" s="615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</row>
    <row r="104" spans="1:21" s="64" customFormat="1" ht="13.5" customHeight="1" x14ac:dyDescent="0.2">
      <c r="A104" s="126" t="s">
        <v>242</v>
      </c>
      <c r="B104" s="34" t="s">
        <v>3134</v>
      </c>
      <c r="C104" s="697">
        <v>-300</v>
      </c>
      <c r="D104" s="615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</row>
    <row r="105" spans="1:21" s="64" customFormat="1" ht="13.5" customHeight="1" x14ac:dyDescent="0.2">
      <c r="A105" s="126" t="s">
        <v>242</v>
      </c>
      <c r="B105" s="34" t="s">
        <v>3198</v>
      </c>
      <c r="C105" s="697">
        <v>26.99</v>
      </c>
      <c r="D105" s="615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</row>
    <row r="106" spans="1:21" s="64" customFormat="1" ht="13.5" customHeight="1" x14ac:dyDescent="0.2">
      <c r="A106" s="126" t="s">
        <v>242</v>
      </c>
      <c r="B106" s="34" t="s">
        <v>3053</v>
      </c>
      <c r="C106" s="697">
        <v>6.2</v>
      </c>
      <c r="D106" s="615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</row>
    <row r="107" spans="1:21" s="64" customFormat="1" ht="13.5" customHeight="1" x14ac:dyDescent="0.2">
      <c r="A107" s="126" t="s">
        <v>242</v>
      </c>
      <c r="B107" s="34" t="s">
        <v>3130</v>
      </c>
      <c r="C107" s="698">
        <v>200</v>
      </c>
      <c r="D107" s="615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</row>
    <row r="108" spans="1:21" s="64" customFormat="1" ht="13.5" customHeight="1" x14ac:dyDescent="0.2">
      <c r="A108" s="126" t="s">
        <v>242</v>
      </c>
      <c r="B108" s="34" t="s">
        <v>3126</v>
      </c>
      <c r="C108" s="698">
        <v>70</v>
      </c>
      <c r="D108" s="615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</row>
    <row r="109" spans="1:21" s="64" customFormat="1" ht="13.5" customHeight="1" x14ac:dyDescent="0.2">
      <c r="A109" s="126" t="s">
        <v>242</v>
      </c>
      <c r="B109" s="34" t="s">
        <v>3128</v>
      </c>
      <c r="C109" s="698">
        <v>150</v>
      </c>
      <c r="D109" s="615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</row>
    <row r="110" spans="1:21" s="64" customFormat="1" ht="13.5" customHeight="1" x14ac:dyDescent="0.2">
      <c r="A110" s="126" t="s">
        <v>242</v>
      </c>
      <c r="B110" s="34" t="s">
        <v>625</v>
      </c>
      <c r="C110" s="698">
        <f>C93</f>
        <v>120.22</v>
      </c>
      <c r="D110" s="615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</row>
    <row r="111" spans="1:21" s="64" customFormat="1" ht="13.5" customHeight="1" x14ac:dyDescent="0.2">
      <c r="A111" s="126"/>
      <c r="B111" s="34"/>
      <c r="C111" s="701">
        <f>SUM(C96:C110)</f>
        <v>7674.5</v>
      </c>
      <c r="D111" s="615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</row>
    <row r="112" spans="1:21" s="64" customFormat="1" ht="13.5" customHeight="1" x14ac:dyDescent="0.2">
      <c r="A112" s="126"/>
      <c r="B112" s="34"/>
      <c r="C112" s="698"/>
      <c r="D112" s="615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</row>
    <row r="113" spans="1:21" s="64" customFormat="1" ht="13.5" customHeight="1" x14ac:dyDescent="0.2">
      <c r="A113" s="126"/>
      <c r="B113" s="34" t="s">
        <v>3537</v>
      </c>
      <c r="C113" s="698">
        <v>320</v>
      </c>
      <c r="D113" s="615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</row>
    <row r="114" spans="1:21" s="64" customFormat="1" ht="13.5" customHeight="1" x14ac:dyDescent="0.2">
      <c r="A114" s="126"/>
      <c r="B114" s="34" t="s">
        <v>9</v>
      </c>
      <c r="C114" s="698">
        <v>900</v>
      </c>
      <c r="D114" s="615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</row>
    <row r="115" spans="1:21" s="64" customFormat="1" ht="13.5" customHeight="1" x14ac:dyDescent="0.2">
      <c r="A115" s="64" t="s">
        <v>243</v>
      </c>
      <c r="B115" s="34" t="s">
        <v>3083</v>
      </c>
      <c r="C115" s="697">
        <v>48.89</v>
      </c>
      <c r="D115" s="615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</row>
    <row r="116" spans="1:21" s="64" customFormat="1" ht="13.5" customHeight="1" x14ac:dyDescent="0.2">
      <c r="A116" s="64" t="s">
        <v>243</v>
      </c>
      <c r="B116" s="34" t="s">
        <v>2970</v>
      </c>
      <c r="C116" s="697">
        <v>1140</v>
      </c>
      <c r="D116" s="615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</row>
    <row r="117" spans="1:21" s="64" customFormat="1" ht="13.5" customHeight="1" x14ac:dyDescent="0.2">
      <c r="A117" s="64" t="s">
        <v>243</v>
      </c>
      <c r="B117" s="34" t="s">
        <v>2965</v>
      </c>
      <c r="C117" s="697">
        <v>109.9</v>
      </c>
      <c r="D117" s="615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</row>
    <row r="118" spans="1:21" s="64" customFormat="1" ht="13.5" customHeight="1" x14ac:dyDescent="0.2">
      <c r="A118" s="244" t="s">
        <v>243</v>
      </c>
      <c r="B118" s="237" t="s">
        <v>81</v>
      </c>
      <c r="C118" s="697">
        <v>52.35</v>
      </c>
      <c r="D118" s="615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</row>
    <row r="119" spans="1:21" s="64" customFormat="1" ht="13.5" customHeight="1" x14ac:dyDescent="0.2">
      <c r="A119" s="244" t="s">
        <v>243</v>
      </c>
      <c r="B119" s="34" t="s">
        <v>673</v>
      </c>
      <c r="C119" s="697">
        <v>114.98</v>
      </c>
      <c r="D119" s="615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</row>
    <row r="120" spans="1:21" s="64" customFormat="1" ht="13.5" customHeight="1" x14ac:dyDescent="0.2">
      <c r="A120" s="244" t="s">
        <v>243</v>
      </c>
      <c r="B120" s="34" t="s">
        <v>3059</v>
      </c>
      <c r="C120" s="697">
        <v>8.48</v>
      </c>
      <c r="D120" s="615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</row>
    <row r="121" spans="1:21" s="64" customFormat="1" ht="13.5" customHeight="1" x14ac:dyDescent="0.2">
      <c r="A121" s="244" t="s">
        <v>243</v>
      </c>
      <c r="B121" s="34" t="s">
        <v>3045</v>
      </c>
      <c r="C121" s="697">
        <v>2138</v>
      </c>
      <c r="D121" s="615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</row>
    <row r="122" spans="1:21" s="64" customFormat="1" ht="13.5" customHeight="1" x14ac:dyDescent="0.2">
      <c r="A122" s="244" t="s">
        <v>243</v>
      </c>
      <c r="B122" s="34" t="s">
        <v>3068</v>
      </c>
      <c r="C122" s="697">
        <v>1840</v>
      </c>
      <c r="D122" s="615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</row>
    <row r="123" spans="1:21" s="64" customFormat="1" ht="13.5" customHeight="1" x14ac:dyDescent="0.2">
      <c r="A123" s="244" t="s">
        <v>243</v>
      </c>
      <c r="B123" s="34" t="s">
        <v>3100</v>
      </c>
      <c r="C123" s="697">
        <v>190</v>
      </c>
      <c r="D123" s="615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</row>
    <row r="124" spans="1:21" s="64" customFormat="1" ht="13.5" customHeight="1" x14ac:dyDescent="0.2">
      <c r="A124" s="244" t="s">
        <v>243</v>
      </c>
      <c r="B124" s="34" t="s">
        <v>3037</v>
      </c>
      <c r="C124" s="697">
        <v>50</v>
      </c>
      <c r="D124" s="615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</row>
    <row r="125" spans="1:21" s="64" customFormat="1" ht="13.5" customHeight="1" x14ac:dyDescent="0.2">
      <c r="A125" s="244"/>
      <c r="B125" s="34"/>
      <c r="C125" s="703">
        <f>SUM(C113:C124)</f>
        <v>6912.6</v>
      </c>
      <c r="D125" s="700">
        <f>SUM(C125/2)</f>
        <v>3456.3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</row>
    <row r="126" spans="1:21" s="64" customFormat="1" ht="13.5" customHeight="1" x14ac:dyDescent="0.2">
      <c r="A126" s="244"/>
      <c r="B126" s="34"/>
      <c r="C126" s="697"/>
      <c r="D126" s="615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</row>
    <row r="127" spans="1:21" s="64" customFormat="1" ht="13.5" customHeight="1" x14ac:dyDescent="0.2">
      <c r="A127" s="244" t="s">
        <v>230</v>
      </c>
      <c r="B127" s="34" t="s">
        <v>177</v>
      </c>
      <c r="C127" s="703">
        <v>243.07</v>
      </c>
      <c r="D127" s="706">
        <f>SUM(C127*D135)</f>
        <v>30.719870262347715</v>
      </c>
      <c r="E127" s="1" t="s">
        <v>1785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</row>
    <row r="128" spans="1:21" s="64" customFormat="1" ht="13.5" customHeight="1" x14ac:dyDescent="0.2">
      <c r="A128" s="244"/>
      <c r="B128" s="34"/>
      <c r="C128" s="697"/>
      <c r="D128" s="706">
        <f>SUM(C127-D127)</f>
        <v>212.35012973765228</v>
      </c>
      <c r="E128" s="1" t="s">
        <v>540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</row>
    <row r="129" spans="1:21" s="64" customFormat="1" ht="13.5" customHeight="1" x14ac:dyDescent="0.2">
      <c r="A129" s="244"/>
      <c r="B129" s="34"/>
      <c r="C129" s="697"/>
      <c r="D129" s="699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</row>
    <row r="130" spans="1:21" s="64" customFormat="1" ht="13.5" customHeight="1" x14ac:dyDescent="0.2">
      <c r="A130" s="244" t="s">
        <v>231</v>
      </c>
      <c r="B130" s="138" t="s">
        <v>198</v>
      </c>
      <c r="C130" s="703">
        <v>1320.97</v>
      </c>
      <c r="D130" s="700">
        <f>SUM(C130*D135)</f>
        <v>166.94790398014345</v>
      </c>
      <c r="E130" s="1" t="s">
        <v>1785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</row>
    <row r="131" spans="1:21" s="64" customFormat="1" ht="13.5" customHeight="1" x14ac:dyDescent="0.2">
      <c r="A131" s="244"/>
      <c r="B131" s="138"/>
      <c r="C131" s="697"/>
      <c r="D131" s="700">
        <f>SUM(C130-D130)</f>
        <v>1154.0220960198567</v>
      </c>
      <c r="E131" t="s">
        <v>540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</row>
    <row r="132" spans="1:21" s="64" customFormat="1" ht="13.5" customHeight="1" x14ac:dyDescent="0.2">
      <c r="A132" s="244" t="s">
        <v>417</v>
      </c>
      <c r="B132" s="138" t="s">
        <v>3558</v>
      </c>
      <c r="C132" s="703">
        <f t="array" ref="C132">SUM(H135:H137/2)</f>
        <v>857.97499999999991</v>
      </c>
      <c r="D132" s="615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</row>
    <row r="133" spans="1:21" s="64" customFormat="1" ht="13.5" customHeight="1" x14ac:dyDescent="0.2">
      <c r="A133" s="244"/>
      <c r="B133" s="138"/>
      <c r="C133" s="697"/>
      <c r="D133" s="615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</row>
    <row r="134" spans="1:21" s="64" customFormat="1" ht="13.5" customHeight="1" x14ac:dyDescent="0.2">
      <c r="A134" s="244"/>
      <c r="B134" s="138"/>
      <c r="C134" s="697"/>
      <c r="D134" s="615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</row>
    <row r="135" spans="1:21" s="64" customFormat="1" ht="13.5" customHeight="1" x14ac:dyDescent="0.2">
      <c r="A135" s="244" t="s">
        <v>417</v>
      </c>
      <c r="B135" s="138" t="s">
        <v>3190</v>
      </c>
      <c r="C135" s="697">
        <v>793.85</v>
      </c>
      <c r="D135" s="705">
        <f>SUM(C132/(C132+C153))</f>
        <v>0.12638281261508091</v>
      </c>
      <c r="E135" s="1"/>
      <c r="F135" s="64" t="s">
        <v>417</v>
      </c>
      <c r="G135" s="34" t="s">
        <v>2509</v>
      </c>
      <c r="H135" s="697">
        <v>100</v>
      </c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</row>
    <row r="136" spans="1:21" ht="13.5" customHeight="1" x14ac:dyDescent="0.2">
      <c r="A136" s="244" t="s">
        <v>417</v>
      </c>
      <c r="B136" s="32" t="s">
        <v>3188</v>
      </c>
      <c r="C136" s="697">
        <v>421.52</v>
      </c>
      <c r="F136" s="244" t="s">
        <v>417</v>
      </c>
      <c r="G136" s="36" t="s">
        <v>173</v>
      </c>
      <c r="H136" s="697">
        <v>1007.27</v>
      </c>
    </row>
    <row r="137" spans="1:21" ht="13.5" customHeight="1" x14ac:dyDescent="0.2">
      <c r="A137" s="244" t="s">
        <v>417</v>
      </c>
      <c r="B137" s="34" t="s">
        <v>3048</v>
      </c>
      <c r="C137" s="697">
        <v>6.98</v>
      </c>
      <c r="F137" s="244" t="s">
        <v>417</v>
      </c>
      <c r="G137" s="34" t="s">
        <v>172</v>
      </c>
      <c r="H137" s="697">
        <v>608.67999999999995</v>
      </c>
    </row>
    <row r="138" spans="1:21" ht="13.5" customHeight="1" x14ac:dyDescent="0.2">
      <c r="A138" s="244" t="s">
        <v>417</v>
      </c>
      <c r="B138" s="34" t="s">
        <v>3060</v>
      </c>
      <c r="C138" s="697">
        <v>38.4</v>
      </c>
    </row>
    <row r="139" spans="1:21" ht="13.5" customHeight="1" x14ac:dyDescent="0.2">
      <c r="A139" s="244" t="s">
        <v>417</v>
      </c>
      <c r="B139" s="34" t="s">
        <v>3036</v>
      </c>
      <c r="C139" s="697">
        <v>47</v>
      </c>
    </row>
    <row r="140" spans="1:21" ht="13.5" customHeight="1" x14ac:dyDescent="0.2">
      <c r="A140" s="244" t="s">
        <v>417</v>
      </c>
      <c r="B140" s="34" t="s">
        <v>3066</v>
      </c>
      <c r="C140" s="697">
        <v>120</v>
      </c>
    </row>
    <row r="141" spans="1:21" ht="13.5" customHeight="1" x14ac:dyDescent="0.2">
      <c r="A141" s="244" t="s">
        <v>417</v>
      </c>
      <c r="B141" s="36" t="s">
        <v>3065</v>
      </c>
      <c r="C141" s="697">
        <v>70</v>
      </c>
    </row>
    <row r="142" spans="1:21" ht="13.5" customHeight="1" x14ac:dyDescent="0.2">
      <c r="A142" s="244" t="s">
        <v>417</v>
      </c>
      <c r="B142" s="34" t="s">
        <v>3063</v>
      </c>
      <c r="C142" s="697">
        <v>300</v>
      </c>
    </row>
    <row r="143" spans="1:21" ht="13.5" customHeight="1" x14ac:dyDescent="0.2">
      <c r="A143" s="244" t="s">
        <v>417</v>
      </c>
      <c r="B143" s="34" t="s">
        <v>3088</v>
      </c>
      <c r="C143" s="697">
        <v>300</v>
      </c>
    </row>
    <row r="144" spans="1:21" ht="13.5" customHeight="1" x14ac:dyDescent="0.2">
      <c r="A144" s="244" t="s">
        <v>417</v>
      </c>
      <c r="B144" s="34" t="s">
        <v>3093</v>
      </c>
      <c r="C144" s="697">
        <v>300</v>
      </c>
    </row>
    <row r="145" spans="1:9" ht="13.5" customHeight="1" x14ac:dyDescent="0.2">
      <c r="A145" s="244" t="s">
        <v>417</v>
      </c>
      <c r="B145" s="36" t="s">
        <v>3117</v>
      </c>
      <c r="C145" s="698">
        <v>300</v>
      </c>
    </row>
    <row r="146" spans="1:9" ht="13.5" customHeight="1" x14ac:dyDescent="0.2">
      <c r="A146" s="244" t="s">
        <v>417</v>
      </c>
      <c r="B146" s="34" t="s">
        <v>3064</v>
      </c>
      <c r="C146" s="697">
        <v>525</v>
      </c>
    </row>
    <row r="147" spans="1:9" ht="13.5" customHeight="1" x14ac:dyDescent="0.2">
      <c r="A147" s="244" t="s">
        <v>417</v>
      </c>
      <c r="B147" s="36" t="s">
        <v>3089</v>
      </c>
      <c r="C147" s="697">
        <v>525</v>
      </c>
    </row>
    <row r="148" spans="1:9" ht="13.5" customHeight="1" x14ac:dyDescent="0.2">
      <c r="A148" s="244" t="s">
        <v>417</v>
      </c>
      <c r="B148" s="34" t="s">
        <v>3094</v>
      </c>
      <c r="C148" s="697">
        <v>525</v>
      </c>
    </row>
    <row r="149" spans="1:9" ht="13.5" customHeight="1" x14ac:dyDescent="0.2">
      <c r="A149" s="244" t="s">
        <v>417</v>
      </c>
      <c r="B149" s="36" t="s">
        <v>3116</v>
      </c>
      <c r="C149" s="698">
        <v>500</v>
      </c>
    </row>
    <row r="150" spans="1:9" ht="13.5" customHeight="1" x14ac:dyDescent="0.2">
      <c r="A150" s="244" t="s">
        <v>417</v>
      </c>
      <c r="B150" s="34" t="s">
        <v>3115</v>
      </c>
      <c r="C150" s="698">
        <v>240</v>
      </c>
    </row>
    <row r="151" spans="1:9" ht="13.5" customHeight="1" x14ac:dyDescent="0.2">
      <c r="A151" s="244" t="s">
        <v>417</v>
      </c>
      <c r="B151" s="34" t="s">
        <v>3043</v>
      </c>
      <c r="C151" s="697">
        <v>60</v>
      </c>
    </row>
    <row r="152" spans="1:9" ht="13.5" customHeight="1" x14ac:dyDescent="0.2">
      <c r="A152" s="244" t="s">
        <v>417</v>
      </c>
      <c r="B152" s="34" t="s">
        <v>625</v>
      </c>
      <c r="C152" s="697">
        <f>C132</f>
        <v>857.97499999999991</v>
      </c>
    </row>
    <row r="153" spans="1:9" ht="13.5" customHeight="1" x14ac:dyDescent="0.2">
      <c r="A153" s="244"/>
      <c r="B153" s="34"/>
      <c r="C153" s="701">
        <f>SUM(C135:C152)</f>
        <v>5930.7250000000004</v>
      </c>
    </row>
    <row r="154" spans="1:9" ht="13.5" customHeight="1" x14ac:dyDescent="0.2">
      <c r="A154" s="244"/>
      <c r="B154" s="34"/>
    </row>
    <row r="155" spans="1:9" ht="13.5" customHeight="1" x14ac:dyDescent="0.2">
      <c r="A155" s="126" t="s">
        <v>245</v>
      </c>
      <c r="B155" s="34" t="s">
        <v>3050</v>
      </c>
      <c r="C155" s="697">
        <v>66.349999999999994</v>
      </c>
      <c r="F155" s="126" t="s">
        <v>245</v>
      </c>
      <c r="G155" s="34" t="s">
        <v>3080</v>
      </c>
      <c r="H155" s="697">
        <v>9.99</v>
      </c>
      <c r="I155" s="615"/>
    </row>
    <row r="156" spans="1:9" ht="13.5" customHeight="1" x14ac:dyDescent="0.2">
      <c r="A156" s="126" t="s">
        <v>245</v>
      </c>
      <c r="B156" s="34" t="s">
        <v>422</v>
      </c>
      <c r="C156" s="697">
        <f t="array" ref="C156">SUM(H155:H158/2)</f>
        <v>44.554999999999993</v>
      </c>
      <c r="F156" s="126" t="s">
        <v>245</v>
      </c>
      <c r="G156" s="36" t="s">
        <v>3081</v>
      </c>
      <c r="H156" s="697">
        <v>7.9</v>
      </c>
      <c r="I156" s="615"/>
    </row>
    <row r="157" spans="1:9" ht="13.5" customHeight="1" x14ac:dyDescent="0.2">
      <c r="A157" s="126"/>
      <c r="B157" s="34"/>
      <c r="C157" s="703">
        <f>SUM(C155:C156)</f>
        <v>110.90499999999999</v>
      </c>
      <c r="F157" s="126" t="s">
        <v>245</v>
      </c>
      <c r="G157" s="36" t="s">
        <v>3055</v>
      </c>
      <c r="H157" s="697">
        <v>57.62</v>
      </c>
      <c r="I157" s="615"/>
    </row>
    <row r="158" spans="1:9" ht="13.5" customHeight="1" x14ac:dyDescent="0.2">
      <c r="A158" s="126"/>
      <c r="B158" s="34"/>
      <c r="F158" s="126" t="s">
        <v>245</v>
      </c>
      <c r="G158" s="36" t="s">
        <v>3127</v>
      </c>
      <c r="H158" s="698">
        <v>13.6</v>
      </c>
      <c r="I158" s="615"/>
    </row>
    <row r="159" spans="1:9" ht="13.5" customHeight="1" x14ac:dyDescent="0.2">
      <c r="A159" s="126" t="s">
        <v>245</v>
      </c>
      <c r="B159" s="36" t="s">
        <v>3129</v>
      </c>
      <c r="C159" s="698">
        <v>121</v>
      </c>
    </row>
    <row r="160" spans="1:9" ht="13.5" customHeight="1" x14ac:dyDescent="0.2">
      <c r="A160" s="126" t="s">
        <v>245</v>
      </c>
      <c r="B160" s="36" t="s">
        <v>3209</v>
      </c>
      <c r="C160" s="697">
        <v>185</v>
      </c>
    </row>
    <row r="161" spans="1:4" ht="13.5" customHeight="1" x14ac:dyDescent="0.2">
      <c r="A161" s="126" t="s">
        <v>245</v>
      </c>
      <c r="B161" s="34" t="s">
        <v>3149</v>
      </c>
      <c r="C161" s="697">
        <v>675.92</v>
      </c>
    </row>
    <row r="162" spans="1:4" ht="13.5" customHeight="1" x14ac:dyDescent="0.2">
      <c r="A162" s="126" t="s">
        <v>245</v>
      </c>
      <c r="B162" s="34" t="s">
        <v>3183</v>
      </c>
      <c r="C162" s="697">
        <v>158</v>
      </c>
    </row>
    <row r="163" spans="1:4" ht="13.5" customHeight="1" x14ac:dyDescent="0.2">
      <c r="A163" s="126" t="s">
        <v>245</v>
      </c>
      <c r="B163" s="34" t="s">
        <v>3102</v>
      </c>
      <c r="C163" s="697">
        <v>280</v>
      </c>
    </row>
    <row r="164" spans="1:4" ht="13.5" customHeight="1" x14ac:dyDescent="0.2">
      <c r="A164" s="126" t="s">
        <v>245</v>
      </c>
      <c r="B164" s="34" t="s">
        <v>3084</v>
      </c>
      <c r="C164" s="697">
        <v>25</v>
      </c>
    </row>
    <row r="165" spans="1:4" ht="13.5" customHeight="1" x14ac:dyDescent="0.2">
      <c r="A165" s="126" t="s">
        <v>245</v>
      </c>
      <c r="B165" s="36" t="s">
        <v>3046</v>
      </c>
      <c r="C165" s="697">
        <v>28.2</v>
      </c>
    </row>
    <row r="166" spans="1:4" ht="13.5" customHeight="1" x14ac:dyDescent="0.2">
      <c r="A166" s="126" t="s">
        <v>245</v>
      </c>
      <c r="B166" s="36" t="s">
        <v>3061</v>
      </c>
      <c r="C166" s="697">
        <v>47</v>
      </c>
    </row>
    <row r="167" spans="1:4" ht="13.5" customHeight="1" x14ac:dyDescent="0.2">
      <c r="A167" s="126" t="s">
        <v>245</v>
      </c>
      <c r="B167" s="395" t="s">
        <v>3085</v>
      </c>
      <c r="C167" s="697">
        <v>27.75</v>
      </c>
    </row>
    <row r="168" spans="1:4" ht="13.5" customHeight="1" x14ac:dyDescent="0.2">
      <c r="A168" s="126" t="s">
        <v>245</v>
      </c>
      <c r="B168" s="34" t="s">
        <v>3047</v>
      </c>
      <c r="C168" s="697">
        <v>36.5</v>
      </c>
    </row>
    <row r="169" spans="1:4" ht="13.5" customHeight="1" x14ac:dyDescent="0.2">
      <c r="A169" s="126" t="s">
        <v>245</v>
      </c>
      <c r="B169" s="34" t="s">
        <v>3096</v>
      </c>
      <c r="C169" s="697">
        <v>19.899999999999999</v>
      </c>
    </row>
    <row r="170" spans="1:4" ht="13.5" customHeight="1" x14ac:dyDescent="0.2">
      <c r="A170" s="126" t="s">
        <v>245</v>
      </c>
      <c r="B170" s="36" t="s">
        <v>3052</v>
      </c>
      <c r="C170" s="697">
        <v>12.75</v>
      </c>
    </row>
    <row r="171" spans="1:4" ht="13.5" customHeight="1" x14ac:dyDescent="0.2">
      <c r="A171" s="126" t="s">
        <v>245</v>
      </c>
      <c r="B171" s="34" t="s">
        <v>3107</v>
      </c>
      <c r="C171" s="697">
        <v>10</v>
      </c>
    </row>
    <row r="172" spans="1:4" ht="13.5" customHeight="1" x14ac:dyDescent="0.2">
      <c r="A172" s="126" t="s">
        <v>245</v>
      </c>
      <c r="B172" s="34" t="s">
        <v>3176</v>
      </c>
      <c r="C172" s="697">
        <v>540.79999999999995</v>
      </c>
    </row>
    <row r="173" spans="1:4" ht="13.5" customHeight="1" x14ac:dyDescent="0.2">
      <c r="A173" s="126" t="s">
        <v>245</v>
      </c>
      <c r="B173" s="634" t="s">
        <v>3162</v>
      </c>
      <c r="C173" s="697">
        <v>70.2</v>
      </c>
    </row>
    <row r="174" spans="1:4" ht="13.5" customHeight="1" x14ac:dyDescent="0.2">
      <c r="A174" s="126" t="s">
        <v>245</v>
      </c>
      <c r="B174" s="36" t="s">
        <v>3119</v>
      </c>
      <c r="C174" s="697">
        <v>-60</v>
      </c>
    </row>
    <row r="175" spans="1:4" ht="13.5" customHeight="1" x14ac:dyDescent="0.2">
      <c r="A175" s="126" t="s">
        <v>245</v>
      </c>
      <c r="B175" s="36" t="s">
        <v>3104</v>
      </c>
      <c r="C175" s="697">
        <v>140</v>
      </c>
      <c r="D175" s="699"/>
    </row>
    <row r="176" spans="1:4" ht="13.5" customHeight="1" x14ac:dyDescent="0.2">
      <c r="A176" s="126" t="s">
        <v>245</v>
      </c>
      <c r="B176" s="36" t="s">
        <v>3169</v>
      </c>
      <c r="C176" s="697">
        <v>136.85</v>
      </c>
    </row>
    <row r="177" spans="1:3" ht="13.5" customHeight="1" x14ac:dyDescent="0.2">
      <c r="A177" s="126" t="s">
        <v>245</v>
      </c>
      <c r="B177" s="36" t="s">
        <v>3168</v>
      </c>
      <c r="C177" s="697">
        <v>453.8</v>
      </c>
    </row>
    <row r="178" spans="1:3" ht="13.5" customHeight="1" x14ac:dyDescent="0.2">
      <c r="A178" s="126" t="s">
        <v>245</v>
      </c>
      <c r="B178" s="634" t="s">
        <v>3201</v>
      </c>
      <c r="C178" s="697">
        <v>120.8</v>
      </c>
    </row>
    <row r="179" spans="1:3" ht="13.5" customHeight="1" x14ac:dyDescent="0.2">
      <c r="A179" s="126" t="s">
        <v>245</v>
      </c>
      <c r="B179" s="635" t="s">
        <v>3177</v>
      </c>
      <c r="C179" s="697">
        <v>111.8</v>
      </c>
    </row>
    <row r="180" spans="1:3" ht="13.5" customHeight="1" x14ac:dyDescent="0.2">
      <c r="A180" s="126" t="s">
        <v>245</v>
      </c>
      <c r="B180" s="634" t="s">
        <v>3180</v>
      </c>
      <c r="C180" s="697">
        <v>222</v>
      </c>
    </row>
    <row r="181" spans="1:3" ht="13.5" customHeight="1" x14ac:dyDescent="0.2">
      <c r="A181" s="126" t="s">
        <v>245</v>
      </c>
      <c r="B181" s="634" t="s">
        <v>3559</v>
      </c>
      <c r="C181" s="697">
        <f>C156</f>
        <v>44.554999999999993</v>
      </c>
    </row>
    <row r="182" spans="1:3" ht="13.5" customHeight="1" x14ac:dyDescent="0.2">
      <c r="A182" s="126"/>
      <c r="B182" s="634"/>
      <c r="C182" s="701">
        <f>SUM(C159:C181)</f>
        <v>3407.8250000000003</v>
      </c>
    </row>
    <row r="183" spans="1:3" ht="13.5" customHeight="1" x14ac:dyDescent="0.2">
      <c r="A183" s="126"/>
      <c r="B183" s="634"/>
    </row>
    <row r="184" spans="1:3" ht="13.5" customHeight="1" x14ac:dyDescent="0.2">
      <c r="A184" s="244" t="s">
        <v>246</v>
      </c>
      <c r="B184" s="32" t="s">
        <v>195</v>
      </c>
      <c r="C184" s="697">
        <v>390.19</v>
      </c>
    </row>
    <row r="185" spans="1:3" ht="13.5" customHeight="1" x14ac:dyDescent="0.2">
      <c r="A185" s="244" t="s">
        <v>246</v>
      </c>
      <c r="B185" s="32" t="s">
        <v>194</v>
      </c>
      <c r="C185" s="697">
        <v>84.54</v>
      </c>
    </row>
    <row r="186" spans="1:3" ht="13.5" customHeight="1" x14ac:dyDescent="0.2">
      <c r="A186" s="244"/>
      <c r="B186" s="32"/>
      <c r="C186" s="703">
        <f>SUM(C184:C185)</f>
        <v>474.73</v>
      </c>
    </row>
    <row r="187" spans="1:3" ht="13.5" customHeight="1" x14ac:dyDescent="0.2">
      <c r="A187" s="244"/>
      <c r="B187" s="32"/>
    </row>
    <row r="188" spans="1:3" ht="13.5" customHeight="1" x14ac:dyDescent="0.2">
      <c r="A188" s="64" t="s">
        <v>248</v>
      </c>
      <c r="B188" s="32" t="s">
        <v>1002</v>
      </c>
      <c r="C188" s="698">
        <v>2584.3000000000002</v>
      </c>
    </row>
    <row r="189" spans="1:3" ht="13.5" customHeight="1" x14ac:dyDescent="0.2">
      <c r="A189" s="64" t="s">
        <v>248</v>
      </c>
      <c r="B189" s="36" t="s">
        <v>132</v>
      </c>
      <c r="C189" s="697">
        <v>1050.9100000000001</v>
      </c>
    </row>
    <row r="190" spans="1:3" ht="13.5" customHeight="1" x14ac:dyDescent="0.2">
      <c r="A190" s="64" t="s">
        <v>248</v>
      </c>
      <c r="B190" s="36" t="s">
        <v>130</v>
      </c>
      <c r="C190" s="697">
        <v>163.93</v>
      </c>
    </row>
    <row r="191" spans="1:3" ht="13.5" customHeight="1" x14ac:dyDescent="0.2">
      <c r="A191" s="64" t="s">
        <v>248</v>
      </c>
      <c r="B191" s="36" t="s">
        <v>53</v>
      </c>
      <c r="C191" s="697">
        <v>532.21</v>
      </c>
    </row>
    <row r="192" spans="1:3" ht="13.5" customHeight="1" x14ac:dyDescent="0.2">
      <c r="A192" s="64" t="s">
        <v>248</v>
      </c>
      <c r="B192" s="36" t="s">
        <v>55</v>
      </c>
      <c r="C192" s="697">
        <v>400</v>
      </c>
    </row>
    <row r="193" spans="1:3" ht="13.5" customHeight="1" x14ac:dyDescent="0.2">
      <c r="A193" s="64" t="s">
        <v>248</v>
      </c>
      <c r="B193" s="36" t="s">
        <v>3124</v>
      </c>
      <c r="C193" s="697">
        <v>-3000</v>
      </c>
    </row>
    <row r="194" spans="1:3" ht="13.5" customHeight="1" x14ac:dyDescent="0.2">
      <c r="A194" s="64" t="s">
        <v>248</v>
      </c>
      <c r="B194" s="34" t="s">
        <v>3124</v>
      </c>
      <c r="C194" s="697">
        <v>-8000</v>
      </c>
    </row>
    <row r="195" spans="1:3" ht="13.5" customHeight="1" x14ac:dyDescent="0.2">
      <c r="A195" s="64" t="s">
        <v>248</v>
      </c>
      <c r="B195" s="36" t="s">
        <v>136</v>
      </c>
      <c r="C195" s="697">
        <v>45.9</v>
      </c>
    </row>
    <row r="196" spans="1:3" ht="13.5" customHeight="1" x14ac:dyDescent="0.2">
      <c r="A196" s="64" t="s">
        <v>248</v>
      </c>
      <c r="B196" s="36" t="s">
        <v>82</v>
      </c>
      <c r="C196" s="697">
        <v>859.41</v>
      </c>
    </row>
    <row r="197" spans="1:3" ht="13.5" customHeight="1" x14ac:dyDescent="0.2">
      <c r="A197" s="64" t="s">
        <v>248</v>
      </c>
      <c r="B197" s="36" t="s">
        <v>18</v>
      </c>
      <c r="C197" s="697">
        <v>408.23</v>
      </c>
    </row>
    <row r="198" spans="1:3" ht="13.5" customHeight="1" x14ac:dyDescent="0.2">
      <c r="A198" s="64"/>
      <c r="B198" s="36"/>
      <c r="C198" s="701">
        <f>SUM(C188:C197)</f>
        <v>-4955.1100000000006</v>
      </c>
    </row>
    <row r="199" spans="1:3" ht="13.5" customHeight="1" x14ac:dyDescent="0.2">
      <c r="A199" s="64"/>
      <c r="B199" s="36"/>
    </row>
    <row r="200" spans="1:3" ht="13.5" customHeight="1" x14ac:dyDescent="0.2">
      <c r="A200" s="64" t="s">
        <v>248</v>
      </c>
      <c r="B200" s="36" t="s">
        <v>2462</v>
      </c>
      <c r="C200" s="697">
        <v>54.36</v>
      </c>
    </row>
    <row r="201" spans="1:3" ht="13.5" customHeight="1" x14ac:dyDescent="0.2">
      <c r="A201" s="64" t="s">
        <v>248</v>
      </c>
      <c r="B201" s="36" t="s">
        <v>3072</v>
      </c>
      <c r="C201" s="697">
        <v>6000</v>
      </c>
    </row>
    <row r="202" spans="1:3" ht="13.5" customHeight="1" x14ac:dyDescent="0.2">
      <c r="A202" s="64" t="s">
        <v>248</v>
      </c>
      <c r="B202" s="36" t="s">
        <v>2486</v>
      </c>
      <c r="C202" s="697">
        <v>132.66999999999999</v>
      </c>
    </row>
    <row r="203" spans="1:3" ht="13.5" customHeight="1" x14ac:dyDescent="0.2">
      <c r="A203" s="64"/>
      <c r="B203" s="36"/>
      <c r="C203" s="701">
        <f>SUM(C200:C202)</f>
        <v>6187.03</v>
      </c>
    </row>
    <row r="204" spans="1:3" ht="13.5" customHeight="1" x14ac:dyDescent="0.2">
      <c r="A204" s="64"/>
      <c r="B204" s="36"/>
    </row>
    <row r="205" spans="1:3" ht="13.5" customHeight="1" x14ac:dyDescent="0.2">
      <c r="A205" s="126" t="s">
        <v>249</v>
      </c>
      <c r="B205" s="32" t="s">
        <v>3204</v>
      </c>
      <c r="C205" s="703">
        <v>303</v>
      </c>
    </row>
    <row r="206" spans="1:3" ht="13.5" customHeight="1" x14ac:dyDescent="0.2">
      <c r="A206" s="126"/>
      <c r="B206" s="32"/>
    </row>
    <row r="207" spans="1:3" ht="13.5" customHeight="1" x14ac:dyDescent="0.2">
      <c r="A207" s="126"/>
      <c r="B207" s="32"/>
    </row>
    <row r="208" spans="1:3" ht="13.5" customHeight="1" x14ac:dyDescent="0.2">
      <c r="A208" s="126" t="s">
        <v>249</v>
      </c>
      <c r="B208" s="36" t="s">
        <v>3133</v>
      </c>
      <c r="C208" s="698">
        <v>30</v>
      </c>
    </row>
    <row r="209" spans="1:3" ht="13.5" customHeight="1" x14ac:dyDescent="0.2">
      <c r="A209" s="126" t="s">
        <v>249</v>
      </c>
      <c r="B209" s="36" t="s">
        <v>3131</v>
      </c>
      <c r="C209" s="698">
        <v>150</v>
      </c>
    </row>
    <row r="210" spans="1:3" ht="13.5" customHeight="1" x14ac:dyDescent="0.2">
      <c r="A210" s="126" t="s">
        <v>249</v>
      </c>
      <c r="B210" s="635" t="s">
        <v>3174</v>
      </c>
      <c r="C210" s="697">
        <v>175.26</v>
      </c>
    </row>
    <row r="211" spans="1:3" ht="13.5" customHeight="1" x14ac:dyDescent="0.2">
      <c r="A211" s="126" t="s">
        <v>249</v>
      </c>
      <c r="B211" s="635" t="s">
        <v>3185</v>
      </c>
      <c r="C211" s="697">
        <v>1610.65</v>
      </c>
    </row>
    <row r="212" spans="1:3" ht="13.5" customHeight="1" x14ac:dyDescent="0.2">
      <c r="A212" s="126" t="s">
        <v>249</v>
      </c>
      <c r="B212" s="634" t="s">
        <v>3185</v>
      </c>
      <c r="C212" s="697">
        <v>1610.65</v>
      </c>
    </row>
    <row r="213" spans="1:3" ht="13.5" customHeight="1" x14ac:dyDescent="0.2">
      <c r="A213" s="126" t="s">
        <v>249</v>
      </c>
      <c r="B213" s="34" t="s">
        <v>3159</v>
      </c>
      <c r="C213" s="697">
        <v>1610.66</v>
      </c>
    </row>
    <row r="214" spans="1:3" ht="13.5" customHeight="1" x14ac:dyDescent="0.2">
      <c r="A214" s="126" t="s">
        <v>249</v>
      </c>
      <c r="B214" s="36" t="s">
        <v>3159</v>
      </c>
      <c r="C214" s="697">
        <v>345.16</v>
      </c>
    </row>
    <row r="215" spans="1:3" ht="13.5" customHeight="1" x14ac:dyDescent="0.2">
      <c r="A215" s="126" t="s">
        <v>249</v>
      </c>
      <c r="B215" s="36" t="s">
        <v>3159</v>
      </c>
      <c r="C215" s="697">
        <v>180.78</v>
      </c>
    </row>
    <row r="216" spans="1:3" ht="13.5" customHeight="1" x14ac:dyDescent="0.2">
      <c r="A216" s="126" t="s">
        <v>249</v>
      </c>
      <c r="B216" s="36" t="s">
        <v>3051</v>
      </c>
      <c r="C216" s="697">
        <v>83.7</v>
      </c>
    </row>
    <row r="217" spans="1:3" ht="13.5" customHeight="1" x14ac:dyDescent="0.2">
      <c r="A217" s="126" t="s">
        <v>249</v>
      </c>
      <c r="B217" s="32" t="s">
        <v>3112</v>
      </c>
      <c r="C217" s="698">
        <v>172</v>
      </c>
    </row>
    <row r="218" spans="1:3" ht="13.5" customHeight="1" x14ac:dyDescent="0.2">
      <c r="A218" s="126"/>
      <c r="B218" s="32"/>
      <c r="C218" s="701">
        <f>SUM(C208:C217)</f>
        <v>5968.86</v>
      </c>
    </row>
    <row r="219" spans="1:3" ht="13.5" customHeight="1" x14ac:dyDescent="0.2">
      <c r="A219" s="126"/>
      <c r="B219" s="32"/>
      <c r="C219" s="641"/>
    </row>
    <row r="220" spans="1:3" ht="13.5" customHeight="1" x14ac:dyDescent="0.2">
      <c r="A220" s="126" t="s">
        <v>250</v>
      </c>
      <c r="B220" s="36" t="s">
        <v>20</v>
      </c>
      <c r="C220" s="697">
        <v>-0.01</v>
      </c>
    </row>
    <row r="221" spans="1:3" ht="13.5" customHeight="1" x14ac:dyDescent="0.2">
      <c r="A221" s="126" t="s">
        <v>250</v>
      </c>
      <c r="B221" s="34" t="s">
        <v>20</v>
      </c>
      <c r="C221" s="697">
        <v>-0.01</v>
      </c>
    </row>
    <row r="222" spans="1:3" ht="13.5" customHeight="1" x14ac:dyDescent="0.2">
      <c r="A222" s="126" t="s">
        <v>250</v>
      </c>
      <c r="B222" s="36" t="s">
        <v>20</v>
      </c>
      <c r="C222" s="697">
        <v>-0.02</v>
      </c>
    </row>
    <row r="223" spans="1:3" ht="13.5" customHeight="1" x14ac:dyDescent="0.2">
      <c r="A223" s="126" t="s">
        <v>250</v>
      </c>
      <c r="B223" s="34" t="s">
        <v>20</v>
      </c>
      <c r="C223" s="697">
        <v>-0.04</v>
      </c>
    </row>
    <row r="224" spans="1:3" ht="13.5" customHeight="1" x14ac:dyDescent="0.2">
      <c r="A224" s="126" t="s">
        <v>250</v>
      </c>
      <c r="B224" s="36" t="s">
        <v>20</v>
      </c>
      <c r="C224" s="697">
        <v>-0.01</v>
      </c>
    </row>
    <row r="225" spans="1:6" ht="13.5" customHeight="1" x14ac:dyDescent="0.2">
      <c r="A225" s="126" t="s">
        <v>250</v>
      </c>
      <c r="B225" s="36" t="s">
        <v>86</v>
      </c>
      <c r="C225" s="697">
        <v>92.5</v>
      </c>
    </row>
    <row r="226" spans="1:6" ht="13.5" customHeight="1" x14ac:dyDescent="0.2">
      <c r="A226" s="126" t="s">
        <v>250</v>
      </c>
      <c r="B226" s="395" t="s">
        <v>86</v>
      </c>
      <c r="C226" s="697">
        <v>75.900000000000006</v>
      </c>
    </row>
    <row r="227" spans="1:6" ht="13.5" customHeight="1" x14ac:dyDescent="0.2">
      <c r="A227" s="126" t="s">
        <v>250</v>
      </c>
      <c r="B227" s="36" t="s">
        <v>86</v>
      </c>
      <c r="C227" s="697">
        <v>12.5</v>
      </c>
    </row>
    <row r="228" spans="1:6" ht="13.5" customHeight="1" x14ac:dyDescent="0.2">
      <c r="A228" s="64"/>
      <c r="B228" s="36"/>
      <c r="C228" s="703">
        <f>SUM(C220:C227)</f>
        <v>180.81</v>
      </c>
      <c r="D228" s="700">
        <f>SUM(C228/2)</f>
        <v>90.405000000000001</v>
      </c>
    </row>
    <row r="229" spans="1:6" ht="13.5" customHeight="1" x14ac:dyDescent="0.2">
      <c r="A229" s="64"/>
      <c r="B229" s="36"/>
    </row>
    <row r="230" spans="1:6" ht="13.5" customHeight="1" x14ac:dyDescent="0.2">
      <c r="A230" s="64" t="s">
        <v>251</v>
      </c>
      <c r="B230" s="32" t="s">
        <v>3122</v>
      </c>
      <c r="C230" s="698">
        <v>21</v>
      </c>
    </row>
    <row r="231" spans="1:6" ht="13.5" customHeight="1" x14ac:dyDescent="0.2">
      <c r="A231" s="244" t="s">
        <v>251</v>
      </c>
      <c r="B231" s="34" t="s">
        <v>2439</v>
      </c>
      <c r="C231" s="698">
        <v>181.13</v>
      </c>
    </row>
    <row r="232" spans="1:6" ht="13.5" customHeight="1" x14ac:dyDescent="0.2">
      <c r="A232" s="244"/>
      <c r="B232" s="34"/>
      <c r="C232" s="703">
        <f>SUM(C230:C231)</f>
        <v>202.13</v>
      </c>
      <c r="D232" s="700">
        <f>SUM(C232/2)</f>
        <v>101.065</v>
      </c>
    </row>
    <row r="233" spans="1:6" ht="13.5" customHeight="1" x14ac:dyDescent="0.2">
      <c r="A233" s="244"/>
      <c r="B233" s="34"/>
      <c r="C233" s="698"/>
    </row>
    <row r="234" spans="1:6" ht="13.5" customHeight="1" x14ac:dyDescent="0.2">
      <c r="A234" s="126" t="s">
        <v>421</v>
      </c>
      <c r="B234" s="34" t="s">
        <v>3078</v>
      </c>
      <c r="C234" s="697">
        <v>3.5</v>
      </c>
    </row>
    <row r="235" spans="1:6" ht="13.5" customHeight="1" x14ac:dyDescent="0.2">
      <c r="A235" s="126" t="s">
        <v>421</v>
      </c>
      <c r="B235" s="36" t="s">
        <v>3079</v>
      </c>
      <c r="C235" s="697">
        <v>39.99</v>
      </c>
    </row>
    <row r="236" spans="1:6" ht="13.5" customHeight="1" x14ac:dyDescent="0.2">
      <c r="B236" s="63"/>
      <c r="C236" s="703">
        <f>SUM(C234:C235)</f>
        <v>43.49</v>
      </c>
      <c r="F236" s="1">
        <f>SUM(C236,C232,C218,C228,C205,C203,C198,C186,C182,C157,C153,C132,C130,C127,C125,C111,C94,C79,C74,C67,C59)-SUM(D37,D29)</f>
        <v>-500.69000000000233</v>
      </c>
    </row>
    <row r="237" spans="1:6" ht="13.5" customHeight="1" x14ac:dyDescent="0.2">
      <c r="B237" s="34"/>
    </row>
    <row r="238" spans="1:6" ht="13.5" customHeight="1" x14ac:dyDescent="0.2">
      <c r="B238" s="63"/>
    </row>
    <row r="239" spans="1:6" ht="13.5" customHeight="1" x14ac:dyDescent="0.2">
      <c r="B239" s="63"/>
    </row>
    <row r="240" spans="1:6" ht="13.5" customHeight="1" x14ac:dyDescent="0.2">
      <c r="B240" s="63"/>
    </row>
    <row r="241" spans="2:2" ht="13.5" customHeight="1" x14ac:dyDescent="0.2">
      <c r="B241" s="63"/>
    </row>
    <row r="242" spans="2:2" ht="13.5" customHeight="1" x14ac:dyDescent="0.2">
      <c r="B242" s="63"/>
    </row>
    <row r="243" spans="2:2" ht="13.5" customHeight="1" x14ac:dyDescent="0.2">
      <c r="B243" s="64"/>
    </row>
    <row r="244" spans="2:2" ht="13.5" customHeight="1" x14ac:dyDescent="0.2">
      <c r="B244" s="63"/>
    </row>
    <row r="245" spans="2:2" ht="13.5" customHeight="1" x14ac:dyDescent="0.2">
      <c r="B245" s="63"/>
    </row>
    <row r="246" spans="2:2" ht="13.5" customHeight="1" x14ac:dyDescent="0.2">
      <c r="B246" s="85"/>
    </row>
    <row r="247" spans="2:2" ht="13.5" customHeight="1" x14ac:dyDescent="0.2">
      <c r="B247" s="63"/>
    </row>
    <row r="248" spans="2:2" ht="13.5" customHeight="1" x14ac:dyDescent="0.2">
      <c r="B248" s="63"/>
    </row>
    <row r="249" spans="2:2" ht="13.5" customHeight="1" x14ac:dyDescent="0.2">
      <c r="B249" s="64"/>
    </row>
    <row r="250" spans="2:2" ht="13.5" customHeight="1" x14ac:dyDescent="0.2">
      <c r="B250" s="63"/>
    </row>
    <row r="251" spans="2:2" ht="13.5" customHeight="1" x14ac:dyDescent="0.2">
      <c r="B251" s="63"/>
    </row>
    <row r="252" spans="2:2" ht="13.5" customHeight="1" x14ac:dyDescent="0.2">
      <c r="B252" s="64"/>
    </row>
    <row r="253" spans="2:2" ht="13.5" customHeight="1" x14ac:dyDescent="0.2">
      <c r="B253" s="63"/>
    </row>
    <row r="254" spans="2:2" ht="13.5" customHeight="1" x14ac:dyDescent="0.2">
      <c r="B254" s="63"/>
    </row>
    <row r="255" spans="2:2" ht="13.5" customHeight="1" x14ac:dyDescent="0.2">
      <c r="B255" s="64"/>
    </row>
    <row r="256" spans="2:2" ht="13.5" customHeight="1" x14ac:dyDescent="0.2">
      <c r="B256" s="63"/>
    </row>
    <row r="257" spans="2:2" ht="13.5" customHeight="1" x14ac:dyDescent="0.2">
      <c r="B257" s="63"/>
    </row>
    <row r="258" spans="2:2" ht="13.5" customHeight="1" x14ac:dyDescent="0.2">
      <c r="B258" s="63"/>
    </row>
    <row r="259" spans="2:2" ht="13.5" customHeight="1" x14ac:dyDescent="0.2">
      <c r="B259" s="86"/>
    </row>
    <row r="260" spans="2:2" ht="13.5" customHeight="1" x14ac:dyDescent="0.2">
      <c r="B260" s="85"/>
    </row>
    <row r="261" spans="2:2" ht="13.5" customHeight="1" x14ac:dyDescent="0.2">
      <c r="B261" s="87"/>
    </row>
    <row r="262" spans="2:2" ht="13.5" customHeight="1" x14ac:dyDescent="0.2">
      <c r="B262" s="88"/>
    </row>
    <row r="263" spans="2:2" ht="13.5" customHeight="1" x14ac:dyDescent="0.2">
      <c r="B263" s="56"/>
    </row>
    <row r="264" spans="2:2" ht="13.5" customHeight="1" x14ac:dyDescent="0.2">
      <c r="B264" s="56"/>
    </row>
    <row r="265" spans="2:2" ht="13.5" customHeight="1" x14ac:dyDescent="0.2">
      <c r="B265" s="56"/>
    </row>
    <row r="266" spans="2:2" ht="13.5" customHeight="1" x14ac:dyDescent="0.2"/>
    <row r="267" spans="2:2" ht="13.5" customHeight="1" x14ac:dyDescent="0.2">
      <c r="B267" s="56"/>
    </row>
    <row r="268" spans="2:2" ht="13.5" customHeight="1" x14ac:dyDescent="0.2">
      <c r="B268" s="56"/>
    </row>
    <row r="269" spans="2:2" ht="13.5" customHeight="1" x14ac:dyDescent="0.2">
      <c r="B269" s="56"/>
    </row>
    <row r="270" spans="2:2" ht="13.5" customHeight="1" x14ac:dyDescent="0.2">
      <c r="B270" s="27"/>
    </row>
    <row r="271" spans="2:2" ht="13.5" customHeight="1" x14ac:dyDescent="0.2">
      <c r="B271" s="27"/>
    </row>
    <row r="272" spans="2:2" ht="13.5" customHeight="1" x14ac:dyDescent="0.2"/>
    <row r="273" spans="2:2" ht="13.5" customHeight="1" x14ac:dyDescent="0.2">
      <c r="B273" s="56"/>
    </row>
    <row r="274" spans="2:2" ht="13.5" customHeight="1" x14ac:dyDescent="0.2">
      <c r="B274" s="56"/>
    </row>
    <row r="275" spans="2:2" ht="13.5" customHeight="1" x14ac:dyDescent="0.2">
      <c r="B275" s="56"/>
    </row>
    <row r="276" spans="2:2" ht="13.5" customHeight="1" x14ac:dyDescent="0.2">
      <c r="B276" s="56"/>
    </row>
    <row r="277" spans="2:2" ht="13.5" customHeight="1" x14ac:dyDescent="0.2">
      <c r="B277" s="94"/>
    </row>
    <row r="278" spans="2:2" ht="13.5" customHeight="1" x14ac:dyDescent="0.2"/>
    <row r="279" spans="2:2" ht="13.5" customHeight="1" x14ac:dyDescent="0.2"/>
    <row r="280" spans="2:2" ht="13.5" customHeight="1" x14ac:dyDescent="0.2"/>
    <row r="281" spans="2:2" ht="13.5" customHeight="1" x14ac:dyDescent="0.2"/>
    <row r="282" spans="2:2" ht="13.5" customHeight="1" x14ac:dyDescent="0.2"/>
    <row r="283" spans="2:2" ht="13.5" customHeight="1" x14ac:dyDescent="0.2"/>
    <row r="284" spans="2:2" ht="13.5" customHeight="1" x14ac:dyDescent="0.2"/>
    <row r="285" spans="2:2" ht="13.5" customHeight="1" x14ac:dyDescent="0.2"/>
    <row r="286" spans="2:2" ht="13.5" customHeight="1" x14ac:dyDescent="0.2"/>
    <row r="287" spans="2:2" ht="13.5" customHeight="1" x14ac:dyDescent="0.2"/>
  </sheetData>
  <sortState xmlns:xlrd2="http://schemas.microsoft.com/office/spreadsheetml/2017/richdata2" ref="A2:U288">
    <sortCondition ref="A2:A288"/>
    <sortCondition ref="B2:B288"/>
  </sortState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A322"/>
  <sheetViews>
    <sheetView topLeftCell="C200" zoomScale="80" zoomScaleNormal="80" workbookViewId="0">
      <selection activeCell="I214" sqref="I214:J221"/>
    </sheetView>
  </sheetViews>
  <sheetFormatPr defaultColWidth="9" defaultRowHeight="12.75" x14ac:dyDescent="0.2"/>
  <cols>
    <col min="1" max="1" width="14" style="1" customWidth="1"/>
    <col min="2" max="2" width="1.875" style="1" customWidth="1"/>
    <col min="3" max="3" width="99.25" style="1" customWidth="1"/>
    <col min="4" max="4" width="12" style="1" customWidth="1"/>
    <col min="5" max="5" width="12.375" style="1" customWidth="1"/>
    <col min="6" max="6" width="10.75" style="1" customWidth="1"/>
    <col min="7" max="7" width="11.875" style="1" customWidth="1"/>
    <col min="8" max="8" width="13.625" style="1" customWidth="1"/>
    <col min="9" max="9" width="12.125" style="1" customWidth="1"/>
    <col min="10" max="10" width="13.875" style="1" customWidth="1"/>
    <col min="11" max="11" width="9.625" style="1" bestFit="1" customWidth="1"/>
    <col min="12" max="16384" width="9" style="1"/>
  </cols>
  <sheetData>
    <row r="1" spans="1:8" ht="13.5" customHeight="1" thickBot="1" x14ac:dyDescent="0.25">
      <c r="A1" s="1407" t="s">
        <v>3213</v>
      </c>
      <c r="B1" s="1407"/>
      <c r="C1" s="1408"/>
      <c r="D1" s="1409" t="s">
        <v>0</v>
      </c>
      <c r="E1" s="1410"/>
      <c r="F1" s="1410"/>
      <c r="G1" s="1411"/>
    </row>
    <row r="2" spans="1:8" ht="13.5" customHeight="1" thickBot="1" x14ac:dyDescent="0.25">
      <c r="A2" s="2" t="s">
        <v>2</v>
      </c>
      <c r="B2" s="3"/>
      <c r="C2" s="3" t="s">
        <v>2335</v>
      </c>
      <c r="D2" s="3" t="s">
        <v>4</v>
      </c>
      <c r="E2" s="3" t="s">
        <v>5</v>
      </c>
      <c r="F2" s="3" t="s">
        <v>6</v>
      </c>
      <c r="G2" s="5" t="s">
        <v>7</v>
      </c>
    </row>
    <row r="3" spans="1:8" ht="13.5" customHeight="1" x14ac:dyDescent="0.2">
      <c r="A3" s="8">
        <v>43770</v>
      </c>
      <c r="B3" s="56"/>
      <c r="C3" s="10" t="s">
        <v>8</v>
      </c>
      <c r="D3" s="11">
        <v>0</v>
      </c>
      <c r="E3" s="51"/>
      <c r="F3" s="12"/>
      <c r="G3" s="178">
        <v>3861.9800000000159</v>
      </c>
      <c r="H3" s="18"/>
    </row>
    <row r="4" spans="1:8" ht="13.5" customHeight="1" x14ac:dyDescent="0.2">
      <c r="A4" s="180">
        <v>43770</v>
      </c>
      <c r="B4" s="56"/>
      <c r="C4" s="36" t="s">
        <v>3214</v>
      </c>
      <c r="D4" s="11"/>
      <c r="E4" s="30"/>
      <c r="F4" s="12">
        <v>220</v>
      </c>
      <c r="G4" s="182"/>
      <c r="H4" s="18"/>
    </row>
    <row r="5" spans="1:8" ht="13.5" customHeight="1" x14ac:dyDescent="0.2">
      <c r="A5" s="180"/>
      <c r="B5" s="56"/>
      <c r="C5" s="36" t="s">
        <v>3215</v>
      </c>
      <c r="D5" s="11"/>
      <c r="E5" s="30">
        <v>525</v>
      </c>
      <c r="F5" s="12"/>
      <c r="G5" s="182"/>
      <c r="H5" s="18"/>
    </row>
    <row r="6" spans="1:8" ht="13.5" customHeight="1" x14ac:dyDescent="0.2">
      <c r="A6" s="180"/>
      <c r="B6" s="56"/>
      <c r="C6" s="36" t="s">
        <v>3216</v>
      </c>
      <c r="D6" s="11"/>
      <c r="E6" s="30">
        <v>355</v>
      </c>
      <c r="F6" s="12"/>
      <c r="G6" s="182"/>
      <c r="H6" s="18"/>
    </row>
    <row r="7" spans="1:8" ht="13.5" customHeight="1" x14ac:dyDescent="0.2">
      <c r="A7" s="180"/>
      <c r="B7" s="56"/>
      <c r="C7" s="36" t="s">
        <v>3217</v>
      </c>
      <c r="D7" s="11"/>
      <c r="E7" s="30">
        <v>4.9000000000000004</v>
      </c>
      <c r="F7" s="12"/>
      <c r="G7" s="182"/>
      <c r="H7" s="18"/>
    </row>
    <row r="8" spans="1:8" ht="13.5" customHeight="1" x14ac:dyDescent="0.2">
      <c r="A8" s="180"/>
      <c r="B8" s="56"/>
      <c r="C8" s="36" t="s">
        <v>3218</v>
      </c>
      <c r="D8" s="11"/>
      <c r="E8" s="30">
        <v>20</v>
      </c>
      <c r="F8" s="12"/>
      <c r="G8" s="182"/>
      <c r="H8" s="18"/>
    </row>
    <row r="9" spans="1:8" ht="13.5" customHeight="1" x14ac:dyDescent="0.2">
      <c r="A9" s="180"/>
      <c r="B9" s="56"/>
      <c r="C9" s="34" t="s">
        <v>3219</v>
      </c>
      <c r="D9" s="11"/>
      <c r="E9" s="30">
        <v>300</v>
      </c>
      <c r="F9" s="12"/>
      <c r="G9" s="182"/>
      <c r="H9" s="18"/>
    </row>
    <row r="10" spans="1:8" ht="13.5" customHeight="1" x14ac:dyDescent="0.2">
      <c r="A10" s="180"/>
      <c r="B10" s="56"/>
      <c r="C10" s="36" t="s">
        <v>3220</v>
      </c>
      <c r="D10" s="11"/>
      <c r="E10" s="30">
        <v>70</v>
      </c>
      <c r="F10" s="12"/>
      <c r="G10" s="182"/>
      <c r="H10" s="18"/>
    </row>
    <row r="11" spans="1:8" ht="13.5" customHeight="1" x14ac:dyDescent="0.2">
      <c r="A11" s="180"/>
      <c r="B11" s="56"/>
      <c r="C11" s="36" t="s">
        <v>3221</v>
      </c>
      <c r="D11" s="11"/>
      <c r="E11" s="165">
        <v>200</v>
      </c>
      <c r="F11" s="30"/>
      <c r="G11" s="182"/>
      <c r="H11" s="18"/>
    </row>
    <row r="12" spans="1:8" ht="13.5" customHeight="1" x14ac:dyDescent="0.2">
      <c r="A12" s="180"/>
      <c r="B12" s="56"/>
      <c r="C12" s="36" t="s">
        <v>3222</v>
      </c>
      <c r="D12" s="11"/>
      <c r="E12" s="30"/>
      <c r="F12" s="30">
        <v>1900</v>
      </c>
      <c r="G12" s="182">
        <v>4507.0800000000163</v>
      </c>
      <c r="H12" s="18"/>
    </row>
    <row r="13" spans="1:8" ht="13.5" customHeight="1" x14ac:dyDescent="0.2">
      <c r="A13" s="180">
        <v>43773</v>
      </c>
      <c r="B13" s="56"/>
      <c r="C13" s="36" t="s">
        <v>3223</v>
      </c>
      <c r="D13" s="11"/>
      <c r="E13" s="30"/>
      <c r="F13" s="30">
        <v>70</v>
      </c>
      <c r="G13" s="182">
        <v>4577.0800000000163</v>
      </c>
      <c r="H13" s="18"/>
    </row>
    <row r="14" spans="1:8" ht="13.5" customHeight="1" x14ac:dyDescent="0.2">
      <c r="A14" s="180">
        <v>43774</v>
      </c>
      <c r="B14" s="56"/>
      <c r="C14" s="36" t="s">
        <v>3224</v>
      </c>
      <c r="D14" s="11"/>
      <c r="E14" s="30"/>
      <c r="F14" s="30">
        <v>1100</v>
      </c>
      <c r="G14" s="182"/>
      <c r="H14" s="18"/>
    </row>
    <row r="15" spans="1:8" ht="13.5" customHeight="1" x14ac:dyDescent="0.2">
      <c r="A15" s="180"/>
      <c r="B15" s="56"/>
      <c r="C15" s="34" t="s">
        <v>3225</v>
      </c>
      <c r="D15" s="11"/>
      <c r="E15" s="30"/>
      <c r="F15" s="30">
        <v>80</v>
      </c>
      <c r="G15" s="182"/>
      <c r="H15" s="18"/>
    </row>
    <row r="16" spans="1:8" ht="13.5" customHeight="1" x14ac:dyDescent="0.2">
      <c r="A16" s="180"/>
      <c r="B16" s="56"/>
      <c r="C16" s="34" t="s">
        <v>3226</v>
      </c>
      <c r="D16" s="11"/>
      <c r="E16" s="30"/>
      <c r="F16" s="30">
        <v>80</v>
      </c>
      <c r="G16" s="182">
        <v>5837.0800000000163</v>
      </c>
      <c r="H16" s="18"/>
    </row>
    <row r="17" spans="1:8" ht="13.5" customHeight="1" x14ac:dyDescent="0.2">
      <c r="A17" s="180">
        <v>43775</v>
      </c>
      <c r="B17" s="56"/>
      <c r="C17" s="34" t="s">
        <v>1625</v>
      </c>
      <c r="D17" s="11"/>
      <c r="E17" s="165">
        <v>2000</v>
      </c>
      <c r="F17" s="30"/>
      <c r="G17" s="182"/>
      <c r="H17" s="18"/>
    </row>
    <row r="18" spans="1:8" ht="13.5" customHeight="1" x14ac:dyDescent="0.2">
      <c r="A18" s="180"/>
      <c r="B18" s="56"/>
      <c r="C18" s="34" t="s">
        <v>3227</v>
      </c>
      <c r="D18" s="11"/>
      <c r="E18" s="30"/>
      <c r="F18" s="30">
        <v>754</v>
      </c>
      <c r="G18" s="182"/>
      <c r="H18" s="18"/>
    </row>
    <row r="19" spans="1:8" ht="13.5" customHeight="1" x14ac:dyDescent="0.2">
      <c r="A19" s="180"/>
      <c r="B19" s="56"/>
      <c r="C19" s="34" t="s">
        <v>3228</v>
      </c>
      <c r="D19" s="11"/>
      <c r="E19" s="30"/>
      <c r="F19" s="30">
        <v>1500</v>
      </c>
      <c r="G19" s="182"/>
      <c r="H19" s="18"/>
    </row>
    <row r="20" spans="1:8" ht="13.5" customHeight="1" x14ac:dyDescent="0.2">
      <c r="A20" s="180"/>
      <c r="B20" s="56"/>
      <c r="C20" s="34" t="s">
        <v>3229</v>
      </c>
      <c r="D20" s="11"/>
      <c r="E20" s="165">
        <v>754</v>
      </c>
      <c r="F20" s="30"/>
      <c r="G20" s="182"/>
      <c r="H20" s="18"/>
    </row>
    <row r="21" spans="1:8" ht="13.5" customHeight="1" x14ac:dyDescent="0.2">
      <c r="A21" s="180"/>
      <c r="B21" s="56"/>
      <c r="C21" s="34" t="s">
        <v>3230</v>
      </c>
      <c r="D21" s="11"/>
      <c r="E21" s="30"/>
      <c r="F21" s="165">
        <v>200</v>
      </c>
      <c r="G21" s="182"/>
      <c r="H21" s="18"/>
    </row>
    <row r="22" spans="1:8" ht="13.5" customHeight="1" x14ac:dyDescent="0.2">
      <c r="A22" s="180"/>
      <c r="B22" s="56"/>
      <c r="C22" s="34" t="s">
        <v>3231</v>
      </c>
      <c r="D22" s="11"/>
      <c r="E22" s="30">
        <v>300</v>
      </c>
      <c r="F22" s="30"/>
      <c r="G22" s="182">
        <v>5237.0800000000163</v>
      </c>
      <c r="H22" s="18"/>
    </row>
    <row r="23" spans="1:8" ht="13.5" customHeight="1" x14ac:dyDescent="0.2">
      <c r="A23" s="180">
        <v>43776</v>
      </c>
      <c r="B23" s="56"/>
      <c r="C23" s="34" t="s">
        <v>1625</v>
      </c>
      <c r="D23" s="11"/>
      <c r="E23" s="165">
        <v>2500</v>
      </c>
      <c r="F23" s="30"/>
      <c r="G23" s="182"/>
      <c r="H23" s="18"/>
    </row>
    <row r="24" spans="1:8" ht="13.5" customHeight="1" x14ac:dyDescent="0.2">
      <c r="A24" s="180"/>
      <c r="B24" s="56"/>
      <c r="C24" s="34" t="s">
        <v>3232</v>
      </c>
      <c r="D24" s="11"/>
      <c r="E24" s="30">
        <v>500</v>
      </c>
      <c r="F24" s="30"/>
      <c r="G24" s="182"/>
      <c r="H24" s="18"/>
    </row>
    <row r="25" spans="1:8" ht="13.5" customHeight="1" x14ac:dyDescent="0.2">
      <c r="A25" s="180"/>
      <c r="B25" s="56"/>
      <c r="C25" s="34" t="s">
        <v>3233</v>
      </c>
      <c r="D25" s="11"/>
      <c r="E25" s="30">
        <v>40</v>
      </c>
      <c r="F25" s="30"/>
      <c r="G25" s="182"/>
      <c r="H25" s="18"/>
    </row>
    <row r="26" spans="1:8" ht="13.5" customHeight="1" x14ac:dyDescent="0.2">
      <c r="A26" s="180"/>
      <c r="B26" s="56"/>
      <c r="C26" s="34" t="s">
        <v>3234</v>
      </c>
      <c r="D26" s="11"/>
      <c r="E26" s="30">
        <v>180</v>
      </c>
      <c r="F26" s="30"/>
      <c r="G26" s="182">
        <v>2017.0800000000163</v>
      </c>
      <c r="H26" s="18"/>
    </row>
    <row r="27" spans="1:8" ht="13.5" customHeight="1" x14ac:dyDescent="0.2">
      <c r="A27" s="180">
        <v>43777</v>
      </c>
      <c r="B27" s="56"/>
      <c r="C27" s="34" t="s">
        <v>3235</v>
      </c>
      <c r="D27" s="11"/>
      <c r="E27" s="30"/>
      <c r="F27" s="30">
        <v>1168.05</v>
      </c>
      <c r="G27" s="182"/>
      <c r="H27" s="18"/>
    </row>
    <row r="28" spans="1:8" ht="13.5" customHeight="1" x14ac:dyDescent="0.2">
      <c r="A28" s="180"/>
      <c r="B28" s="56"/>
      <c r="C28" s="34" t="s">
        <v>3236</v>
      </c>
      <c r="D28" s="11"/>
      <c r="E28" s="30"/>
      <c r="F28" s="30">
        <v>150</v>
      </c>
      <c r="G28" s="182"/>
      <c r="H28" s="18"/>
    </row>
    <row r="29" spans="1:8" ht="13.5" customHeight="1" x14ac:dyDescent="0.2">
      <c r="A29" s="180"/>
      <c r="B29" s="56"/>
      <c r="C29" s="34" t="s">
        <v>3237</v>
      </c>
      <c r="D29" s="11"/>
      <c r="E29" s="30"/>
      <c r="F29" s="30">
        <v>1507</v>
      </c>
      <c r="G29" s="182"/>
      <c r="H29" s="18"/>
    </row>
    <row r="30" spans="1:8" ht="13.5" customHeight="1" x14ac:dyDescent="0.2">
      <c r="A30" s="180"/>
      <c r="B30" s="56"/>
      <c r="C30" s="34" t="s">
        <v>3238</v>
      </c>
      <c r="D30" s="11"/>
      <c r="E30" s="30">
        <v>1625</v>
      </c>
      <c r="F30" s="30"/>
      <c r="G30" s="182"/>
      <c r="H30" s="18"/>
    </row>
    <row r="31" spans="1:8" ht="13.5" customHeight="1" x14ac:dyDescent="0.2">
      <c r="A31" s="180"/>
      <c r="B31" s="56"/>
      <c r="C31" s="34" t="s">
        <v>3239</v>
      </c>
      <c r="D31" s="11"/>
      <c r="E31" s="30">
        <v>525</v>
      </c>
      <c r="F31" s="30"/>
      <c r="G31" s="182"/>
      <c r="H31" s="18"/>
    </row>
    <row r="32" spans="1:8" ht="13.5" customHeight="1" x14ac:dyDescent="0.2">
      <c r="A32" s="180"/>
      <c r="B32" s="56"/>
      <c r="C32" s="34" t="s">
        <v>1887</v>
      </c>
      <c r="D32" s="11"/>
      <c r="E32" s="30">
        <v>70</v>
      </c>
      <c r="F32" s="30"/>
      <c r="G32" s="182"/>
      <c r="H32" s="18"/>
    </row>
    <row r="33" spans="1:10" ht="13.5" customHeight="1" x14ac:dyDescent="0.2">
      <c r="A33" s="180"/>
      <c r="B33" s="56"/>
      <c r="C33" s="34" t="s">
        <v>3240</v>
      </c>
      <c r="D33" s="11"/>
      <c r="E33" s="30"/>
      <c r="F33" s="30">
        <v>200</v>
      </c>
      <c r="G33" s="182">
        <v>2822.1300000000165</v>
      </c>
      <c r="H33" s="18"/>
    </row>
    <row r="34" spans="1:10" ht="13.5" customHeight="1" x14ac:dyDescent="0.2">
      <c r="A34" s="180">
        <v>43780</v>
      </c>
      <c r="B34" s="56"/>
      <c r="C34" s="34" t="s">
        <v>3241</v>
      </c>
      <c r="D34" s="11"/>
      <c r="E34" s="30"/>
      <c r="F34" s="30">
        <v>1000</v>
      </c>
      <c r="G34" s="182"/>
      <c r="H34" s="18"/>
    </row>
    <row r="35" spans="1:10" ht="13.5" customHeight="1" x14ac:dyDescent="0.2">
      <c r="A35" s="180"/>
      <c r="B35" s="56"/>
      <c r="C35" s="34" t="s">
        <v>3242</v>
      </c>
      <c r="D35" s="11"/>
      <c r="E35" s="30"/>
      <c r="F35" s="30">
        <v>200</v>
      </c>
      <c r="G35" s="182"/>
      <c r="H35" s="18"/>
    </row>
    <row r="36" spans="1:10" ht="13.5" customHeight="1" x14ac:dyDescent="0.2">
      <c r="A36" s="180"/>
      <c r="B36" s="56"/>
      <c r="C36" s="34" t="s">
        <v>3243</v>
      </c>
      <c r="D36" s="11"/>
      <c r="E36" s="165">
        <v>400</v>
      </c>
      <c r="F36" s="30"/>
      <c r="G36" s="182"/>
      <c r="H36" s="18"/>
    </row>
    <row r="37" spans="1:10" ht="13.5" customHeight="1" x14ac:dyDescent="0.2">
      <c r="A37" s="180"/>
      <c r="B37" s="56"/>
      <c r="C37" s="34" t="s">
        <v>1625</v>
      </c>
      <c r="D37" s="11"/>
      <c r="E37" s="165">
        <v>1200</v>
      </c>
      <c r="F37" s="30"/>
      <c r="G37" s="182"/>
      <c r="H37" s="18"/>
    </row>
    <row r="38" spans="1:10" ht="13.5" customHeight="1" x14ac:dyDescent="0.2">
      <c r="A38" s="180"/>
      <c r="B38" s="56"/>
      <c r="C38" s="34" t="s">
        <v>3244</v>
      </c>
      <c r="D38" s="11"/>
      <c r="E38" s="30"/>
      <c r="F38" s="30">
        <v>250</v>
      </c>
      <c r="G38" s="182">
        <v>2672.1300000000165</v>
      </c>
      <c r="H38" s="18"/>
    </row>
    <row r="39" spans="1:10" ht="13.5" customHeight="1" x14ac:dyDescent="0.2">
      <c r="A39" s="180">
        <v>43781</v>
      </c>
      <c r="B39" s="56"/>
      <c r="C39" s="36" t="s">
        <v>3245</v>
      </c>
      <c r="D39" s="11"/>
      <c r="E39" s="30"/>
      <c r="F39" s="30">
        <v>250</v>
      </c>
      <c r="G39" s="182"/>
      <c r="H39" s="18"/>
    </row>
    <row r="40" spans="1:10" ht="13.5" customHeight="1" x14ac:dyDescent="0.2">
      <c r="A40" s="180"/>
      <c r="B40" s="56"/>
      <c r="C40" s="36" t="s">
        <v>1881</v>
      </c>
      <c r="D40" s="11"/>
      <c r="E40" s="30">
        <v>9.4499999999999993</v>
      </c>
      <c r="F40" s="30"/>
      <c r="G40" s="182">
        <v>2912.6800000000167</v>
      </c>
      <c r="H40" s="18"/>
    </row>
    <row r="41" spans="1:10" ht="13.5" customHeight="1" x14ac:dyDescent="0.2">
      <c r="A41" s="180">
        <v>43782</v>
      </c>
      <c r="B41" s="56"/>
      <c r="C41" s="36" t="s">
        <v>3246</v>
      </c>
      <c r="D41" s="11"/>
      <c r="E41" s="30">
        <v>120</v>
      </c>
      <c r="F41" s="30"/>
      <c r="G41" s="182"/>
      <c r="H41" s="18"/>
    </row>
    <row r="42" spans="1:10" ht="13.5" customHeight="1" x14ac:dyDescent="0.2">
      <c r="A42" s="180"/>
      <c r="B42" s="56"/>
      <c r="C42" s="36" t="s">
        <v>3247</v>
      </c>
      <c r="D42" s="11"/>
      <c r="E42" s="30"/>
      <c r="F42" s="30">
        <v>3765</v>
      </c>
      <c r="G42" s="182"/>
      <c r="H42" s="18"/>
    </row>
    <row r="43" spans="1:10" ht="13.5" customHeight="1" x14ac:dyDescent="0.2">
      <c r="A43" s="180"/>
      <c r="B43" s="56"/>
      <c r="C43" s="36" t="s">
        <v>3248</v>
      </c>
      <c r="D43" s="11"/>
      <c r="E43" s="30">
        <v>2490</v>
      </c>
      <c r="F43" s="30"/>
      <c r="G43" s="182"/>
      <c r="H43" s="18"/>
    </row>
    <row r="44" spans="1:10" ht="13.5" customHeight="1" x14ac:dyDescent="0.2">
      <c r="A44" s="180"/>
      <c r="B44" s="56"/>
      <c r="C44" s="36" t="s">
        <v>2776</v>
      </c>
      <c r="D44" s="11"/>
      <c r="E44" s="552">
        <v>500</v>
      </c>
      <c r="F44" s="30"/>
      <c r="G44" s="182">
        <v>3567.6800000000167</v>
      </c>
      <c r="H44" s="18"/>
    </row>
    <row r="45" spans="1:10" ht="13.5" customHeight="1" x14ac:dyDescent="0.2">
      <c r="A45" s="180">
        <v>43783</v>
      </c>
      <c r="B45" s="56"/>
      <c r="C45" s="36" t="s">
        <v>1666</v>
      </c>
      <c r="D45" s="11"/>
      <c r="E45" s="30">
        <v>55.9</v>
      </c>
      <c r="F45" s="30"/>
      <c r="G45" s="182"/>
      <c r="H45" s="18"/>
    </row>
    <row r="46" spans="1:10" ht="13.5" customHeight="1" x14ac:dyDescent="0.2">
      <c r="A46" s="180"/>
      <c r="B46" s="56"/>
      <c r="C46" s="36" t="s">
        <v>3249</v>
      </c>
      <c r="D46" s="11"/>
      <c r="E46" s="30">
        <v>4.5</v>
      </c>
      <c r="F46" s="30"/>
      <c r="G46" s="182"/>
      <c r="H46" s="18"/>
    </row>
    <row r="47" spans="1:10" ht="13.5" customHeight="1" x14ac:dyDescent="0.2">
      <c r="A47" s="180"/>
      <c r="B47" s="56"/>
      <c r="C47" s="36" t="s">
        <v>3250</v>
      </c>
      <c r="D47" s="11"/>
      <c r="E47" s="30">
        <v>19.2</v>
      </c>
      <c r="F47" s="30"/>
      <c r="G47" s="182"/>
      <c r="H47" s="18"/>
    </row>
    <row r="48" spans="1:10" ht="13.5" customHeight="1" x14ac:dyDescent="0.2">
      <c r="A48" s="180"/>
      <c r="B48" s="56"/>
      <c r="C48" s="36" t="s">
        <v>3251</v>
      </c>
      <c r="D48" s="11"/>
      <c r="E48" s="30">
        <v>35.369999999999997</v>
      </c>
      <c r="F48" s="30"/>
      <c r="G48" s="182"/>
      <c r="H48" s="18"/>
      <c r="J48" s="1">
        <v>35.369999999999997</v>
      </c>
    </row>
    <row r="49" spans="1:10" ht="13.5" customHeight="1" x14ac:dyDescent="0.2">
      <c r="A49" s="180"/>
      <c r="B49" s="56"/>
      <c r="C49" s="36" t="s">
        <v>3252</v>
      </c>
      <c r="D49" s="11"/>
      <c r="E49" s="30">
        <v>29.68</v>
      </c>
      <c r="F49" s="30"/>
      <c r="G49" s="182"/>
      <c r="H49" s="18"/>
      <c r="J49" s="1">
        <v>29.68</v>
      </c>
    </row>
    <row r="50" spans="1:10" ht="13.5" customHeight="1" x14ac:dyDescent="0.2">
      <c r="A50" s="180"/>
      <c r="B50" s="56"/>
      <c r="C50" s="36" t="s">
        <v>3253</v>
      </c>
      <c r="D50" s="11"/>
      <c r="E50" s="30">
        <v>46.66</v>
      </c>
      <c r="F50" s="30"/>
      <c r="G50" s="182"/>
      <c r="H50" s="18"/>
      <c r="J50" s="1">
        <v>46.66</v>
      </c>
    </row>
    <row r="51" spans="1:10" ht="13.5" customHeight="1" x14ac:dyDescent="0.2">
      <c r="A51" s="180"/>
      <c r="B51" s="56"/>
      <c r="C51" s="36" t="s">
        <v>3254</v>
      </c>
      <c r="D51" s="11"/>
      <c r="E51" s="30">
        <v>33.6</v>
      </c>
      <c r="F51" s="30"/>
      <c r="G51" s="182"/>
      <c r="H51" s="18"/>
      <c r="J51" s="1">
        <v>33.6</v>
      </c>
    </row>
    <row r="52" spans="1:10" ht="13.5" customHeight="1" x14ac:dyDescent="0.2">
      <c r="A52" s="180"/>
      <c r="B52" s="56"/>
      <c r="C52" s="36" t="s">
        <v>3255</v>
      </c>
      <c r="D52" s="11"/>
      <c r="E52" s="30">
        <v>15.75</v>
      </c>
      <c r="F52" s="30"/>
      <c r="G52" s="182"/>
      <c r="H52" s="18"/>
      <c r="J52" s="1">
        <v>5.65</v>
      </c>
    </row>
    <row r="53" spans="1:10" ht="13.5" customHeight="1" x14ac:dyDescent="0.2">
      <c r="A53" s="180"/>
      <c r="B53" s="56"/>
      <c r="C53" s="36" t="s">
        <v>3256</v>
      </c>
      <c r="D53" s="11"/>
      <c r="E53" s="30">
        <v>0.95</v>
      </c>
      <c r="F53" s="30"/>
      <c r="G53" s="182"/>
      <c r="H53" s="18"/>
      <c r="J53" s="1">
        <v>28.31</v>
      </c>
    </row>
    <row r="54" spans="1:10" ht="13.5" customHeight="1" x14ac:dyDescent="0.2">
      <c r="A54" s="180"/>
      <c r="B54" s="56"/>
      <c r="C54" s="36" t="s">
        <v>3257</v>
      </c>
      <c r="D54" s="11"/>
      <c r="E54" s="30">
        <v>14</v>
      </c>
      <c r="F54" s="30"/>
      <c r="G54" s="182"/>
      <c r="H54" s="18"/>
      <c r="J54" s="1">
        <v>179.27</v>
      </c>
    </row>
    <row r="55" spans="1:10" ht="13.5" customHeight="1" x14ac:dyDescent="0.2">
      <c r="A55" s="180"/>
      <c r="B55" s="56"/>
      <c r="C55" s="36" t="s">
        <v>3258</v>
      </c>
      <c r="D55" s="11"/>
      <c r="E55" s="30">
        <v>5.65</v>
      </c>
      <c r="F55" s="30"/>
      <c r="G55" s="182"/>
      <c r="H55" s="18"/>
    </row>
    <row r="56" spans="1:10" ht="13.5" customHeight="1" x14ac:dyDescent="0.2">
      <c r="A56" s="180"/>
      <c r="B56" s="56"/>
      <c r="C56" s="36" t="s">
        <v>3259</v>
      </c>
      <c r="D56" s="11"/>
      <c r="E56" s="30">
        <v>48</v>
      </c>
      <c r="F56" s="30"/>
      <c r="G56" s="182"/>
      <c r="H56" s="18"/>
    </row>
    <row r="57" spans="1:10" ht="13.5" customHeight="1" x14ac:dyDescent="0.2">
      <c r="A57" s="180"/>
      <c r="B57" s="56"/>
      <c r="C57" s="36" t="s">
        <v>3260</v>
      </c>
      <c r="D57" s="11"/>
      <c r="E57" s="30">
        <v>28.31</v>
      </c>
      <c r="F57" s="30"/>
      <c r="G57" s="182"/>
      <c r="H57" s="18"/>
    </row>
    <row r="58" spans="1:10" ht="13.5" customHeight="1" x14ac:dyDescent="0.2">
      <c r="A58" s="180"/>
      <c r="B58" s="56"/>
      <c r="C58" s="36" t="s">
        <v>2420</v>
      </c>
      <c r="D58" s="11"/>
      <c r="E58" s="30">
        <v>5.34</v>
      </c>
      <c r="F58" s="30"/>
      <c r="G58" s="182"/>
      <c r="H58" s="18"/>
    </row>
    <row r="59" spans="1:10" ht="13.5" customHeight="1" x14ac:dyDescent="0.2">
      <c r="A59" s="180"/>
      <c r="B59" s="56"/>
      <c r="C59" s="36" t="s">
        <v>3261</v>
      </c>
      <c r="D59" s="11"/>
      <c r="E59" s="30">
        <v>8.5500000000000007</v>
      </c>
      <c r="F59" s="30"/>
      <c r="G59" s="182"/>
      <c r="H59" s="18"/>
    </row>
    <row r="60" spans="1:10" ht="13.5" customHeight="1" x14ac:dyDescent="0.2">
      <c r="A60" s="180"/>
      <c r="B60" s="56"/>
      <c r="C60" s="36" t="s">
        <v>3262</v>
      </c>
      <c r="D60" s="11"/>
      <c r="E60" s="30">
        <v>14</v>
      </c>
      <c r="F60" s="30"/>
      <c r="G60" s="182"/>
      <c r="H60" s="18"/>
    </row>
    <row r="61" spans="1:10" ht="13.5" customHeight="1" x14ac:dyDescent="0.2">
      <c r="A61" s="180"/>
      <c r="B61" s="56"/>
      <c r="C61" s="36" t="s">
        <v>3263</v>
      </c>
      <c r="D61" s="11"/>
      <c r="E61" s="30">
        <v>9.8000000000000007</v>
      </c>
      <c r="F61" s="30"/>
      <c r="G61" s="182"/>
      <c r="H61" s="18"/>
    </row>
    <row r="62" spans="1:10" ht="13.5" customHeight="1" x14ac:dyDescent="0.2">
      <c r="A62" s="180"/>
      <c r="B62" s="56"/>
      <c r="C62" s="36" t="s">
        <v>3264</v>
      </c>
      <c r="D62" s="11"/>
      <c r="E62" s="30">
        <v>44.3</v>
      </c>
      <c r="F62" s="30"/>
      <c r="G62" s="182"/>
      <c r="H62" s="18"/>
    </row>
    <row r="63" spans="1:10" ht="13.5" customHeight="1" x14ac:dyDescent="0.2">
      <c r="A63" s="180"/>
      <c r="B63" s="56"/>
      <c r="C63" s="36" t="s">
        <v>3265</v>
      </c>
      <c r="D63" s="11"/>
      <c r="E63" s="30">
        <v>11.3</v>
      </c>
      <c r="F63" s="30"/>
      <c r="G63" s="182"/>
      <c r="H63" s="18"/>
    </row>
    <row r="64" spans="1:10" ht="13.5" customHeight="1" x14ac:dyDescent="0.2">
      <c r="A64" s="180"/>
      <c r="B64" s="56"/>
      <c r="C64" s="36" t="s">
        <v>3266</v>
      </c>
      <c r="D64" s="11"/>
      <c r="E64" s="30">
        <v>6.6</v>
      </c>
      <c r="F64" s="30"/>
      <c r="G64" s="182"/>
      <c r="H64" s="18"/>
    </row>
    <row r="65" spans="1:8" ht="13.5" customHeight="1" x14ac:dyDescent="0.2">
      <c r="A65" s="180"/>
      <c r="B65" s="56"/>
      <c r="C65" s="36" t="s">
        <v>3267</v>
      </c>
      <c r="D65" s="11"/>
      <c r="E65" s="30">
        <v>2.4</v>
      </c>
      <c r="F65" s="30"/>
      <c r="G65" s="182"/>
      <c r="H65" s="18"/>
    </row>
    <row r="66" spans="1:8" ht="13.5" customHeight="1" x14ac:dyDescent="0.2">
      <c r="A66" s="180"/>
      <c r="B66" s="56"/>
      <c r="C66" s="36" t="s">
        <v>3268</v>
      </c>
      <c r="D66" s="11"/>
      <c r="E66" s="30"/>
      <c r="F66" s="30">
        <v>1130</v>
      </c>
      <c r="G66" s="182"/>
      <c r="H66" s="18"/>
    </row>
    <row r="67" spans="1:8" ht="13.5" customHeight="1" x14ac:dyDescent="0.2">
      <c r="A67" s="180"/>
      <c r="B67" s="56"/>
      <c r="C67" s="36" t="s">
        <v>3269</v>
      </c>
      <c r="D67" s="11"/>
      <c r="E67" s="30"/>
      <c r="F67" s="30">
        <v>1058.6300000000001</v>
      </c>
      <c r="G67" s="182"/>
      <c r="H67" s="18"/>
    </row>
    <row r="68" spans="1:8" ht="13.5" customHeight="1" x14ac:dyDescent="0.2">
      <c r="A68" s="180"/>
      <c r="B68" s="56"/>
      <c r="C68" s="36" t="s">
        <v>2776</v>
      </c>
      <c r="D68" s="11"/>
      <c r="E68" s="552">
        <v>2500</v>
      </c>
      <c r="F68" s="30"/>
      <c r="G68" s="182"/>
      <c r="H68" s="18"/>
    </row>
    <row r="69" spans="1:8" ht="13.5" customHeight="1" x14ac:dyDescent="0.2">
      <c r="A69" s="180"/>
      <c r="B69" s="56"/>
      <c r="C69" s="36" t="s">
        <v>3270</v>
      </c>
      <c r="D69" s="11"/>
      <c r="E69" s="30">
        <v>320</v>
      </c>
      <c r="F69" s="30"/>
      <c r="G69" s="182"/>
      <c r="H69" s="18"/>
    </row>
    <row r="70" spans="1:8" ht="13.5" customHeight="1" x14ac:dyDescent="0.2">
      <c r="A70" s="180"/>
      <c r="B70" s="56"/>
      <c r="C70" s="36" t="s">
        <v>3271</v>
      </c>
      <c r="D70" s="11"/>
      <c r="E70" s="30">
        <v>420</v>
      </c>
      <c r="F70" s="30"/>
      <c r="G70" s="182"/>
      <c r="H70" s="18"/>
    </row>
    <row r="71" spans="1:8" ht="13.5" customHeight="1" x14ac:dyDescent="0.2">
      <c r="A71" s="180"/>
      <c r="B71" s="56"/>
      <c r="C71" s="36" t="s">
        <v>2790</v>
      </c>
      <c r="D71" s="11"/>
      <c r="E71" s="30"/>
      <c r="F71" s="552">
        <v>500</v>
      </c>
      <c r="G71" s="182"/>
      <c r="H71" s="18"/>
    </row>
    <row r="72" spans="1:8" ht="13.5" customHeight="1" x14ac:dyDescent="0.2">
      <c r="A72" s="180"/>
      <c r="B72" s="56"/>
      <c r="C72" s="36" t="s">
        <v>3272</v>
      </c>
      <c r="D72" s="11"/>
      <c r="E72" s="30">
        <v>1890</v>
      </c>
      <c r="F72" s="30"/>
      <c r="G72" s="182">
        <v>686.45000000001619</v>
      </c>
      <c r="H72" s="18"/>
    </row>
    <row r="73" spans="1:8" ht="13.5" customHeight="1" x14ac:dyDescent="0.2">
      <c r="A73" s="180">
        <v>43787</v>
      </c>
      <c r="B73" s="56"/>
      <c r="C73" s="36" t="s">
        <v>3273</v>
      </c>
      <c r="D73" s="11"/>
      <c r="E73" s="30">
        <v>2.4</v>
      </c>
      <c r="F73" s="30"/>
      <c r="G73" s="182">
        <v>684.05000000001621</v>
      </c>
      <c r="H73" s="18"/>
    </row>
    <row r="74" spans="1:8" ht="13.5" customHeight="1" x14ac:dyDescent="0.2">
      <c r="A74" s="180">
        <v>43788</v>
      </c>
      <c r="B74" s="56"/>
      <c r="C74" s="36" t="s">
        <v>3274</v>
      </c>
      <c r="D74" s="11"/>
      <c r="E74" s="30"/>
      <c r="F74" s="30">
        <v>1518.28</v>
      </c>
      <c r="G74" s="182"/>
      <c r="H74" s="18"/>
    </row>
    <row r="75" spans="1:8" ht="13.5" customHeight="1" x14ac:dyDescent="0.2">
      <c r="A75" s="180"/>
      <c r="B75" s="56"/>
      <c r="C75" s="36" t="s">
        <v>3275</v>
      </c>
      <c r="D75" s="11"/>
      <c r="E75" s="30">
        <v>500</v>
      </c>
      <c r="F75" s="30"/>
      <c r="G75" s="182"/>
      <c r="H75" s="18"/>
    </row>
    <row r="76" spans="1:8" ht="13.5" customHeight="1" x14ac:dyDescent="0.2">
      <c r="A76" s="180"/>
      <c r="B76" s="56"/>
      <c r="C76" s="36" t="s">
        <v>3276</v>
      </c>
      <c r="D76" s="11"/>
      <c r="E76" s="30"/>
      <c r="F76" s="30">
        <v>525</v>
      </c>
      <c r="G76" s="182"/>
      <c r="H76" s="18"/>
    </row>
    <row r="77" spans="1:8" ht="13.5" customHeight="1" x14ac:dyDescent="0.2">
      <c r="A77" s="180"/>
      <c r="B77" s="56"/>
      <c r="C77" s="36" t="s">
        <v>3277</v>
      </c>
      <c r="D77" s="11"/>
      <c r="E77" s="30"/>
      <c r="F77" s="30">
        <v>8059.75</v>
      </c>
      <c r="G77" s="182"/>
      <c r="H77" s="18"/>
    </row>
    <row r="78" spans="1:8" ht="13.5" customHeight="1" x14ac:dyDescent="0.2">
      <c r="A78" s="180"/>
      <c r="B78" s="56"/>
      <c r="C78" s="36" t="s">
        <v>3278</v>
      </c>
      <c r="D78" s="11"/>
      <c r="E78" s="165">
        <v>8584.75</v>
      </c>
      <c r="F78" s="30"/>
      <c r="G78" s="182"/>
      <c r="H78" s="18"/>
    </row>
    <row r="79" spans="1:8" ht="13.5" customHeight="1" x14ac:dyDescent="0.2">
      <c r="A79" s="180"/>
      <c r="B79" s="56"/>
      <c r="C79" s="36" t="s">
        <v>3279</v>
      </c>
      <c r="D79" s="11"/>
      <c r="E79" s="30"/>
      <c r="F79" s="30">
        <v>356.94</v>
      </c>
      <c r="G79" s="182"/>
      <c r="H79" s="18"/>
    </row>
    <row r="80" spans="1:8" ht="13.5" customHeight="1" x14ac:dyDescent="0.2">
      <c r="A80" s="180"/>
      <c r="B80" s="56"/>
      <c r="C80" s="36" t="s">
        <v>3280</v>
      </c>
      <c r="D80" s="11"/>
      <c r="E80" s="165">
        <v>356.94</v>
      </c>
      <c r="F80" s="30"/>
      <c r="G80" s="182"/>
      <c r="H80" s="18"/>
    </row>
    <row r="81" spans="1:8" ht="13.5" customHeight="1" x14ac:dyDescent="0.2">
      <c r="A81" s="180"/>
      <c r="B81" s="56"/>
      <c r="C81" s="36" t="s">
        <v>3281</v>
      </c>
      <c r="D81" s="11"/>
      <c r="E81" s="30"/>
      <c r="F81" s="30">
        <v>5200</v>
      </c>
      <c r="G81" s="182"/>
      <c r="H81" s="18"/>
    </row>
    <row r="82" spans="1:8" ht="13.5" customHeight="1" x14ac:dyDescent="0.2">
      <c r="A82" s="180"/>
      <c r="B82" s="56"/>
      <c r="C82" s="36" t="s">
        <v>3282</v>
      </c>
      <c r="D82" s="11"/>
      <c r="E82" s="30">
        <v>105</v>
      </c>
      <c r="F82" s="30"/>
      <c r="G82" s="182">
        <v>6797.3300000000163</v>
      </c>
      <c r="H82" s="18"/>
    </row>
    <row r="83" spans="1:8" ht="13.5" customHeight="1" x14ac:dyDescent="0.2">
      <c r="A83" s="180">
        <v>43789</v>
      </c>
      <c r="B83" s="56"/>
      <c r="C83" s="36" t="s">
        <v>3283</v>
      </c>
      <c r="D83" s="11"/>
      <c r="E83" s="30">
        <v>25</v>
      </c>
      <c r="F83" s="30"/>
      <c r="G83" s="182"/>
      <c r="H83" s="18"/>
    </row>
    <row r="84" spans="1:8" ht="13.5" customHeight="1" x14ac:dyDescent="0.2">
      <c r="A84" s="180"/>
      <c r="B84" s="56"/>
      <c r="C84" s="36" t="s">
        <v>3284</v>
      </c>
      <c r="D84" s="11"/>
      <c r="E84" s="30">
        <v>50.2</v>
      </c>
      <c r="F84" s="30"/>
      <c r="G84" s="182"/>
      <c r="H84" s="18"/>
    </row>
    <row r="85" spans="1:8" ht="13.5" customHeight="1" x14ac:dyDescent="0.2">
      <c r="A85" s="180"/>
      <c r="B85" s="56"/>
      <c r="C85" s="36" t="s">
        <v>3285</v>
      </c>
      <c r="D85" s="11"/>
      <c r="E85" s="30">
        <v>7</v>
      </c>
      <c r="F85" s="30"/>
      <c r="G85" s="182"/>
      <c r="H85" s="18"/>
    </row>
    <row r="86" spans="1:8" ht="13.5" customHeight="1" x14ac:dyDescent="0.2">
      <c r="A86" s="180"/>
      <c r="B86" s="56"/>
      <c r="C86" s="36" t="s">
        <v>1666</v>
      </c>
      <c r="D86" s="11"/>
      <c r="E86" s="30">
        <v>55.9</v>
      </c>
      <c r="F86" s="30"/>
      <c r="G86" s="182"/>
      <c r="H86" s="18"/>
    </row>
    <row r="87" spans="1:8" ht="13.5" customHeight="1" x14ac:dyDescent="0.2">
      <c r="A87" s="180"/>
      <c r="B87" s="56"/>
      <c r="C87" s="36" t="s">
        <v>3286</v>
      </c>
      <c r="D87" s="11"/>
      <c r="E87" s="165">
        <v>3000</v>
      </c>
      <c r="F87" s="30"/>
      <c r="G87" s="182">
        <v>3659.2300000000168</v>
      </c>
      <c r="H87" s="18"/>
    </row>
    <row r="88" spans="1:8" ht="13.5" customHeight="1" x14ac:dyDescent="0.2">
      <c r="A88" s="180">
        <v>43790</v>
      </c>
      <c r="B88" s="56"/>
      <c r="C88" s="36" t="s">
        <v>3287</v>
      </c>
      <c r="D88" s="11"/>
      <c r="E88" s="30"/>
      <c r="F88" s="30">
        <v>40</v>
      </c>
      <c r="G88" s="182"/>
      <c r="H88" s="18"/>
    </row>
    <row r="89" spans="1:8" ht="13.5" customHeight="1" x14ac:dyDescent="0.2">
      <c r="A89" s="180"/>
      <c r="B89" s="56"/>
      <c r="C89" s="36" t="s">
        <v>3288</v>
      </c>
      <c r="D89" s="11"/>
      <c r="E89" s="30"/>
      <c r="F89" s="30">
        <v>250</v>
      </c>
      <c r="G89" s="182"/>
      <c r="H89" s="18"/>
    </row>
    <row r="90" spans="1:8" ht="13.5" customHeight="1" x14ac:dyDescent="0.2">
      <c r="A90" s="180"/>
      <c r="B90" s="56"/>
      <c r="C90" s="36" t="s">
        <v>3289</v>
      </c>
      <c r="D90" s="11"/>
      <c r="E90" s="30"/>
      <c r="F90" s="30">
        <v>60</v>
      </c>
      <c r="G90" s="182">
        <v>4009.2300000000168</v>
      </c>
      <c r="H90" s="18"/>
    </row>
    <row r="91" spans="1:8" ht="13.5" customHeight="1" x14ac:dyDescent="0.2">
      <c r="A91" s="180">
        <v>43791</v>
      </c>
      <c r="B91" s="56"/>
      <c r="C91" s="36" t="s">
        <v>3290</v>
      </c>
      <c r="D91" s="11"/>
      <c r="E91" s="30">
        <v>25.78</v>
      </c>
      <c r="F91" s="30"/>
      <c r="G91" s="182"/>
      <c r="H91" s="18"/>
    </row>
    <row r="92" spans="1:8" ht="13.5" customHeight="1" x14ac:dyDescent="0.2">
      <c r="A92" s="180"/>
      <c r="B92" s="56"/>
      <c r="C92" s="36" t="s">
        <v>3291</v>
      </c>
      <c r="D92" s="11"/>
      <c r="E92" s="30">
        <v>8.9</v>
      </c>
      <c r="F92" s="30"/>
      <c r="G92" s="182"/>
      <c r="H92" s="18"/>
    </row>
    <row r="93" spans="1:8" ht="13.5" customHeight="1" x14ac:dyDescent="0.2">
      <c r="A93" s="180"/>
      <c r="B93" s="56"/>
      <c r="C93" s="36" t="s">
        <v>3292</v>
      </c>
      <c r="D93" s="11"/>
      <c r="E93" s="30">
        <v>59.14</v>
      </c>
      <c r="F93" s="30"/>
      <c r="G93" s="182"/>
      <c r="H93" s="18"/>
    </row>
    <row r="94" spans="1:8" ht="13.5" customHeight="1" x14ac:dyDescent="0.2">
      <c r="A94" s="180"/>
      <c r="B94" s="56"/>
      <c r="C94" s="36" t="s">
        <v>3293</v>
      </c>
      <c r="D94" s="11"/>
      <c r="E94" s="30">
        <v>525</v>
      </c>
      <c r="F94" s="30"/>
      <c r="G94" s="182">
        <v>3390.4100000000167</v>
      </c>
      <c r="H94" s="18"/>
    </row>
    <row r="95" spans="1:8" ht="13.5" customHeight="1" x14ac:dyDescent="0.2">
      <c r="A95" s="180">
        <v>43795</v>
      </c>
      <c r="B95" s="56"/>
      <c r="C95" s="36" t="s">
        <v>3294</v>
      </c>
      <c r="D95" s="11"/>
      <c r="E95" s="30">
        <v>1000</v>
      </c>
      <c r="F95" s="30"/>
      <c r="G95" s="182"/>
      <c r="H95" s="18"/>
    </row>
    <row r="96" spans="1:8" ht="13.5" customHeight="1" x14ac:dyDescent="0.2">
      <c r="A96" s="180">
        <v>43796</v>
      </c>
      <c r="B96" s="56"/>
      <c r="C96" s="36" t="s">
        <v>3295</v>
      </c>
      <c r="D96" s="11"/>
      <c r="E96" s="30">
        <v>10</v>
      </c>
      <c r="F96" s="30"/>
      <c r="G96" s="182"/>
      <c r="H96" s="18"/>
    </row>
    <row r="97" spans="1:27" ht="13.5" customHeight="1" x14ac:dyDescent="0.2">
      <c r="A97" s="180"/>
      <c r="B97" s="56"/>
      <c r="C97" s="36" t="s">
        <v>3296</v>
      </c>
      <c r="D97" s="11"/>
      <c r="E97" s="30">
        <v>129</v>
      </c>
      <c r="F97" s="30"/>
      <c r="G97" s="182">
        <v>2251.4100000000167</v>
      </c>
      <c r="H97" s="18"/>
    </row>
    <row r="98" spans="1:27" ht="13.5" customHeight="1" x14ac:dyDescent="0.2">
      <c r="A98" s="180">
        <v>43797</v>
      </c>
      <c r="B98" s="56"/>
      <c r="C98" s="36" t="s">
        <v>3297</v>
      </c>
      <c r="D98" s="11"/>
      <c r="E98" s="30">
        <v>320</v>
      </c>
      <c r="F98" s="30"/>
      <c r="G98" s="182">
        <v>1931.4100000000167</v>
      </c>
      <c r="H98" s="18"/>
    </row>
    <row r="99" spans="1:27" ht="13.5" customHeight="1" x14ac:dyDescent="0.2">
      <c r="A99" s="180">
        <v>43798</v>
      </c>
      <c r="B99" s="56"/>
      <c r="C99" s="36" t="s">
        <v>3298</v>
      </c>
      <c r="D99" s="11"/>
      <c r="E99" s="30"/>
      <c r="F99" s="30">
        <v>1464</v>
      </c>
      <c r="G99" s="182"/>
      <c r="H99" s="18"/>
    </row>
    <row r="100" spans="1:27" ht="13.5" customHeight="1" x14ac:dyDescent="0.2">
      <c r="A100" s="180"/>
      <c r="B100" s="56"/>
      <c r="C100" s="36" t="s">
        <v>3294</v>
      </c>
      <c r="D100" s="11"/>
      <c r="E100" s="30">
        <v>500</v>
      </c>
      <c r="F100" s="30"/>
      <c r="G100" s="182"/>
      <c r="H100" s="18"/>
    </row>
    <row r="101" spans="1:27" ht="13.5" customHeight="1" x14ac:dyDescent="0.2">
      <c r="A101" s="180"/>
      <c r="B101" s="56"/>
      <c r="C101" s="36" t="s">
        <v>3299</v>
      </c>
      <c r="D101" s="11"/>
      <c r="E101" s="30">
        <v>525</v>
      </c>
      <c r="F101" s="30"/>
      <c r="G101" s="182"/>
      <c r="H101" s="18"/>
    </row>
    <row r="102" spans="1:27" ht="13.5" customHeight="1" x14ac:dyDescent="0.2">
      <c r="A102" s="180"/>
      <c r="B102" s="56"/>
      <c r="C102" s="36" t="s">
        <v>3300</v>
      </c>
      <c r="D102" s="11"/>
      <c r="E102" s="30">
        <v>20</v>
      </c>
      <c r="F102" s="30"/>
      <c r="G102" s="205">
        <v>2350.4100000000167</v>
      </c>
      <c r="H102" s="18"/>
    </row>
    <row r="103" spans="1:27" s="64" customFormat="1" ht="13.5" customHeight="1" thickBot="1" x14ac:dyDescent="0.25">
      <c r="A103" s="184"/>
      <c r="B103" s="63"/>
      <c r="C103" s="63"/>
      <c r="D103" s="50"/>
      <c r="E103" s="650">
        <f>-SUM(E3:E102)</f>
        <v>-36068.22</v>
      </c>
      <c r="F103" s="650">
        <f>SUM(F3:F102)</f>
        <v>34556.649999999994</v>
      </c>
      <c r="G103" s="53"/>
      <c r="H103" s="124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3.5" customHeight="1" thickBot="1" x14ac:dyDescent="0.25">
      <c r="A104" s="2" t="s">
        <v>2</v>
      </c>
      <c r="B104" s="3"/>
      <c r="C104" s="3" t="s">
        <v>536</v>
      </c>
      <c r="D104" s="3" t="s">
        <v>4</v>
      </c>
      <c r="E104" s="3" t="s">
        <v>5</v>
      </c>
      <c r="F104" s="3" t="s">
        <v>6</v>
      </c>
      <c r="G104" s="5" t="s">
        <v>7</v>
      </c>
    </row>
    <row r="105" spans="1:27" ht="13.5" customHeight="1" x14ac:dyDescent="0.2">
      <c r="A105" s="8">
        <v>43770</v>
      </c>
      <c r="B105" s="56"/>
      <c r="C105" s="10" t="s">
        <v>8</v>
      </c>
      <c r="D105" s="11"/>
      <c r="E105" s="51"/>
      <c r="F105" s="12"/>
      <c r="G105" s="205">
        <v>3500.0000000000068</v>
      </c>
      <c r="H105" s="18"/>
    </row>
    <row r="106" spans="1:27" ht="13.5" customHeight="1" x14ac:dyDescent="0.2">
      <c r="A106" s="171">
        <v>43783</v>
      </c>
      <c r="B106" s="46"/>
      <c r="C106" s="36" t="s">
        <v>2776</v>
      </c>
      <c r="D106" s="11"/>
      <c r="E106" s="30"/>
      <c r="F106" s="277">
        <v>2500</v>
      </c>
      <c r="G106" s="182">
        <v>6000.0000000000073</v>
      </c>
      <c r="H106" s="18"/>
    </row>
    <row r="107" spans="1:27" ht="13.5" customHeight="1" x14ac:dyDescent="0.2">
      <c r="A107" s="180"/>
      <c r="B107" s="56"/>
      <c r="C107" s="32" t="s">
        <v>1553</v>
      </c>
      <c r="D107" s="11"/>
      <c r="E107" s="30">
        <v>6000</v>
      </c>
      <c r="F107" s="12"/>
      <c r="G107" s="182">
        <v>7.2759576141834259E-12</v>
      </c>
      <c r="H107" s="18"/>
    </row>
    <row r="108" spans="1:27" s="64" customFormat="1" ht="13.5" customHeight="1" x14ac:dyDescent="0.2">
      <c r="A108" s="184">
        <v>43789</v>
      </c>
      <c r="B108" s="63"/>
      <c r="C108" s="32" t="s">
        <v>3301</v>
      </c>
      <c r="D108" s="50"/>
      <c r="E108" s="51">
        <v>270.06</v>
      </c>
      <c r="F108" s="13"/>
      <c r="G108" s="182">
        <v>-270.05999999999273</v>
      </c>
      <c r="H108" s="18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s="64" customFormat="1" ht="13.5" customHeight="1" x14ac:dyDescent="0.2">
      <c r="A109" s="184"/>
      <c r="B109" s="63"/>
      <c r="C109" s="32" t="s">
        <v>3302</v>
      </c>
      <c r="D109" s="50"/>
      <c r="E109" s="51">
        <v>270.06</v>
      </c>
      <c r="F109" s="13"/>
      <c r="G109" s="182">
        <v>-540.11999999999273</v>
      </c>
      <c r="H109" s="18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s="64" customFormat="1" ht="13.5" customHeight="1" x14ac:dyDescent="0.2">
      <c r="A110" s="184"/>
      <c r="B110" s="63"/>
      <c r="C110" s="32" t="s">
        <v>3303</v>
      </c>
      <c r="D110" s="50"/>
      <c r="E110" s="51">
        <v>270.06</v>
      </c>
      <c r="F110" s="13"/>
      <c r="G110" s="182">
        <v>-810.17999999999279</v>
      </c>
      <c r="H110" s="18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s="64" customFormat="1" ht="13.5" customHeight="1" x14ac:dyDescent="0.2">
      <c r="A111" s="184"/>
      <c r="B111" s="63"/>
      <c r="C111" s="138" t="s">
        <v>3304</v>
      </c>
      <c r="D111" s="50"/>
      <c r="E111" s="51">
        <v>53.7</v>
      </c>
      <c r="F111" s="13"/>
      <c r="G111" s="182">
        <v>-863.87999999999283</v>
      </c>
      <c r="H111" s="18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s="64" customFormat="1" ht="13.5" customHeight="1" x14ac:dyDescent="0.2">
      <c r="A112" s="184"/>
      <c r="B112" s="63"/>
      <c r="C112" s="138" t="s">
        <v>3305</v>
      </c>
      <c r="D112" s="50"/>
      <c r="E112" s="51">
        <v>31.939999999999998</v>
      </c>
      <c r="F112" s="13"/>
      <c r="G112" s="182">
        <v>-895.81999999999289</v>
      </c>
      <c r="H112" s="18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s="64" customFormat="1" ht="13.5" customHeight="1" x14ac:dyDescent="0.2">
      <c r="A113" s="184"/>
      <c r="B113" s="63"/>
      <c r="C113" s="138" t="s">
        <v>3306</v>
      </c>
      <c r="D113" s="50"/>
      <c r="E113" s="51">
        <v>47.99</v>
      </c>
      <c r="F113" s="13"/>
      <c r="G113" s="182">
        <v>-943.8099999999929</v>
      </c>
      <c r="H113" s="18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s="64" customFormat="1" ht="13.5" customHeight="1" x14ac:dyDescent="0.2">
      <c r="A114" s="184"/>
      <c r="B114" s="63"/>
      <c r="C114" s="138" t="s">
        <v>3307</v>
      </c>
      <c r="D114" s="50"/>
      <c r="E114" s="51">
        <v>25.53</v>
      </c>
      <c r="F114" s="13"/>
      <c r="G114" s="182">
        <v>-969.33999999999287</v>
      </c>
      <c r="H114" s="18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s="64" customFormat="1" ht="13.5" customHeight="1" x14ac:dyDescent="0.2">
      <c r="A115" s="184"/>
      <c r="B115" s="63"/>
      <c r="C115" s="32" t="s">
        <v>3308</v>
      </c>
      <c r="D115" s="50"/>
      <c r="E115" s="51">
        <v>81.27</v>
      </c>
      <c r="F115" s="13"/>
      <c r="G115" s="182">
        <v>-1050.6099999999929</v>
      </c>
      <c r="H115" s="18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s="64" customFormat="1" ht="13.5" customHeight="1" x14ac:dyDescent="0.2">
      <c r="A116" s="184"/>
      <c r="B116" s="63"/>
      <c r="C116" s="138" t="s">
        <v>3309</v>
      </c>
      <c r="D116" s="50"/>
      <c r="E116" s="51">
        <v>190.64</v>
      </c>
      <c r="F116" s="13"/>
      <c r="G116" s="205">
        <v>-1241.2499999999927</v>
      </c>
      <c r="H116" s="124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13.5" customHeight="1" thickBot="1" x14ac:dyDescent="0.25">
      <c r="A117" s="180"/>
      <c r="B117" s="56"/>
      <c r="C117" s="56"/>
      <c r="D117" s="11"/>
      <c r="E117" s="653">
        <f>-SUM(E105:E116)</f>
        <v>-7241.2500000000009</v>
      </c>
      <c r="F117" s="653">
        <f>SUM(F105:F116)</f>
        <v>2500</v>
      </c>
      <c r="G117" s="182"/>
    </row>
    <row r="118" spans="1:27" ht="13.5" customHeight="1" thickBot="1" x14ac:dyDescent="0.25">
      <c r="A118" s="2" t="s">
        <v>2</v>
      </c>
      <c r="B118" s="3"/>
      <c r="C118" s="3" t="s">
        <v>3</v>
      </c>
      <c r="D118" s="3"/>
      <c r="E118" s="3"/>
      <c r="F118" s="3"/>
      <c r="G118" s="5" t="s">
        <v>7</v>
      </c>
    </row>
    <row r="119" spans="1:27" ht="13.5" customHeight="1" x14ac:dyDescent="0.2">
      <c r="A119" s="8">
        <v>43770</v>
      </c>
      <c r="B119" s="70"/>
      <c r="C119" s="10" t="s">
        <v>537</v>
      </c>
      <c r="D119" s="46"/>
      <c r="E119" s="67"/>
      <c r="F119" s="67"/>
      <c r="G119" s="205">
        <v>803.52</v>
      </c>
      <c r="H119" s="18"/>
    </row>
    <row r="120" spans="1:27" ht="13.5" customHeight="1" x14ac:dyDescent="0.2">
      <c r="A120" s="171"/>
      <c r="B120" s="46"/>
      <c r="C120" s="34" t="s">
        <v>3310</v>
      </c>
      <c r="D120" s="46" t="s">
        <v>19</v>
      </c>
      <c r="E120" s="69" t="s">
        <v>549</v>
      </c>
      <c r="F120" s="69">
        <v>1600</v>
      </c>
      <c r="G120" s="182"/>
      <c r="H120" s="18"/>
    </row>
    <row r="121" spans="1:27" ht="13.5" customHeight="1" x14ac:dyDescent="0.2">
      <c r="A121" s="171"/>
      <c r="B121" s="46"/>
      <c r="C121" s="34" t="s">
        <v>1597</v>
      </c>
      <c r="D121" s="46" t="s">
        <v>19</v>
      </c>
      <c r="E121" s="69">
        <v>-0.39</v>
      </c>
      <c r="F121" s="69" t="s">
        <v>549</v>
      </c>
      <c r="G121" s="182"/>
      <c r="H121" s="18"/>
    </row>
    <row r="122" spans="1:27" ht="13.5" customHeight="1" x14ac:dyDescent="0.2">
      <c r="A122" s="171"/>
      <c r="B122" s="46"/>
      <c r="C122" s="34" t="s">
        <v>1598</v>
      </c>
      <c r="D122" s="46" t="s">
        <v>19</v>
      </c>
      <c r="E122" s="69">
        <v>-7.04</v>
      </c>
      <c r="F122" s="69" t="s">
        <v>549</v>
      </c>
      <c r="G122" s="182"/>
      <c r="H122" s="18"/>
    </row>
    <row r="123" spans="1:27" ht="13.5" customHeight="1" x14ac:dyDescent="0.2">
      <c r="A123" s="180" t="s">
        <v>3311</v>
      </c>
      <c r="B123" s="46"/>
      <c r="C123" s="34" t="s">
        <v>2462</v>
      </c>
      <c r="D123" s="46" t="s">
        <v>337</v>
      </c>
      <c r="E123" s="69">
        <v>-56.64</v>
      </c>
      <c r="F123" s="69" t="s">
        <v>549</v>
      </c>
      <c r="G123" s="182"/>
      <c r="H123" s="18"/>
    </row>
    <row r="124" spans="1:27" ht="13.5" customHeight="1" x14ac:dyDescent="0.2">
      <c r="A124" s="180"/>
      <c r="B124" s="46"/>
      <c r="C124" s="34" t="s">
        <v>53</v>
      </c>
      <c r="D124" s="46" t="s">
        <v>1645</v>
      </c>
      <c r="E124" s="61">
        <v>-532.21</v>
      </c>
      <c r="F124" s="61" t="s">
        <v>549</v>
      </c>
      <c r="G124" s="182"/>
      <c r="H124" s="18"/>
    </row>
    <row r="125" spans="1:27" ht="13.5" customHeight="1" x14ac:dyDescent="0.2">
      <c r="A125" s="180"/>
      <c r="B125" s="9"/>
      <c r="C125" s="36" t="s">
        <v>20</v>
      </c>
      <c r="D125" s="46" t="s">
        <v>19</v>
      </c>
      <c r="E125" s="61" t="s">
        <v>549</v>
      </c>
      <c r="F125" s="61">
        <v>0.03</v>
      </c>
      <c r="G125" s="182"/>
      <c r="H125" s="18"/>
    </row>
    <row r="126" spans="1:27" ht="13.5" customHeight="1" x14ac:dyDescent="0.2">
      <c r="A126" s="180" t="s">
        <v>3312</v>
      </c>
      <c r="B126" s="46"/>
      <c r="C126" s="34" t="s">
        <v>55</v>
      </c>
      <c r="D126" s="46" t="s">
        <v>3313</v>
      </c>
      <c r="E126" s="69">
        <v>-459</v>
      </c>
      <c r="F126" s="69" t="s">
        <v>549</v>
      </c>
      <c r="G126" s="182"/>
      <c r="H126" s="18"/>
    </row>
    <row r="127" spans="1:27" ht="13.5" customHeight="1" x14ac:dyDescent="0.2">
      <c r="A127" s="180"/>
      <c r="B127" s="9"/>
      <c r="C127" s="34" t="s">
        <v>3229</v>
      </c>
      <c r="D127" s="46" t="s">
        <v>3314</v>
      </c>
      <c r="E127" s="61" t="s">
        <v>549</v>
      </c>
      <c r="F127" s="600">
        <v>754</v>
      </c>
      <c r="G127" s="182"/>
      <c r="H127" s="18"/>
    </row>
    <row r="128" spans="1:27" ht="13.5" customHeight="1" x14ac:dyDescent="0.2">
      <c r="A128" s="180" t="s">
        <v>3315</v>
      </c>
      <c r="B128" s="9"/>
      <c r="C128" s="34" t="s">
        <v>62</v>
      </c>
      <c r="D128" s="46" t="s">
        <v>19</v>
      </c>
      <c r="E128" s="61">
        <v>-438.02</v>
      </c>
      <c r="F128" s="61" t="s">
        <v>549</v>
      </c>
      <c r="G128" s="182"/>
      <c r="H128" s="18"/>
    </row>
    <row r="129" spans="1:8" ht="13.5" customHeight="1" x14ac:dyDescent="0.2">
      <c r="A129" s="180"/>
      <c r="B129" s="46"/>
      <c r="C129" s="34" t="s">
        <v>68</v>
      </c>
      <c r="D129" s="46" t="s">
        <v>3316</v>
      </c>
      <c r="E129" s="69">
        <v>-129.9</v>
      </c>
      <c r="F129" s="69" t="s">
        <v>549</v>
      </c>
      <c r="G129" s="182"/>
      <c r="H129" s="18"/>
    </row>
    <row r="130" spans="1:8" ht="13.5" customHeight="1" x14ac:dyDescent="0.2">
      <c r="A130" s="180"/>
      <c r="B130" s="46"/>
      <c r="C130" s="34" t="s">
        <v>82</v>
      </c>
      <c r="D130" s="46" t="s">
        <v>3317</v>
      </c>
      <c r="E130" s="69">
        <v>-859.41</v>
      </c>
      <c r="F130" s="69" t="s">
        <v>549</v>
      </c>
      <c r="G130" s="182"/>
      <c r="H130" s="18"/>
    </row>
    <row r="131" spans="1:8" ht="13.5" customHeight="1" x14ac:dyDescent="0.2">
      <c r="A131" s="180"/>
      <c r="B131" s="46"/>
      <c r="C131" s="34" t="s">
        <v>3243</v>
      </c>
      <c r="D131" s="46" t="s">
        <v>3318</v>
      </c>
      <c r="E131" s="69" t="s">
        <v>549</v>
      </c>
      <c r="F131" s="322">
        <v>400</v>
      </c>
      <c r="G131" s="182"/>
      <c r="H131" s="18"/>
    </row>
    <row r="132" spans="1:8" ht="13.5" customHeight="1" x14ac:dyDescent="0.2">
      <c r="A132" s="180"/>
      <c r="B132" s="46"/>
      <c r="C132" s="36" t="s">
        <v>20</v>
      </c>
      <c r="D132" s="46" t="s">
        <v>19</v>
      </c>
      <c r="E132" s="69"/>
      <c r="F132" s="69">
        <v>0.03</v>
      </c>
      <c r="G132" s="182"/>
      <c r="H132" s="18"/>
    </row>
    <row r="133" spans="1:8" ht="13.5" customHeight="1" x14ac:dyDescent="0.2">
      <c r="A133" s="171" t="s">
        <v>3319</v>
      </c>
      <c r="B133" s="46"/>
      <c r="C133" s="34" t="s">
        <v>87</v>
      </c>
      <c r="D133" s="46" t="s">
        <v>19</v>
      </c>
      <c r="E133" s="69">
        <v>-44.91</v>
      </c>
      <c r="F133" s="69" t="s">
        <v>549</v>
      </c>
      <c r="G133" s="182"/>
      <c r="H133" s="18"/>
    </row>
    <row r="134" spans="1:8" ht="13.5" customHeight="1" x14ac:dyDescent="0.2">
      <c r="A134" s="171" t="s">
        <v>3320</v>
      </c>
      <c r="B134" s="46"/>
      <c r="C134" s="34" t="s">
        <v>86</v>
      </c>
      <c r="D134" s="46" t="s">
        <v>19</v>
      </c>
      <c r="E134" s="69">
        <v>-75.900000000000006</v>
      </c>
      <c r="F134" s="69" t="s">
        <v>549</v>
      </c>
      <c r="G134" s="182"/>
      <c r="H134" s="18"/>
    </row>
    <row r="135" spans="1:8" ht="13.5" customHeight="1" x14ac:dyDescent="0.2">
      <c r="A135" s="171"/>
      <c r="B135" s="46"/>
      <c r="C135" s="34" t="s">
        <v>673</v>
      </c>
      <c r="D135" s="46" t="s">
        <v>3321</v>
      </c>
      <c r="E135" s="69">
        <v>-99.98</v>
      </c>
      <c r="F135" s="69" t="s">
        <v>549</v>
      </c>
      <c r="G135" s="182"/>
      <c r="H135" s="18"/>
    </row>
    <row r="136" spans="1:8" ht="13.5" customHeight="1" x14ac:dyDescent="0.2">
      <c r="A136" s="171"/>
      <c r="B136" s="46"/>
      <c r="C136" s="33" t="s">
        <v>81</v>
      </c>
      <c r="D136" s="46" t="s">
        <v>1336</v>
      </c>
      <c r="E136" s="69">
        <v>-52.44</v>
      </c>
      <c r="F136" s="69" t="s">
        <v>549</v>
      </c>
      <c r="G136" s="182"/>
      <c r="H136" s="18"/>
    </row>
    <row r="137" spans="1:8" ht="13.5" customHeight="1" x14ac:dyDescent="0.2">
      <c r="A137" s="171"/>
      <c r="B137" s="46"/>
      <c r="C137" s="34" t="s">
        <v>18</v>
      </c>
      <c r="D137" s="46" t="s">
        <v>3322</v>
      </c>
      <c r="E137" s="69">
        <v>-399.97</v>
      </c>
      <c r="F137" s="69" t="s">
        <v>549</v>
      </c>
      <c r="G137" s="182"/>
      <c r="H137" s="18"/>
    </row>
    <row r="138" spans="1:8" ht="13.5" customHeight="1" x14ac:dyDescent="0.2">
      <c r="A138" s="171"/>
      <c r="B138" s="46"/>
      <c r="C138" s="34" t="s">
        <v>2486</v>
      </c>
      <c r="D138" s="46" t="s">
        <v>2078</v>
      </c>
      <c r="E138" s="69">
        <v>-129.99</v>
      </c>
      <c r="F138" s="69" t="s">
        <v>549</v>
      </c>
      <c r="G138" s="182"/>
      <c r="H138" s="18"/>
    </row>
    <row r="139" spans="1:8" ht="13.5" customHeight="1" x14ac:dyDescent="0.2">
      <c r="A139" s="171"/>
      <c r="B139" s="46"/>
      <c r="C139" s="36" t="s">
        <v>20</v>
      </c>
      <c r="D139" s="46" t="s">
        <v>19</v>
      </c>
      <c r="E139" s="69" t="s">
        <v>549</v>
      </c>
      <c r="F139" s="69">
        <v>0.04</v>
      </c>
      <c r="G139" s="182"/>
      <c r="H139" s="18"/>
    </row>
    <row r="140" spans="1:8" ht="13.5" customHeight="1" x14ac:dyDescent="0.2">
      <c r="A140" s="171" t="s">
        <v>3323</v>
      </c>
      <c r="B140" s="46"/>
      <c r="C140" s="36" t="s">
        <v>3280</v>
      </c>
      <c r="D140" s="46" t="s">
        <v>3324</v>
      </c>
      <c r="E140" s="69" t="s">
        <v>549</v>
      </c>
      <c r="F140" s="322">
        <v>356.94</v>
      </c>
      <c r="G140" s="182"/>
      <c r="H140" s="18"/>
    </row>
    <row r="141" spans="1:8" ht="13.5" customHeight="1" x14ac:dyDescent="0.2">
      <c r="A141" s="171" t="s">
        <v>3325</v>
      </c>
      <c r="B141" s="46"/>
      <c r="C141" s="34" t="s">
        <v>132</v>
      </c>
      <c r="D141" s="46" t="s">
        <v>478</v>
      </c>
      <c r="E141" s="69">
        <v>-1516.85</v>
      </c>
      <c r="F141" s="69" t="s">
        <v>549</v>
      </c>
      <c r="G141" s="182"/>
      <c r="H141" s="18"/>
    </row>
    <row r="142" spans="1:8" ht="13.5" customHeight="1" x14ac:dyDescent="0.2">
      <c r="A142" s="171"/>
      <c r="B142" s="46"/>
      <c r="C142" s="34" t="s">
        <v>2965</v>
      </c>
      <c r="D142" s="46" t="s">
        <v>1896</v>
      </c>
      <c r="E142" s="69">
        <v>-109.9</v>
      </c>
      <c r="F142" s="69" t="s">
        <v>549</v>
      </c>
      <c r="G142" s="182"/>
      <c r="H142" s="18"/>
    </row>
    <row r="143" spans="1:8" ht="13.5" customHeight="1" x14ac:dyDescent="0.2">
      <c r="A143" s="171"/>
      <c r="B143" s="46"/>
      <c r="C143" s="36" t="s">
        <v>3286</v>
      </c>
      <c r="D143" s="46" t="s">
        <v>3326</v>
      </c>
      <c r="E143" s="69" t="s">
        <v>549</v>
      </c>
      <c r="F143" s="322">
        <v>3000</v>
      </c>
      <c r="G143" s="182"/>
      <c r="H143" s="18"/>
    </row>
    <row r="144" spans="1:8" ht="13.5" customHeight="1" x14ac:dyDescent="0.2">
      <c r="A144" s="171" t="s">
        <v>3327</v>
      </c>
      <c r="B144" s="46"/>
      <c r="C144" s="34" t="s">
        <v>1625</v>
      </c>
      <c r="D144" s="46" t="s">
        <v>3328</v>
      </c>
      <c r="E144" s="69" t="s">
        <v>549</v>
      </c>
      <c r="F144" s="322">
        <v>2500</v>
      </c>
      <c r="G144" s="182"/>
      <c r="H144" s="18"/>
    </row>
    <row r="145" spans="1:11" ht="13.5" customHeight="1" x14ac:dyDescent="0.2">
      <c r="A145" s="171" t="s">
        <v>3329</v>
      </c>
      <c r="B145" s="46"/>
      <c r="C145" s="33" t="s">
        <v>736</v>
      </c>
      <c r="D145" s="46" t="s">
        <v>19</v>
      </c>
      <c r="E145" s="69">
        <v>-44.73</v>
      </c>
      <c r="F145" s="69" t="s">
        <v>549</v>
      </c>
      <c r="G145" s="182"/>
      <c r="H145" s="18"/>
    </row>
    <row r="146" spans="1:11" ht="13.5" customHeight="1" x14ac:dyDescent="0.2">
      <c r="A146" s="171"/>
      <c r="B146" s="46"/>
      <c r="C146" s="36" t="s">
        <v>129</v>
      </c>
      <c r="D146" s="46" t="s">
        <v>19</v>
      </c>
      <c r="E146" s="69">
        <v>-47.92</v>
      </c>
      <c r="F146" s="69" t="s">
        <v>549</v>
      </c>
      <c r="G146" s="182"/>
      <c r="H146" s="18"/>
    </row>
    <row r="147" spans="1:11" ht="13.5" customHeight="1" x14ac:dyDescent="0.2">
      <c r="A147" s="171"/>
      <c r="B147" s="46"/>
      <c r="C147" s="36" t="s">
        <v>127</v>
      </c>
      <c r="D147" s="46" t="s">
        <v>19</v>
      </c>
      <c r="E147" s="69">
        <v>-97.83</v>
      </c>
      <c r="F147" s="69" t="s">
        <v>549</v>
      </c>
      <c r="G147" s="182"/>
      <c r="H147" s="18"/>
    </row>
    <row r="148" spans="1:11" ht="13.5" customHeight="1" x14ac:dyDescent="0.2">
      <c r="A148" s="171"/>
      <c r="B148" s="46"/>
      <c r="C148" s="33" t="s">
        <v>737</v>
      </c>
      <c r="D148" s="46" t="s">
        <v>19</v>
      </c>
      <c r="E148" s="69">
        <v>-150.63999999999999</v>
      </c>
      <c r="F148" s="69" t="s">
        <v>549</v>
      </c>
      <c r="G148" s="182"/>
      <c r="H148" s="18"/>
    </row>
    <row r="149" spans="1:11" ht="13.5" customHeight="1" x14ac:dyDescent="0.2">
      <c r="A149" s="171"/>
      <c r="B149" s="46"/>
      <c r="C149" s="36" t="s">
        <v>130</v>
      </c>
      <c r="D149" s="46" t="s">
        <v>19</v>
      </c>
      <c r="E149" s="69">
        <v>-152.56</v>
      </c>
      <c r="F149" s="69" t="s">
        <v>549</v>
      </c>
      <c r="G149" s="182"/>
      <c r="H149" s="18"/>
    </row>
    <row r="150" spans="1:11" ht="13.5" customHeight="1" x14ac:dyDescent="0.2">
      <c r="A150" s="171"/>
      <c r="B150" s="46"/>
      <c r="C150" s="34" t="s">
        <v>3330</v>
      </c>
      <c r="D150" s="46" t="s">
        <v>3331</v>
      </c>
      <c r="E150" s="69">
        <v>-2415</v>
      </c>
      <c r="F150" s="69" t="s">
        <v>549</v>
      </c>
      <c r="G150" s="182"/>
      <c r="H150" s="18"/>
    </row>
    <row r="151" spans="1:11" ht="13.5" customHeight="1" x14ac:dyDescent="0.2">
      <c r="A151" s="171"/>
      <c r="B151" s="46"/>
      <c r="C151" s="34" t="s">
        <v>3332</v>
      </c>
      <c r="D151" s="46" t="s">
        <v>868</v>
      </c>
      <c r="E151" s="69">
        <v>-450</v>
      </c>
      <c r="F151" s="69" t="s">
        <v>549</v>
      </c>
      <c r="G151" s="182"/>
      <c r="H151" s="18"/>
    </row>
    <row r="152" spans="1:11" ht="13.5" customHeight="1" x14ac:dyDescent="0.2">
      <c r="A152" s="171"/>
      <c r="B152" s="46"/>
      <c r="C152" s="36" t="s">
        <v>20</v>
      </c>
      <c r="D152" s="46"/>
      <c r="E152" s="69"/>
      <c r="F152" s="69">
        <v>0.06</v>
      </c>
      <c r="G152" s="182"/>
      <c r="H152" s="18"/>
    </row>
    <row r="153" spans="1:11" ht="13.5" customHeight="1" x14ac:dyDescent="0.2">
      <c r="A153" s="171" t="s">
        <v>3333</v>
      </c>
      <c r="B153" s="46"/>
      <c r="C153" s="34" t="s">
        <v>136</v>
      </c>
      <c r="D153" s="46" t="s">
        <v>19</v>
      </c>
      <c r="E153" s="69">
        <v>-45.9</v>
      </c>
      <c r="F153" s="69" t="s">
        <v>549</v>
      </c>
      <c r="G153" s="182"/>
      <c r="H153" s="18"/>
    </row>
    <row r="154" spans="1:11" ht="13.5" customHeight="1" x14ac:dyDescent="0.2">
      <c r="A154" s="171"/>
      <c r="B154" s="46"/>
      <c r="C154" s="34" t="s">
        <v>3334</v>
      </c>
      <c r="D154" s="46" t="s">
        <v>3335</v>
      </c>
      <c r="E154" s="69">
        <v>-85.96</v>
      </c>
      <c r="F154" s="69" t="s">
        <v>549</v>
      </c>
      <c r="G154" s="182"/>
      <c r="H154" s="18"/>
    </row>
    <row r="155" spans="1:11" ht="13.5" customHeight="1" x14ac:dyDescent="0.2">
      <c r="A155" s="171"/>
      <c r="B155" s="46"/>
      <c r="C155" s="34" t="s">
        <v>3336</v>
      </c>
      <c r="D155" s="46" t="s">
        <v>3337</v>
      </c>
      <c r="E155" s="69" t="s">
        <v>549</v>
      </c>
      <c r="F155" s="69">
        <v>300</v>
      </c>
      <c r="G155" s="205">
        <v>1311.53</v>
      </c>
      <c r="H155" s="124"/>
    </row>
    <row r="156" spans="1:11" ht="13.5" customHeight="1" thickBot="1" x14ac:dyDescent="0.25">
      <c r="A156" s="171"/>
      <c r="B156" s="46"/>
      <c r="C156" s="34"/>
      <c r="D156" s="46"/>
      <c r="E156" s="654">
        <f>SUM(E119:E155)</f>
        <v>-8403.0899999999983</v>
      </c>
      <c r="F156" s="654">
        <f>SUM(F119:F155)</f>
        <v>8911.1</v>
      </c>
      <c r="G156" s="182"/>
    </row>
    <row r="157" spans="1:11" ht="13.5" customHeight="1" thickBot="1" x14ac:dyDescent="0.25">
      <c r="A157" s="2" t="s">
        <v>2</v>
      </c>
      <c r="B157" s="3"/>
      <c r="C157" s="3" t="s">
        <v>481</v>
      </c>
      <c r="D157" s="3"/>
      <c r="E157" s="3"/>
      <c r="F157" s="3"/>
      <c r="G157" s="5" t="s">
        <v>7</v>
      </c>
      <c r="H157" s="1415" t="s">
        <v>482</v>
      </c>
      <c r="I157" s="1416"/>
      <c r="J157" s="1417"/>
    </row>
    <row r="158" spans="1:11" ht="13.5" customHeight="1" x14ac:dyDescent="0.2">
      <c r="A158" s="8">
        <v>43770</v>
      </c>
      <c r="B158" s="70"/>
      <c r="C158" s="10" t="s">
        <v>537</v>
      </c>
      <c r="D158" s="602"/>
      <c r="E158" s="67"/>
      <c r="F158" s="67"/>
      <c r="G158" s="205">
        <v>0</v>
      </c>
      <c r="H158" s="179"/>
      <c r="I158" s="57"/>
      <c r="J158" s="58">
        <v>2007.17</v>
      </c>
      <c r="K158" s="18"/>
    </row>
    <row r="159" spans="1:11" ht="13.5" customHeight="1" x14ac:dyDescent="0.2">
      <c r="A159" s="171"/>
      <c r="B159" s="46" t="s">
        <v>483</v>
      </c>
      <c r="C159" s="34" t="s">
        <v>2509</v>
      </c>
      <c r="D159" s="553" t="s">
        <v>582</v>
      </c>
      <c r="E159" s="557">
        <v>-100</v>
      </c>
      <c r="F159" s="69"/>
      <c r="G159" s="182" t="s">
        <v>483</v>
      </c>
      <c r="H159" s="59"/>
      <c r="I159" s="60"/>
      <c r="J159" s="61">
        <v>2007.17</v>
      </c>
      <c r="K159" s="18"/>
    </row>
    <row r="160" spans="1:11" ht="13.5" customHeight="1" x14ac:dyDescent="0.2">
      <c r="A160" s="171"/>
      <c r="B160" s="46" t="s">
        <v>483</v>
      </c>
      <c r="C160" s="34" t="s">
        <v>1597</v>
      </c>
      <c r="D160" s="553" t="s">
        <v>488</v>
      </c>
      <c r="E160" s="557">
        <v>-0.21</v>
      </c>
      <c r="F160" s="69"/>
      <c r="G160" s="182" t="s">
        <v>483</v>
      </c>
      <c r="H160" s="59"/>
      <c r="I160" s="60"/>
      <c r="J160" s="61">
        <v>2007.17</v>
      </c>
      <c r="K160" s="18"/>
    </row>
    <row r="161" spans="1:11" ht="13.5" customHeight="1" x14ac:dyDescent="0.2">
      <c r="A161" s="171"/>
      <c r="B161" s="46" t="s">
        <v>483</v>
      </c>
      <c r="C161" s="34" t="s">
        <v>1598</v>
      </c>
      <c r="D161" s="553" t="s">
        <v>488</v>
      </c>
      <c r="E161" s="557">
        <v>-9.4600000000000009</v>
      </c>
      <c r="F161" s="69"/>
      <c r="G161" s="182" t="s">
        <v>483</v>
      </c>
      <c r="H161" s="59"/>
      <c r="I161" s="60"/>
      <c r="J161" s="61">
        <v>2007.17</v>
      </c>
      <c r="K161" s="18"/>
    </row>
    <row r="162" spans="1:11" ht="13.5" customHeight="1" x14ac:dyDescent="0.2">
      <c r="A162" s="171"/>
      <c r="B162" s="46" t="s">
        <v>483</v>
      </c>
      <c r="C162" s="36" t="s">
        <v>174</v>
      </c>
      <c r="D162" s="553" t="s">
        <v>488</v>
      </c>
      <c r="E162" s="69"/>
      <c r="F162" s="557">
        <v>109.67</v>
      </c>
      <c r="G162" s="182">
        <v>0</v>
      </c>
      <c r="H162" s="59">
        <v>109.67</v>
      </c>
      <c r="I162" s="60"/>
      <c r="J162" s="61">
        <v>1897.5</v>
      </c>
      <c r="K162" s="18"/>
    </row>
    <row r="163" spans="1:11" ht="13.5" customHeight="1" x14ac:dyDescent="0.2">
      <c r="A163" s="171" t="s">
        <v>3338</v>
      </c>
      <c r="B163" s="46" t="s">
        <v>483</v>
      </c>
      <c r="C163" s="32" t="s">
        <v>199</v>
      </c>
      <c r="D163" s="553" t="s">
        <v>488</v>
      </c>
      <c r="E163" s="557">
        <v>-520.35</v>
      </c>
      <c r="F163" s="69"/>
      <c r="G163" s="182" t="s">
        <v>483</v>
      </c>
      <c r="H163" s="59"/>
      <c r="I163" s="60"/>
      <c r="J163" s="61">
        <v>1897.5</v>
      </c>
      <c r="K163" s="18"/>
    </row>
    <row r="164" spans="1:11" ht="13.5" customHeight="1" x14ac:dyDescent="0.2">
      <c r="A164" s="171"/>
      <c r="B164" s="46" t="s">
        <v>483</v>
      </c>
      <c r="C164" s="34" t="s">
        <v>173</v>
      </c>
      <c r="D164" s="553" t="s">
        <v>3339</v>
      </c>
      <c r="E164" s="557">
        <v>-1007.27</v>
      </c>
      <c r="F164" s="69"/>
      <c r="G164" s="182" t="s">
        <v>483</v>
      </c>
      <c r="H164" s="59"/>
      <c r="I164" s="60"/>
      <c r="J164" s="61">
        <v>1897.5</v>
      </c>
      <c r="K164" s="18"/>
    </row>
    <row r="165" spans="1:11" ht="13.5" customHeight="1" x14ac:dyDescent="0.2">
      <c r="A165" s="171"/>
      <c r="B165" s="46" t="s">
        <v>483</v>
      </c>
      <c r="C165" s="34" t="s">
        <v>172</v>
      </c>
      <c r="D165" s="11" t="s">
        <v>3340</v>
      </c>
      <c r="E165" s="557">
        <v>-608.67999999999995</v>
      </c>
      <c r="F165" s="69"/>
      <c r="G165" s="182" t="s">
        <v>483</v>
      </c>
      <c r="H165" s="59"/>
      <c r="I165" s="60"/>
      <c r="J165" s="61">
        <v>1897.5</v>
      </c>
      <c r="K165" s="18"/>
    </row>
    <row r="166" spans="1:11" ht="13.5" customHeight="1" x14ac:dyDescent="0.2">
      <c r="A166" s="171"/>
      <c r="B166" s="46" t="s">
        <v>483</v>
      </c>
      <c r="C166" s="36" t="s">
        <v>174</v>
      </c>
      <c r="D166" s="11" t="s">
        <v>488</v>
      </c>
      <c r="E166" s="69"/>
      <c r="F166" s="557">
        <v>1897.51</v>
      </c>
      <c r="G166" s="182">
        <v>-238.79</v>
      </c>
      <c r="H166" s="59">
        <v>1897.51</v>
      </c>
      <c r="I166" s="60"/>
      <c r="J166" s="61">
        <v>-9.9999999999909051E-3</v>
      </c>
      <c r="K166" s="18"/>
    </row>
    <row r="167" spans="1:11" ht="13.5" customHeight="1" x14ac:dyDescent="0.2">
      <c r="A167" s="171" t="s">
        <v>3341</v>
      </c>
      <c r="B167" s="46" t="s">
        <v>483</v>
      </c>
      <c r="C167" s="36" t="s">
        <v>180</v>
      </c>
      <c r="D167" s="11" t="s">
        <v>488</v>
      </c>
      <c r="E167" s="557">
        <v>-527.38</v>
      </c>
      <c r="F167" s="69"/>
      <c r="G167" s="182"/>
      <c r="H167" s="59"/>
      <c r="I167" s="60"/>
      <c r="J167" s="61">
        <v>-9.9999999999909051E-3</v>
      </c>
      <c r="K167" s="18"/>
    </row>
    <row r="168" spans="1:11" ht="13.5" customHeight="1" x14ac:dyDescent="0.2">
      <c r="A168" s="171"/>
      <c r="B168" s="46" t="s">
        <v>483</v>
      </c>
      <c r="C168" s="32" t="s">
        <v>20</v>
      </c>
      <c r="D168" s="11" t="s">
        <v>488</v>
      </c>
      <c r="E168" s="557">
        <v>-12.35</v>
      </c>
      <c r="F168" s="69"/>
      <c r="G168" s="182">
        <v>-778.52</v>
      </c>
      <c r="H168" s="59"/>
      <c r="I168" s="60"/>
      <c r="J168" s="61">
        <v>-9.9999999999909051E-3</v>
      </c>
      <c r="K168" s="18"/>
    </row>
    <row r="169" spans="1:11" ht="13.5" customHeight="1" x14ac:dyDescent="0.2">
      <c r="A169" s="171" t="s">
        <v>3342</v>
      </c>
      <c r="B169" s="46" t="s">
        <v>483</v>
      </c>
      <c r="C169" s="34" t="s">
        <v>1625</v>
      </c>
      <c r="D169" s="11" t="s">
        <v>3343</v>
      </c>
      <c r="E169" s="69"/>
      <c r="F169" s="322">
        <v>2000</v>
      </c>
      <c r="G169" s="182"/>
      <c r="H169" s="59"/>
      <c r="I169" s="60"/>
      <c r="J169" s="61">
        <v>-9.9999999999909051E-3</v>
      </c>
      <c r="K169" s="18"/>
    </row>
    <row r="170" spans="1:11" ht="13.5" customHeight="1" x14ac:dyDescent="0.2">
      <c r="A170" s="171"/>
      <c r="B170" s="46" t="s">
        <v>483</v>
      </c>
      <c r="C170" s="36" t="s">
        <v>189</v>
      </c>
      <c r="D170" s="11" t="s">
        <v>488</v>
      </c>
      <c r="E170" s="557">
        <v>-1221.48</v>
      </c>
      <c r="F170" s="69"/>
      <c r="G170" s="182">
        <v>0</v>
      </c>
      <c r="H170" s="59"/>
      <c r="I170" s="60">
        <v>1221.48</v>
      </c>
      <c r="J170" s="61">
        <v>1221.47</v>
      </c>
      <c r="K170" s="18"/>
    </row>
    <row r="171" spans="1:11" ht="13.5" customHeight="1" x14ac:dyDescent="0.2">
      <c r="A171" s="171" t="s">
        <v>3344</v>
      </c>
      <c r="B171" s="46" t="s">
        <v>483</v>
      </c>
      <c r="C171" s="36" t="s">
        <v>177</v>
      </c>
      <c r="D171" s="11" t="s">
        <v>2746</v>
      </c>
      <c r="E171" s="557">
        <v>-243.07</v>
      </c>
      <c r="F171" s="69"/>
      <c r="G171" s="182" t="s">
        <v>483</v>
      </c>
      <c r="H171" s="59"/>
      <c r="I171" s="60"/>
      <c r="J171" s="61">
        <v>1221.47</v>
      </c>
      <c r="K171" s="18"/>
    </row>
    <row r="172" spans="1:11" ht="13.5" customHeight="1" x14ac:dyDescent="0.2">
      <c r="A172" s="171"/>
      <c r="B172" s="46" t="s">
        <v>483</v>
      </c>
      <c r="C172" s="34" t="s">
        <v>1625</v>
      </c>
      <c r="D172" s="11" t="s">
        <v>3345</v>
      </c>
      <c r="E172" s="69"/>
      <c r="F172" s="322">
        <v>2500</v>
      </c>
      <c r="G172" s="182" t="s">
        <v>483</v>
      </c>
      <c r="H172" s="59"/>
      <c r="I172" s="60"/>
      <c r="J172" s="61">
        <v>1221.47</v>
      </c>
      <c r="K172" s="18"/>
    </row>
    <row r="173" spans="1:11" ht="13.5" customHeight="1" x14ac:dyDescent="0.2">
      <c r="A173" s="171"/>
      <c r="B173" s="46" t="s">
        <v>483</v>
      </c>
      <c r="C173" s="36" t="s">
        <v>189</v>
      </c>
      <c r="D173" s="11" t="s">
        <v>488</v>
      </c>
      <c r="E173" s="557">
        <v>-2256.9299999999998</v>
      </c>
      <c r="F173" s="69"/>
      <c r="G173" s="182">
        <v>0</v>
      </c>
      <c r="H173" s="59"/>
      <c r="I173" s="60">
        <v>2256.9299999999998</v>
      </c>
      <c r="J173" s="61">
        <v>3478.3999999999996</v>
      </c>
      <c r="K173" s="18"/>
    </row>
    <row r="174" spans="1:11" ht="13.5" customHeight="1" x14ac:dyDescent="0.2">
      <c r="A174" s="171" t="s">
        <v>3346</v>
      </c>
      <c r="B174" s="46" t="s">
        <v>483</v>
      </c>
      <c r="C174" s="36" t="s">
        <v>3347</v>
      </c>
      <c r="D174" s="11" t="s">
        <v>494</v>
      </c>
      <c r="E174" s="557">
        <v>-4313.6400000000003</v>
      </c>
      <c r="F174" s="69"/>
      <c r="G174" s="182" t="s">
        <v>483</v>
      </c>
      <c r="H174" s="59"/>
      <c r="I174" s="60"/>
      <c r="J174" s="61">
        <v>3478.3999999999996</v>
      </c>
      <c r="K174" s="18"/>
    </row>
    <row r="175" spans="1:11" ht="13.5" customHeight="1" x14ac:dyDescent="0.2">
      <c r="A175" s="171"/>
      <c r="B175" s="46" t="s">
        <v>483</v>
      </c>
      <c r="C175" s="34" t="s">
        <v>3348</v>
      </c>
      <c r="D175" s="11" t="s">
        <v>2510</v>
      </c>
      <c r="E175" s="557">
        <v>-53.9</v>
      </c>
      <c r="F175" s="69"/>
      <c r="G175" s="182" t="s">
        <v>483</v>
      </c>
      <c r="H175" s="59"/>
      <c r="I175" s="60"/>
      <c r="J175" s="61">
        <v>3478.3999999999996</v>
      </c>
      <c r="K175" s="18"/>
    </row>
    <row r="176" spans="1:11" ht="13.5" customHeight="1" x14ac:dyDescent="0.2">
      <c r="A176" s="171"/>
      <c r="B176" s="46" t="s">
        <v>483</v>
      </c>
      <c r="C176" s="36" t="s">
        <v>174</v>
      </c>
      <c r="D176" s="11" t="s">
        <v>488</v>
      </c>
      <c r="E176" s="69"/>
      <c r="F176" s="557">
        <v>3478.43</v>
      </c>
      <c r="G176" s="182">
        <v>-889.11</v>
      </c>
      <c r="H176" s="59">
        <v>3478.43</v>
      </c>
      <c r="I176" s="60">
        <v>0.03</v>
      </c>
      <c r="J176" s="61">
        <v>-2.0008994461306884E-13</v>
      </c>
      <c r="K176" s="18"/>
    </row>
    <row r="177" spans="1:11" ht="13.5" customHeight="1" x14ac:dyDescent="0.2">
      <c r="A177" s="171" t="s">
        <v>3349</v>
      </c>
      <c r="B177" s="46" t="s">
        <v>483</v>
      </c>
      <c r="C177" s="34" t="s">
        <v>3350</v>
      </c>
      <c r="D177" s="11" t="s">
        <v>3351</v>
      </c>
      <c r="E177" s="557">
        <v>-28.9</v>
      </c>
      <c r="F177" s="69"/>
      <c r="G177" s="182" t="s">
        <v>483</v>
      </c>
      <c r="H177" s="59"/>
      <c r="I177" s="60"/>
      <c r="J177" s="61">
        <v>-2.0008994461306884E-13</v>
      </c>
      <c r="K177" s="18"/>
    </row>
    <row r="178" spans="1:11" ht="13.5" customHeight="1" x14ac:dyDescent="0.2">
      <c r="A178" s="171"/>
      <c r="B178" s="46" t="s">
        <v>483</v>
      </c>
      <c r="C178" s="34" t="s">
        <v>3352</v>
      </c>
      <c r="D178" s="11" t="s">
        <v>494</v>
      </c>
      <c r="E178" s="557">
        <v>-121.02</v>
      </c>
      <c r="F178" s="69"/>
      <c r="G178" s="182" t="s">
        <v>483</v>
      </c>
      <c r="H178" s="59"/>
      <c r="I178" s="60"/>
      <c r="J178" s="61">
        <v>-2.0008994461306884E-13</v>
      </c>
      <c r="K178" s="18"/>
    </row>
    <row r="179" spans="1:11" ht="13.5" customHeight="1" x14ac:dyDescent="0.2">
      <c r="A179" s="171"/>
      <c r="B179" s="46" t="s">
        <v>483</v>
      </c>
      <c r="C179" s="36" t="s">
        <v>3353</v>
      </c>
      <c r="D179" s="11" t="s">
        <v>488</v>
      </c>
      <c r="E179" s="69"/>
      <c r="F179" s="557">
        <v>4980.5</v>
      </c>
      <c r="G179" s="182" t="s">
        <v>483</v>
      </c>
      <c r="H179" s="59"/>
      <c r="I179" s="60"/>
      <c r="J179" s="61">
        <v>-2.0008994461306884E-13</v>
      </c>
      <c r="K179" s="18"/>
    </row>
    <row r="180" spans="1:11" ht="13.5" customHeight="1" x14ac:dyDescent="0.2">
      <c r="A180" s="171"/>
      <c r="B180" s="46" t="s">
        <v>483</v>
      </c>
      <c r="C180" s="34" t="s">
        <v>1625</v>
      </c>
      <c r="D180" s="11" t="s">
        <v>3354</v>
      </c>
      <c r="E180" s="69"/>
      <c r="F180" s="322">
        <v>1200</v>
      </c>
      <c r="G180" s="182" t="s">
        <v>483</v>
      </c>
      <c r="H180" s="59"/>
      <c r="I180" s="60"/>
      <c r="J180" s="61">
        <v>-2.0008994461306884E-13</v>
      </c>
      <c r="K180" s="18"/>
    </row>
    <row r="181" spans="1:11" ht="13.5" customHeight="1" x14ac:dyDescent="0.2">
      <c r="A181" s="171"/>
      <c r="B181" s="46" t="s">
        <v>483</v>
      </c>
      <c r="C181" s="34" t="s">
        <v>3355</v>
      </c>
      <c r="D181" s="11" t="s">
        <v>3356</v>
      </c>
      <c r="E181" s="557">
        <v>-190.55</v>
      </c>
      <c r="F181" s="69"/>
      <c r="G181" s="182" t="s">
        <v>483</v>
      </c>
      <c r="H181" s="59"/>
      <c r="I181" s="60"/>
      <c r="J181" s="61">
        <v>-2.0008994461306884E-13</v>
      </c>
      <c r="K181" s="18"/>
    </row>
    <row r="182" spans="1:11" ht="13.5" customHeight="1" x14ac:dyDescent="0.2">
      <c r="A182" s="171"/>
      <c r="B182" s="46" t="s">
        <v>483</v>
      </c>
      <c r="C182" s="36" t="s">
        <v>189</v>
      </c>
      <c r="D182" s="11" t="s">
        <v>488</v>
      </c>
      <c r="E182" s="557">
        <v>-4950.92</v>
      </c>
      <c r="F182" s="69"/>
      <c r="G182" s="182">
        <v>0</v>
      </c>
      <c r="H182" s="59"/>
      <c r="I182" s="60">
        <v>4950.92</v>
      </c>
      <c r="J182" s="61">
        <v>4950.92</v>
      </c>
      <c r="K182" s="18"/>
    </row>
    <row r="183" spans="1:11" ht="13.5" customHeight="1" x14ac:dyDescent="0.2">
      <c r="A183" s="171" t="s">
        <v>3357</v>
      </c>
      <c r="B183" s="46" t="s">
        <v>483</v>
      </c>
      <c r="C183" s="34" t="s">
        <v>3358</v>
      </c>
      <c r="D183" s="11" t="s">
        <v>488</v>
      </c>
      <c r="E183" s="557">
        <v>-199</v>
      </c>
      <c r="F183" s="69"/>
      <c r="G183" s="182"/>
      <c r="H183" s="59"/>
      <c r="I183" s="60"/>
      <c r="J183" s="61">
        <v>4950.92</v>
      </c>
      <c r="K183" s="18"/>
    </row>
    <row r="184" spans="1:11" ht="13.5" customHeight="1" x14ac:dyDescent="0.2">
      <c r="A184" s="171"/>
      <c r="B184" s="46" t="s">
        <v>483</v>
      </c>
      <c r="C184" s="36" t="s">
        <v>174</v>
      </c>
      <c r="D184" s="11" t="s">
        <v>488</v>
      </c>
      <c r="E184" s="69"/>
      <c r="F184" s="557">
        <v>199</v>
      </c>
      <c r="G184" s="182">
        <v>0</v>
      </c>
      <c r="H184" s="59">
        <v>199</v>
      </c>
      <c r="I184" s="60"/>
      <c r="J184" s="61">
        <v>4751.92</v>
      </c>
      <c r="K184" s="18"/>
    </row>
    <row r="185" spans="1:11" ht="13.5" customHeight="1" x14ac:dyDescent="0.2">
      <c r="A185" s="171" t="s">
        <v>3359</v>
      </c>
      <c r="B185" s="46" t="s">
        <v>483</v>
      </c>
      <c r="C185" s="34" t="s">
        <v>3360</v>
      </c>
      <c r="D185" s="11" t="s">
        <v>3361</v>
      </c>
      <c r="E185" s="557">
        <v>-169.1</v>
      </c>
      <c r="F185" s="69"/>
      <c r="G185" s="182" t="s">
        <v>483</v>
      </c>
      <c r="H185" s="59"/>
      <c r="I185" s="60"/>
      <c r="J185" s="61">
        <v>4751.92</v>
      </c>
      <c r="K185" s="18"/>
    </row>
    <row r="186" spans="1:11" ht="13.5" customHeight="1" x14ac:dyDescent="0.2">
      <c r="A186" s="171"/>
      <c r="B186" s="46" t="s">
        <v>483</v>
      </c>
      <c r="C186" s="34" t="s">
        <v>3360</v>
      </c>
      <c r="D186" s="11" t="s">
        <v>3362</v>
      </c>
      <c r="E186" s="557">
        <v>-186.63</v>
      </c>
      <c r="F186" s="69"/>
      <c r="G186" s="182" t="s">
        <v>483</v>
      </c>
      <c r="H186" s="59"/>
      <c r="I186" s="60"/>
      <c r="J186" s="61">
        <v>4751.92</v>
      </c>
      <c r="K186" s="18"/>
    </row>
    <row r="187" spans="1:11" ht="13.5" customHeight="1" x14ac:dyDescent="0.2">
      <c r="A187" s="171"/>
      <c r="B187" s="46" t="s">
        <v>483</v>
      </c>
      <c r="C187" s="34" t="s">
        <v>3363</v>
      </c>
      <c r="D187" s="11" t="s">
        <v>3364</v>
      </c>
      <c r="E187" s="557">
        <v>-3970.17</v>
      </c>
      <c r="F187" s="69"/>
      <c r="G187" s="182" t="s">
        <v>483</v>
      </c>
      <c r="H187" s="59"/>
      <c r="I187" s="60"/>
      <c r="J187" s="61">
        <v>4751.92</v>
      </c>
      <c r="K187" s="18"/>
    </row>
    <row r="188" spans="1:11" ht="13.5" customHeight="1" x14ac:dyDescent="0.2">
      <c r="A188" s="171"/>
      <c r="B188" s="46" t="s">
        <v>483</v>
      </c>
      <c r="C188" s="36" t="s">
        <v>174</v>
      </c>
      <c r="D188" s="11" t="s">
        <v>488</v>
      </c>
      <c r="E188" s="69"/>
      <c r="F188" s="557">
        <v>4325.8999999999996</v>
      </c>
      <c r="G188" s="182">
        <v>0</v>
      </c>
      <c r="H188" s="59">
        <v>4325.8999999999996</v>
      </c>
      <c r="I188" s="60"/>
      <c r="J188" s="61">
        <v>426.02000000000044</v>
      </c>
      <c r="K188" s="18"/>
    </row>
    <row r="189" spans="1:11" ht="13.5" customHeight="1" x14ac:dyDescent="0.2">
      <c r="A189" s="171" t="s">
        <v>3365</v>
      </c>
      <c r="B189" s="46" t="s">
        <v>483</v>
      </c>
      <c r="C189" s="32" t="s">
        <v>3366</v>
      </c>
      <c r="D189" s="11" t="s">
        <v>1367</v>
      </c>
      <c r="E189" s="557">
        <v>-754</v>
      </c>
      <c r="F189" s="69"/>
      <c r="G189" s="182"/>
      <c r="H189" s="59"/>
      <c r="I189" s="60"/>
      <c r="J189" s="61">
        <v>426.02000000000044</v>
      </c>
      <c r="K189" s="18"/>
    </row>
    <row r="190" spans="1:11" ht="13.5" customHeight="1" x14ac:dyDescent="0.2">
      <c r="A190" s="171"/>
      <c r="B190" s="46" t="s">
        <v>483</v>
      </c>
      <c r="C190" s="36" t="s">
        <v>174</v>
      </c>
      <c r="D190" s="11" t="s">
        <v>488</v>
      </c>
      <c r="E190" s="69"/>
      <c r="F190" s="557">
        <v>426.04</v>
      </c>
      <c r="G190" s="182">
        <v>-327.96</v>
      </c>
      <c r="H190" s="59">
        <v>426.04</v>
      </c>
      <c r="I190" s="60"/>
      <c r="J190" s="61">
        <v>-1.9999999999583906E-2</v>
      </c>
      <c r="K190" s="18"/>
    </row>
    <row r="191" spans="1:11" ht="13.5" customHeight="1" x14ac:dyDescent="0.2">
      <c r="A191" s="171" t="s">
        <v>3367</v>
      </c>
      <c r="B191" s="46" t="s">
        <v>483</v>
      </c>
      <c r="C191" s="34" t="s">
        <v>3368</v>
      </c>
      <c r="D191" s="11" t="s">
        <v>3369</v>
      </c>
      <c r="E191" s="557">
        <v>-149</v>
      </c>
      <c r="F191" s="69"/>
      <c r="G191" s="182" t="s">
        <v>483</v>
      </c>
      <c r="H191" s="59"/>
      <c r="I191" s="60"/>
      <c r="J191" s="61">
        <v>-1.9999999999583906E-2</v>
      </c>
      <c r="K191" s="18"/>
    </row>
    <row r="192" spans="1:11" ht="13.5" customHeight="1" x14ac:dyDescent="0.2">
      <c r="A192" s="171"/>
      <c r="B192" s="46" t="s">
        <v>483</v>
      </c>
      <c r="C192" s="34" t="s">
        <v>3370</v>
      </c>
      <c r="D192" s="11" t="s">
        <v>3369</v>
      </c>
      <c r="E192" s="557">
        <v>-149</v>
      </c>
      <c r="F192" s="69"/>
      <c r="G192" s="182" t="s">
        <v>483</v>
      </c>
      <c r="H192" s="59"/>
      <c r="I192" s="60"/>
      <c r="J192" s="61">
        <v>-1.9999999999583906E-2</v>
      </c>
      <c r="K192" s="18"/>
    </row>
    <row r="193" spans="1:11" ht="13.5" customHeight="1" x14ac:dyDescent="0.2">
      <c r="A193" s="171"/>
      <c r="B193" s="46" t="s">
        <v>591</v>
      </c>
      <c r="C193" s="36" t="s">
        <v>3371</v>
      </c>
      <c r="D193" s="11" t="s">
        <v>3372</v>
      </c>
      <c r="E193" s="557"/>
      <c r="F193" s="322">
        <v>8584.75</v>
      </c>
      <c r="G193" s="182" t="s">
        <v>483</v>
      </c>
      <c r="H193" s="59"/>
      <c r="I193" s="60"/>
      <c r="J193" s="61">
        <v>-1.9999999999583906E-2</v>
      </c>
      <c r="K193" s="18"/>
    </row>
    <row r="194" spans="1:11" ht="13.5" customHeight="1" x14ac:dyDescent="0.2">
      <c r="A194" s="171"/>
      <c r="B194" s="46" t="s">
        <v>483</v>
      </c>
      <c r="C194" s="32" t="s">
        <v>3373</v>
      </c>
      <c r="D194" s="11" t="s">
        <v>3374</v>
      </c>
      <c r="E194" s="557">
        <v>-421.52</v>
      </c>
      <c r="F194" s="69"/>
      <c r="G194" s="182">
        <v>7537.27</v>
      </c>
      <c r="H194" s="59"/>
      <c r="I194" s="60"/>
      <c r="J194" s="61">
        <v>-1.9999999999583906E-2</v>
      </c>
      <c r="K194" s="18"/>
    </row>
    <row r="195" spans="1:11" ht="13.5" customHeight="1" x14ac:dyDescent="0.2">
      <c r="A195" s="171" t="s">
        <v>3375</v>
      </c>
      <c r="B195" s="46" t="s">
        <v>483</v>
      </c>
      <c r="C195" s="34" t="s">
        <v>3376</v>
      </c>
      <c r="D195" s="11" t="s">
        <v>780</v>
      </c>
      <c r="E195" s="557">
        <v>-1320.97</v>
      </c>
      <c r="F195" s="69"/>
      <c r="G195" s="182" t="s">
        <v>483</v>
      </c>
      <c r="H195" s="59"/>
      <c r="I195" s="60"/>
      <c r="J195" s="61">
        <v>-1.9999999999583906E-2</v>
      </c>
      <c r="K195" s="18"/>
    </row>
    <row r="196" spans="1:11" ht="13.5" customHeight="1" x14ac:dyDescent="0.2">
      <c r="A196" s="171"/>
      <c r="B196" s="46" t="s">
        <v>483</v>
      </c>
      <c r="C196" s="34" t="s">
        <v>3377</v>
      </c>
      <c r="D196" s="11" t="s">
        <v>3378</v>
      </c>
      <c r="E196" s="557">
        <v>-360</v>
      </c>
      <c r="F196" s="69"/>
      <c r="G196" s="182">
        <v>5856.3</v>
      </c>
      <c r="H196" s="59"/>
      <c r="I196" s="60"/>
      <c r="J196" s="61">
        <v>-1.9999999999583906E-2</v>
      </c>
      <c r="K196" s="18"/>
    </row>
    <row r="197" spans="1:11" ht="13.5" customHeight="1" x14ac:dyDescent="0.2">
      <c r="A197" s="171"/>
      <c r="B197" s="46" t="s">
        <v>483</v>
      </c>
      <c r="C197" s="36" t="s">
        <v>189</v>
      </c>
      <c r="D197" s="11" t="s">
        <v>488</v>
      </c>
      <c r="E197" s="557">
        <v>-5856.3</v>
      </c>
      <c r="F197" s="69"/>
      <c r="G197" s="182">
        <v>0</v>
      </c>
      <c r="H197" s="59"/>
      <c r="I197" s="60">
        <v>5856.3</v>
      </c>
      <c r="J197" s="61">
        <v>5856.2800000000007</v>
      </c>
      <c r="K197" s="18"/>
    </row>
    <row r="198" spans="1:11" ht="13.5" customHeight="1" x14ac:dyDescent="0.2">
      <c r="A198" s="171" t="s">
        <v>3379</v>
      </c>
      <c r="B198" s="46" t="s">
        <v>483</v>
      </c>
      <c r="C198" s="34" t="s">
        <v>86</v>
      </c>
      <c r="D198" s="11" t="s">
        <v>488</v>
      </c>
      <c r="E198" s="557">
        <v>-92.5</v>
      </c>
      <c r="F198" s="69"/>
      <c r="G198" s="182" t="s">
        <v>483</v>
      </c>
      <c r="H198" s="59"/>
      <c r="I198" s="60"/>
      <c r="J198" s="61">
        <v>5856.2800000000007</v>
      </c>
      <c r="K198" s="18"/>
    </row>
    <row r="199" spans="1:11" ht="13.5" customHeight="1" x14ac:dyDescent="0.2">
      <c r="A199" s="171"/>
      <c r="B199" s="46" t="s">
        <v>483</v>
      </c>
      <c r="C199" s="32" t="s">
        <v>194</v>
      </c>
      <c r="D199" s="11" t="s">
        <v>488</v>
      </c>
      <c r="E199" s="557">
        <v>-84.54</v>
      </c>
      <c r="F199" s="69"/>
      <c r="G199" s="182" t="s">
        <v>483</v>
      </c>
      <c r="H199" s="59"/>
      <c r="I199" s="60"/>
      <c r="J199" s="61">
        <v>5856.2800000000007</v>
      </c>
      <c r="K199" s="18"/>
    </row>
    <row r="200" spans="1:11" ht="13.5" customHeight="1" x14ac:dyDescent="0.2">
      <c r="A200" s="171"/>
      <c r="B200" s="46" t="s">
        <v>483</v>
      </c>
      <c r="C200" s="32" t="s">
        <v>195</v>
      </c>
      <c r="D200" s="11" t="s">
        <v>488</v>
      </c>
      <c r="E200" s="557">
        <v>-390.19</v>
      </c>
      <c r="F200" s="69"/>
      <c r="G200" s="182" t="s">
        <v>483</v>
      </c>
      <c r="H200" s="59"/>
      <c r="I200" s="60"/>
      <c r="J200" s="61">
        <v>5856.2800000000007</v>
      </c>
      <c r="K200" s="18"/>
    </row>
    <row r="201" spans="1:11" ht="13.5" customHeight="1" x14ac:dyDescent="0.2">
      <c r="A201" s="171"/>
      <c r="B201" s="46" t="s">
        <v>483</v>
      </c>
      <c r="C201" s="34" t="s">
        <v>1625</v>
      </c>
      <c r="D201" s="11" t="s">
        <v>3380</v>
      </c>
      <c r="E201" s="322">
        <v>-2500</v>
      </c>
      <c r="F201" s="69"/>
      <c r="G201" s="182" t="s">
        <v>483</v>
      </c>
      <c r="H201" s="59"/>
      <c r="I201" s="60"/>
      <c r="J201" s="61">
        <v>5856.2800000000007</v>
      </c>
      <c r="K201" s="18"/>
    </row>
    <row r="202" spans="1:11" ht="13.5" customHeight="1" x14ac:dyDescent="0.2">
      <c r="A202" s="171"/>
      <c r="B202" s="46" t="s">
        <v>483</v>
      </c>
      <c r="C202" s="36" t="s">
        <v>174</v>
      </c>
      <c r="D202" s="11" t="s">
        <v>488</v>
      </c>
      <c r="E202" s="69"/>
      <c r="F202" s="557">
        <v>3067.23</v>
      </c>
      <c r="G202" s="182">
        <v>0</v>
      </c>
      <c r="H202" s="59">
        <v>3067.23</v>
      </c>
      <c r="I202" s="60"/>
      <c r="J202" s="61">
        <v>2789.0500000000006</v>
      </c>
      <c r="K202" s="18"/>
    </row>
    <row r="203" spans="1:11" ht="13.5" customHeight="1" x14ac:dyDescent="0.2">
      <c r="A203" s="171" t="s">
        <v>3381</v>
      </c>
      <c r="B203" s="46" t="s">
        <v>483</v>
      </c>
      <c r="C203" s="34" t="s">
        <v>86</v>
      </c>
      <c r="D203" s="11" t="s">
        <v>488</v>
      </c>
      <c r="E203" s="557">
        <v>-12.5</v>
      </c>
      <c r="F203" s="69"/>
      <c r="G203" s="182"/>
      <c r="H203" s="59"/>
      <c r="I203" s="60"/>
      <c r="J203" s="61">
        <v>2789.0500000000006</v>
      </c>
      <c r="K203" s="18"/>
    </row>
    <row r="204" spans="1:11" ht="13.5" customHeight="1" x14ac:dyDescent="0.2">
      <c r="A204" s="171"/>
      <c r="B204" s="46" t="s">
        <v>483</v>
      </c>
      <c r="C204" s="36" t="s">
        <v>174</v>
      </c>
      <c r="D204" s="11" t="s">
        <v>488</v>
      </c>
      <c r="E204" s="69"/>
      <c r="F204" s="557">
        <v>12.5</v>
      </c>
      <c r="G204" s="182">
        <v>0</v>
      </c>
      <c r="H204" s="59">
        <v>12.5</v>
      </c>
      <c r="I204" s="60"/>
      <c r="J204" s="61">
        <v>2776.5500000000006</v>
      </c>
      <c r="K204" s="18"/>
    </row>
    <row r="205" spans="1:11" ht="13.5" customHeight="1" x14ac:dyDescent="0.2">
      <c r="A205" s="171" t="s">
        <v>3382</v>
      </c>
      <c r="B205" s="46" t="s">
        <v>483</v>
      </c>
      <c r="C205" s="32" t="s">
        <v>3383</v>
      </c>
      <c r="D205" s="11" t="s">
        <v>3384</v>
      </c>
      <c r="E205" s="557">
        <v>-526.9</v>
      </c>
      <c r="F205" s="69"/>
      <c r="G205" s="182" t="s">
        <v>483</v>
      </c>
      <c r="H205" s="59"/>
      <c r="I205" s="60"/>
      <c r="J205" s="61">
        <v>2776.5500000000006</v>
      </c>
      <c r="K205" s="18"/>
    </row>
    <row r="206" spans="1:11" ht="13.5" customHeight="1" x14ac:dyDescent="0.2">
      <c r="A206" s="171"/>
      <c r="B206" s="46" t="s">
        <v>483</v>
      </c>
      <c r="C206" s="36" t="s">
        <v>174</v>
      </c>
      <c r="D206" s="11" t="s">
        <v>488</v>
      </c>
      <c r="E206" s="69"/>
      <c r="F206" s="557">
        <v>526.9</v>
      </c>
      <c r="G206" s="182">
        <v>0</v>
      </c>
      <c r="H206" s="59">
        <v>526.9</v>
      </c>
      <c r="I206" s="60"/>
      <c r="J206" s="61">
        <v>2249.6500000000005</v>
      </c>
      <c r="K206" s="18"/>
    </row>
    <row r="207" spans="1:11" ht="13.5" customHeight="1" x14ac:dyDescent="0.2">
      <c r="A207" s="171" t="s">
        <v>3385</v>
      </c>
      <c r="B207" s="46" t="s">
        <v>483</v>
      </c>
      <c r="C207" s="32" t="s">
        <v>813</v>
      </c>
      <c r="D207" s="11" t="s">
        <v>1724</v>
      </c>
      <c r="E207" s="557">
        <v>-75</v>
      </c>
      <c r="F207" s="69"/>
      <c r="G207" s="182" t="s">
        <v>483</v>
      </c>
      <c r="H207" s="59"/>
      <c r="I207" s="60"/>
      <c r="J207" s="61">
        <v>2249.6500000000005</v>
      </c>
      <c r="K207" s="18"/>
    </row>
    <row r="208" spans="1:11" ht="13.5" customHeight="1" x14ac:dyDescent="0.2">
      <c r="A208" s="171"/>
      <c r="B208" s="46" t="s">
        <v>483</v>
      </c>
      <c r="C208" s="34" t="s">
        <v>3386</v>
      </c>
      <c r="D208" s="11" t="s">
        <v>3387</v>
      </c>
      <c r="E208" s="557">
        <v>-990</v>
      </c>
      <c r="F208" s="69"/>
      <c r="G208" s="182" t="s">
        <v>483</v>
      </c>
      <c r="H208" s="59"/>
      <c r="I208" s="60"/>
      <c r="J208" s="61">
        <v>2249.6500000000005</v>
      </c>
      <c r="K208" s="18"/>
    </row>
    <row r="209" spans="1:12" ht="13.5" customHeight="1" x14ac:dyDescent="0.2">
      <c r="A209" s="171"/>
      <c r="B209" s="46" t="s">
        <v>483</v>
      </c>
      <c r="C209" s="36" t="s">
        <v>174</v>
      </c>
      <c r="D209" s="11" t="s">
        <v>488</v>
      </c>
      <c r="E209" s="69"/>
      <c r="F209" s="557">
        <v>1065</v>
      </c>
      <c r="G209" s="205">
        <v>0</v>
      </c>
      <c r="H209" s="59">
        <v>1065</v>
      </c>
      <c r="I209" s="60"/>
      <c r="J209" s="61">
        <v>1184.6500000000005</v>
      </c>
      <c r="K209" s="18"/>
    </row>
    <row r="210" spans="1:12" ht="13.5" customHeight="1" x14ac:dyDescent="0.2">
      <c r="A210" s="171"/>
      <c r="B210" s="46"/>
      <c r="C210" s="32" t="s">
        <v>20</v>
      </c>
      <c r="D210" s="11"/>
      <c r="E210" s="69"/>
      <c r="F210" s="69"/>
      <c r="G210" s="182"/>
      <c r="H210" s="59"/>
      <c r="I210" s="60">
        <v>9.9999999999454303E-2</v>
      </c>
      <c r="J210" s="186">
        <v>1184.75</v>
      </c>
      <c r="K210" s="124"/>
    </row>
    <row r="211" spans="1:12" ht="13.5" customHeight="1" thickBot="1" x14ac:dyDescent="0.25">
      <c r="A211" s="171"/>
      <c r="B211" s="46"/>
      <c r="C211" s="34"/>
      <c r="D211" s="11"/>
      <c r="E211" s="654">
        <f>SUM(E158:E210)</f>
        <v>-34373.43</v>
      </c>
      <c r="F211" s="654">
        <f>SUM(F158:F210)</f>
        <v>34373.430000000008</v>
      </c>
      <c r="G211" s="182"/>
      <c r="H211" s="179"/>
      <c r="I211" s="57"/>
      <c r="J211" s="67"/>
    </row>
    <row r="212" spans="1:12" ht="13.5" customHeight="1" thickBot="1" x14ac:dyDescent="0.25">
      <c r="A212" s="2" t="s">
        <v>2</v>
      </c>
      <c r="B212" s="3"/>
      <c r="C212" s="3" t="s">
        <v>525</v>
      </c>
      <c r="D212" s="3"/>
      <c r="E212" s="3"/>
      <c r="F212" s="3"/>
      <c r="G212" s="5" t="s">
        <v>7</v>
      </c>
    </row>
    <row r="213" spans="1:12" ht="13.5" customHeight="1" x14ac:dyDescent="0.2">
      <c r="A213" s="8">
        <v>43770</v>
      </c>
      <c r="B213" s="70"/>
      <c r="C213" s="10" t="s">
        <v>537</v>
      </c>
      <c r="D213" s="125"/>
      <c r="E213" s="67"/>
      <c r="F213" s="67"/>
      <c r="G213" s="205">
        <v>147.96999999999866</v>
      </c>
    </row>
    <row r="214" spans="1:12" ht="13.5" customHeight="1" x14ac:dyDescent="0.2">
      <c r="A214" s="171">
        <v>43775</v>
      </c>
      <c r="B214" s="46"/>
      <c r="C214" s="36" t="s">
        <v>815</v>
      </c>
      <c r="D214" s="11"/>
      <c r="E214" s="181">
        <v>888.22</v>
      </c>
      <c r="F214" s="69"/>
      <c r="G214" s="182"/>
      <c r="I214" s="30">
        <f>SUM(G3,G105,G119,G158)</f>
        <v>8165.5000000000236</v>
      </c>
      <c r="J214" t="s">
        <v>8082</v>
      </c>
    </row>
    <row r="215" spans="1:12" ht="13.5" customHeight="1" x14ac:dyDescent="0.2">
      <c r="A215" s="171"/>
      <c r="B215" s="46"/>
      <c r="C215" s="32" t="s">
        <v>1390</v>
      </c>
      <c r="D215" s="229"/>
      <c r="E215" s="614"/>
      <c r="F215" s="557">
        <v>1000</v>
      </c>
      <c r="G215" s="205">
        <v>259.74999999999864</v>
      </c>
      <c r="I215" s="1159"/>
    </row>
    <row r="216" spans="1:12" ht="13.5" customHeight="1" thickBot="1" x14ac:dyDescent="0.25">
      <c r="A216" s="70"/>
      <c r="B216" s="70"/>
      <c r="C216" s="63"/>
      <c r="D216" s="50"/>
      <c r="E216" s="13"/>
      <c r="F216" s="13"/>
      <c r="G216" s="182"/>
      <c r="I216" s="30">
        <f>SUM(G116,G155,G209,G102)</f>
        <v>2420.6900000000242</v>
      </c>
      <c r="J216" t="s">
        <v>8083</v>
      </c>
    </row>
    <row r="217" spans="1:12" s="97" customFormat="1" ht="13.5" customHeight="1" thickBot="1" x14ac:dyDescent="0.25">
      <c r="A217" s="561" t="s">
        <v>2</v>
      </c>
      <c r="B217" s="562"/>
      <c r="C217" s="562" t="s">
        <v>534</v>
      </c>
      <c r="D217" s="563" t="s">
        <v>4</v>
      </c>
      <c r="E217" s="562" t="s">
        <v>5</v>
      </c>
      <c r="F217" s="562" t="s">
        <v>6</v>
      </c>
      <c r="G217" s="564" t="s">
        <v>7</v>
      </c>
      <c r="H217" s="1"/>
      <c r="I217" s="1159"/>
      <c r="J217" s="1"/>
      <c r="L217" s="567"/>
    </row>
    <row r="218" spans="1:12" s="97" customFormat="1" ht="13.5" customHeight="1" x14ac:dyDescent="0.2">
      <c r="A218" s="568">
        <v>42370</v>
      </c>
      <c r="B218" s="569"/>
      <c r="C218" s="570" t="s">
        <v>8</v>
      </c>
      <c r="D218" s="571"/>
      <c r="E218" s="572"/>
      <c r="F218" s="573"/>
      <c r="G218" s="574">
        <v>0</v>
      </c>
      <c r="H218" s="1"/>
      <c r="I218" s="30">
        <f>SUM(F211,E211,F156,E156,E117,F103,E103,F117)</f>
        <v>-5744.8099999999977</v>
      </c>
      <c r="J218" t="s">
        <v>8085</v>
      </c>
      <c r="L218" s="567"/>
    </row>
    <row r="219" spans="1:12" s="97" customFormat="1" ht="13.5" customHeight="1" x14ac:dyDescent="0.2">
      <c r="A219" s="578">
        <v>43284</v>
      </c>
      <c r="B219" s="569"/>
      <c r="C219" s="569" t="s">
        <v>535</v>
      </c>
      <c r="D219" s="571"/>
      <c r="E219" s="572"/>
      <c r="F219" s="579">
        <v>500</v>
      </c>
      <c r="G219" s="580">
        <v>500</v>
      </c>
      <c r="H219" s="1"/>
      <c r="I219" s="1159"/>
      <c r="J219" s="1"/>
      <c r="L219" s="567"/>
    </row>
    <row r="220" spans="1:12" s="97" customFormat="1" ht="13.5" customHeight="1" x14ac:dyDescent="0.2">
      <c r="A220" s="578">
        <v>43346</v>
      </c>
      <c r="B220" s="569"/>
      <c r="C220" s="569" t="s">
        <v>535</v>
      </c>
      <c r="D220" s="571"/>
      <c r="E220" s="572"/>
      <c r="F220" s="579">
        <v>3000</v>
      </c>
      <c r="G220" s="580">
        <v>3500</v>
      </c>
      <c r="H220" s="1"/>
      <c r="I220" s="1159"/>
      <c r="J220" s="1"/>
      <c r="L220" s="567"/>
    </row>
    <row r="221" spans="1:12" s="97" customFormat="1" ht="13.5" customHeight="1" x14ac:dyDescent="0.2">
      <c r="A221" s="578">
        <v>43374</v>
      </c>
      <c r="B221" s="569"/>
      <c r="C221" s="569" t="s">
        <v>535</v>
      </c>
      <c r="D221" s="571"/>
      <c r="E221" s="572"/>
      <c r="F221" s="579">
        <v>2000</v>
      </c>
      <c r="G221" s="580">
        <v>5500</v>
      </c>
      <c r="H221" s="1"/>
      <c r="I221" s="615">
        <f>I214+I218-I216</f>
        <v>0</v>
      </c>
      <c r="J221" t="s">
        <v>8084</v>
      </c>
      <c r="L221" s="567"/>
    </row>
    <row r="222" spans="1:12" s="97" customFormat="1" ht="13.5" customHeight="1" x14ac:dyDescent="0.2">
      <c r="A222" s="578">
        <v>43409</v>
      </c>
      <c r="B222" s="569"/>
      <c r="C222" s="569" t="s">
        <v>535</v>
      </c>
      <c r="D222" s="571"/>
      <c r="E222" s="572"/>
      <c r="F222" s="579">
        <v>1000</v>
      </c>
      <c r="G222" s="580">
        <v>6500</v>
      </c>
      <c r="H222" s="1"/>
      <c r="I222" s="1"/>
      <c r="J222" s="1"/>
      <c r="L222" s="567"/>
    </row>
    <row r="223" spans="1:12" s="97" customFormat="1" ht="13.5" customHeight="1" x14ac:dyDescent="0.2">
      <c r="A223" s="578">
        <v>43804</v>
      </c>
      <c r="B223" s="569"/>
      <c r="C223" s="569" t="s">
        <v>535</v>
      </c>
      <c r="D223" s="571"/>
      <c r="E223" s="572"/>
      <c r="F223" s="579">
        <v>500</v>
      </c>
      <c r="G223" s="580">
        <v>7000</v>
      </c>
      <c r="H223" s="1"/>
      <c r="I223" s="1"/>
      <c r="J223" s="1"/>
      <c r="L223" s="567"/>
    </row>
    <row r="224" spans="1:12" s="97" customFormat="1" ht="13.5" customHeight="1" x14ac:dyDescent="0.2">
      <c r="A224" s="578">
        <v>43469</v>
      </c>
      <c r="B224" s="569"/>
      <c r="C224" s="569" t="s">
        <v>1390</v>
      </c>
      <c r="D224" s="581"/>
      <c r="E224" s="572"/>
      <c r="F224" s="579">
        <v>1500</v>
      </c>
      <c r="G224" s="580">
        <v>8500</v>
      </c>
      <c r="H224" s="1"/>
      <c r="I224" s="1"/>
      <c r="J224" s="1"/>
      <c r="L224" s="567"/>
    </row>
    <row r="225" spans="1:12" s="97" customFormat="1" ht="13.5" customHeight="1" x14ac:dyDescent="0.2">
      <c r="A225" s="578">
        <v>43475</v>
      </c>
      <c r="B225" s="569"/>
      <c r="C225" s="569" t="s">
        <v>1391</v>
      </c>
      <c r="D225" s="581"/>
      <c r="E225" s="572"/>
      <c r="F225" s="579">
        <v>5000</v>
      </c>
      <c r="G225" s="580">
        <v>13500</v>
      </c>
      <c r="H225" s="1"/>
      <c r="I225" s="1"/>
      <c r="J225" s="1"/>
      <c r="L225" s="567"/>
    </row>
    <row r="226" spans="1:12" s="97" customFormat="1" ht="13.5" customHeight="1" x14ac:dyDescent="0.2">
      <c r="A226" s="578">
        <v>43482</v>
      </c>
      <c r="B226" s="569"/>
      <c r="C226" s="569" t="s">
        <v>1391</v>
      </c>
      <c r="D226" s="581"/>
      <c r="E226" s="572"/>
      <c r="F226" s="579">
        <v>5000</v>
      </c>
      <c r="G226" s="580">
        <v>18500</v>
      </c>
      <c r="H226" s="1"/>
      <c r="I226" s="1"/>
      <c r="J226" s="1"/>
      <c r="L226" s="567"/>
    </row>
    <row r="227" spans="1:12" s="97" customFormat="1" ht="13.5" customHeight="1" x14ac:dyDescent="0.2">
      <c r="A227" s="578">
        <v>43500</v>
      </c>
      <c r="B227" s="569"/>
      <c r="C227" s="569" t="s">
        <v>1391</v>
      </c>
      <c r="D227" s="581"/>
      <c r="E227" s="572"/>
      <c r="F227" s="579">
        <v>3000</v>
      </c>
      <c r="G227" s="580">
        <v>21500</v>
      </c>
      <c r="H227" s="1"/>
      <c r="I227" s="1"/>
      <c r="J227" s="1"/>
      <c r="L227" s="567"/>
    </row>
    <row r="228" spans="1:12" s="97" customFormat="1" ht="13.5" customHeight="1" x14ac:dyDescent="0.2">
      <c r="A228" s="578">
        <v>43501</v>
      </c>
      <c r="B228" s="569"/>
      <c r="C228" s="569" t="s">
        <v>1391</v>
      </c>
      <c r="D228" s="581"/>
      <c r="E228" s="572"/>
      <c r="F228" s="579">
        <v>4000</v>
      </c>
      <c r="G228" s="580">
        <v>25500</v>
      </c>
      <c r="H228" s="1"/>
      <c r="I228" s="584"/>
      <c r="J228" s="583"/>
      <c r="L228" s="567"/>
    </row>
    <row r="229" spans="1:12" s="97" customFormat="1" ht="13.5" customHeight="1" x14ac:dyDescent="0.2">
      <c r="A229" s="578">
        <v>43503</v>
      </c>
      <c r="B229" s="569"/>
      <c r="C229" s="569" t="s">
        <v>1391</v>
      </c>
      <c r="D229" s="581"/>
      <c r="E229" s="572"/>
      <c r="F229" s="579">
        <v>2000</v>
      </c>
      <c r="G229" s="580">
        <v>27500</v>
      </c>
      <c r="H229" s="1"/>
      <c r="L229" s="567"/>
    </row>
    <row r="230" spans="1:12" s="97" customFormat="1" ht="13.5" customHeight="1" x14ac:dyDescent="0.2">
      <c r="A230" s="578">
        <v>43504</v>
      </c>
      <c r="B230" s="569"/>
      <c r="C230" s="569" t="s">
        <v>1390</v>
      </c>
      <c r="D230" s="581"/>
      <c r="E230" s="572"/>
      <c r="F230" s="579">
        <v>1500</v>
      </c>
      <c r="G230" s="580">
        <v>29000</v>
      </c>
      <c r="H230" s="1"/>
      <c r="L230" s="567"/>
    </row>
    <row r="231" spans="1:12" s="97" customFormat="1" ht="13.5" customHeight="1" x14ac:dyDescent="0.2">
      <c r="A231" s="578">
        <v>43522</v>
      </c>
      <c r="B231" s="569"/>
      <c r="C231" s="569" t="s">
        <v>1544</v>
      </c>
      <c r="D231" s="581"/>
      <c r="E231" s="582">
        <v>5000</v>
      </c>
      <c r="F231" s="573"/>
      <c r="G231" s="580">
        <v>24000</v>
      </c>
      <c r="H231" s="1"/>
      <c r="L231" s="567"/>
    </row>
    <row r="232" spans="1:12" s="97" customFormat="1" ht="13.5" customHeight="1" x14ac:dyDescent="0.2">
      <c r="A232" s="578">
        <v>43531</v>
      </c>
      <c r="B232" s="569"/>
      <c r="C232" s="569" t="s">
        <v>1390</v>
      </c>
      <c r="D232" s="581"/>
      <c r="E232" s="572"/>
      <c r="F232" s="579">
        <v>3000</v>
      </c>
      <c r="G232" s="580">
        <v>27000</v>
      </c>
      <c r="H232" s="1"/>
      <c r="L232" s="567"/>
    </row>
    <row r="233" spans="1:12" s="97" customFormat="1" ht="13.5" customHeight="1" x14ac:dyDescent="0.2">
      <c r="A233" s="578">
        <v>43536</v>
      </c>
      <c r="B233" s="569"/>
      <c r="C233" s="569" t="s">
        <v>1391</v>
      </c>
      <c r="D233" s="581"/>
      <c r="E233" s="572"/>
      <c r="F233" s="579">
        <v>3000</v>
      </c>
      <c r="G233" s="580">
        <v>30000</v>
      </c>
      <c r="H233" s="1"/>
      <c r="L233" s="567"/>
    </row>
    <row r="234" spans="1:12" s="97" customFormat="1" ht="13.5" customHeight="1" x14ac:dyDescent="0.2">
      <c r="A234" s="578">
        <v>43560</v>
      </c>
      <c r="B234" s="569"/>
      <c r="C234" s="569" t="s">
        <v>1390</v>
      </c>
      <c r="D234" s="581"/>
      <c r="E234" s="572"/>
      <c r="F234" s="579">
        <v>2000</v>
      </c>
      <c r="G234" s="580">
        <v>32000</v>
      </c>
      <c r="H234" s="1"/>
      <c r="L234" s="567"/>
    </row>
    <row r="235" spans="1:12" s="97" customFormat="1" ht="13.5" customHeight="1" x14ac:dyDescent="0.2">
      <c r="A235" s="578">
        <v>43565</v>
      </c>
      <c r="B235" s="569"/>
      <c r="C235" s="569" t="s">
        <v>1390</v>
      </c>
      <c r="D235" s="581"/>
      <c r="E235" s="572"/>
      <c r="F235" s="579">
        <v>8000</v>
      </c>
      <c r="G235" s="580">
        <v>40000</v>
      </c>
      <c r="H235" s="1"/>
      <c r="L235" s="567"/>
    </row>
    <row r="236" spans="1:12" s="97" customFormat="1" ht="13.5" customHeight="1" x14ac:dyDescent="0.2">
      <c r="A236" s="578">
        <v>43571</v>
      </c>
      <c r="B236" s="569"/>
      <c r="C236" s="569" t="s">
        <v>1544</v>
      </c>
      <c r="D236" s="581"/>
      <c r="E236" s="582">
        <v>4000</v>
      </c>
      <c r="F236" s="573"/>
      <c r="G236" s="580">
        <v>36000</v>
      </c>
      <c r="H236" s="1"/>
      <c r="L236" s="567"/>
    </row>
    <row r="237" spans="1:12" s="97" customFormat="1" ht="13.5" customHeight="1" x14ac:dyDescent="0.2">
      <c r="A237" s="578">
        <v>43580</v>
      </c>
      <c r="B237" s="569"/>
      <c r="C237" s="569" t="s">
        <v>1544</v>
      </c>
      <c r="D237" s="581"/>
      <c r="E237" s="582">
        <v>2000</v>
      </c>
      <c r="F237" s="573"/>
      <c r="G237" s="580">
        <v>34000</v>
      </c>
      <c r="H237" s="1"/>
      <c r="L237" s="567"/>
    </row>
    <row r="238" spans="1:12" s="97" customFormat="1" ht="13.5" customHeight="1" x14ac:dyDescent="0.2">
      <c r="A238" s="578">
        <v>43593</v>
      </c>
      <c r="B238" s="569"/>
      <c r="C238" s="569" t="s">
        <v>1390</v>
      </c>
      <c r="D238" s="581"/>
      <c r="E238" s="572"/>
      <c r="F238" s="579">
        <v>500</v>
      </c>
      <c r="G238" s="580">
        <v>34500</v>
      </c>
      <c r="H238" s="1"/>
      <c r="L238" s="567"/>
    </row>
    <row r="239" spans="1:12" s="97" customFormat="1" ht="13.5" customHeight="1" x14ac:dyDescent="0.2">
      <c r="A239" s="578">
        <v>43620</v>
      </c>
      <c r="B239" s="569"/>
      <c r="C239" s="569" t="s">
        <v>1390</v>
      </c>
      <c r="D239" s="581"/>
      <c r="E239" s="572"/>
      <c r="F239" s="579">
        <v>2500</v>
      </c>
      <c r="G239" s="580">
        <v>37000</v>
      </c>
      <c r="H239" s="1"/>
      <c r="I239" s="1"/>
      <c r="J239" s="1"/>
      <c r="L239" s="567"/>
    </row>
    <row r="240" spans="1:12" s="97" customFormat="1" ht="13.5" customHeight="1" x14ac:dyDescent="0.2">
      <c r="A240" s="578">
        <v>43633</v>
      </c>
      <c r="B240" s="569"/>
      <c r="C240" s="569" t="s">
        <v>1544</v>
      </c>
      <c r="D240" s="581"/>
      <c r="E240" s="582">
        <v>4000</v>
      </c>
      <c r="F240" s="573"/>
      <c r="G240" s="580">
        <v>33000</v>
      </c>
      <c r="H240" s="583"/>
      <c r="I240" s="1"/>
      <c r="J240" s="1"/>
      <c r="L240" s="567"/>
    </row>
    <row r="241" spans="1:10" s="97" customFormat="1" ht="13.5" customHeight="1" x14ac:dyDescent="0.2">
      <c r="A241" s="578">
        <v>43651</v>
      </c>
      <c r="B241" s="585"/>
      <c r="C241" s="569" t="s">
        <v>1544</v>
      </c>
      <c r="D241" s="586"/>
      <c r="E241" s="579">
        <v>3000</v>
      </c>
      <c r="F241" s="573"/>
      <c r="G241" s="580">
        <v>30000</v>
      </c>
      <c r="I241" s="1"/>
      <c r="J241" s="1"/>
    </row>
    <row r="242" spans="1:10" s="97" customFormat="1" ht="13.5" customHeight="1" x14ac:dyDescent="0.2">
      <c r="A242" s="578">
        <v>43668</v>
      </c>
      <c r="B242" s="585"/>
      <c r="C242" s="569" t="s">
        <v>1544</v>
      </c>
      <c r="D242" s="586"/>
      <c r="E242" s="579">
        <v>3000</v>
      </c>
      <c r="F242" s="573"/>
      <c r="G242" s="580">
        <v>27000</v>
      </c>
      <c r="I242" s="1"/>
      <c r="J242" s="1"/>
    </row>
    <row r="243" spans="1:10" s="97" customFormat="1" ht="13.5" customHeight="1" x14ac:dyDescent="0.2">
      <c r="A243" s="578">
        <v>43682</v>
      </c>
      <c r="B243" s="603"/>
      <c r="C243" s="569" t="s">
        <v>1391</v>
      </c>
      <c r="D243" s="604"/>
      <c r="E243" s="573"/>
      <c r="F243" s="579">
        <v>2000</v>
      </c>
      <c r="G243" s="580">
        <v>29000</v>
      </c>
      <c r="I243" s="1"/>
      <c r="J243" s="1"/>
    </row>
    <row r="244" spans="1:10" s="97" customFormat="1" ht="13.5" customHeight="1" x14ac:dyDescent="0.2">
      <c r="A244" s="171" t="s">
        <v>3158</v>
      </c>
      <c r="B244" s="603"/>
      <c r="C244" s="569" t="s">
        <v>1391</v>
      </c>
      <c r="D244" s="604"/>
      <c r="E244" s="573"/>
      <c r="F244" s="579">
        <v>1500</v>
      </c>
      <c r="G244" s="580">
        <v>30500</v>
      </c>
      <c r="I244" s="1"/>
      <c r="J244" s="1"/>
    </row>
    <row r="245" spans="1:10" s="97" customFormat="1" ht="13.5" customHeight="1" x14ac:dyDescent="0.2">
      <c r="A245" s="171" t="s">
        <v>3165</v>
      </c>
      <c r="B245" s="603"/>
      <c r="C245" s="569" t="s">
        <v>1391</v>
      </c>
      <c r="D245" s="604"/>
      <c r="E245" s="573"/>
      <c r="F245" s="579">
        <v>3000</v>
      </c>
      <c r="G245" s="580">
        <v>33500</v>
      </c>
      <c r="I245" s="1"/>
      <c r="J245" s="1"/>
    </row>
    <row r="246" spans="1:10" s="97" customFormat="1" ht="13.5" customHeight="1" x14ac:dyDescent="0.2">
      <c r="A246" s="171" t="s">
        <v>3197</v>
      </c>
      <c r="B246" s="603"/>
      <c r="C246" s="569" t="s">
        <v>1544</v>
      </c>
      <c r="D246" s="604"/>
      <c r="E246" s="579">
        <v>3000</v>
      </c>
      <c r="F246" s="573"/>
      <c r="G246" s="580">
        <v>30500</v>
      </c>
      <c r="I246" s="1"/>
      <c r="J246" s="1"/>
    </row>
    <row r="247" spans="1:10" s="97" customFormat="1" ht="13.5" customHeight="1" x14ac:dyDescent="0.2">
      <c r="A247" s="171" t="s">
        <v>3203</v>
      </c>
      <c r="B247" s="603"/>
      <c r="C247" s="569" t="s">
        <v>1391</v>
      </c>
      <c r="D247" s="604"/>
      <c r="E247" s="573"/>
      <c r="F247" s="579">
        <v>2000</v>
      </c>
      <c r="G247" s="580">
        <v>32500</v>
      </c>
      <c r="I247" s="1"/>
      <c r="J247" s="1"/>
    </row>
    <row r="248" spans="1:10" s="97" customFormat="1" ht="13.5" customHeight="1" x14ac:dyDescent="0.2">
      <c r="A248" s="578"/>
      <c r="B248" s="603"/>
      <c r="C248" s="569" t="s">
        <v>1391</v>
      </c>
      <c r="D248" s="604"/>
      <c r="E248" s="573"/>
      <c r="F248" s="579">
        <v>2000</v>
      </c>
      <c r="G248" s="580">
        <v>34500</v>
      </c>
      <c r="I248" s="1"/>
      <c r="J248" s="1"/>
    </row>
    <row r="249" spans="1:10" s="97" customFormat="1" ht="13.5" customHeight="1" x14ac:dyDescent="0.2">
      <c r="A249" s="578">
        <v>43775</v>
      </c>
      <c r="B249" s="603"/>
      <c r="C249" s="32" t="s">
        <v>1390</v>
      </c>
      <c r="D249" s="604"/>
      <c r="E249" s="573"/>
      <c r="F249" s="579">
        <v>1000</v>
      </c>
      <c r="G249" s="574">
        <v>35500</v>
      </c>
      <c r="I249" s="1"/>
      <c r="J249" s="1"/>
    </row>
    <row r="250" spans="1:10" s="97" customFormat="1" ht="13.5" customHeight="1" thickBot="1" x14ac:dyDescent="0.25">
      <c r="A250" s="578"/>
      <c r="B250" s="569"/>
      <c r="C250" s="569"/>
      <c r="D250" s="581"/>
      <c r="E250" s="572"/>
      <c r="F250" s="573"/>
      <c r="G250" s="580"/>
      <c r="I250" s="1"/>
      <c r="J250" s="1"/>
    </row>
    <row r="251" spans="1:10" ht="13.5" customHeight="1" thickBot="1" x14ac:dyDescent="0.25">
      <c r="A251" s="213"/>
      <c r="B251" s="214"/>
      <c r="C251" s="215" t="s">
        <v>539</v>
      </c>
      <c r="D251" s="216"/>
      <c r="E251" s="187"/>
      <c r="F251" s="187"/>
      <c r="G251" s="217" t="s">
        <v>7</v>
      </c>
    </row>
    <row r="252" spans="1:10" ht="13.5" customHeight="1" x14ac:dyDescent="0.2">
      <c r="A252" s="74" t="s">
        <v>540</v>
      </c>
      <c r="B252" s="74"/>
      <c r="C252" s="218" t="s">
        <v>541</v>
      </c>
      <c r="D252" s="219"/>
      <c r="E252" s="220"/>
      <c r="F252" s="220"/>
      <c r="G252" s="75">
        <v>0</v>
      </c>
    </row>
    <row r="253" spans="1:10" ht="13.5" customHeight="1" x14ac:dyDescent="0.2">
      <c r="A253" s="221" t="s">
        <v>540</v>
      </c>
      <c r="B253" s="70"/>
      <c r="C253" s="63" t="s">
        <v>542</v>
      </c>
      <c r="D253" s="50"/>
      <c r="E253" s="13"/>
      <c r="F253" s="13"/>
      <c r="G253" s="75">
        <v>1184.75</v>
      </c>
    </row>
    <row r="254" spans="1:10" ht="13.5" customHeight="1" x14ac:dyDescent="0.2">
      <c r="A254" s="70"/>
      <c r="B254" s="70"/>
      <c r="C254" s="222" t="s">
        <v>543</v>
      </c>
      <c r="D254" s="50"/>
      <c r="E254" s="13"/>
      <c r="F254" s="13"/>
      <c r="G254" s="14">
        <v>1184.75</v>
      </c>
    </row>
    <row r="255" spans="1:10" ht="13.5" customHeight="1" x14ac:dyDescent="0.2">
      <c r="A255" s="70"/>
      <c r="B255" s="70"/>
      <c r="C255" s="63"/>
      <c r="D255" s="50"/>
      <c r="E255" s="13"/>
      <c r="F255" s="13"/>
      <c r="G255" s="14"/>
    </row>
    <row r="256" spans="1:10" ht="13.5" customHeight="1" x14ac:dyDescent="0.2">
      <c r="A256" s="70"/>
      <c r="B256" s="70"/>
      <c r="C256" s="222" t="s">
        <v>544</v>
      </c>
      <c r="D256" s="50"/>
      <c r="E256" s="13"/>
      <c r="F256" s="13"/>
      <c r="G256" s="14">
        <v>2420.6900000000242</v>
      </c>
    </row>
    <row r="257" spans="1:7" ht="13.5" customHeight="1" x14ac:dyDescent="0.2">
      <c r="A257" s="70"/>
      <c r="B257" s="70"/>
      <c r="C257" s="63"/>
      <c r="D257" s="50"/>
      <c r="E257" s="13"/>
      <c r="F257" s="13"/>
      <c r="G257" s="75"/>
    </row>
    <row r="258" spans="1:7" ht="13.5" customHeight="1" x14ac:dyDescent="0.2">
      <c r="A258" s="76"/>
      <c r="B258" s="76"/>
      <c r="C258" s="222" t="s">
        <v>545</v>
      </c>
      <c r="D258" s="78"/>
      <c r="E258" s="78"/>
      <c r="F258" s="78"/>
      <c r="G258" s="14">
        <v>3605.4400000000242</v>
      </c>
    </row>
    <row r="259" spans="1:7" ht="13.5" customHeight="1" x14ac:dyDescent="0.2">
      <c r="A259" s="76"/>
      <c r="B259" s="76"/>
      <c r="C259" s="78"/>
      <c r="D259" s="78"/>
      <c r="E259" s="78"/>
      <c r="F259" s="78"/>
      <c r="G259" s="75"/>
    </row>
    <row r="260" spans="1:7" ht="13.5" customHeight="1" x14ac:dyDescent="0.2">
      <c r="A260" s="70"/>
      <c r="B260" s="70"/>
      <c r="C260" s="63"/>
      <c r="D260" s="50"/>
      <c r="E260" s="13"/>
      <c r="F260" s="13"/>
      <c r="G260" s="75"/>
    </row>
    <row r="261" spans="1:7" ht="13.5" customHeight="1" x14ac:dyDescent="0.2">
      <c r="A261" s="70"/>
      <c r="B261" s="70"/>
      <c r="C261" s="63"/>
      <c r="D261" s="50"/>
      <c r="E261" s="13"/>
      <c r="F261" s="13"/>
      <c r="G261" s="182"/>
    </row>
    <row r="262" spans="1:7" ht="13.5" customHeight="1" x14ac:dyDescent="0.2">
      <c r="A262" s="70"/>
      <c r="B262" s="70"/>
      <c r="C262" s="63"/>
      <c r="D262" s="50"/>
      <c r="E262" s="13"/>
      <c r="F262" s="13"/>
      <c r="G262" s="182"/>
    </row>
    <row r="263" spans="1:7" ht="13.5" customHeight="1" x14ac:dyDescent="0.2">
      <c r="A263" s="70"/>
      <c r="B263" s="70"/>
      <c r="C263" s="63"/>
      <c r="D263" s="50"/>
      <c r="E263" s="13"/>
      <c r="F263" s="13"/>
      <c r="G263" s="182"/>
    </row>
    <row r="264" spans="1:7" ht="13.5" customHeight="1" x14ac:dyDescent="0.2">
      <c r="A264" s="70"/>
      <c r="B264" s="70"/>
      <c r="C264" s="63"/>
      <c r="D264" s="50"/>
      <c r="E264" s="13"/>
      <c r="F264" s="13"/>
      <c r="G264" s="182"/>
    </row>
    <row r="265" spans="1:7" ht="13.5" customHeight="1" x14ac:dyDescent="0.2">
      <c r="A265" s="70"/>
      <c r="B265" s="70"/>
      <c r="C265" s="63"/>
      <c r="D265" s="50"/>
      <c r="E265" s="13"/>
      <c r="F265" s="13"/>
      <c r="G265" s="182"/>
    </row>
    <row r="266" spans="1:7" ht="13.5" customHeight="1" x14ac:dyDescent="0.2">
      <c r="A266" s="70"/>
      <c r="B266" s="70"/>
      <c r="C266" s="63"/>
      <c r="D266" s="50"/>
      <c r="E266" s="13"/>
      <c r="F266" s="13"/>
      <c r="G266" s="182"/>
    </row>
    <row r="267" spans="1:7" ht="13.5" customHeight="1" x14ac:dyDescent="0.2">
      <c r="A267" s="70"/>
      <c r="B267" s="70"/>
      <c r="C267" s="63"/>
      <c r="D267" s="50"/>
      <c r="E267" s="13"/>
      <c r="F267" s="13"/>
      <c r="G267" s="182"/>
    </row>
    <row r="268" spans="1:7" ht="13.5" customHeight="1" x14ac:dyDescent="0.2">
      <c r="A268" s="70"/>
      <c r="B268" s="70"/>
      <c r="C268" s="63"/>
      <c r="D268" s="50"/>
      <c r="E268" s="13"/>
      <c r="F268" s="13"/>
      <c r="G268" s="182"/>
    </row>
    <row r="269" spans="1:7" ht="13.5" customHeight="1" x14ac:dyDescent="0.2">
      <c r="A269" s="70"/>
      <c r="B269" s="70"/>
      <c r="C269" s="63"/>
      <c r="D269" s="50"/>
      <c r="E269" s="13"/>
      <c r="F269" s="13"/>
      <c r="G269" s="182"/>
    </row>
    <row r="270" spans="1:7" ht="13.5" customHeight="1" x14ac:dyDescent="0.2">
      <c r="A270" s="70"/>
      <c r="B270" s="70"/>
      <c r="C270" s="63"/>
      <c r="D270" s="50"/>
      <c r="E270" s="13"/>
      <c r="F270" s="13"/>
      <c r="G270" s="182"/>
    </row>
    <row r="271" spans="1:7" ht="13.5" customHeight="1" x14ac:dyDescent="0.2">
      <c r="A271" s="70"/>
      <c r="B271" s="70"/>
      <c r="C271" s="63"/>
      <c r="D271" s="50"/>
      <c r="E271" s="13"/>
      <c r="F271" s="13"/>
      <c r="G271" s="182"/>
    </row>
    <row r="272" spans="1:7" ht="13.5" customHeight="1" x14ac:dyDescent="0.2">
      <c r="A272" s="70"/>
      <c r="B272" s="70"/>
      <c r="C272" s="63"/>
      <c r="D272" s="50"/>
      <c r="E272" s="13"/>
      <c r="F272" s="13"/>
      <c r="G272" s="182"/>
    </row>
    <row r="273" spans="1:7" ht="13.5" customHeight="1" x14ac:dyDescent="0.2">
      <c r="A273" s="70"/>
      <c r="B273" s="70"/>
      <c r="C273" s="63"/>
      <c r="D273" s="50"/>
      <c r="E273" s="13"/>
      <c r="F273" s="13"/>
      <c r="G273" s="182"/>
    </row>
    <row r="274" spans="1:7" ht="13.5" customHeight="1" x14ac:dyDescent="0.2">
      <c r="A274" s="70"/>
      <c r="B274" s="70"/>
      <c r="C274" s="63"/>
      <c r="D274" s="50"/>
      <c r="E274" s="13"/>
      <c r="F274" s="13"/>
      <c r="G274" s="182"/>
    </row>
    <row r="275" spans="1:7" ht="13.5" customHeight="1" x14ac:dyDescent="0.2">
      <c r="A275" s="70"/>
      <c r="B275" s="70"/>
      <c r="C275" s="63"/>
      <c r="D275" s="50"/>
      <c r="E275" s="13"/>
      <c r="F275" s="13"/>
      <c r="G275" s="182"/>
    </row>
    <row r="276" spans="1:7" ht="13.5" customHeight="1" x14ac:dyDescent="0.2">
      <c r="A276" s="70"/>
      <c r="B276" s="70"/>
      <c r="C276" s="63"/>
      <c r="D276" s="50"/>
      <c r="E276" s="13"/>
      <c r="F276" s="13"/>
      <c r="G276" s="182"/>
    </row>
    <row r="277" spans="1:7" ht="13.5" customHeight="1" x14ac:dyDescent="0.2">
      <c r="A277" s="70"/>
      <c r="B277" s="70"/>
      <c r="C277" s="63"/>
      <c r="D277" s="50"/>
      <c r="E277" s="13"/>
      <c r="F277" s="13"/>
      <c r="G277" s="182"/>
    </row>
    <row r="278" spans="1:7" ht="13.5" customHeight="1" x14ac:dyDescent="0.2">
      <c r="A278" s="70"/>
      <c r="B278" s="70"/>
      <c r="C278" s="63"/>
      <c r="D278" s="50"/>
      <c r="E278" s="13"/>
      <c r="F278" s="13"/>
      <c r="G278" s="182"/>
    </row>
    <row r="279" spans="1:7" ht="13.5" customHeight="1" x14ac:dyDescent="0.2">
      <c r="A279" s="70"/>
      <c r="B279" s="70"/>
      <c r="C279" s="63"/>
      <c r="D279" s="50"/>
      <c r="E279" s="13"/>
      <c r="F279" s="13"/>
      <c r="G279" s="182"/>
    </row>
    <row r="280" spans="1:7" ht="13.5" customHeight="1" x14ac:dyDescent="0.2">
      <c r="A280" s="70"/>
      <c r="B280" s="70"/>
      <c r="C280" s="63"/>
      <c r="D280" s="50"/>
      <c r="E280" s="13"/>
      <c r="F280" s="13"/>
      <c r="G280" s="182"/>
    </row>
    <row r="281" spans="1:7" ht="13.5" customHeight="1" x14ac:dyDescent="0.2">
      <c r="A281" s="70"/>
      <c r="B281" s="70"/>
      <c r="C281" s="63"/>
      <c r="D281" s="50"/>
      <c r="E281" s="13"/>
      <c r="F281" s="13"/>
      <c r="G281" s="182"/>
    </row>
    <row r="282" spans="1:7" ht="13.5" customHeight="1" x14ac:dyDescent="0.2">
      <c r="A282" s="70"/>
      <c r="B282" s="70"/>
      <c r="C282" s="63"/>
      <c r="D282" s="50"/>
      <c r="E282" s="13"/>
      <c r="F282" s="13"/>
      <c r="G282" s="182"/>
    </row>
    <row r="283" spans="1:7" ht="13.5" customHeight="1" x14ac:dyDescent="0.2">
      <c r="A283" s="70"/>
      <c r="B283" s="70"/>
      <c r="C283" s="63"/>
      <c r="D283" s="50"/>
      <c r="E283" s="13"/>
      <c r="F283" s="13"/>
      <c r="G283" s="182"/>
    </row>
    <row r="284" spans="1:7" ht="13.5" customHeight="1" x14ac:dyDescent="0.2">
      <c r="A284" s="70"/>
      <c r="B284" s="70"/>
      <c r="C284" s="63"/>
      <c r="D284" s="50"/>
      <c r="E284" s="13"/>
      <c r="F284" s="13"/>
      <c r="G284" s="182"/>
    </row>
    <row r="285" spans="1:7" ht="13.5" customHeight="1" x14ac:dyDescent="0.2">
      <c r="A285" s="70"/>
      <c r="B285" s="70"/>
      <c r="C285" s="63"/>
      <c r="D285" s="50"/>
      <c r="E285" s="13"/>
      <c r="F285" s="13"/>
      <c r="G285" s="182"/>
    </row>
    <row r="286" spans="1:7" ht="13.5" customHeight="1" x14ac:dyDescent="0.2">
      <c r="A286" s="70"/>
      <c r="B286" s="70"/>
      <c r="C286" s="63"/>
      <c r="D286" s="50"/>
      <c r="E286" s="13"/>
      <c r="F286" s="13"/>
      <c r="G286" s="182"/>
    </row>
    <row r="287" spans="1:7" ht="13.5" customHeight="1" x14ac:dyDescent="0.2">
      <c r="A287" s="70"/>
      <c r="B287" s="70"/>
      <c r="C287" s="63"/>
      <c r="D287" s="50"/>
      <c r="E287" s="13"/>
      <c r="F287" s="13"/>
      <c r="G287" s="182"/>
    </row>
    <row r="288" spans="1:7" ht="13.5" customHeight="1" x14ac:dyDescent="0.2">
      <c r="A288" s="131"/>
      <c r="B288" s="70"/>
      <c r="C288" s="64"/>
      <c r="D288" s="50"/>
      <c r="E288" s="13"/>
      <c r="F288" s="13"/>
      <c r="G288" s="182"/>
    </row>
    <row r="289" spans="1:7" ht="13.5" customHeight="1" x14ac:dyDescent="0.2">
      <c r="A289" s="70"/>
      <c r="B289" s="70"/>
      <c r="C289" s="63"/>
      <c r="D289" s="50"/>
      <c r="E289" s="13"/>
      <c r="F289" s="13"/>
      <c r="G289" s="182"/>
    </row>
    <row r="290" spans="1:7" ht="13.5" customHeight="1" x14ac:dyDescent="0.2">
      <c r="A290" s="70"/>
      <c r="B290" s="70"/>
      <c r="C290" s="63"/>
      <c r="D290" s="50"/>
      <c r="E290" s="13"/>
      <c r="F290" s="13"/>
      <c r="G290" s="182"/>
    </row>
    <row r="291" spans="1:7" ht="13.5" customHeight="1" x14ac:dyDescent="0.2">
      <c r="A291" s="131"/>
      <c r="B291" s="70"/>
      <c r="C291" s="85"/>
      <c r="D291" s="50"/>
      <c r="E291" s="13"/>
      <c r="F291" s="13"/>
      <c r="G291" s="182"/>
    </row>
    <row r="292" spans="1:7" ht="13.5" customHeight="1" x14ac:dyDescent="0.2">
      <c r="A292" s="131"/>
      <c r="B292" s="70"/>
      <c r="C292" s="63"/>
      <c r="D292" s="50"/>
      <c r="E292" s="13"/>
      <c r="F292" s="13"/>
      <c r="G292" s="182"/>
    </row>
    <row r="293" spans="1:7" ht="13.5" customHeight="1" x14ac:dyDescent="0.2">
      <c r="A293" s="131"/>
      <c r="B293" s="70"/>
      <c r="C293" s="63"/>
      <c r="D293" s="50"/>
      <c r="E293" s="13"/>
      <c r="F293" s="13"/>
      <c r="G293" s="182"/>
    </row>
    <row r="294" spans="1:7" ht="13.5" customHeight="1" x14ac:dyDescent="0.2">
      <c r="A294" s="131"/>
      <c r="B294" s="70"/>
      <c r="C294" s="64"/>
      <c r="D294" s="50"/>
      <c r="E294" s="13"/>
      <c r="F294" s="13"/>
      <c r="G294" s="182"/>
    </row>
    <row r="295" spans="1:7" ht="13.5" customHeight="1" x14ac:dyDescent="0.2">
      <c r="A295" s="70"/>
      <c r="B295" s="70"/>
      <c r="C295" s="63"/>
      <c r="D295" s="50"/>
      <c r="E295" s="13"/>
      <c r="F295" s="13"/>
      <c r="G295" s="182"/>
    </row>
    <row r="296" spans="1:7" ht="13.5" customHeight="1" x14ac:dyDescent="0.2">
      <c r="A296" s="131"/>
      <c r="B296" s="70"/>
      <c r="C296" s="63"/>
      <c r="D296" s="50"/>
      <c r="E296" s="13"/>
      <c r="F296" s="13"/>
      <c r="G296" s="182"/>
    </row>
    <row r="297" spans="1:7" ht="13.5" customHeight="1" x14ac:dyDescent="0.2">
      <c r="A297" s="131"/>
      <c r="B297" s="70"/>
      <c r="C297" s="64"/>
      <c r="D297" s="50"/>
      <c r="E297" s="13"/>
      <c r="F297" s="13"/>
      <c r="G297" s="182"/>
    </row>
    <row r="298" spans="1:7" ht="13.5" customHeight="1" x14ac:dyDescent="0.2">
      <c r="A298" s="70"/>
      <c r="B298" s="70"/>
      <c r="C298" s="63"/>
      <c r="D298" s="50"/>
      <c r="E298" s="13"/>
      <c r="F298" s="13"/>
      <c r="G298" s="182"/>
    </row>
    <row r="299" spans="1:7" ht="13.5" customHeight="1" x14ac:dyDescent="0.2">
      <c r="A299" s="131"/>
      <c r="B299" s="70"/>
      <c r="C299" s="63"/>
      <c r="D299" s="50"/>
      <c r="E299" s="13"/>
      <c r="F299" s="13"/>
      <c r="G299" s="182"/>
    </row>
    <row r="300" spans="1:7" ht="13.5" customHeight="1" x14ac:dyDescent="0.2">
      <c r="A300" s="131"/>
      <c r="B300" s="70"/>
      <c r="C300" s="64"/>
      <c r="D300" s="50"/>
      <c r="E300" s="13"/>
      <c r="F300" s="13"/>
      <c r="G300" s="182"/>
    </row>
    <row r="301" spans="1:7" ht="13.5" customHeight="1" x14ac:dyDescent="0.2">
      <c r="A301" s="70"/>
      <c r="B301" s="70"/>
      <c r="C301" s="63"/>
      <c r="D301" s="50"/>
      <c r="E301" s="13"/>
      <c r="F301" s="13"/>
      <c r="G301" s="182"/>
    </row>
    <row r="302" spans="1:7" ht="13.5" customHeight="1" x14ac:dyDescent="0.2">
      <c r="A302" s="70"/>
      <c r="B302" s="70"/>
      <c r="C302" s="63"/>
      <c r="D302" s="50"/>
      <c r="E302" s="13"/>
      <c r="F302" s="13"/>
      <c r="G302" s="182"/>
    </row>
    <row r="303" spans="1:7" ht="13.5" customHeight="1" x14ac:dyDescent="0.2">
      <c r="A303" s="70"/>
      <c r="B303" s="70"/>
      <c r="C303" s="63"/>
      <c r="D303" s="50"/>
      <c r="E303" s="13"/>
      <c r="F303" s="13"/>
      <c r="G303" s="182"/>
    </row>
    <row r="304" spans="1:7" ht="13.5" customHeight="1" x14ac:dyDescent="0.2">
      <c r="A304" s="131"/>
      <c r="B304" s="70"/>
      <c r="C304" s="86"/>
      <c r="D304" s="50"/>
      <c r="E304" s="13"/>
      <c r="F304" s="13"/>
      <c r="G304" s="182"/>
    </row>
    <row r="305" spans="1:7" ht="13.5" customHeight="1" x14ac:dyDescent="0.2">
      <c r="A305" s="131"/>
      <c r="B305" s="70"/>
      <c r="C305" s="85"/>
      <c r="D305" s="50"/>
      <c r="E305" s="13"/>
      <c r="F305" s="13"/>
      <c r="G305" s="182"/>
    </row>
    <row r="306" spans="1:7" ht="13.5" customHeight="1" x14ac:dyDescent="0.2">
      <c r="A306" s="131"/>
      <c r="B306" s="70"/>
      <c r="C306" s="87"/>
      <c r="D306" s="50"/>
      <c r="E306" s="13"/>
      <c r="F306" s="13"/>
      <c r="G306" s="182"/>
    </row>
    <row r="307" spans="1:7" ht="13.5" customHeight="1" x14ac:dyDescent="0.2">
      <c r="A307" s="131"/>
      <c r="B307" s="70"/>
      <c r="C307" s="88"/>
      <c r="D307" s="50"/>
      <c r="E307" s="13"/>
      <c r="F307" s="13"/>
      <c r="G307" s="182"/>
    </row>
    <row r="308" spans="1:7" ht="13.5" customHeight="1" x14ac:dyDescent="0.2">
      <c r="A308" s="91"/>
      <c r="B308" s="9"/>
      <c r="C308" s="56"/>
      <c r="D308" s="11"/>
      <c r="E308" s="12"/>
      <c r="F308" s="12"/>
      <c r="G308" s="182"/>
    </row>
    <row r="309" spans="1:7" ht="13.5" customHeight="1" x14ac:dyDescent="0.2">
      <c r="A309" s="9"/>
      <c r="B309" s="9"/>
      <c r="C309" s="56"/>
      <c r="D309" s="11"/>
      <c r="E309" s="12"/>
      <c r="F309" s="12"/>
      <c r="G309" s="182"/>
    </row>
    <row r="310" spans="1:7" ht="13.5" customHeight="1" x14ac:dyDescent="0.2">
      <c r="A310" s="9"/>
      <c r="B310" s="9"/>
      <c r="C310" s="56"/>
      <c r="D310" s="11"/>
      <c r="E310" s="12"/>
      <c r="F310" s="12"/>
      <c r="G310" s="182"/>
    </row>
    <row r="311" spans="1:7" ht="13.5" customHeight="1" x14ac:dyDescent="0.2">
      <c r="A311" s="91"/>
      <c r="B311" s="9"/>
      <c r="D311" s="11"/>
      <c r="E311" s="12"/>
      <c r="F311" s="12"/>
      <c r="G311" s="182"/>
    </row>
    <row r="312" spans="1:7" ht="13.5" customHeight="1" x14ac:dyDescent="0.2">
      <c r="A312" s="9"/>
      <c r="B312" s="9"/>
      <c r="C312" s="56"/>
      <c r="D312" s="11"/>
      <c r="E312" s="12"/>
      <c r="F312" s="12"/>
      <c r="G312" s="182"/>
    </row>
    <row r="313" spans="1:7" ht="13.5" customHeight="1" x14ac:dyDescent="0.2">
      <c r="A313" s="9"/>
      <c r="B313" s="9"/>
      <c r="C313" s="56"/>
      <c r="D313" s="11"/>
      <c r="E313" s="12"/>
      <c r="F313" s="12"/>
      <c r="G313" s="182"/>
    </row>
    <row r="314" spans="1:7" ht="13.5" customHeight="1" x14ac:dyDescent="0.2">
      <c r="A314" s="9"/>
      <c r="B314" s="9"/>
      <c r="C314" s="56"/>
      <c r="D314" s="11"/>
      <c r="E314" s="12"/>
      <c r="F314" s="12"/>
      <c r="G314" s="182"/>
    </row>
    <row r="315" spans="1:7" ht="13.5" customHeight="1" x14ac:dyDescent="0.2">
      <c r="A315" s="91"/>
      <c r="B315" s="9"/>
      <c r="C315" s="27"/>
      <c r="D315" s="11"/>
      <c r="E315" s="12"/>
      <c r="F315" s="12"/>
      <c r="G315" s="182"/>
    </row>
    <row r="316" spans="1:7" ht="13.5" customHeight="1" x14ac:dyDescent="0.2">
      <c r="A316" s="91"/>
      <c r="B316" s="9"/>
      <c r="C316" s="27"/>
      <c r="D316" s="11"/>
      <c r="E316" s="12"/>
      <c r="F316" s="12"/>
      <c r="G316" s="182"/>
    </row>
    <row r="317" spans="1:7" ht="13.5" customHeight="1" x14ac:dyDescent="0.2">
      <c r="A317" s="91"/>
      <c r="B317" s="9"/>
      <c r="D317" s="11"/>
      <c r="E317" s="12"/>
      <c r="F317" s="12"/>
      <c r="G317" s="182"/>
    </row>
    <row r="318" spans="1:7" ht="13.5" customHeight="1" x14ac:dyDescent="0.2">
      <c r="A318" s="9"/>
      <c r="B318" s="9"/>
      <c r="C318" s="56"/>
      <c r="D318" s="11"/>
      <c r="E318" s="12"/>
      <c r="F318" s="12"/>
      <c r="G318" s="182"/>
    </row>
    <row r="319" spans="1:7" ht="13.5" customHeight="1" x14ac:dyDescent="0.2">
      <c r="A319" s="9"/>
      <c r="B319" s="9"/>
      <c r="C319" s="56"/>
      <c r="D319" s="11"/>
      <c r="E319" s="12"/>
      <c r="F319" s="12"/>
      <c r="G319" s="182"/>
    </row>
    <row r="320" spans="1:7" ht="13.5" customHeight="1" x14ac:dyDescent="0.2">
      <c r="A320" s="9"/>
      <c r="B320" s="9"/>
      <c r="C320" s="56"/>
      <c r="D320" s="11"/>
      <c r="E320" s="12"/>
      <c r="F320" s="12"/>
      <c r="G320" s="182"/>
    </row>
    <row r="321" spans="1:7" ht="13.5" customHeight="1" x14ac:dyDescent="0.2">
      <c r="A321" s="9"/>
      <c r="B321" s="9"/>
      <c r="C321" s="56"/>
      <c r="D321" s="11"/>
      <c r="E321" s="12"/>
      <c r="F321" s="12"/>
      <c r="G321" s="182"/>
    </row>
    <row r="322" spans="1:7" x14ac:dyDescent="0.2">
      <c r="A322" s="132"/>
      <c r="B322" s="93"/>
      <c r="C322" s="94"/>
      <c r="D322" s="27"/>
      <c r="E322" s="27"/>
      <c r="F322" s="27"/>
      <c r="G322" s="182"/>
    </row>
  </sheetData>
  <mergeCells count="3">
    <mergeCell ref="A1:C1"/>
    <mergeCell ref="D1:G1"/>
    <mergeCell ref="H157:J157"/>
  </mergeCells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X245"/>
  <sheetViews>
    <sheetView topLeftCell="A48" zoomScale="90" zoomScaleNormal="90" workbookViewId="0">
      <selection activeCell="G87" sqref="G87"/>
    </sheetView>
  </sheetViews>
  <sheetFormatPr defaultColWidth="9" defaultRowHeight="12.75" x14ac:dyDescent="0.2"/>
  <cols>
    <col min="1" max="1" width="16" style="1" customWidth="1"/>
    <col min="2" max="2" width="99.25" style="1" customWidth="1"/>
    <col min="3" max="3" width="12.25" style="697" customWidth="1"/>
    <col min="4" max="4" width="13.75" style="622" customWidth="1"/>
    <col min="5" max="5" width="12.75" style="1" customWidth="1"/>
    <col min="6" max="6" width="11" style="1" customWidth="1"/>
    <col min="7" max="9" width="9" style="1"/>
    <col min="10" max="10" width="12.625" style="1" customWidth="1"/>
    <col min="11" max="16384" width="9" style="1"/>
  </cols>
  <sheetData>
    <row r="1" spans="1:10" x14ac:dyDescent="0.2">
      <c r="F1" s="97" t="s">
        <v>218</v>
      </c>
      <c r="G1" s="97" t="s">
        <v>219</v>
      </c>
      <c r="H1" s="97" t="s">
        <v>220</v>
      </c>
      <c r="I1" s="97" t="s">
        <v>221</v>
      </c>
      <c r="J1" s="97" t="s">
        <v>222</v>
      </c>
    </row>
    <row r="2" spans="1:10" ht="13.5" customHeight="1" x14ac:dyDescent="0.2">
      <c r="A2" s="126" t="s">
        <v>240</v>
      </c>
      <c r="B2" s="34" t="s">
        <v>3279</v>
      </c>
      <c r="D2" s="622">
        <v>356.94</v>
      </c>
      <c r="F2" s="622">
        <v>356.94</v>
      </c>
      <c r="G2" s="25"/>
      <c r="H2" s="402"/>
      <c r="I2" s="402"/>
      <c r="J2" s="104">
        <f>F2-G2-H2-I2</f>
        <v>356.94</v>
      </c>
    </row>
    <row r="3" spans="1:10" ht="13.5" customHeight="1" x14ac:dyDescent="0.2">
      <c r="A3" s="126" t="s">
        <v>240</v>
      </c>
      <c r="B3" s="34" t="s">
        <v>3227</v>
      </c>
      <c r="D3" s="622">
        <v>754</v>
      </c>
      <c r="F3" s="622">
        <v>754</v>
      </c>
      <c r="G3" s="25"/>
      <c r="H3" s="402"/>
      <c r="I3" s="402"/>
      <c r="J3" s="104">
        <f t="shared" ref="J3:J13" si="0">F3-G3-H3-I3</f>
        <v>754</v>
      </c>
    </row>
    <row r="4" spans="1:10" ht="13.5" customHeight="1" x14ac:dyDescent="0.2">
      <c r="A4" s="126" t="s">
        <v>240</v>
      </c>
      <c r="B4" s="36" t="s">
        <v>3269</v>
      </c>
      <c r="D4" s="622">
        <v>950.00000000000011</v>
      </c>
      <c r="F4" s="622">
        <v>1058.6300000000001</v>
      </c>
      <c r="G4" s="25">
        <v>90</v>
      </c>
      <c r="H4" s="402"/>
      <c r="I4" s="402">
        <v>18.63</v>
      </c>
      <c r="J4" s="104">
        <f t="shared" si="0"/>
        <v>950.00000000000011</v>
      </c>
    </row>
    <row r="5" spans="1:10" ht="13.5" customHeight="1" x14ac:dyDescent="0.2">
      <c r="A5" s="126" t="s">
        <v>240</v>
      </c>
      <c r="B5" s="36" t="s">
        <v>3235</v>
      </c>
      <c r="D5" s="622">
        <v>1050</v>
      </c>
      <c r="F5" s="622">
        <v>1168.05</v>
      </c>
      <c r="G5" s="25">
        <v>90</v>
      </c>
      <c r="H5" s="402"/>
      <c r="I5" s="402">
        <v>28.05</v>
      </c>
      <c r="J5" s="104">
        <f>F5-G5-H5-I5</f>
        <v>1050</v>
      </c>
    </row>
    <row r="6" spans="1:10" ht="13.5" customHeight="1" x14ac:dyDescent="0.2">
      <c r="A6" s="126" t="s">
        <v>240</v>
      </c>
      <c r="B6" s="36" t="s">
        <v>3224</v>
      </c>
      <c r="D6" s="622">
        <v>1010</v>
      </c>
      <c r="F6" s="622">
        <v>1100</v>
      </c>
      <c r="G6" s="25">
        <v>90</v>
      </c>
      <c r="H6" s="402"/>
      <c r="I6" s="402"/>
      <c r="J6" s="104">
        <f t="shared" si="0"/>
        <v>1010</v>
      </c>
    </row>
    <row r="7" spans="1:10" ht="13.5" customHeight="1" x14ac:dyDescent="0.2">
      <c r="A7" s="126" t="s">
        <v>240</v>
      </c>
      <c r="B7" s="36" t="s">
        <v>3268</v>
      </c>
      <c r="D7" s="622">
        <v>1020</v>
      </c>
      <c r="F7" s="622">
        <v>1130</v>
      </c>
      <c r="G7" s="25">
        <v>90</v>
      </c>
      <c r="H7" s="402"/>
      <c r="I7" s="402">
        <v>20</v>
      </c>
      <c r="J7" s="104">
        <f>F7-G7-H7-I7</f>
        <v>1020</v>
      </c>
    </row>
    <row r="8" spans="1:10" ht="13.5" customHeight="1" x14ac:dyDescent="0.2">
      <c r="A8" s="126" t="s">
        <v>240</v>
      </c>
      <c r="B8" s="36" t="s">
        <v>3274</v>
      </c>
      <c r="D8" s="622">
        <v>1400</v>
      </c>
      <c r="F8" s="622">
        <v>1518.28</v>
      </c>
      <c r="G8" s="25">
        <v>90</v>
      </c>
      <c r="H8" s="403"/>
      <c r="I8" s="403">
        <v>28.28</v>
      </c>
      <c r="J8" s="104">
        <f>F8-G8-H8-I8</f>
        <v>1400</v>
      </c>
    </row>
    <row r="9" spans="1:10" ht="13.5" customHeight="1" x14ac:dyDescent="0.2">
      <c r="A9" s="126" t="s">
        <v>240</v>
      </c>
      <c r="B9" s="34" t="s">
        <v>3237</v>
      </c>
      <c r="D9" s="622">
        <v>1399.85</v>
      </c>
      <c r="F9" s="622">
        <v>1507</v>
      </c>
      <c r="G9" s="25">
        <v>90</v>
      </c>
      <c r="H9" s="403"/>
      <c r="I9" s="403">
        <v>17.149999999999999</v>
      </c>
      <c r="J9" s="104">
        <f t="shared" si="0"/>
        <v>1399.85</v>
      </c>
    </row>
    <row r="10" spans="1:10" ht="13.5" customHeight="1" x14ac:dyDescent="0.2">
      <c r="A10" s="126" t="s">
        <v>240</v>
      </c>
      <c r="B10" s="34" t="s">
        <v>3222</v>
      </c>
      <c r="D10" s="622">
        <v>1900</v>
      </c>
      <c r="F10" s="622">
        <v>1900</v>
      </c>
      <c r="G10" s="25"/>
      <c r="H10" s="403"/>
      <c r="I10" s="403"/>
      <c r="J10" s="104">
        <f t="shared" si="0"/>
        <v>1900</v>
      </c>
    </row>
    <row r="11" spans="1:10" ht="13.5" customHeight="1" x14ac:dyDescent="0.2">
      <c r="A11" s="126" t="s">
        <v>240</v>
      </c>
      <c r="B11" s="34" t="s">
        <v>840</v>
      </c>
      <c r="D11" s="622">
        <f>540</f>
        <v>540</v>
      </c>
      <c r="F11" s="622"/>
      <c r="G11" s="25"/>
      <c r="H11" s="403"/>
      <c r="I11" s="403"/>
      <c r="J11" s="104"/>
    </row>
    <row r="12" spans="1:10" ht="13.5" customHeight="1" x14ac:dyDescent="0.2">
      <c r="A12" s="126" t="s">
        <v>240</v>
      </c>
      <c r="B12" s="34" t="s">
        <v>9</v>
      </c>
      <c r="D12" s="622">
        <v>900</v>
      </c>
      <c r="F12" s="622">
        <v>900</v>
      </c>
      <c r="G12" s="25"/>
      <c r="H12" s="403"/>
      <c r="I12" s="403"/>
      <c r="J12" s="104">
        <f t="shared" si="0"/>
        <v>900</v>
      </c>
    </row>
    <row r="13" spans="1:10" ht="13.5" customHeight="1" x14ac:dyDescent="0.2">
      <c r="A13" s="126" t="s">
        <v>240</v>
      </c>
      <c r="B13" s="36" t="s">
        <v>3228</v>
      </c>
      <c r="D13" s="622">
        <v>1500</v>
      </c>
      <c r="F13" s="622">
        <v>1500</v>
      </c>
      <c r="G13" s="25"/>
      <c r="H13" s="403"/>
      <c r="I13" s="403"/>
      <c r="J13" s="104">
        <f t="shared" si="0"/>
        <v>1500</v>
      </c>
    </row>
    <row r="14" spans="1:10" ht="13.5" customHeight="1" x14ac:dyDescent="0.2">
      <c r="A14" s="126" t="s">
        <v>240</v>
      </c>
      <c r="B14" s="36" t="s">
        <v>3241</v>
      </c>
      <c r="D14" s="622">
        <v>1000</v>
      </c>
      <c r="F14" s="622">
        <v>1000</v>
      </c>
      <c r="G14" s="25"/>
      <c r="H14" s="403"/>
      <c r="I14" s="403"/>
      <c r="J14" s="104">
        <f>F14-G14-H14-I14</f>
        <v>1000</v>
      </c>
    </row>
    <row r="15" spans="1:10" ht="13.5" customHeight="1" x14ac:dyDescent="0.2">
      <c r="A15" s="126" t="s">
        <v>240</v>
      </c>
      <c r="B15" s="34" t="s">
        <v>3247</v>
      </c>
      <c r="D15" s="622">
        <v>3765</v>
      </c>
      <c r="F15" s="622">
        <v>3765</v>
      </c>
      <c r="G15" s="25"/>
      <c r="H15" s="403"/>
      <c r="I15" s="403"/>
      <c r="J15" s="104">
        <f>F15-G15-H15-I15</f>
        <v>3765</v>
      </c>
    </row>
    <row r="16" spans="1:10" ht="13.5" customHeight="1" x14ac:dyDescent="0.2">
      <c r="A16" s="126" t="s">
        <v>240</v>
      </c>
      <c r="B16" s="34" t="s">
        <v>3281</v>
      </c>
      <c r="D16" s="622">
        <v>5200</v>
      </c>
      <c r="F16" s="622">
        <v>5200</v>
      </c>
      <c r="G16" s="25"/>
      <c r="H16" s="403"/>
      <c r="I16" s="403"/>
      <c r="J16" s="104">
        <f>F16-G16-H16-I16</f>
        <v>5200</v>
      </c>
    </row>
    <row r="17" spans="1:10" ht="13.5" customHeight="1" x14ac:dyDescent="0.2">
      <c r="A17" s="126" t="s">
        <v>240</v>
      </c>
      <c r="B17" s="34" t="s">
        <v>3298</v>
      </c>
      <c r="D17" s="622">
        <v>1464</v>
      </c>
      <c r="F17" s="622">
        <v>1464</v>
      </c>
      <c r="G17" s="25"/>
      <c r="H17" s="403"/>
      <c r="I17" s="403"/>
      <c r="J17" s="104">
        <f>F17-G17-H17-I17</f>
        <v>1464</v>
      </c>
    </row>
    <row r="18" spans="1:10" ht="13.5" customHeight="1" x14ac:dyDescent="0.2">
      <c r="A18" s="126" t="s">
        <v>240</v>
      </c>
      <c r="B18" s="34" t="s">
        <v>3288</v>
      </c>
      <c r="D18" s="707">
        <v>250</v>
      </c>
      <c r="F18" s="38"/>
      <c r="G18" s="655">
        <f>SUM(G2:G17)</f>
        <v>540</v>
      </c>
      <c r="H18" s="655">
        <f>SUM(H2:H17)</f>
        <v>0</v>
      </c>
      <c r="I18" s="655">
        <f>SUM(I2:I17)</f>
        <v>112.11000000000001</v>
      </c>
      <c r="J18" s="27"/>
    </row>
    <row r="19" spans="1:10" ht="13.5" customHeight="1" x14ac:dyDescent="0.2">
      <c r="A19" s="126" t="s">
        <v>240</v>
      </c>
      <c r="B19" s="34" t="s">
        <v>3244</v>
      </c>
      <c r="D19" s="707">
        <v>250</v>
      </c>
    </row>
    <row r="20" spans="1:10" ht="13.5" customHeight="1" x14ac:dyDescent="0.2">
      <c r="A20" s="126" t="s">
        <v>240</v>
      </c>
      <c r="B20" s="34" t="s">
        <v>3242</v>
      </c>
      <c r="D20" s="707">
        <v>200</v>
      </c>
    </row>
    <row r="21" spans="1:10" ht="13.5" customHeight="1" x14ac:dyDescent="0.2">
      <c r="A21" s="126" t="s">
        <v>240</v>
      </c>
      <c r="B21" s="34" t="s">
        <v>3236</v>
      </c>
      <c r="D21" s="707">
        <v>150</v>
      </c>
    </row>
    <row r="22" spans="1:10" ht="13.5" customHeight="1" x14ac:dyDescent="0.2">
      <c r="A22" s="126" t="s">
        <v>240</v>
      </c>
      <c r="B22" s="34" t="s">
        <v>3245</v>
      </c>
      <c r="D22" s="707">
        <v>250</v>
      </c>
    </row>
    <row r="23" spans="1:10" ht="13.5" customHeight="1" x14ac:dyDescent="0.2">
      <c r="A23" s="126" t="s">
        <v>240</v>
      </c>
      <c r="B23" s="34" t="s">
        <v>3240</v>
      </c>
      <c r="D23" s="707">
        <v>200</v>
      </c>
    </row>
    <row r="24" spans="1:10" ht="13.5" customHeight="1" x14ac:dyDescent="0.2">
      <c r="A24" s="126" t="s">
        <v>240</v>
      </c>
      <c r="B24" s="34" t="s">
        <v>3214</v>
      </c>
      <c r="D24" s="707">
        <v>220</v>
      </c>
    </row>
    <row r="25" spans="1:10" ht="13.5" customHeight="1" x14ac:dyDescent="0.2">
      <c r="A25" s="126" t="s">
        <v>240</v>
      </c>
      <c r="B25" s="36" t="s">
        <v>3226</v>
      </c>
      <c r="D25" s="707">
        <v>80</v>
      </c>
    </row>
    <row r="26" spans="1:10" ht="13.5" customHeight="1" x14ac:dyDescent="0.2">
      <c r="A26" s="126" t="s">
        <v>240</v>
      </c>
      <c r="B26" s="36" t="s">
        <v>3225</v>
      </c>
      <c r="D26" s="707">
        <v>80</v>
      </c>
    </row>
    <row r="27" spans="1:10" ht="13.5" customHeight="1" x14ac:dyDescent="0.2">
      <c r="A27" s="126" t="s">
        <v>240</v>
      </c>
      <c r="B27" s="34" t="s">
        <v>3289</v>
      </c>
      <c r="D27" s="707">
        <v>60</v>
      </c>
      <c r="E27" s="708">
        <f>SUM(D18:D27)</f>
        <v>1740</v>
      </c>
    </row>
    <row r="28" spans="1:10" ht="13.5" customHeight="1" x14ac:dyDescent="0.2">
      <c r="A28" s="126" t="s">
        <v>240</v>
      </c>
      <c r="B28" s="34" t="s">
        <v>1792</v>
      </c>
      <c r="D28" s="707">
        <f>I18</f>
        <v>112.11000000000001</v>
      </c>
      <c r="E28" s="627"/>
    </row>
    <row r="29" spans="1:10" ht="13.5" customHeight="1" x14ac:dyDescent="0.2">
      <c r="A29" s="126"/>
      <c r="B29" s="34"/>
      <c r="D29" s="701">
        <f>SUM(D2:D28)</f>
        <v>26061.9</v>
      </c>
    </row>
    <row r="30" spans="1:10" ht="13.5" customHeight="1" x14ac:dyDescent="0.2">
      <c r="A30" s="126"/>
      <c r="B30" s="34"/>
      <c r="D30" s="622">
        <v>0</v>
      </c>
    </row>
    <row r="31" spans="1:10" ht="13.5" customHeight="1" x14ac:dyDescent="0.2">
      <c r="A31" s="126" t="s">
        <v>240</v>
      </c>
      <c r="B31" s="34" t="s">
        <v>3336</v>
      </c>
      <c r="D31" s="622">
        <v>300</v>
      </c>
      <c r="F31" s="622">
        <v>300</v>
      </c>
      <c r="G31" s="109"/>
      <c r="H31" s="109"/>
      <c r="I31" s="109"/>
      <c r="J31" s="104">
        <f>F31-G31-H31-I31</f>
        <v>300</v>
      </c>
    </row>
    <row r="32" spans="1:10" ht="13.5" customHeight="1" x14ac:dyDescent="0.2">
      <c r="A32" s="126" t="s">
        <v>240</v>
      </c>
      <c r="B32" s="34" t="s">
        <v>3277</v>
      </c>
      <c r="D32" s="622">
        <v>7750</v>
      </c>
      <c r="F32" s="622">
        <v>8059.75</v>
      </c>
      <c r="G32" s="109"/>
      <c r="H32" s="109"/>
      <c r="I32" s="109">
        <v>309.75</v>
      </c>
      <c r="J32" s="104">
        <f>F32-G32-H32-I32</f>
        <v>7750</v>
      </c>
    </row>
    <row r="33" spans="1:10" ht="13.5" customHeight="1" x14ac:dyDescent="0.2">
      <c r="A33" s="126" t="s">
        <v>240</v>
      </c>
      <c r="B33" s="34" t="s">
        <v>3276</v>
      </c>
      <c r="D33" s="622">
        <v>525</v>
      </c>
      <c r="F33" s="622">
        <v>525</v>
      </c>
      <c r="G33" s="109"/>
      <c r="H33" s="109"/>
      <c r="I33" s="109"/>
      <c r="J33" s="104">
        <f>F33-G33-H33-I33</f>
        <v>525</v>
      </c>
    </row>
    <row r="34" spans="1:10" ht="13.5" customHeight="1" x14ac:dyDescent="0.2">
      <c r="A34" s="126" t="s">
        <v>240</v>
      </c>
      <c r="B34" s="34" t="s">
        <v>3353</v>
      </c>
      <c r="D34" s="622">
        <v>4980.5</v>
      </c>
      <c r="F34" s="622">
        <v>4980.5</v>
      </c>
      <c r="G34" s="655">
        <f>SUM(G31:G33)</f>
        <v>0</v>
      </c>
      <c r="H34" s="655">
        <f>SUM(H31:H33)</f>
        <v>0</v>
      </c>
      <c r="I34" s="655">
        <f>SUM(I31:I33)</f>
        <v>309.75</v>
      </c>
      <c r="J34" s="655">
        <f>SUM(J31:J33)</f>
        <v>8575</v>
      </c>
    </row>
    <row r="35" spans="1:10" ht="13.5" customHeight="1" x14ac:dyDescent="0.2">
      <c r="A35" s="126" t="s">
        <v>240</v>
      </c>
      <c r="B35" s="34" t="s">
        <v>1792</v>
      </c>
      <c r="D35" s="626">
        <f>I34</f>
        <v>309.75</v>
      </c>
      <c r="F35" s="628"/>
      <c r="G35" s="107"/>
      <c r="H35" s="107"/>
      <c r="I35" s="107"/>
      <c r="J35" s="107"/>
    </row>
    <row r="36" spans="1:10" ht="13.5" customHeight="1" x14ac:dyDescent="0.2">
      <c r="A36" s="126"/>
      <c r="B36" s="34"/>
      <c r="D36" s="701">
        <f>SUM(D31:D35)</f>
        <v>13865.25</v>
      </c>
    </row>
    <row r="37" spans="1:10" ht="13.5" customHeight="1" x14ac:dyDescent="0.2">
      <c r="A37" s="126"/>
      <c r="B37" s="34"/>
    </row>
    <row r="38" spans="1:10" ht="13.5" customHeight="1" x14ac:dyDescent="0.2">
      <c r="A38" s="126" t="s">
        <v>241</v>
      </c>
      <c r="B38" s="36" t="s">
        <v>189</v>
      </c>
      <c r="C38" s="697">
        <v>5856.3</v>
      </c>
    </row>
    <row r="39" spans="1:10" ht="13.5" customHeight="1" x14ac:dyDescent="0.2">
      <c r="A39" s="126" t="s">
        <v>241</v>
      </c>
      <c r="B39" s="36" t="s">
        <v>189</v>
      </c>
      <c r="C39" s="697">
        <v>4950.92</v>
      </c>
    </row>
    <row r="40" spans="1:10" ht="13.5" customHeight="1" x14ac:dyDescent="0.2">
      <c r="A40" s="126" t="s">
        <v>241</v>
      </c>
      <c r="B40" s="36" t="s">
        <v>189</v>
      </c>
      <c r="C40" s="697">
        <v>2256.9299999999998</v>
      </c>
    </row>
    <row r="41" spans="1:10" ht="13.5" customHeight="1" x14ac:dyDescent="0.2">
      <c r="A41" s="126" t="s">
        <v>241</v>
      </c>
      <c r="B41" s="36" t="s">
        <v>189</v>
      </c>
      <c r="C41" s="697">
        <v>1221.48</v>
      </c>
    </row>
    <row r="42" spans="1:10" ht="13.5" customHeight="1" x14ac:dyDescent="0.2">
      <c r="A42" s="126" t="s">
        <v>241</v>
      </c>
      <c r="B42" s="36" t="s">
        <v>174</v>
      </c>
      <c r="C42" s="697">
        <v>-12.5</v>
      </c>
    </row>
    <row r="43" spans="1:10" ht="13.5" customHeight="1" x14ac:dyDescent="0.2">
      <c r="A43" s="126" t="s">
        <v>241</v>
      </c>
      <c r="B43" s="36" t="s">
        <v>174</v>
      </c>
      <c r="C43" s="697">
        <v>-109.67</v>
      </c>
    </row>
    <row r="44" spans="1:10" ht="13.5" customHeight="1" x14ac:dyDescent="0.2">
      <c r="A44" s="126" t="s">
        <v>241</v>
      </c>
      <c r="B44" s="36" t="s">
        <v>174</v>
      </c>
      <c r="C44" s="697">
        <v>-199</v>
      </c>
    </row>
    <row r="45" spans="1:10" ht="13.5" customHeight="1" x14ac:dyDescent="0.2">
      <c r="A45" s="126" t="s">
        <v>241</v>
      </c>
      <c r="B45" s="36" t="s">
        <v>174</v>
      </c>
      <c r="C45" s="697">
        <v>-426.04</v>
      </c>
    </row>
    <row r="46" spans="1:10" ht="13.5" customHeight="1" x14ac:dyDescent="0.2">
      <c r="A46" s="126" t="s">
        <v>241</v>
      </c>
      <c r="B46" s="36" t="s">
        <v>174</v>
      </c>
      <c r="C46" s="697">
        <v>-526.9</v>
      </c>
    </row>
    <row r="47" spans="1:10" ht="13.5" customHeight="1" x14ac:dyDescent="0.2">
      <c r="A47" s="126" t="s">
        <v>241</v>
      </c>
      <c r="B47" s="36" t="s">
        <v>174</v>
      </c>
      <c r="C47" s="697">
        <v>-1065</v>
      </c>
    </row>
    <row r="48" spans="1:10" ht="13.5" customHeight="1" x14ac:dyDescent="0.2">
      <c r="A48" s="126" t="s">
        <v>241</v>
      </c>
      <c r="B48" s="36" t="s">
        <v>174</v>
      </c>
      <c r="C48" s="697">
        <v>-1897.51</v>
      </c>
    </row>
    <row r="49" spans="1:4" ht="13.5" customHeight="1" x14ac:dyDescent="0.2">
      <c r="A49" s="126" t="s">
        <v>241</v>
      </c>
      <c r="B49" s="36" t="s">
        <v>174</v>
      </c>
      <c r="C49" s="697">
        <v>-3067.23</v>
      </c>
    </row>
    <row r="50" spans="1:4" ht="13.5" customHeight="1" x14ac:dyDescent="0.2">
      <c r="A50" s="126" t="s">
        <v>241</v>
      </c>
      <c r="B50" s="36" t="s">
        <v>174</v>
      </c>
      <c r="C50" s="697">
        <v>-3478.43</v>
      </c>
    </row>
    <row r="51" spans="1:4" ht="13.5" customHeight="1" x14ac:dyDescent="0.2">
      <c r="A51" s="126" t="s">
        <v>241</v>
      </c>
      <c r="B51" s="36" t="s">
        <v>174</v>
      </c>
      <c r="C51" s="697">
        <v>-4325.8999999999996</v>
      </c>
    </row>
    <row r="52" spans="1:4" ht="13.5" customHeight="1" x14ac:dyDescent="0.2">
      <c r="A52" s="126"/>
      <c r="B52" s="36"/>
      <c r="C52" s="703">
        <f>SUM(C38:C51)</f>
        <v>-822.54999999999882</v>
      </c>
    </row>
    <row r="53" spans="1:4" ht="13.5" customHeight="1" x14ac:dyDescent="0.2">
      <c r="A53" s="126"/>
      <c r="B53" s="36"/>
    </row>
    <row r="54" spans="1:4" ht="13.5" customHeight="1" x14ac:dyDescent="0.2">
      <c r="A54" s="126" t="s">
        <v>224</v>
      </c>
      <c r="B54" s="36" t="s">
        <v>62</v>
      </c>
      <c r="C54" s="697">
        <v>438.02</v>
      </c>
    </row>
    <row r="55" spans="1:4" ht="13.5" customHeight="1" x14ac:dyDescent="0.2">
      <c r="A55" s="126" t="s">
        <v>224</v>
      </c>
      <c r="B55" s="36" t="s">
        <v>68</v>
      </c>
      <c r="C55" s="697">
        <v>129.9</v>
      </c>
    </row>
    <row r="56" spans="1:4" ht="13.5" customHeight="1" x14ac:dyDescent="0.2">
      <c r="A56" s="126" t="s">
        <v>224</v>
      </c>
      <c r="B56" s="36" t="s">
        <v>1597</v>
      </c>
      <c r="C56" s="697">
        <v>0.39</v>
      </c>
    </row>
    <row r="57" spans="1:4" ht="13.5" customHeight="1" x14ac:dyDescent="0.2">
      <c r="A57" s="126" t="s">
        <v>224</v>
      </c>
      <c r="B57" s="36" t="s">
        <v>1597</v>
      </c>
      <c r="C57" s="697">
        <v>0.21</v>
      </c>
    </row>
    <row r="58" spans="1:4" ht="13.5" customHeight="1" x14ac:dyDescent="0.2">
      <c r="A58" s="126" t="s">
        <v>224</v>
      </c>
      <c r="B58" s="36" t="s">
        <v>1598</v>
      </c>
      <c r="C58" s="697">
        <v>9.4600000000000009</v>
      </c>
    </row>
    <row r="59" spans="1:4" ht="13.5" customHeight="1" x14ac:dyDescent="0.2">
      <c r="A59" s="126" t="s">
        <v>224</v>
      </c>
      <c r="B59" s="32" t="s">
        <v>199</v>
      </c>
      <c r="C59" s="697">
        <v>520.35</v>
      </c>
    </row>
    <row r="60" spans="1:4" ht="13.5" customHeight="1" x14ac:dyDescent="0.2">
      <c r="A60" s="126" t="s">
        <v>224</v>
      </c>
      <c r="B60" s="36" t="s">
        <v>1598</v>
      </c>
      <c r="C60" s="697">
        <v>7.04</v>
      </c>
    </row>
    <row r="61" spans="1:4" ht="13.5" customHeight="1" x14ac:dyDescent="0.2">
      <c r="A61" s="126" t="s">
        <v>224</v>
      </c>
      <c r="B61" s="36" t="s">
        <v>1795</v>
      </c>
      <c r="C61" s="697">
        <f>D64</f>
        <v>426.66666666666663</v>
      </c>
    </row>
    <row r="62" spans="1:4" ht="13.5" customHeight="1" x14ac:dyDescent="0.2">
      <c r="A62" s="126"/>
      <c r="B62" s="36"/>
      <c r="C62" s="703">
        <f>SUM(C54:C61)</f>
        <v>1532.0366666666664</v>
      </c>
    </row>
    <row r="63" spans="1:4" ht="13.5" customHeight="1" x14ac:dyDescent="0.2">
      <c r="A63" s="126"/>
      <c r="B63" s="36"/>
    </row>
    <row r="64" spans="1:4" ht="13.5" customHeight="1" x14ac:dyDescent="0.2">
      <c r="A64" s="126" t="s">
        <v>224</v>
      </c>
      <c r="B64" s="36" t="s">
        <v>3270</v>
      </c>
      <c r="C64" s="697">
        <v>320</v>
      </c>
      <c r="D64" s="707">
        <f>SUM(C64:C65)-D65</f>
        <v>426.66666666666663</v>
      </c>
    </row>
    <row r="65" spans="1:8" ht="13.5" customHeight="1" x14ac:dyDescent="0.2">
      <c r="A65" s="126" t="s">
        <v>224</v>
      </c>
      <c r="B65" s="36" t="s">
        <v>3297</v>
      </c>
      <c r="C65" s="697">
        <v>320</v>
      </c>
      <c r="D65" s="707">
        <f t="array" ref="D65">SUM(C64:C65/3)</f>
        <v>213.33333333333334</v>
      </c>
    </row>
    <row r="66" spans="1:8" ht="13.5" customHeight="1" x14ac:dyDescent="0.2">
      <c r="A66" s="244"/>
      <c r="B66" s="32"/>
    </row>
    <row r="67" spans="1:8" ht="13.5" customHeight="1" x14ac:dyDescent="0.2">
      <c r="A67" s="244"/>
      <c r="B67" s="32"/>
    </row>
    <row r="68" spans="1:8" ht="13.5" customHeight="1" x14ac:dyDescent="0.2">
      <c r="A68" s="244" t="s">
        <v>225</v>
      </c>
      <c r="B68" s="32" t="s">
        <v>3366</v>
      </c>
      <c r="C68" s="703">
        <v>754</v>
      </c>
    </row>
    <row r="69" spans="1:8" ht="13.5" customHeight="1" x14ac:dyDescent="0.2">
      <c r="A69" s="244"/>
      <c r="B69" s="32"/>
    </row>
    <row r="70" spans="1:8" ht="13.5" customHeight="1" x14ac:dyDescent="0.2">
      <c r="A70" s="244"/>
      <c r="B70" s="32"/>
    </row>
    <row r="71" spans="1:8" ht="13.5" customHeight="1" x14ac:dyDescent="0.2">
      <c r="A71" s="126" t="s">
        <v>242</v>
      </c>
      <c r="B71" s="36" t="s">
        <v>127</v>
      </c>
      <c r="C71" s="697">
        <v>97.83</v>
      </c>
    </row>
    <row r="72" spans="1:8" ht="13.5" customHeight="1" x14ac:dyDescent="0.2">
      <c r="A72" s="126" t="s">
        <v>242</v>
      </c>
      <c r="B72" s="33" t="s">
        <v>736</v>
      </c>
      <c r="C72" s="697">
        <v>44.73</v>
      </c>
    </row>
    <row r="73" spans="1:8" ht="13.5" customHeight="1" x14ac:dyDescent="0.2">
      <c r="A73" s="126" t="s">
        <v>242</v>
      </c>
      <c r="B73" s="36" t="s">
        <v>129</v>
      </c>
      <c r="C73" s="697">
        <v>47.92</v>
      </c>
    </row>
    <row r="74" spans="1:8" ht="13.5" customHeight="1" x14ac:dyDescent="0.2">
      <c r="A74" s="126" t="s">
        <v>242</v>
      </c>
      <c r="B74" s="33" t="s">
        <v>737</v>
      </c>
      <c r="C74" s="697">
        <v>150.63999999999999</v>
      </c>
    </row>
    <row r="75" spans="1:8" ht="13.5" customHeight="1" x14ac:dyDescent="0.2">
      <c r="A75" s="126" t="s">
        <v>242</v>
      </c>
      <c r="B75" s="36" t="s">
        <v>3285</v>
      </c>
      <c r="C75" s="697">
        <v>7</v>
      </c>
    </row>
    <row r="76" spans="1:8" ht="13.5" customHeight="1" x14ac:dyDescent="0.2">
      <c r="A76" s="126" t="s">
        <v>242</v>
      </c>
      <c r="B76" s="36" t="s">
        <v>87</v>
      </c>
      <c r="C76" s="697">
        <v>44.91</v>
      </c>
    </row>
    <row r="77" spans="1:8" ht="13.5" customHeight="1" x14ac:dyDescent="0.2">
      <c r="A77" s="126" t="s">
        <v>242</v>
      </c>
      <c r="B77" s="36" t="s">
        <v>422</v>
      </c>
      <c r="C77" s="697">
        <f t="array" ref="C77">SUM(H80:H88/2)</f>
        <v>1743.4549999999999</v>
      </c>
    </row>
    <row r="78" spans="1:8" ht="13.5" customHeight="1" x14ac:dyDescent="0.2">
      <c r="A78" s="126"/>
      <c r="B78" s="36"/>
      <c r="C78" s="703">
        <f>SUM(C71:C77)</f>
        <v>2136.4849999999997</v>
      </c>
    </row>
    <row r="79" spans="1:8" ht="13.5" customHeight="1" x14ac:dyDescent="0.2">
      <c r="A79" s="126"/>
      <c r="B79" s="36"/>
    </row>
    <row r="80" spans="1:8" ht="13.5" customHeight="1" x14ac:dyDescent="0.2">
      <c r="A80" s="126" t="s">
        <v>242</v>
      </c>
      <c r="B80" s="36" t="s">
        <v>3377</v>
      </c>
      <c r="C80" s="697">
        <v>360</v>
      </c>
      <c r="F80" s="126" t="s">
        <v>242</v>
      </c>
      <c r="G80" s="32" t="s">
        <v>3308</v>
      </c>
      <c r="H80" s="697">
        <v>81.27</v>
      </c>
    </row>
    <row r="81" spans="1:8" ht="13.5" customHeight="1" x14ac:dyDescent="0.2">
      <c r="A81" s="126" t="s">
        <v>242</v>
      </c>
      <c r="B81" s="36" t="s">
        <v>3358</v>
      </c>
      <c r="C81" s="697">
        <v>199</v>
      </c>
      <c r="F81" s="126" t="s">
        <v>242</v>
      </c>
      <c r="G81" s="32" t="s">
        <v>3307</v>
      </c>
      <c r="H81" s="697">
        <v>25.53</v>
      </c>
    </row>
    <row r="82" spans="1:8" ht="13.5" customHeight="1" x14ac:dyDescent="0.2">
      <c r="A82" s="126" t="s">
        <v>242</v>
      </c>
      <c r="B82" s="36" t="s">
        <v>3370</v>
      </c>
      <c r="C82" s="697">
        <v>149</v>
      </c>
      <c r="F82" s="126" t="s">
        <v>242</v>
      </c>
      <c r="G82" s="32" t="s">
        <v>3305</v>
      </c>
      <c r="H82" s="697">
        <v>31.939999999999998</v>
      </c>
    </row>
    <row r="83" spans="1:8" ht="13.5" customHeight="1" x14ac:dyDescent="0.2">
      <c r="A83" s="126" t="s">
        <v>242</v>
      </c>
      <c r="B83" s="36" t="s">
        <v>3368</v>
      </c>
      <c r="C83" s="697">
        <v>149</v>
      </c>
      <c r="F83" s="126" t="s">
        <v>242</v>
      </c>
      <c r="G83" s="32" t="s">
        <v>3301</v>
      </c>
      <c r="H83" s="697">
        <v>270.06</v>
      </c>
    </row>
    <row r="84" spans="1:8" ht="13.5" customHeight="1" x14ac:dyDescent="0.2">
      <c r="A84" s="126" t="s">
        <v>242</v>
      </c>
      <c r="B84" s="36" t="s">
        <v>3253</v>
      </c>
      <c r="C84" s="697">
        <v>46.66</v>
      </c>
      <c r="F84" s="126" t="s">
        <v>242</v>
      </c>
      <c r="G84" s="32" t="s">
        <v>3302</v>
      </c>
      <c r="H84" s="697">
        <v>270.06</v>
      </c>
    </row>
    <row r="85" spans="1:8" ht="13.5" customHeight="1" x14ac:dyDescent="0.2">
      <c r="A85" s="126" t="s">
        <v>242</v>
      </c>
      <c r="B85" s="36" t="s">
        <v>3252</v>
      </c>
      <c r="C85" s="697">
        <v>29.68</v>
      </c>
      <c r="F85" s="126" t="s">
        <v>242</v>
      </c>
      <c r="G85" s="32" t="s">
        <v>3303</v>
      </c>
      <c r="H85" s="697">
        <v>270.06</v>
      </c>
    </row>
    <row r="86" spans="1:8" ht="13.5" customHeight="1" x14ac:dyDescent="0.2">
      <c r="A86" s="126" t="s">
        <v>242</v>
      </c>
      <c r="B86" s="36" t="s">
        <v>180</v>
      </c>
      <c r="C86" s="697">
        <v>527.38</v>
      </c>
      <c r="F86" s="126" t="s">
        <v>242</v>
      </c>
      <c r="G86" s="32" t="s">
        <v>3306</v>
      </c>
      <c r="H86" s="697">
        <v>47.99</v>
      </c>
    </row>
    <row r="87" spans="1:8" ht="13.5" customHeight="1" x14ac:dyDescent="0.2">
      <c r="A87" s="126" t="s">
        <v>242</v>
      </c>
      <c r="B87" s="36" t="s">
        <v>3223</v>
      </c>
      <c r="C87" s="697">
        <v>-70</v>
      </c>
      <c r="F87" s="126" t="s">
        <v>242</v>
      </c>
      <c r="G87" s="32" t="s">
        <v>813</v>
      </c>
      <c r="H87" s="697">
        <v>75</v>
      </c>
    </row>
    <row r="88" spans="1:8" ht="13.5" customHeight="1" x14ac:dyDescent="0.2">
      <c r="A88" s="126" t="s">
        <v>242</v>
      </c>
      <c r="B88" s="36" t="s">
        <v>3310</v>
      </c>
      <c r="C88" s="697">
        <v>-1600</v>
      </c>
      <c r="F88" s="126" t="s">
        <v>242</v>
      </c>
      <c r="G88" s="36" t="s">
        <v>3330</v>
      </c>
      <c r="H88" s="697">
        <v>2415</v>
      </c>
    </row>
    <row r="89" spans="1:8" ht="13.5" customHeight="1" x14ac:dyDescent="0.2">
      <c r="A89" s="126" t="s">
        <v>242</v>
      </c>
      <c r="B89" s="36" t="s">
        <v>3283</v>
      </c>
      <c r="C89" s="697">
        <v>25</v>
      </c>
    </row>
    <row r="90" spans="1:8" ht="13.5" customHeight="1" x14ac:dyDescent="0.2">
      <c r="A90" s="126" t="s">
        <v>242</v>
      </c>
      <c r="B90" s="36" t="s">
        <v>3295</v>
      </c>
      <c r="C90" s="697">
        <v>10</v>
      </c>
    </row>
    <row r="91" spans="1:8" ht="13.5" customHeight="1" x14ac:dyDescent="0.2">
      <c r="A91" s="126" t="s">
        <v>242</v>
      </c>
      <c r="B91" s="36" t="s">
        <v>3560</v>
      </c>
      <c r="C91" s="697">
        <f>C77</f>
        <v>1743.4549999999999</v>
      </c>
    </row>
    <row r="92" spans="1:8" ht="13.5" customHeight="1" x14ac:dyDescent="0.2">
      <c r="A92" s="126"/>
      <c r="B92" s="36"/>
      <c r="C92" s="703">
        <f>SUM(C80:C91)</f>
        <v>1569.1749999999997</v>
      </c>
    </row>
    <row r="93" spans="1:8" ht="13.5" customHeight="1" x14ac:dyDescent="0.2">
      <c r="A93" s="126"/>
      <c r="B93" s="36"/>
    </row>
    <row r="94" spans="1:8" ht="13.5" customHeight="1" x14ac:dyDescent="0.2">
      <c r="A94" s="126"/>
      <c r="B94" s="36" t="s">
        <v>2332</v>
      </c>
      <c r="C94" s="697">
        <v>900</v>
      </c>
    </row>
    <row r="95" spans="1:8" ht="13.5" customHeight="1" x14ac:dyDescent="0.2">
      <c r="A95" s="126"/>
      <c r="B95" s="36" t="s">
        <v>3537</v>
      </c>
      <c r="C95" s="697">
        <f>D65</f>
        <v>213.33333333333334</v>
      </c>
    </row>
    <row r="96" spans="1:8" ht="13.5" customHeight="1" x14ac:dyDescent="0.2">
      <c r="A96" s="126" t="s">
        <v>243</v>
      </c>
      <c r="B96" s="36" t="s">
        <v>2965</v>
      </c>
      <c r="C96" s="697">
        <v>109.9</v>
      </c>
    </row>
    <row r="97" spans="1:24" ht="13.5" customHeight="1" x14ac:dyDescent="0.2">
      <c r="A97" s="126" t="s">
        <v>243</v>
      </c>
      <c r="B97" s="36" t="s">
        <v>3238</v>
      </c>
      <c r="C97" s="697">
        <v>1625</v>
      </c>
    </row>
    <row r="98" spans="1:24" ht="13.5" customHeight="1" x14ac:dyDescent="0.2">
      <c r="A98" s="126" t="s">
        <v>243</v>
      </c>
      <c r="B98" s="36" t="s">
        <v>3248</v>
      </c>
      <c r="C98" s="697">
        <v>2490</v>
      </c>
    </row>
    <row r="99" spans="1:24" ht="13.5" customHeight="1" x14ac:dyDescent="0.2">
      <c r="A99" s="126" t="s">
        <v>243</v>
      </c>
      <c r="B99" s="33" t="s">
        <v>81</v>
      </c>
      <c r="C99" s="697">
        <v>52.44</v>
      </c>
    </row>
    <row r="100" spans="1:24" ht="13.5" customHeight="1" x14ac:dyDescent="0.2">
      <c r="A100" s="126" t="s">
        <v>243</v>
      </c>
      <c r="B100" s="36" t="s">
        <v>673</v>
      </c>
      <c r="C100" s="697">
        <v>99.98</v>
      </c>
    </row>
    <row r="101" spans="1:24" ht="13.5" customHeight="1" x14ac:dyDescent="0.2">
      <c r="A101" s="126" t="s">
        <v>243</v>
      </c>
      <c r="B101" s="36" t="s">
        <v>3258</v>
      </c>
      <c r="C101" s="697">
        <v>5.65</v>
      </c>
    </row>
    <row r="102" spans="1:24" ht="13.5" customHeight="1" x14ac:dyDescent="0.2">
      <c r="A102" s="126" t="s">
        <v>243</v>
      </c>
      <c r="B102" s="36" t="s">
        <v>3260</v>
      </c>
      <c r="C102" s="697">
        <v>28.31</v>
      </c>
    </row>
    <row r="103" spans="1:24" ht="13.5" customHeight="1" x14ac:dyDescent="0.2">
      <c r="A103" s="126" t="s">
        <v>243</v>
      </c>
      <c r="B103" s="36" t="s">
        <v>3251</v>
      </c>
      <c r="C103" s="697">
        <v>35.369999999999997</v>
      </c>
    </row>
    <row r="104" spans="1:24" ht="13.5" customHeight="1" x14ac:dyDescent="0.2">
      <c r="A104" s="126" t="s">
        <v>243</v>
      </c>
      <c r="B104" s="36" t="s">
        <v>3291</v>
      </c>
      <c r="C104" s="697">
        <v>8.9</v>
      </c>
    </row>
    <row r="105" spans="1:24" ht="13.5" customHeight="1" x14ac:dyDescent="0.2">
      <c r="A105" s="126" t="s">
        <v>243</v>
      </c>
      <c r="B105" s="36" t="s">
        <v>3284</v>
      </c>
      <c r="C105" s="697">
        <v>50.2</v>
      </c>
    </row>
    <row r="106" spans="1:24" ht="13.5" customHeight="1" x14ac:dyDescent="0.2">
      <c r="A106" s="126" t="s">
        <v>243</v>
      </c>
      <c r="B106" s="36" t="s">
        <v>3264</v>
      </c>
      <c r="C106" s="697">
        <v>44.3</v>
      </c>
    </row>
    <row r="107" spans="1:24" ht="13.5" customHeight="1" x14ac:dyDescent="0.2">
      <c r="A107" s="126" t="s">
        <v>243</v>
      </c>
      <c r="B107" s="36" t="s">
        <v>3254</v>
      </c>
      <c r="C107" s="697">
        <v>33.6</v>
      </c>
    </row>
    <row r="108" spans="1:24" ht="13.5" customHeight="1" x14ac:dyDescent="0.2">
      <c r="A108" s="126" t="s">
        <v>243</v>
      </c>
      <c r="B108" s="34" t="s">
        <v>1666</v>
      </c>
      <c r="C108" s="697">
        <v>55.9</v>
      </c>
      <c r="W108" s="64"/>
      <c r="X108" s="64"/>
    </row>
    <row r="109" spans="1:24" ht="13.5" customHeight="1" x14ac:dyDescent="0.2">
      <c r="A109" s="126" t="s">
        <v>243</v>
      </c>
      <c r="B109" s="34" t="s">
        <v>1666</v>
      </c>
      <c r="C109" s="697">
        <v>55.9</v>
      </c>
    </row>
    <row r="110" spans="1:24" ht="13.5" customHeight="1" x14ac:dyDescent="0.2">
      <c r="A110" s="126" t="s">
        <v>243</v>
      </c>
      <c r="B110" s="34" t="s">
        <v>3292</v>
      </c>
      <c r="C110" s="697">
        <v>59.14</v>
      </c>
    </row>
    <row r="111" spans="1:24" ht="13.5" customHeight="1" x14ac:dyDescent="0.2">
      <c r="A111" s="126"/>
      <c r="B111" s="34"/>
      <c r="C111" s="703">
        <f>SUM(C94:C110)</f>
        <v>5867.9233333333323</v>
      </c>
      <c r="D111" s="707">
        <f>SUM(C111/2)</f>
        <v>2933.9616666666661</v>
      </c>
    </row>
    <row r="112" spans="1:24" ht="13.5" customHeight="1" x14ac:dyDescent="0.2">
      <c r="A112" s="126"/>
      <c r="B112" s="34"/>
    </row>
    <row r="113" spans="1:24" s="64" customFormat="1" ht="13.5" customHeight="1" x14ac:dyDescent="0.2">
      <c r="A113" s="244" t="s">
        <v>230</v>
      </c>
      <c r="B113" s="36" t="s">
        <v>177</v>
      </c>
      <c r="C113" s="697">
        <v>243.07</v>
      </c>
      <c r="D113" s="707">
        <f>SUM(C115*D123)</f>
        <v>1361.0866569971552</v>
      </c>
      <c r="E113" s="1" t="s">
        <v>3547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 spans="1:24" s="64" customFormat="1" ht="13.5" customHeight="1" x14ac:dyDescent="0.2">
      <c r="A114" s="244" t="s">
        <v>230</v>
      </c>
      <c r="B114" s="34" t="s">
        <v>3347</v>
      </c>
      <c r="C114" s="697">
        <v>4313.6400000000003</v>
      </c>
      <c r="D114" s="707">
        <f>SUM(C115-D113)</f>
        <v>3195.6233430028451</v>
      </c>
      <c r="E114" s="1" t="s">
        <v>1794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 spans="1:24" s="64" customFormat="1" ht="13.5" customHeight="1" x14ac:dyDescent="0.2">
      <c r="A115" s="244"/>
      <c r="B115" s="34"/>
      <c r="C115" s="703">
        <f>SUM(C113:C114)</f>
        <v>4556.71</v>
      </c>
      <c r="D115" s="622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</row>
    <row r="116" spans="1:24" s="64" customFormat="1" ht="13.5" customHeight="1" x14ac:dyDescent="0.2">
      <c r="A116" s="244"/>
      <c r="B116" s="34"/>
      <c r="C116" s="697"/>
      <c r="D116" s="622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</row>
    <row r="117" spans="1:24" s="64" customFormat="1" ht="13.5" customHeight="1" x14ac:dyDescent="0.2">
      <c r="A117" s="244" t="s">
        <v>231</v>
      </c>
      <c r="B117" s="34" t="s">
        <v>3376</v>
      </c>
      <c r="C117" s="703">
        <v>1320.97</v>
      </c>
      <c r="D117" s="707">
        <f>SUM(C117*D123)</f>
        <v>394.57297947280648</v>
      </c>
      <c r="E117" s="1" t="s">
        <v>3547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</row>
    <row r="118" spans="1:24" s="64" customFormat="1" ht="13.5" customHeight="1" x14ac:dyDescent="0.2">
      <c r="A118" s="244"/>
      <c r="B118" s="34"/>
      <c r="C118" s="697"/>
      <c r="D118" s="707">
        <f>SUM(C117-D117)</f>
        <v>926.39702052719349</v>
      </c>
      <c r="E118" t="s">
        <v>1794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</row>
    <row r="119" spans="1:24" s="64" customFormat="1" ht="13.5" customHeight="1" x14ac:dyDescent="0.2">
      <c r="A119" s="244"/>
      <c r="B119" s="34"/>
      <c r="C119" s="697"/>
      <c r="D119" s="622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</row>
    <row r="120" spans="1:24" s="64" customFormat="1" ht="13.5" customHeight="1" x14ac:dyDescent="0.2">
      <c r="A120" s="244" t="s">
        <v>417</v>
      </c>
      <c r="B120" s="34" t="s">
        <v>422</v>
      </c>
      <c r="C120" s="703">
        <f t="array" ref="C120">SUM(H123:H127/2)</f>
        <v>3105.5600000000004</v>
      </c>
      <c r="D120" s="622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</row>
    <row r="121" spans="1:24" s="64" customFormat="1" ht="13.5" customHeight="1" x14ac:dyDescent="0.2">
      <c r="A121" s="244"/>
      <c r="B121" s="34"/>
      <c r="C121" s="697"/>
      <c r="D121" s="622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</row>
    <row r="122" spans="1:24" s="64" customFormat="1" ht="13.5" customHeight="1" x14ac:dyDescent="0.2">
      <c r="A122" s="244"/>
      <c r="B122" s="34"/>
      <c r="C122" s="697"/>
      <c r="D122" s="622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</row>
    <row r="123" spans="1:24" s="64" customFormat="1" ht="13.5" customHeight="1" x14ac:dyDescent="0.2">
      <c r="A123" s="126" t="s">
        <v>417</v>
      </c>
      <c r="B123" s="138" t="s">
        <v>3383</v>
      </c>
      <c r="C123" s="697">
        <v>526.9</v>
      </c>
      <c r="D123" s="705">
        <f>SUM(C120/(C120+C139))</f>
        <v>0.29869942502313185</v>
      </c>
      <c r="E123" s="1"/>
      <c r="F123" s="126" t="s">
        <v>417</v>
      </c>
      <c r="G123" s="34" t="s">
        <v>2509</v>
      </c>
      <c r="H123" s="697">
        <v>100</v>
      </c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</row>
    <row r="124" spans="1:24" s="64" customFormat="1" ht="13.5" customHeight="1" x14ac:dyDescent="0.2">
      <c r="A124" s="126" t="s">
        <v>417</v>
      </c>
      <c r="B124" s="138" t="s">
        <v>3373</v>
      </c>
      <c r="C124" s="697">
        <v>421.52</v>
      </c>
      <c r="D124" s="622"/>
      <c r="E124" s="1"/>
      <c r="F124" s="126" t="s">
        <v>417</v>
      </c>
      <c r="G124" s="34" t="s">
        <v>3239</v>
      </c>
      <c r="H124" s="697">
        <v>525</v>
      </c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</row>
    <row r="125" spans="1:24" s="64" customFormat="1" ht="13.5" customHeight="1" x14ac:dyDescent="0.2">
      <c r="A125" s="126" t="s">
        <v>417</v>
      </c>
      <c r="B125" s="34" t="s">
        <v>3273</v>
      </c>
      <c r="C125" s="697">
        <v>2.4</v>
      </c>
      <c r="D125" s="622"/>
      <c r="E125" s="1"/>
      <c r="F125" s="126" t="s">
        <v>417</v>
      </c>
      <c r="G125" s="34" t="s">
        <v>3363</v>
      </c>
      <c r="H125" s="697">
        <v>3970.17</v>
      </c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</row>
    <row r="126" spans="1:24" s="64" customFormat="1" ht="13.5" customHeight="1" x14ac:dyDescent="0.2">
      <c r="A126" s="126" t="s">
        <v>417</v>
      </c>
      <c r="B126" s="34" t="s">
        <v>3220</v>
      </c>
      <c r="C126" s="697">
        <v>70</v>
      </c>
      <c r="D126" s="622"/>
      <c r="E126" s="1"/>
      <c r="F126" s="126" t="s">
        <v>417</v>
      </c>
      <c r="G126" s="34" t="s">
        <v>173</v>
      </c>
      <c r="H126" s="697">
        <v>1007.27</v>
      </c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</row>
    <row r="127" spans="1:24" s="64" customFormat="1" ht="13.5" customHeight="1" x14ac:dyDescent="0.2">
      <c r="A127" s="126" t="s">
        <v>417</v>
      </c>
      <c r="B127" s="36" t="s">
        <v>3216</v>
      </c>
      <c r="C127" s="697">
        <v>355</v>
      </c>
      <c r="D127" s="622"/>
      <c r="E127" s="1"/>
      <c r="F127" s="126" t="s">
        <v>417</v>
      </c>
      <c r="G127" s="36" t="s">
        <v>172</v>
      </c>
      <c r="H127" s="697">
        <v>608.67999999999995</v>
      </c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 spans="1:24" s="64" customFormat="1" ht="13.5" customHeight="1" x14ac:dyDescent="0.2">
      <c r="A128" s="126" t="s">
        <v>417</v>
      </c>
      <c r="B128" s="34" t="s">
        <v>1887</v>
      </c>
      <c r="C128" s="697">
        <v>70</v>
      </c>
      <c r="D128" s="622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</row>
    <row r="129" spans="1:3" ht="13.5" customHeight="1" x14ac:dyDescent="0.2">
      <c r="A129" s="126" t="s">
        <v>417</v>
      </c>
      <c r="B129" s="34" t="s">
        <v>3219</v>
      </c>
      <c r="C129" s="697">
        <v>300</v>
      </c>
    </row>
    <row r="130" spans="1:3" ht="13.5" customHeight="1" x14ac:dyDescent="0.2">
      <c r="A130" s="126" t="s">
        <v>417</v>
      </c>
      <c r="B130" s="34" t="s">
        <v>3234</v>
      </c>
      <c r="C130" s="697">
        <v>180</v>
      </c>
    </row>
    <row r="131" spans="1:3" ht="13.5" customHeight="1" x14ac:dyDescent="0.2">
      <c r="A131" s="126" t="s">
        <v>417</v>
      </c>
      <c r="B131" s="36" t="s">
        <v>3246</v>
      </c>
      <c r="C131" s="697">
        <v>120</v>
      </c>
    </row>
    <row r="132" spans="1:3" ht="13.5" customHeight="1" x14ac:dyDescent="0.2">
      <c r="A132" s="126" t="s">
        <v>417</v>
      </c>
      <c r="B132" s="34" t="s">
        <v>3299</v>
      </c>
      <c r="C132" s="697">
        <v>525</v>
      </c>
    </row>
    <row r="133" spans="1:3" ht="13.5" customHeight="1" x14ac:dyDescent="0.2">
      <c r="A133" s="126" t="s">
        <v>417</v>
      </c>
      <c r="B133" s="34" t="s">
        <v>3282</v>
      </c>
      <c r="C133" s="697">
        <v>105</v>
      </c>
    </row>
    <row r="134" spans="1:3" ht="13.5" customHeight="1" x14ac:dyDescent="0.2">
      <c r="A134" s="126" t="s">
        <v>417</v>
      </c>
      <c r="B134" s="36" t="s">
        <v>3271</v>
      </c>
      <c r="C134" s="697">
        <v>420</v>
      </c>
    </row>
    <row r="135" spans="1:3" ht="13.5" customHeight="1" x14ac:dyDescent="0.2">
      <c r="A135" s="126" t="s">
        <v>417</v>
      </c>
      <c r="B135" s="34" t="s">
        <v>3293</v>
      </c>
      <c r="C135" s="697">
        <v>525</v>
      </c>
    </row>
    <row r="136" spans="1:3" ht="13.5" customHeight="1" x14ac:dyDescent="0.2">
      <c r="A136" s="126" t="s">
        <v>417</v>
      </c>
      <c r="B136" s="34" t="s">
        <v>3215</v>
      </c>
      <c r="C136" s="697">
        <v>525</v>
      </c>
    </row>
    <row r="137" spans="1:3" ht="13.5" customHeight="1" x14ac:dyDescent="0.2">
      <c r="A137" s="126" t="s">
        <v>417</v>
      </c>
      <c r="B137" s="36" t="s">
        <v>3233</v>
      </c>
      <c r="C137" s="697">
        <v>40</v>
      </c>
    </row>
    <row r="138" spans="1:3" ht="13.5" customHeight="1" x14ac:dyDescent="0.2">
      <c r="A138" s="126" t="s">
        <v>417</v>
      </c>
      <c r="B138" s="36" t="s">
        <v>625</v>
      </c>
      <c r="C138" s="697">
        <f>C120</f>
        <v>3105.5600000000004</v>
      </c>
    </row>
    <row r="139" spans="1:3" ht="13.5" customHeight="1" x14ac:dyDescent="0.2">
      <c r="A139" s="126"/>
      <c r="B139" s="36"/>
      <c r="C139" s="703">
        <f>SUM(C123:C138)</f>
        <v>7291.38</v>
      </c>
    </row>
    <row r="140" spans="1:3" ht="13.5" customHeight="1" x14ac:dyDescent="0.2">
      <c r="A140" s="126"/>
      <c r="B140" s="36"/>
    </row>
    <row r="141" spans="1:3" ht="13.5" customHeight="1" x14ac:dyDescent="0.2">
      <c r="A141" s="126" t="s">
        <v>245</v>
      </c>
      <c r="B141" s="36" t="s">
        <v>3249</v>
      </c>
      <c r="C141" s="697">
        <v>4.5</v>
      </c>
    </row>
    <row r="142" spans="1:3" ht="13.5" customHeight="1" x14ac:dyDescent="0.2">
      <c r="A142" s="126" t="s">
        <v>245</v>
      </c>
      <c r="B142" s="36" t="s">
        <v>3250</v>
      </c>
      <c r="C142" s="697">
        <v>19.2</v>
      </c>
    </row>
    <row r="143" spans="1:3" ht="13.5" customHeight="1" x14ac:dyDescent="0.2">
      <c r="A143" s="126" t="s">
        <v>245</v>
      </c>
      <c r="B143" s="36" t="s">
        <v>3266</v>
      </c>
      <c r="C143" s="697">
        <v>6.6</v>
      </c>
    </row>
    <row r="144" spans="1:3" ht="13.5" customHeight="1" x14ac:dyDescent="0.2">
      <c r="A144" s="126" t="s">
        <v>245</v>
      </c>
      <c r="B144" s="36" t="s">
        <v>3261</v>
      </c>
      <c r="C144" s="697">
        <v>8.5500000000000007</v>
      </c>
    </row>
    <row r="145" spans="1:24" ht="13.5" customHeight="1" x14ac:dyDescent="0.2">
      <c r="A145" s="126"/>
      <c r="B145" s="34"/>
      <c r="C145" s="703">
        <f>SUM(C141:C144)</f>
        <v>38.849999999999994</v>
      </c>
    </row>
    <row r="146" spans="1:24" ht="13.5" customHeight="1" x14ac:dyDescent="0.2">
      <c r="A146" s="126"/>
      <c r="B146" s="34"/>
    </row>
    <row r="147" spans="1:24" ht="13.5" customHeight="1" x14ac:dyDescent="0.2">
      <c r="A147" s="126" t="s">
        <v>245</v>
      </c>
      <c r="B147" s="34" t="s">
        <v>3259</v>
      </c>
      <c r="C147" s="697">
        <v>48</v>
      </c>
    </row>
    <row r="148" spans="1:24" ht="13.5" customHeight="1" x14ac:dyDescent="0.2">
      <c r="A148" s="126" t="s">
        <v>245</v>
      </c>
      <c r="B148" s="34" t="s">
        <v>3256</v>
      </c>
      <c r="C148" s="697">
        <v>0.95</v>
      </c>
    </row>
    <row r="149" spans="1:24" ht="13.5" customHeight="1" x14ac:dyDescent="0.2">
      <c r="A149" s="126" t="s">
        <v>245</v>
      </c>
      <c r="B149" s="36" t="s">
        <v>3218</v>
      </c>
      <c r="C149" s="697">
        <v>20</v>
      </c>
    </row>
    <row r="150" spans="1:24" ht="13.5" customHeight="1" x14ac:dyDescent="0.2">
      <c r="A150" s="126" t="s">
        <v>245</v>
      </c>
      <c r="B150" s="34" t="s">
        <v>3262</v>
      </c>
      <c r="C150" s="697">
        <v>14</v>
      </c>
    </row>
    <row r="151" spans="1:24" ht="13.5" customHeight="1" x14ac:dyDescent="0.2">
      <c r="A151" s="126" t="s">
        <v>245</v>
      </c>
      <c r="B151" s="34" t="s">
        <v>1881</v>
      </c>
      <c r="C151" s="697">
        <v>9.4499999999999993</v>
      </c>
      <c r="W151" s="64"/>
      <c r="X151" s="64"/>
    </row>
    <row r="152" spans="1:24" ht="13.5" customHeight="1" x14ac:dyDescent="0.2">
      <c r="A152" s="126" t="s">
        <v>245</v>
      </c>
      <c r="B152" s="34" t="s">
        <v>3296</v>
      </c>
      <c r="C152" s="697">
        <v>129</v>
      </c>
    </row>
    <row r="153" spans="1:24" ht="13.5" customHeight="1" x14ac:dyDescent="0.2">
      <c r="A153" s="126" t="s">
        <v>245</v>
      </c>
      <c r="B153" s="34" t="s">
        <v>2420</v>
      </c>
      <c r="C153" s="697">
        <v>5.34</v>
      </c>
      <c r="W153" s="64"/>
      <c r="X153" s="64"/>
    </row>
    <row r="154" spans="1:24" ht="13.5" customHeight="1" x14ac:dyDescent="0.2">
      <c r="A154" s="126" t="s">
        <v>245</v>
      </c>
      <c r="B154" s="34" t="s">
        <v>3265</v>
      </c>
      <c r="C154" s="697">
        <v>11.3</v>
      </c>
    </row>
    <row r="155" spans="1:24" ht="13.5" customHeight="1" x14ac:dyDescent="0.2">
      <c r="A155" s="126" t="s">
        <v>245</v>
      </c>
      <c r="B155" s="34" t="s">
        <v>3217</v>
      </c>
      <c r="C155" s="697">
        <v>4.9000000000000004</v>
      </c>
    </row>
    <row r="156" spans="1:24" ht="13.5" customHeight="1" x14ac:dyDescent="0.2">
      <c r="A156" s="126" t="s">
        <v>245</v>
      </c>
      <c r="B156" s="36" t="s">
        <v>3255</v>
      </c>
      <c r="C156" s="697">
        <v>15.75</v>
      </c>
    </row>
    <row r="157" spans="1:24" ht="13.5" customHeight="1" x14ac:dyDescent="0.2">
      <c r="A157" s="126" t="s">
        <v>245</v>
      </c>
      <c r="B157" s="36" t="s">
        <v>3257</v>
      </c>
      <c r="C157" s="697">
        <v>14</v>
      </c>
    </row>
    <row r="158" spans="1:24" ht="13.5" customHeight="1" x14ac:dyDescent="0.2">
      <c r="A158" s="126" t="s">
        <v>245</v>
      </c>
      <c r="B158" s="34" t="s">
        <v>3290</v>
      </c>
      <c r="C158" s="697">
        <v>25.78</v>
      </c>
    </row>
    <row r="159" spans="1:24" ht="13.5" customHeight="1" x14ac:dyDescent="0.2">
      <c r="A159" s="126" t="s">
        <v>245</v>
      </c>
      <c r="B159" s="34" t="s">
        <v>3263</v>
      </c>
      <c r="C159" s="697">
        <v>9.8000000000000007</v>
      </c>
    </row>
    <row r="160" spans="1:24" ht="13.5" customHeight="1" x14ac:dyDescent="0.2">
      <c r="A160" s="126" t="s">
        <v>245</v>
      </c>
      <c r="B160" s="36" t="s">
        <v>3267</v>
      </c>
      <c r="C160" s="697">
        <v>2.4</v>
      </c>
    </row>
    <row r="161" spans="1:24" ht="13.5" customHeight="1" x14ac:dyDescent="0.2">
      <c r="A161" s="126" t="s">
        <v>245</v>
      </c>
      <c r="B161" s="36" t="s">
        <v>3350</v>
      </c>
      <c r="C161" s="697">
        <v>28.9</v>
      </c>
    </row>
    <row r="162" spans="1:24" ht="13.5" customHeight="1" x14ac:dyDescent="0.2">
      <c r="A162" s="126" t="s">
        <v>245</v>
      </c>
      <c r="B162" s="36" t="s">
        <v>3352</v>
      </c>
      <c r="C162" s="697">
        <v>121.02</v>
      </c>
    </row>
    <row r="163" spans="1:24" ht="13.5" customHeight="1" x14ac:dyDescent="0.2">
      <c r="A163" s="126" t="s">
        <v>245</v>
      </c>
      <c r="B163" s="36" t="s">
        <v>3355</v>
      </c>
      <c r="C163" s="697">
        <v>190.55</v>
      </c>
    </row>
    <row r="164" spans="1:24" ht="13.5" customHeight="1" x14ac:dyDescent="0.2">
      <c r="A164" s="126" t="s">
        <v>245</v>
      </c>
      <c r="B164" s="32" t="s">
        <v>3309</v>
      </c>
      <c r="C164" s="697">
        <v>190.64</v>
      </c>
    </row>
    <row r="165" spans="1:24" ht="13.5" customHeight="1" x14ac:dyDescent="0.2">
      <c r="A165" s="126" t="s">
        <v>245</v>
      </c>
      <c r="B165" s="36" t="s">
        <v>3348</v>
      </c>
      <c r="C165" s="697">
        <v>53.9</v>
      </c>
    </row>
    <row r="166" spans="1:24" ht="13.5" customHeight="1" x14ac:dyDescent="0.2">
      <c r="A166" s="126" t="s">
        <v>245</v>
      </c>
      <c r="B166" s="36" t="s">
        <v>3360</v>
      </c>
      <c r="C166" s="697">
        <v>186.63</v>
      </c>
    </row>
    <row r="167" spans="1:24" ht="13.5" customHeight="1" x14ac:dyDescent="0.2">
      <c r="A167" s="126" t="s">
        <v>245</v>
      </c>
      <c r="B167" s="34" t="s">
        <v>3360</v>
      </c>
      <c r="C167" s="697">
        <v>169.1</v>
      </c>
    </row>
    <row r="168" spans="1:24" ht="13.5" customHeight="1" x14ac:dyDescent="0.2">
      <c r="A168" s="126" t="s">
        <v>245</v>
      </c>
      <c r="B168" s="36" t="s">
        <v>3300</v>
      </c>
      <c r="C168" s="697">
        <v>20</v>
      </c>
    </row>
    <row r="169" spans="1:24" ht="13.5" customHeight="1" x14ac:dyDescent="0.2">
      <c r="A169" s="126"/>
      <c r="B169" s="34"/>
      <c r="C169" s="703">
        <f>SUM(C147:C168)</f>
        <v>1271.4099999999999</v>
      </c>
    </row>
    <row r="170" spans="1:24" ht="13.5" customHeight="1" x14ac:dyDescent="0.2">
      <c r="A170" s="126"/>
      <c r="B170" s="34"/>
    </row>
    <row r="171" spans="1:24" ht="13.5" customHeight="1" x14ac:dyDescent="0.2">
      <c r="A171" s="244" t="s">
        <v>246</v>
      </c>
      <c r="B171" s="138" t="s">
        <v>195</v>
      </c>
      <c r="C171" s="697">
        <v>390.19</v>
      </c>
      <c r="W171" s="64"/>
      <c r="X171" s="64"/>
    </row>
    <row r="172" spans="1:24" ht="13.5" customHeight="1" x14ac:dyDescent="0.2">
      <c r="A172" s="244" t="s">
        <v>246</v>
      </c>
      <c r="B172" s="138" t="s">
        <v>194</v>
      </c>
      <c r="C172" s="697">
        <v>84.54</v>
      </c>
    </row>
    <row r="173" spans="1:24" ht="13.5" customHeight="1" x14ac:dyDescent="0.2">
      <c r="A173" s="244"/>
      <c r="B173" s="138"/>
      <c r="C173" s="703">
        <f>SUM(C171:C172)</f>
        <v>474.73</v>
      </c>
    </row>
    <row r="174" spans="1:24" ht="13.5" customHeight="1" x14ac:dyDescent="0.2">
      <c r="A174" s="244"/>
      <c r="B174" s="138"/>
    </row>
    <row r="175" spans="1:24" ht="13.5" customHeight="1" x14ac:dyDescent="0.2">
      <c r="A175" s="126" t="s">
        <v>248</v>
      </c>
      <c r="B175" s="34" t="s">
        <v>132</v>
      </c>
      <c r="C175" s="697">
        <v>1516.85</v>
      </c>
    </row>
    <row r="176" spans="1:24" ht="13.5" customHeight="1" x14ac:dyDescent="0.2">
      <c r="A176" s="126" t="s">
        <v>248</v>
      </c>
      <c r="B176" s="36" t="s">
        <v>130</v>
      </c>
      <c r="C176" s="697">
        <v>152.56</v>
      </c>
    </row>
    <row r="177" spans="1:3" ht="13.5" customHeight="1" x14ac:dyDescent="0.2">
      <c r="A177" s="126" t="s">
        <v>248</v>
      </c>
      <c r="B177" s="34" t="s">
        <v>53</v>
      </c>
      <c r="C177" s="697">
        <v>532.21</v>
      </c>
    </row>
    <row r="178" spans="1:3" ht="13.5" customHeight="1" x14ac:dyDescent="0.2">
      <c r="A178" s="126" t="s">
        <v>248</v>
      </c>
      <c r="B178" s="36" t="s">
        <v>55</v>
      </c>
      <c r="C178" s="697">
        <v>459</v>
      </c>
    </row>
    <row r="179" spans="1:3" ht="13.5" customHeight="1" x14ac:dyDescent="0.2">
      <c r="A179" s="126" t="s">
        <v>248</v>
      </c>
      <c r="B179" s="34" t="s">
        <v>136</v>
      </c>
      <c r="C179" s="697">
        <v>45.9</v>
      </c>
    </row>
    <row r="180" spans="1:3" ht="13.5" customHeight="1" x14ac:dyDescent="0.2">
      <c r="A180" s="126" t="s">
        <v>248</v>
      </c>
      <c r="B180" s="36" t="s">
        <v>3232</v>
      </c>
      <c r="C180" s="697">
        <v>500</v>
      </c>
    </row>
    <row r="181" spans="1:3" ht="13.5" customHeight="1" x14ac:dyDescent="0.2">
      <c r="A181" s="126" t="s">
        <v>248</v>
      </c>
      <c r="B181" s="34" t="s">
        <v>3294</v>
      </c>
      <c r="C181" s="697">
        <v>500</v>
      </c>
    </row>
    <row r="182" spans="1:3" ht="13.5" customHeight="1" x14ac:dyDescent="0.2">
      <c r="A182" s="126" t="s">
        <v>248</v>
      </c>
      <c r="B182" s="34" t="s">
        <v>3294</v>
      </c>
      <c r="C182" s="697">
        <v>1000</v>
      </c>
    </row>
    <row r="183" spans="1:3" ht="13.5" customHeight="1" x14ac:dyDescent="0.2">
      <c r="A183" s="126" t="s">
        <v>248</v>
      </c>
      <c r="B183" s="34" t="s">
        <v>3275</v>
      </c>
      <c r="C183" s="697">
        <v>500</v>
      </c>
    </row>
    <row r="184" spans="1:3" ht="13.5" customHeight="1" x14ac:dyDescent="0.2">
      <c r="A184" s="126" t="s">
        <v>248</v>
      </c>
      <c r="B184" s="36" t="s">
        <v>82</v>
      </c>
      <c r="C184" s="697">
        <v>859.41</v>
      </c>
    </row>
    <row r="185" spans="1:3" ht="13.5" customHeight="1" x14ac:dyDescent="0.2">
      <c r="A185" s="126" t="s">
        <v>248</v>
      </c>
      <c r="B185" s="36" t="s">
        <v>18</v>
      </c>
      <c r="C185" s="697">
        <v>399.97</v>
      </c>
    </row>
    <row r="186" spans="1:3" ht="13.5" customHeight="1" x14ac:dyDescent="0.2">
      <c r="A186" s="126"/>
      <c r="B186" s="36"/>
      <c r="C186" s="703">
        <f>SUM(C175:C185)</f>
        <v>6465.9000000000005</v>
      </c>
    </row>
    <row r="187" spans="1:3" ht="13.5" customHeight="1" x14ac:dyDescent="0.2">
      <c r="A187" s="126"/>
      <c r="B187" s="36"/>
    </row>
    <row r="188" spans="1:3" ht="13.5" customHeight="1" x14ac:dyDescent="0.2">
      <c r="A188" s="126" t="s">
        <v>248</v>
      </c>
      <c r="B188" s="32" t="s">
        <v>1553</v>
      </c>
      <c r="C188" s="697">
        <v>6000</v>
      </c>
    </row>
    <row r="189" spans="1:3" ht="13.5" customHeight="1" x14ac:dyDescent="0.2">
      <c r="A189" s="126" t="s">
        <v>248</v>
      </c>
      <c r="B189" s="34" t="s">
        <v>3334</v>
      </c>
      <c r="C189" s="697">
        <v>85.96</v>
      </c>
    </row>
    <row r="190" spans="1:3" ht="13.5" customHeight="1" x14ac:dyDescent="0.2">
      <c r="A190" s="126" t="s">
        <v>248</v>
      </c>
      <c r="B190" s="34" t="s">
        <v>2462</v>
      </c>
      <c r="C190" s="697">
        <v>56.64</v>
      </c>
    </row>
    <row r="191" spans="1:3" ht="13.5" customHeight="1" x14ac:dyDescent="0.2">
      <c r="A191" s="126" t="s">
        <v>248</v>
      </c>
      <c r="B191" s="36" t="s">
        <v>2486</v>
      </c>
      <c r="C191" s="697">
        <v>129.99</v>
      </c>
    </row>
    <row r="192" spans="1:3" ht="13.5" customHeight="1" x14ac:dyDescent="0.2">
      <c r="A192" s="126"/>
      <c r="B192" s="34"/>
      <c r="C192" s="703">
        <f>SUM(C188:C191)</f>
        <v>6272.59</v>
      </c>
    </row>
    <row r="193" spans="1:24" ht="13.5" customHeight="1" x14ac:dyDescent="0.2">
      <c r="A193" s="126"/>
      <c r="B193" s="34"/>
    </row>
    <row r="194" spans="1:24" ht="13.5" customHeight="1" x14ac:dyDescent="0.2">
      <c r="A194" s="126" t="s">
        <v>249</v>
      </c>
      <c r="B194" s="34" t="s">
        <v>3272</v>
      </c>
      <c r="C194" s="697">
        <v>1890</v>
      </c>
    </row>
    <row r="195" spans="1:24" ht="13.5" customHeight="1" x14ac:dyDescent="0.2">
      <c r="A195" s="126" t="s">
        <v>249</v>
      </c>
      <c r="B195" s="34" t="s">
        <v>422</v>
      </c>
      <c r="C195" s="697">
        <f>SUM(H198/2)</f>
        <v>495</v>
      </c>
    </row>
    <row r="196" spans="1:24" ht="13.5" customHeight="1" x14ac:dyDescent="0.2">
      <c r="A196" s="126"/>
      <c r="B196" s="34"/>
      <c r="C196" s="703">
        <f>SUM(C194:C195)</f>
        <v>2385</v>
      </c>
    </row>
    <row r="197" spans="1:24" ht="13.5" customHeight="1" x14ac:dyDescent="0.2">
      <c r="A197" s="126"/>
      <c r="B197" s="34"/>
    </row>
    <row r="198" spans="1:24" ht="13.5" customHeight="1" x14ac:dyDescent="0.2">
      <c r="A198" s="126" t="s">
        <v>249</v>
      </c>
      <c r="B198" s="36" t="s">
        <v>3287</v>
      </c>
      <c r="C198" s="697">
        <v>-40</v>
      </c>
      <c r="F198" s="126" t="s">
        <v>249</v>
      </c>
      <c r="G198" s="34" t="s">
        <v>3386</v>
      </c>
      <c r="H198" s="697">
        <v>990</v>
      </c>
    </row>
    <row r="199" spans="1:24" ht="13.5" customHeight="1" x14ac:dyDescent="0.2">
      <c r="A199" s="126" t="s">
        <v>249</v>
      </c>
      <c r="B199" s="34" t="s">
        <v>3332</v>
      </c>
      <c r="C199" s="697">
        <v>450</v>
      </c>
    </row>
    <row r="200" spans="1:24" ht="13.5" customHeight="1" x14ac:dyDescent="0.2">
      <c r="A200" s="126" t="s">
        <v>249</v>
      </c>
      <c r="B200" s="36" t="s">
        <v>3231</v>
      </c>
      <c r="C200" s="697">
        <v>300</v>
      </c>
    </row>
    <row r="201" spans="1:24" ht="13.5" customHeight="1" x14ac:dyDescent="0.2">
      <c r="A201" s="126" t="s">
        <v>249</v>
      </c>
      <c r="B201" s="36" t="s">
        <v>625</v>
      </c>
      <c r="C201" s="697">
        <f>C195</f>
        <v>495</v>
      </c>
    </row>
    <row r="202" spans="1:24" ht="13.5" customHeight="1" x14ac:dyDescent="0.2">
      <c r="A202" s="126"/>
      <c r="B202" s="36"/>
      <c r="C202" s="703">
        <f>SUM(C198:C201)</f>
        <v>1205</v>
      </c>
    </row>
    <row r="203" spans="1:24" ht="13.5" customHeight="1" x14ac:dyDescent="0.2">
      <c r="A203" s="126"/>
      <c r="B203" s="36"/>
    </row>
    <row r="204" spans="1:24" ht="13.5" customHeight="1" x14ac:dyDescent="0.2">
      <c r="A204" s="126" t="s">
        <v>250</v>
      </c>
      <c r="B204" s="32" t="s">
        <v>20</v>
      </c>
      <c r="C204" s="697">
        <v>12.35</v>
      </c>
    </row>
    <row r="205" spans="1:24" ht="13.5" customHeight="1" x14ac:dyDescent="0.2">
      <c r="A205" s="126" t="s">
        <v>250</v>
      </c>
      <c r="B205" s="36" t="s">
        <v>20</v>
      </c>
      <c r="C205" s="697">
        <v>-0.03</v>
      </c>
    </row>
    <row r="206" spans="1:24" ht="13.5" customHeight="1" x14ac:dyDescent="0.2">
      <c r="A206" s="126" t="s">
        <v>250</v>
      </c>
      <c r="B206" s="34" t="s">
        <v>20</v>
      </c>
      <c r="C206" s="697">
        <v>-0.04</v>
      </c>
      <c r="W206" s="64"/>
      <c r="X206" s="64"/>
    </row>
    <row r="207" spans="1:24" ht="13.5" customHeight="1" x14ac:dyDescent="0.2">
      <c r="A207" s="126" t="s">
        <v>250</v>
      </c>
      <c r="B207" s="36" t="s">
        <v>20</v>
      </c>
      <c r="C207" s="697">
        <v>-0.03</v>
      </c>
      <c r="W207" s="64"/>
      <c r="X207" s="64"/>
    </row>
    <row r="208" spans="1:24" ht="13.5" customHeight="1" x14ac:dyDescent="0.2">
      <c r="A208" s="126" t="s">
        <v>250</v>
      </c>
      <c r="B208" s="36" t="s">
        <v>20</v>
      </c>
      <c r="C208" s="697">
        <v>-0.06</v>
      </c>
      <c r="W208" s="64"/>
      <c r="X208" s="64"/>
    </row>
    <row r="209" spans="1:24" ht="13.5" customHeight="1" x14ac:dyDescent="0.2">
      <c r="A209" s="126" t="s">
        <v>250</v>
      </c>
      <c r="B209" s="36" t="s">
        <v>86</v>
      </c>
      <c r="C209" s="697">
        <v>92.5</v>
      </c>
    </row>
    <row r="210" spans="1:24" ht="13.5" customHeight="1" x14ac:dyDescent="0.2">
      <c r="A210" s="126" t="s">
        <v>250</v>
      </c>
      <c r="B210" s="34" t="s">
        <v>86</v>
      </c>
      <c r="C210" s="697">
        <v>75.900000000000006</v>
      </c>
    </row>
    <row r="211" spans="1:24" ht="13.5" customHeight="1" x14ac:dyDescent="0.2">
      <c r="A211" s="126" t="s">
        <v>250</v>
      </c>
      <c r="B211" s="36" t="s">
        <v>86</v>
      </c>
      <c r="C211" s="697">
        <v>12.5</v>
      </c>
    </row>
    <row r="212" spans="1:24" ht="13.5" customHeight="1" x14ac:dyDescent="0.2">
      <c r="A212" s="126"/>
      <c r="B212" s="36"/>
      <c r="C212" s="703">
        <f>SUM(C204:C211)</f>
        <v>193.09</v>
      </c>
      <c r="D212" s="707">
        <f>C212/2</f>
        <v>96.545000000000002</v>
      </c>
      <c r="F212" s="710">
        <f>SUM(C214,C212,C202,C196,C192,C186,C173,C169,C145,C139,C120,C117,C115,C111,C92,C78,C68,C62,C52)-SUM(D36,D29)</f>
        <v>5744.8100000000122</v>
      </c>
    </row>
    <row r="213" spans="1:24" ht="13.5" customHeight="1" x14ac:dyDescent="0.2">
      <c r="A213" s="126"/>
      <c r="B213" s="36"/>
    </row>
    <row r="214" spans="1:24" ht="13.5" customHeight="1" x14ac:dyDescent="0.2">
      <c r="A214" s="126" t="s">
        <v>421</v>
      </c>
      <c r="B214" s="32" t="s">
        <v>3304</v>
      </c>
      <c r="C214" s="703">
        <v>53.7</v>
      </c>
    </row>
    <row r="215" spans="1:24" ht="13.5" customHeight="1" x14ac:dyDescent="0.2">
      <c r="A215" s="709"/>
      <c r="B215" s="27"/>
    </row>
    <row r="216" spans="1:24" ht="13.5" customHeight="1" x14ac:dyDescent="0.2">
      <c r="A216" s="27"/>
      <c r="B216" s="27"/>
    </row>
    <row r="217" spans="1:24" ht="13.5" customHeight="1" x14ac:dyDescent="0.2">
      <c r="A217" s="27"/>
      <c r="B217" s="27"/>
    </row>
    <row r="218" spans="1:24" ht="13.5" customHeight="1" x14ac:dyDescent="0.2">
      <c r="A218" s="27"/>
      <c r="B218" s="27"/>
    </row>
    <row r="219" spans="1:24" ht="13.5" customHeight="1" x14ac:dyDescent="0.2">
      <c r="A219" s="27"/>
      <c r="B219" s="27"/>
    </row>
    <row r="220" spans="1:24" ht="13.5" customHeight="1" x14ac:dyDescent="0.2">
      <c r="A220" s="27"/>
      <c r="B220" s="27"/>
    </row>
    <row r="221" spans="1:24" ht="13.5" customHeight="1" x14ac:dyDescent="0.2">
      <c r="A221" s="27"/>
      <c r="B221" s="27"/>
    </row>
    <row r="222" spans="1:24" ht="13.5" customHeight="1" x14ac:dyDescent="0.2">
      <c r="A222" s="27"/>
      <c r="B222" s="27"/>
    </row>
    <row r="223" spans="1:24" ht="13.5" customHeight="1" x14ac:dyDescent="0.2">
      <c r="A223" s="27"/>
      <c r="B223" s="27"/>
    </row>
    <row r="224" spans="1:24" ht="13.5" customHeight="1" x14ac:dyDescent="0.2">
      <c r="A224" s="27"/>
      <c r="B224" s="27"/>
      <c r="W224" s="64"/>
      <c r="X224" s="64"/>
    </row>
    <row r="225" spans="1:2" ht="13.5" customHeight="1" x14ac:dyDescent="0.2">
      <c r="A225" s="27"/>
      <c r="B225" s="27"/>
    </row>
    <row r="226" spans="1:2" ht="13.5" customHeight="1" x14ac:dyDescent="0.2">
      <c r="A226" s="27"/>
      <c r="B226" s="27"/>
    </row>
    <row r="227" spans="1:2" ht="13.5" customHeight="1" x14ac:dyDescent="0.2">
      <c r="A227" s="27"/>
      <c r="B227" s="27"/>
    </row>
    <row r="228" spans="1:2" ht="13.5" customHeight="1" x14ac:dyDescent="0.2">
      <c r="A228" s="27"/>
      <c r="B228" s="27"/>
    </row>
    <row r="229" spans="1:2" ht="13.5" customHeight="1" x14ac:dyDescent="0.2">
      <c r="A229" s="27"/>
      <c r="B229" s="27"/>
    </row>
    <row r="230" spans="1:2" ht="13.5" customHeight="1" x14ac:dyDescent="0.2">
      <c r="A230" s="27"/>
      <c r="B230" s="27"/>
    </row>
    <row r="231" spans="1:2" ht="13.5" customHeight="1" x14ac:dyDescent="0.2">
      <c r="A231" s="27"/>
      <c r="B231" s="27"/>
    </row>
    <row r="232" spans="1:2" ht="13.5" customHeight="1" x14ac:dyDescent="0.2">
      <c r="A232" s="27"/>
      <c r="B232" s="27"/>
    </row>
    <row r="233" spans="1:2" ht="13.5" customHeight="1" x14ac:dyDescent="0.2">
      <c r="A233" s="27"/>
      <c r="B233" s="27"/>
    </row>
    <row r="234" spans="1:2" ht="13.5" customHeight="1" x14ac:dyDescent="0.2">
      <c r="A234" s="27"/>
      <c r="B234" s="27"/>
    </row>
    <row r="235" spans="1:2" ht="13.5" customHeight="1" x14ac:dyDescent="0.2">
      <c r="A235" s="27"/>
      <c r="B235" s="27"/>
    </row>
    <row r="236" spans="1:2" ht="13.5" customHeight="1" x14ac:dyDescent="0.2">
      <c r="A236" s="27"/>
      <c r="B236" s="27"/>
    </row>
    <row r="237" spans="1:2" ht="13.5" customHeight="1" x14ac:dyDescent="0.2">
      <c r="A237" s="27"/>
      <c r="B237" s="27"/>
    </row>
    <row r="238" spans="1:2" ht="13.5" customHeight="1" x14ac:dyDescent="0.2">
      <c r="A238" s="27"/>
      <c r="B238" s="27"/>
    </row>
    <row r="239" spans="1:2" ht="13.5" customHeight="1" x14ac:dyDescent="0.2">
      <c r="A239" s="27"/>
      <c r="B239" s="27"/>
    </row>
    <row r="240" spans="1:2" ht="13.5" customHeight="1" x14ac:dyDescent="0.2">
      <c r="A240" s="27"/>
      <c r="B240" s="27"/>
    </row>
    <row r="241" spans="1:2" ht="13.5" customHeight="1" x14ac:dyDescent="0.2">
      <c r="A241" s="27"/>
      <c r="B241" s="27"/>
    </row>
    <row r="242" spans="1:2" ht="13.5" customHeight="1" x14ac:dyDescent="0.2"/>
    <row r="243" spans="1:2" ht="13.5" customHeight="1" x14ac:dyDescent="0.2"/>
    <row r="244" spans="1:2" ht="13.5" customHeight="1" x14ac:dyDescent="0.2"/>
    <row r="245" spans="1:2" ht="13.5" customHeight="1" x14ac:dyDescent="0.2"/>
  </sheetData>
  <sortState xmlns:xlrd2="http://schemas.microsoft.com/office/spreadsheetml/2017/richdata2" ref="A4:C214">
    <sortCondition ref="A4:A214"/>
    <sortCondition ref="B4:B214"/>
  </sortState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A327"/>
  <sheetViews>
    <sheetView topLeftCell="B1" zoomScale="80" zoomScaleNormal="80" workbookViewId="0">
      <selection activeCell="I221" sqref="I221:K228"/>
    </sheetView>
  </sheetViews>
  <sheetFormatPr defaultColWidth="9" defaultRowHeight="12.75" x14ac:dyDescent="0.2"/>
  <cols>
    <col min="1" max="1" width="14" style="1" customWidth="1"/>
    <col min="2" max="2" width="1.875" style="1" customWidth="1"/>
    <col min="3" max="3" width="105" style="1" bestFit="1" customWidth="1"/>
    <col min="4" max="4" width="12" style="1" customWidth="1"/>
    <col min="5" max="5" width="12.375" style="1" customWidth="1"/>
    <col min="6" max="6" width="10.75" style="1" customWidth="1"/>
    <col min="7" max="7" width="11.875" style="1" customWidth="1"/>
    <col min="8" max="8" width="13.625" style="1" customWidth="1"/>
    <col min="9" max="9" width="12.125" style="1" customWidth="1"/>
    <col min="10" max="10" width="13.875" style="1" customWidth="1"/>
    <col min="11" max="16384" width="9" style="1"/>
  </cols>
  <sheetData>
    <row r="1" spans="1:8" ht="13.5" customHeight="1" thickBot="1" x14ac:dyDescent="0.25">
      <c r="A1" s="1407" t="s">
        <v>3561</v>
      </c>
      <c r="B1" s="1407"/>
      <c r="C1" s="1408"/>
      <c r="D1" s="1409" t="s">
        <v>0</v>
      </c>
      <c r="E1" s="1410"/>
      <c r="F1" s="1410"/>
      <c r="G1" s="1411"/>
    </row>
    <row r="2" spans="1:8" ht="13.5" customHeight="1" thickBot="1" x14ac:dyDescent="0.25">
      <c r="A2" s="2" t="s">
        <v>2</v>
      </c>
      <c r="B2" s="3"/>
      <c r="C2" s="3" t="s">
        <v>2335</v>
      </c>
      <c r="D2" s="3" t="s">
        <v>4</v>
      </c>
      <c r="E2" s="3" t="s">
        <v>5</v>
      </c>
      <c r="F2" s="3" t="s">
        <v>6</v>
      </c>
      <c r="G2" s="5" t="s">
        <v>7</v>
      </c>
    </row>
    <row r="3" spans="1:8" ht="13.5" customHeight="1" x14ac:dyDescent="0.2">
      <c r="A3" s="8">
        <v>43800</v>
      </c>
      <c r="B3" s="56"/>
      <c r="C3" s="10" t="s">
        <v>8</v>
      </c>
      <c r="D3" s="11">
        <v>0</v>
      </c>
      <c r="E3" s="51"/>
      <c r="F3" s="12"/>
      <c r="G3" s="178">
        <v>2350.4100000000167</v>
      </c>
      <c r="H3" s="18"/>
    </row>
    <row r="4" spans="1:8" ht="13.5" customHeight="1" x14ac:dyDescent="0.2">
      <c r="A4" s="180">
        <v>43801</v>
      </c>
      <c r="B4" s="56"/>
      <c r="C4" s="36" t="s">
        <v>3388</v>
      </c>
      <c r="D4" s="11"/>
      <c r="E4" s="30"/>
      <c r="F4" s="12">
        <v>2205</v>
      </c>
      <c r="G4" s="182"/>
      <c r="H4" s="18"/>
    </row>
    <row r="5" spans="1:8" ht="13.5" customHeight="1" x14ac:dyDescent="0.2">
      <c r="A5" s="180"/>
      <c r="B5" s="56"/>
      <c r="C5" s="36" t="s">
        <v>3389</v>
      </c>
      <c r="D5" s="11"/>
      <c r="E5" s="30"/>
      <c r="F5" s="12">
        <v>220</v>
      </c>
      <c r="G5" s="182"/>
      <c r="H5" s="18"/>
    </row>
    <row r="6" spans="1:8" ht="13.5" customHeight="1" x14ac:dyDescent="0.2">
      <c r="A6" s="180"/>
      <c r="B6" s="56"/>
      <c r="C6" s="36" t="s">
        <v>3390</v>
      </c>
      <c r="D6" s="11"/>
      <c r="E6" s="30"/>
      <c r="F6" s="12">
        <v>200</v>
      </c>
      <c r="G6" s="182"/>
      <c r="H6" s="18"/>
    </row>
    <row r="7" spans="1:8" ht="13.5" customHeight="1" x14ac:dyDescent="0.2">
      <c r="A7" s="180"/>
      <c r="B7" s="56"/>
      <c r="C7" s="36" t="s">
        <v>3391</v>
      </c>
      <c r="D7" s="11"/>
      <c r="E7" s="30"/>
      <c r="F7" s="12">
        <v>1168</v>
      </c>
      <c r="G7" s="182"/>
      <c r="H7" s="18"/>
    </row>
    <row r="8" spans="1:8" ht="13.5" customHeight="1" x14ac:dyDescent="0.2">
      <c r="A8" s="180"/>
      <c r="B8" s="56"/>
      <c r="C8" s="36" t="s">
        <v>3392</v>
      </c>
      <c r="D8" s="11"/>
      <c r="E8" s="30"/>
      <c r="F8" s="12">
        <v>150</v>
      </c>
      <c r="G8" s="182">
        <v>6293.4100000000162</v>
      </c>
      <c r="H8" s="18"/>
    </row>
    <row r="9" spans="1:8" ht="13.5" customHeight="1" x14ac:dyDescent="0.2">
      <c r="A9" s="180">
        <v>43802</v>
      </c>
      <c r="B9" s="56"/>
      <c r="C9" s="34" t="s">
        <v>3393</v>
      </c>
      <c r="D9" s="11"/>
      <c r="E9" s="30"/>
      <c r="F9" s="12">
        <v>2.1</v>
      </c>
      <c r="G9" s="182"/>
      <c r="H9" s="18"/>
    </row>
    <row r="10" spans="1:8" ht="13.5" customHeight="1" x14ac:dyDescent="0.2">
      <c r="A10" s="180"/>
      <c r="B10" s="56"/>
      <c r="C10" s="36" t="s">
        <v>3394</v>
      </c>
      <c r="D10" s="11"/>
      <c r="E10" s="30">
        <v>12</v>
      </c>
      <c r="F10" s="12"/>
      <c r="G10" s="182"/>
      <c r="H10" s="18"/>
    </row>
    <row r="11" spans="1:8" ht="13.5" customHeight="1" x14ac:dyDescent="0.2">
      <c r="A11" s="180"/>
      <c r="B11" s="56"/>
      <c r="C11" s="36" t="s">
        <v>3395</v>
      </c>
      <c r="D11" s="11"/>
      <c r="E11" s="30">
        <v>21</v>
      </c>
      <c r="F11" s="30"/>
      <c r="G11" s="182"/>
      <c r="H11" s="18"/>
    </row>
    <row r="12" spans="1:8" ht="13.5" customHeight="1" x14ac:dyDescent="0.2">
      <c r="A12" s="180"/>
      <c r="B12" s="56"/>
      <c r="C12" s="36" t="s">
        <v>3396</v>
      </c>
      <c r="D12" s="11"/>
      <c r="E12" s="30">
        <v>50</v>
      </c>
      <c r="F12" s="30"/>
      <c r="G12" s="182"/>
      <c r="H12" s="18"/>
    </row>
    <row r="13" spans="1:8" ht="13.5" customHeight="1" x14ac:dyDescent="0.2">
      <c r="A13" s="180"/>
      <c r="B13" s="56"/>
      <c r="C13" s="36" t="s">
        <v>3397</v>
      </c>
      <c r="D13" s="11"/>
      <c r="E13" s="30"/>
      <c r="F13" s="30">
        <v>1500</v>
      </c>
      <c r="G13" s="182">
        <v>7712.5100000000166</v>
      </c>
      <c r="H13" s="18"/>
    </row>
    <row r="14" spans="1:8" ht="13.5" customHeight="1" x14ac:dyDescent="0.2">
      <c r="A14" s="180">
        <v>43803</v>
      </c>
      <c r="B14" s="56"/>
      <c r="C14" s="36" t="s">
        <v>3398</v>
      </c>
      <c r="D14" s="11"/>
      <c r="E14" s="30">
        <v>9.92</v>
      </c>
      <c r="F14" s="30"/>
      <c r="G14" s="182"/>
      <c r="H14" s="18"/>
    </row>
    <row r="15" spans="1:8" ht="13.5" customHeight="1" x14ac:dyDescent="0.2">
      <c r="A15" s="180"/>
      <c r="B15" s="56"/>
      <c r="C15" s="34" t="s">
        <v>3399</v>
      </c>
      <c r="D15" s="11"/>
      <c r="E15" s="30"/>
      <c r="F15" s="30">
        <v>217.7</v>
      </c>
      <c r="G15" s="182"/>
      <c r="H15" s="18"/>
    </row>
    <row r="16" spans="1:8" ht="13.5" customHeight="1" x14ac:dyDescent="0.2">
      <c r="A16" s="180"/>
      <c r="B16" s="56"/>
      <c r="C16" s="34" t="s">
        <v>3400</v>
      </c>
      <c r="D16" s="11"/>
      <c r="E16" s="30"/>
      <c r="F16" s="30">
        <v>220</v>
      </c>
      <c r="G16" s="182"/>
      <c r="H16" s="18"/>
    </row>
    <row r="17" spans="1:8" ht="13.5" customHeight="1" x14ac:dyDescent="0.2">
      <c r="A17" s="180"/>
      <c r="B17" s="56"/>
      <c r="C17" s="34" t="s">
        <v>3401</v>
      </c>
      <c r="D17" s="11"/>
      <c r="E17" s="30">
        <v>2490</v>
      </c>
      <c r="F17" s="30"/>
      <c r="G17" s="182">
        <v>5650.2900000000163</v>
      </c>
      <c r="H17" s="18"/>
    </row>
    <row r="18" spans="1:8" ht="13.5" customHeight="1" x14ac:dyDescent="0.2">
      <c r="A18" s="180">
        <v>43804</v>
      </c>
      <c r="B18" s="56"/>
      <c r="C18" s="36" t="s">
        <v>3402</v>
      </c>
      <c r="D18" s="11"/>
      <c r="E18" s="30">
        <v>1.6</v>
      </c>
      <c r="F18" s="30"/>
      <c r="G18" s="182"/>
      <c r="H18" s="18"/>
    </row>
    <row r="19" spans="1:8" ht="13.5" customHeight="1" x14ac:dyDescent="0.2">
      <c r="A19" s="180"/>
      <c r="B19" s="56"/>
      <c r="C19" s="36" t="s">
        <v>3403</v>
      </c>
      <c r="D19" s="11"/>
      <c r="E19" s="30"/>
      <c r="F19" s="30">
        <v>250</v>
      </c>
      <c r="G19" s="182"/>
      <c r="H19" s="18"/>
    </row>
    <row r="20" spans="1:8" ht="13.5" customHeight="1" x14ac:dyDescent="0.2">
      <c r="A20" s="180"/>
      <c r="B20" s="56"/>
      <c r="C20" s="36" t="s">
        <v>3404</v>
      </c>
      <c r="D20" s="11"/>
      <c r="E20" s="30"/>
      <c r="F20" s="30">
        <v>60</v>
      </c>
      <c r="G20" s="182"/>
      <c r="H20" s="18"/>
    </row>
    <row r="21" spans="1:8" ht="13.5" customHeight="1" x14ac:dyDescent="0.2">
      <c r="A21" s="180"/>
      <c r="B21" s="56"/>
      <c r="C21" s="36" t="s">
        <v>3405</v>
      </c>
      <c r="D21" s="11"/>
      <c r="E21" s="30">
        <v>1625</v>
      </c>
      <c r="F21" s="30"/>
      <c r="G21" s="182"/>
      <c r="H21" s="18"/>
    </row>
    <row r="22" spans="1:8" ht="13.5" customHeight="1" x14ac:dyDescent="0.2">
      <c r="A22" s="180"/>
      <c r="B22" s="56"/>
      <c r="C22" s="36" t="s">
        <v>3406</v>
      </c>
      <c r="D22" s="11"/>
      <c r="E22" s="30"/>
      <c r="F22" s="30">
        <v>1100</v>
      </c>
      <c r="G22" s="182"/>
      <c r="H22" s="18"/>
    </row>
    <row r="23" spans="1:8" ht="13.5" customHeight="1" x14ac:dyDescent="0.2">
      <c r="A23" s="180"/>
      <c r="B23" s="56"/>
      <c r="C23" s="36" t="s">
        <v>3407</v>
      </c>
      <c r="D23" s="11"/>
      <c r="E23" s="30"/>
      <c r="F23" s="30">
        <v>4500</v>
      </c>
      <c r="G23" s="182">
        <v>9933.6900000000169</v>
      </c>
      <c r="H23" s="18"/>
    </row>
    <row r="24" spans="1:8" ht="13.5" customHeight="1" x14ac:dyDescent="0.2">
      <c r="A24" s="180">
        <v>43805</v>
      </c>
      <c r="B24" s="56"/>
      <c r="C24" s="36" t="s">
        <v>3408</v>
      </c>
      <c r="D24" s="11"/>
      <c r="E24" s="30"/>
      <c r="F24" s="30">
        <v>250</v>
      </c>
      <c r="G24" s="182"/>
      <c r="H24" s="18"/>
    </row>
    <row r="25" spans="1:8" ht="13.5" customHeight="1" x14ac:dyDescent="0.2">
      <c r="A25" s="180"/>
      <c r="B25" s="56"/>
      <c r="C25" s="36" t="s">
        <v>3409</v>
      </c>
      <c r="D25" s="11"/>
      <c r="E25" s="30"/>
      <c r="F25" s="30">
        <v>550</v>
      </c>
      <c r="G25" s="182"/>
      <c r="H25" s="18"/>
    </row>
    <row r="26" spans="1:8" ht="13.5" customHeight="1" x14ac:dyDescent="0.2">
      <c r="A26" s="180"/>
      <c r="B26" s="56"/>
      <c r="C26" s="36" t="s">
        <v>1901</v>
      </c>
      <c r="D26" s="11"/>
      <c r="E26" s="165">
        <v>4500</v>
      </c>
      <c r="F26" s="30"/>
      <c r="G26" s="182"/>
      <c r="H26" s="18"/>
    </row>
    <row r="27" spans="1:8" ht="13.5" customHeight="1" x14ac:dyDescent="0.2">
      <c r="A27" s="180"/>
      <c r="B27" s="56"/>
      <c r="C27" s="36" t="s">
        <v>3410</v>
      </c>
      <c r="D27" s="11"/>
      <c r="E27" s="30">
        <v>100</v>
      </c>
      <c r="F27" s="12"/>
      <c r="G27" s="182"/>
      <c r="H27" s="18"/>
    </row>
    <row r="28" spans="1:8" ht="13.5" customHeight="1" x14ac:dyDescent="0.2">
      <c r="A28" s="180"/>
      <c r="B28" s="56"/>
      <c r="C28" s="36" t="s">
        <v>3411</v>
      </c>
      <c r="D28" s="11"/>
      <c r="E28" s="30"/>
      <c r="F28" s="12">
        <v>900</v>
      </c>
      <c r="G28" s="182"/>
      <c r="H28" s="18"/>
    </row>
    <row r="29" spans="1:8" ht="13.5" customHeight="1" x14ac:dyDescent="0.2">
      <c r="A29" s="180"/>
      <c r="B29" s="56"/>
      <c r="C29" s="36" t="s">
        <v>3412</v>
      </c>
      <c r="D29" s="11"/>
      <c r="E29" s="30">
        <v>525</v>
      </c>
      <c r="F29" s="12"/>
      <c r="G29" s="182"/>
      <c r="H29" s="18"/>
    </row>
    <row r="30" spans="1:8" ht="13.5" customHeight="1" x14ac:dyDescent="0.2">
      <c r="A30" s="180"/>
      <c r="B30" s="56"/>
      <c r="C30" s="36" t="s">
        <v>3294</v>
      </c>
      <c r="D30" s="11"/>
      <c r="E30" s="30">
        <v>500</v>
      </c>
      <c r="F30" s="12"/>
      <c r="G30" s="182">
        <v>6008.6900000000169</v>
      </c>
      <c r="H30" s="18"/>
    </row>
    <row r="31" spans="1:8" ht="13.5" customHeight="1" x14ac:dyDescent="0.2">
      <c r="A31" s="180">
        <v>43808</v>
      </c>
      <c r="B31" s="56"/>
      <c r="C31" s="36" t="s">
        <v>3562</v>
      </c>
      <c r="D31" s="11"/>
      <c r="E31" s="165">
        <v>200</v>
      </c>
      <c r="F31" s="12"/>
      <c r="G31" s="182">
        <v>5808.6900000000169</v>
      </c>
      <c r="H31" s="18"/>
    </row>
    <row r="32" spans="1:8" ht="13.5" customHeight="1" x14ac:dyDescent="0.2">
      <c r="A32" s="180">
        <v>43809</v>
      </c>
      <c r="B32" s="56"/>
      <c r="C32" s="36" t="s">
        <v>3413</v>
      </c>
      <c r="D32" s="11"/>
      <c r="E32" s="30"/>
      <c r="F32" s="12">
        <v>400</v>
      </c>
      <c r="G32" s="182"/>
      <c r="H32" s="18"/>
    </row>
    <row r="33" spans="1:8" ht="13.5" customHeight="1" x14ac:dyDescent="0.2">
      <c r="A33" s="180"/>
      <c r="B33" s="56"/>
      <c r="C33" s="36" t="s">
        <v>3414</v>
      </c>
      <c r="D33" s="11"/>
      <c r="E33" s="30"/>
      <c r="F33" s="12">
        <v>1507.15</v>
      </c>
      <c r="G33" s="182">
        <v>7715.8400000000165</v>
      </c>
      <c r="H33" s="18"/>
    </row>
    <row r="34" spans="1:8" ht="13.5" customHeight="1" x14ac:dyDescent="0.2">
      <c r="A34" s="180">
        <v>43810</v>
      </c>
      <c r="B34" s="56"/>
      <c r="C34" s="36" t="s">
        <v>3415</v>
      </c>
      <c r="D34" s="11"/>
      <c r="E34" s="30"/>
      <c r="F34" s="12">
        <v>1000</v>
      </c>
      <c r="G34" s="182"/>
      <c r="H34" s="18"/>
    </row>
    <row r="35" spans="1:8" ht="13.5" customHeight="1" x14ac:dyDescent="0.2">
      <c r="A35" s="180"/>
      <c r="B35" s="56"/>
      <c r="C35" s="36" t="s">
        <v>3416</v>
      </c>
      <c r="D35" s="11"/>
      <c r="E35" s="30"/>
      <c r="F35" s="12">
        <v>606</v>
      </c>
      <c r="G35" s="182"/>
      <c r="H35" s="18"/>
    </row>
    <row r="36" spans="1:8" ht="13.5" customHeight="1" x14ac:dyDescent="0.2">
      <c r="A36" s="180"/>
      <c r="B36" s="56"/>
      <c r="C36" s="36" t="s">
        <v>3280</v>
      </c>
      <c r="D36" s="11"/>
      <c r="E36" s="165">
        <v>606</v>
      </c>
      <c r="F36" s="12"/>
      <c r="G36" s="182"/>
      <c r="H36" s="18"/>
    </row>
    <row r="37" spans="1:8" ht="13.5" customHeight="1" x14ac:dyDescent="0.2">
      <c r="A37" s="180"/>
      <c r="B37" s="56"/>
      <c r="C37" s="36" t="s">
        <v>3417</v>
      </c>
      <c r="D37" s="11"/>
      <c r="E37" s="30">
        <v>24.99</v>
      </c>
      <c r="F37" s="12"/>
      <c r="G37" s="182"/>
      <c r="H37" s="18"/>
    </row>
    <row r="38" spans="1:8" ht="13.5" customHeight="1" x14ac:dyDescent="0.2">
      <c r="A38" s="180"/>
      <c r="B38" s="56"/>
      <c r="C38" s="36" t="s">
        <v>3418</v>
      </c>
      <c r="D38" s="11"/>
      <c r="E38" s="30">
        <v>22.97</v>
      </c>
      <c r="F38" s="12"/>
      <c r="G38" s="182"/>
      <c r="H38" s="18"/>
    </row>
    <row r="39" spans="1:8" ht="13.5" customHeight="1" x14ac:dyDescent="0.2">
      <c r="A39" s="180"/>
      <c r="B39" s="56"/>
      <c r="C39" s="36" t="s">
        <v>3419</v>
      </c>
      <c r="D39" s="11"/>
      <c r="E39" s="30">
        <v>12.99</v>
      </c>
      <c r="F39" s="12"/>
      <c r="G39" s="182"/>
      <c r="H39" s="18"/>
    </row>
    <row r="40" spans="1:8" ht="13.5" customHeight="1" x14ac:dyDescent="0.2">
      <c r="A40" s="180"/>
      <c r="B40" s="56"/>
      <c r="C40" s="36" t="s">
        <v>3420</v>
      </c>
      <c r="D40" s="11"/>
      <c r="E40" s="30">
        <v>150.5</v>
      </c>
      <c r="F40" s="12"/>
      <c r="G40" s="182"/>
      <c r="H40" s="18"/>
    </row>
    <row r="41" spans="1:8" ht="13.5" customHeight="1" x14ac:dyDescent="0.2">
      <c r="A41" s="180"/>
      <c r="B41" s="56"/>
      <c r="C41" s="36" t="s">
        <v>3421</v>
      </c>
      <c r="D41" s="11"/>
      <c r="E41" s="30"/>
      <c r="F41" s="12">
        <v>200</v>
      </c>
      <c r="G41" s="182"/>
      <c r="H41" s="18"/>
    </row>
    <row r="42" spans="1:8" ht="13.5" customHeight="1" x14ac:dyDescent="0.2">
      <c r="A42" s="180"/>
      <c r="B42" s="56"/>
      <c r="C42" s="36" t="s">
        <v>3422</v>
      </c>
      <c r="D42" s="11"/>
      <c r="E42" s="30"/>
      <c r="F42" s="12">
        <v>250</v>
      </c>
      <c r="G42" s="182"/>
      <c r="H42" s="18"/>
    </row>
    <row r="43" spans="1:8" ht="13.5" customHeight="1" x14ac:dyDescent="0.2">
      <c r="A43" s="180"/>
      <c r="B43" s="56"/>
      <c r="C43" s="36" t="s">
        <v>3423</v>
      </c>
      <c r="D43" s="11"/>
      <c r="E43" s="30"/>
      <c r="F43" s="12">
        <v>3450</v>
      </c>
      <c r="G43" s="182"/>
      <c r="H43" s="18"/>
    </row>
    <row r="44" spans="1:8" ht="13.5" customHeight="1" x14ac:dyDescent="0.2">
      <c r="A44" s="180"/>
      <c r="B44" s="56"/>
      <c r="C44" s="36" t="s">
        <v>3424</v>
      </c>
      <c r="D44" s="11"/>
      <c r="E44" s="30">
        <v>6000</v>
      </c>
      <c r="F44" s="12"/>
      <c r="G44" s="182"/>
      <c r="H44" s="18"/>
    </row>
    <row r="45" spans="1:8" ht="13.5" customHeight="1" x14ac:dyDescent="0.2">
      <c r="A45" s="180"/>
      <c r="B45" s="56"/>
      <c r="C45" s="36" t="s">
        <v>3425</v>
      </c>
      <c r="D45" s="11"/>
      <c r="E45" s="30">
        <v>1000</v>
      </c>
      <c r="F45" s="12"/>
      <c r="G45" s="182"/>
      <c r="H45" s="18"/>
    </row>
    <row r="46" spans="1:8" ht="13.5" customHeight="1" x14ac:dyDescent="0.2">
      <c r="A46" s="180"/>
      <c r="B46" s="56"/>
      <c r="C46" s="36" t="s">
        <v>3426</v>
      </c>
      <c r="D46" s="11"/>
      <c r="E46" s="30">
        <v>52.58</v>
      </c>
      <c r="F46" s="12"/>
      <c r="G46" s="182"/>
      <c r="H46" s="18"/>
    </row>
    <row r="47" spans="1:8" ht="13.5" customHeight="1" x14ac:dyDescent="0.2">
      <c r="A47" s="180"/>
      <c r="B47" s="56"/>
      <c r="C47" s="36" t="s">
        <v>3427</v>
      </c>
      <c r="D47" s="11"/>
      <c r="E47" s="30">
        <v>199.45</v>
      </c>
      <c r="F47" s="12"/>
      <c r="G47" s="182"/>
      <c r="H47" s="18"/>
    </row>
    <row r="48" spans="1:8" ht="13.5" customHeight="1" x14ac:dyDescent="0.2">
      <c r="A48" s="180"/>
      <c r="B48" s="56"/>
      <c r="C48" s="36" t="s">
        <v>3428</v>
      </c>
      <c r="D48" s="11"/>
      <c r="E48" s="30">
        <v>120</v>
      </c>
      <c r="F48" s="12"/>
      <c r="G48" s="182">
        <v>5032.3600000000179</v>
      </c>
      <c r="H48" s="18"/>
    </row>
    <row r="49" spans="1:8" ht="13.5" customHeight="1" x14ac:dyDescent="0.2">
      <c r="A49" s="180">
        <v>43811</v>
      </c>
      <c r="B49" s="56"/>
      <c r="C49" s="36" t="s">
        <v>3429</v>
      </c>
      <c r="D49" s="11"/>
      <c r="E49" s="30"/>
      <c r="F49" s="12">
        <v>200</v>
      </c>
      <c r="G49" s="182"/>
      <c r="H49" s="18"/>
    </row>
    <row r="50" spans="1:8" ht="13.5" customHeight="1" x14ac:dyDescent="0.2">
      <c r="A50" s="180"/>
      <c r="B50" s="56"/>
      <c r="C50" s="36" t="s">
        <v>3430</v>
      </c>
      <c r="D50" s="11"/>
      <c r="E50" s="30">
        <v>230.38</v>
      </c>
      <c r="F50" s="12"/>
      <c r="G50" s="182"/>
      <c r="H50" s="18"/>
    </row>
    <row r="51" spans="1:8" ht="13.5" customHeight="1" x14ac:dyDescent="0.2">
      <c r="A51" s="180"/>
      <c r="B51" s="56"/>
      <c r="C51" s="36" t="s">
        <v>3431</v>
      </c>
      <c r="D51" s="11"/>
      <c r="E51" s="30">
        <v>4.3</v>
      </c>
      <c r="F51" s="12"/>
      <c r="G51" s="182"/>
      <c r="H51" s="18"/>
    </row>
    <row r="52" spans="1:8" ht="13.5" customHeight="1" x14ac:dyDescent="0.2">
      <c r="A52" s="180"/>
      <c r="B52" s="56"/>
      <c r="C52" s="36" t="s">
        <v>3432</v>
      </c>
      <c r="D52" s="11"/>
      <c r="E52" s="30">
        <v>9.99</v>
      </c>
      <c r="F52" s="12"/>
      <c r="G52" s="182"/>
      <c r="H52" s="18"/>
    </row>
    <row r="53" spans="1:8" ht="13.5" customHeight="1" x14ac:dyDescent="0.2">
      <c r="A53" s="180"/>
      <c r="B53" s="56"/>
      <c r="C53" s="36" t="s">
        <v>3433</v>
      </c>
      <c r="D53" s="11"/>
      <c r="E53" s="30">
        <v>17.8</v>
      </c>
      <c r="F53" s="12"/>
      <c r="G53" s="182"/>
      <c r="H53" s="18"/>
    </row>
    <row r="54" spans="1:8" ht="13.5" customHeight="1" x14ac:dyDescent="0.2">
      <c r="A54" s="180"/>
      <c r="B54" s="56"/>
      <c r="C54" s="36" t="s">
        <v>3434</v>
      </c>
      <c r="D54" s="11"/>
      <c r="E54" s="30">
        <v>50</v>
      </c>
      <c r="F54" s="12"/>
      <c r="G54" s="182"/>
      <c r="H54" s="18"/>
    </row>
    <row r="55" spans="1:8" ht="13.5" customHeight="1" x14ac:dyDescent="0.2">
      <c r="A55" s="180"/>
      <c r="B55" s="56"/>
      <c r="C55" s="36" t="s">
        <v>3435</v>
      </c>
      <c r="D55" s="11"/>
      <c r="E55" s="30">
        <v>45.9</v>
      </c>
      <c r="F55" s="12"/>
      <c r="G55" s="182"/>
      <c r="H55" s="18"/>
    </row>
    <row r="56" spans="1:8" ht="13.5" customHeight="1" x14ac:dyDescent="0.2">
      <c r="A56" s="180"/>
      <c r="B56" s="56"/>
      <c r="C56" s="36" t="s">
        <v>3436</v>
      </c>
      <c r="D56" s="11"/>
      <c r="E56" s="30">
        <v>5.9</v>
      </c>
      <c r="F56" s="12"/>
      <c r="G56" s="182"/>
      <c r="H56" s="18"/>
    </row>
    <row r="57" spans="1:8" ht="13.5" customHeight="1" x14ac:dyDescent="0.2">
      <c r="A57" s="180"/>
      <c r="B57" s="56"/>
      <c r="C57" s="36" t="s">
        <v>3291</v>
      </c>
      <c r="D57" s="11"/>
      <c r="E57" s="30">
        <v>8.9</v>
      </c>
      <c r="F57" s="12"/>
      <c r="G57" s="182"/>
      <c r="H57" s="18"/>
    </row>
    <row r="58" spans="1:8" ht="13.5" customHeight="1" x14ac:dyDescent="0.2">
      <c r="A58" s="180"/>
      <c r="B58" s="56"/>
      <c r="C58" s="36" t="s">
        <v>3437</v>
      </c>
      <c r="D58" s="11"/>
      <c r="E58" s="30">
        <v>27.36</v>
      </c>
      <c r="F58" s="12"/>
      <c r="G58" s="182"/>
      <c r="H58" s="18"/>
    </row>
    <row r="59" spans="1:8" ht="13.5" customHeight="1" x14ac:dyDescent="0.2">
      <c r="A59" s="180"/>
      <c r="B59" s="56"/>
      <c r="C59" s="36" t="s">
        <v>3438</v>
      </c>
      <c r="D59" s="11"/>
      <c r="E59" s="30">
        <v>9.9</v>
      </c>
      <c r="F59" s="12"/>
      <c r="G59" s="182"/>
      <c r="H59" s="18"/>
    </row>
    <row r="60" spans="1:8" ht="13.5" customHeight="1" x14ac:dyDescent="0.2">
      <c r="A60" s="180"/>
      <c r="B60" s="56"/>
      <c r="C60" s="36" t="s">
        <v>3439</v>
      </c>
      <c r="D60" s="11"/>
      <c r="E60" s="30">
        <v>38.36</v>
      </c>
      <c r="F60" s="12"/>
      <c r="G60" s="182"/>
      <c r="H60" s="18"/>
    </row>
    <row r="61" spans="1:8" ht="13.5" customHeight="1" x14ac:dyDescent="0.2">
      <c r="A61" s="180"/>
      <c r="B61" s="56"/>
      <c r="C61" s="36" t="s">
        <v>3440</v>
      </c>
      <c r="D61" s="11"/>
      <c r="E61" s="30">
        <v>23.48</v>
      </c>
      <c r="F61" s="12"/>
      <c r="G61" s="182"/>
      <c r="H61" s="18"/>
    </row>
    <row r="62" spans="1:8" ht="13.5" customHeight="1" x14ac:dyDescent="0.2">
      <c r="A62" s="180"/>
      <c r="B62" s="56"/>
      <c r="C62" s="36" t="s">
        <v>3441</v>
      </c>
      <c r="D62" s="11"/>
      <c r="E62" s="30">
        <v>2.9</v>
      </c>
      <c r="F62" s="12"/>
      <c r="G62" s="182"/>
      <c r="H62" s="18"/>
    </row>
    <row r="63" spans="1:8" ht="13.5" customHeight="1" x14ac:dyDescent="0.2">
      <c r="A63" s="180"/>
      <c r="B63" s="56"/>
      <c r="C63" s="36" t="s">
        <v>3442</v>
      </c>
      <c r="D63" s="11"/>
      <c r="E63" s="30">
        <v>8.98</v>
      </c>
      <c r="F63" s="12"/>
      <c r="G63" s="182"/>
      <c r="H63" s="18"/>
    </row>
    <row r="64" spans="1:8" ht="13.5" customHeight="1" x14ac:dyDescent="0.2">
      <c r="A64" s="180"/>
      <c r="B64" s="56"/>
      <c r="C64" s="36" t="s">
        <v>3443</v>
      </c>
      <c r="D64" s="11"/>
      <c r="E64" s="30">
        <v>28.5</v>
      </c>
      <c r="F64" s="12"/>
      <c r="G64" s="182"/>
      <c r="H64" s="18"/>
    </row>
    <row r="65" spans="1:27" ht="13.5" customHeight="1" x14ac:dyDescent="0.2">
      <c r="A65" s="180"/>
      <c r="B65" s="56"/>
      <c r="C65" s="36" t="s">
        <v>3444</v>
      </c>
      <c r="D65" s="11"/>
      <c r="E65" s="30">
        <v>43</v>
      </c>
      <c r="F65" s="12"/>
      <c r="G65" s="182"/>
      <c r="H65" s="18"/>
    </row>
    <row r="66" spans="1:27" ht="13.5" customHeight="1" x14ac:dyDescent="0.2">
      <c r="A66" s="180"/>
      <c r="B66" s="56"/>
      <c r="C66" s="36" t="s">
        <v>3445</v>
      </c>
      <c r="D66" s="11"/>
      <c r="E66" s="30">
        <v>5.25</v>
      </c>
      <c r="F66" s="12"/>
      <c r="G66" s="182"/>
      <c r="H66" s="18"/>
    </row>
    <row r="67" spans="1:27" ht="13.5" customHeight="1" x14ac:dyDescent="0.2">
      <c r="A67" s="180"/>
      <c r="B67" s="56"/>
      <c r="C67" s="36" t="s">
        <v>3419</v>
      </c>
      <c r="D67" s="11"/>
      <c r="E67" s="30">
        <v>4.5</v>
      </c>
      <c r="F67" s="12"/>
      <c r="G67" s="182"/>
      <c r="H67" s="18"/>
    </row>
    <row r="68" spans="1:27" ht="13.5" customHeight="1" x14ac:dyDescent="0.2">
      <c r="A68" s="180"/>
      <c r="B68" s="56"/>
      <c r="C68" s="36" t="s">
        <v>3446</v>
      </c>
      <c r="D68" s="11"/>
      <c r="E68" s="30">
        <v>4.99</v>
      </c>
      <c r="F68" s="12"/>
      <c r="G68" s="182"/>
      <c r="H68" s="18"/>
    </row>
    <row r="69" spans="1:27" ht="13.5" customHeight="1" x14ac:dyDescent="0.2">
      <c r="A69" s="180"/>
      <c r="B69" s="56"/>
      <c r="C69" s="36" t="s">
        <v>3447</v>
      </c>
      <c r="D69" s="11"/>
      <c r="E69" s="30">
        <v>18</v>
      </c>
      <c r="F69" s="12"/>
      <c r="G69" s="182"/>
      <c r="H69" s="18"/>
    </row>
    <row r="70" spans="1:27" ht="13.5" customHeight="1" x14ac:dyDescent="0.2">
      <c r="A70" s="180"/>
      <c r="B70" s="56"/>
      <c r="C70" s="36" t="s">
        <v>3448</v>
      </c>
      <c r="D70" s="11"/>
      <c r="E70" s="30">
        <v>40</v>
      </c>
      <c r="F70" s="12"/>
      <c r="G70" s="182"/>
      <c r="H70" s="18"/>
    </row>
    <row r="71" spans="1:27" ht="13.5" customHeight="1" x14ac:dyDescent="0.2">
      <c r="A71" s="180"/>
      <c r="B71" s="56"/>
      <c r="C71" s="36" t="s">
        <v>3449</v>
      </c>
      <c r="D71" s="11"/>
      <c r="E71" s="30">
        <v>3.78</v>
      </c>
      <c r="F71" s="12"/>
      <c r="G71" s="182"/>
      <c r="H71" s="18"/>
    </row>
    <row r="72" spans="1:27" ht="13.5" customHeight="1" x14ac:dyDescent="0.2">
      <c r="A72" s="180"/>
      <c r="B72" s="56"/>
      <c r="C72" s="36" t="s">
        <v>3450</v>
      </c>
      <c r="D72" s="11"/>
      <c r="E72" s="30">
        <v>120</v>
      </c>
      <c r="F72" s="12"/>
      <c r="G72" s="182"/>
      <c r="H72" s="18"/>
    </row>
    <row r="73" spans="1:27" ht="13.5" customHeight="1" x14ac:dyDescent="0.2">
      <c r="A73" s="180"/>
      <c r="B73" s="56"/>
      <c r="C73" s="36" t="s">
        <v>3451</v>
      </c>
      <c r="D73" s="11"/>
      <c r="E73" s="30">
        <v>280</v>
      </c>
      <c r="F73" s="12"/>
      <c r="G73" s="182"/>
      <c r="H73" s="18"/>
    </row>
    <row r="74" spans="1:27" s="64" customFormat="1" ht="13.5" customHeight="1" x14ac:dyDescent="0.2">
      <c r="A74" s="184"/>
      <c r="B74" s="63"/>
      <c r="C74" s="32" t="s">
        <v>3452</v>
      </c>
      <c r="D74" s="50"/>
      <c r="E74" s="51"/>
      <c r="F74" s="13">
        <v>3765</v>
      </c>
      <c r="G74" s="53">
        <v>7965.1900000000214</v>
      </c>
      <c r="H74" s="18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s="64" customFormat="1" ht="13.5" customHeight="1" x14ac:dyDescent="0.2">
      <c r="A75" s="184">
        <v>43812</v>
      </c>
      <c r="B75" s="63"/>
      <c r="C75" s="32" t="s">
        <v>3563</v>
      </c>
      <c r="D75" s="50"/>
      <c r="E75" s="165">
        <v>800</v>
      </c>
      <c r="F75" s="13"/>
      <c r="G75" s="53"/>
      <c r="H75" s="18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s="64" customFormat="1" ht="13.5" customHeight="1" x14ac:dyDescent="0.2">
      <c r="A76" s="184"/>
      <c r="B76" s="63"/>
      <c r="C76" s="32" t="s">
        <v>3453</v>
      </c>
      <c r="D76" s="50"/>
      <c r="E76" s="51">
        <v>525</v>
      </c>
      <c r="F76" s="13"/>
      <c r="G76" s="53"/>
      <c r="H76" s="18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s="64" customFormat="1" ht="13.5" customHeight="1" x14ac:dyDescent="0.2">
      <c r="A77" s="184"/>
      <c r="B77" s="63"/>
      <c r="C77" s="32" t="s">
        <v>3454</v>
      </c>
      <c r="D77" s="50"/>
      <c r="E77" s="51">
        <v>300</v>
      </c>
      <c r="F77" s="13"/>
      <c r="G77" s="53">
        <v>6340.1900000000214</v>
      </c>
      <c r="H77" s="18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s="64" customFormat="1" ht="13.5" customHeight="1" x14ac:dyDescent="0.2">
      <c r="A78" s="184">
        <v>43815</v>
      </c>
      <c r="B78" s="63"/>
      <c r="C78" s="32" t="s">
        <v>3455</v>
      </c>
      <c r="D78" s="50"/>
      <c r="E78" s="51"/>
      <c r="F78" s="13">
        <v>1518.28</v>
      </c>
      <c r="G78" s="53"/>
      <c r="H78" s="18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s="64" customFormat="1" ht="13.5" customHeight="1" x14ac:dyDescent="0.2">
      <c r="A79" s="184"/>
      <c r="B79" s="63"/>
      <c r="C79" s="32" t="s">
        <v>3456</v>
      </c>
      <c r="D79" s="50"/>
      <c r="E79" s="51"/>
      <c r="F79" s="13">
        <v>1058.6300000000001</v>
      </c>
      <c r="G79" s="53">
        <v>8917.1000000000204</v>
      </c>
      <c r="H79" s="18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s="64" customFormat="1" ht="13.5" customHeight="1" x14ac:dyDescent="0.2">
      <c r="A80" s="184">
        <v>43816</v>
      </c>
      <c r="B80" s="63"/>
      <c r="C80" s="32" t="s">
        <v>3457</v>
      </c>
      <c r="D80" s="50"/>
      <c r="E80" s="51"/>
      <c r="F80" s="13">
        <v>525</v>
      </c>
      <c r="G80" s="53"/>
      <c r="H80" s="18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s="64" customFormat="1" ht="13.5" customHeight="1" x14ac:dyDescent="0.2">
      <c r="A81" s="184"/>
      <c r="B81" s="63"/>
      <c r="C81" s="32" t="s">
        <v>3458</v>
      </c>
      <c r="D81" s="50"/>
      <c r="E81" s="51"/>
      <c r="F81" s="13">
        <v>8059.75</v>
      </c>
      <c r="G81" s="53"/>
      <c r="H81" s="18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s="64" customFormat="1" ht="13.5" customHeight="1" x14ac:dyDescent="0.2">
      <c r="A82" s="184"/>
      <c r="B82" s="63"/>
      <c r="C82" s="32" t="s">
        <v>3459</v>
      </c>
      <c r="D82" s="50"/>
      <c r="E82" s="51">
        <v>1300</v>
      </c>
      <c r="F82" s="13"/>
      <c r="G82" s="53"/>
      <c r="H82" s="18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s="64" customFormat="1" ht="13.5" customHeight="1" x14ac:dyDescent="0.2">
      <c r="A83" s="184"/>
      <c r="B83" s="63"/>
      <c r="C83" s="32" t="s">
        <v>2364</v>
      </c>
      <c r="D83" s="50"/>
      <c r="E83" s="552">
        <v>5000</v>
      </c>
      <c r="F83" s="13"/>
      <c r="G83" s="53">
        <v>11201.85000000002</v>
      </c>
      <c r="H83" s="18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s="64" customFormat="1" ht="13.5" customHeight="1" x14ac:dyDescent="0.2">
      <c r="A84" s="184">
        <v>43818</v>
      </c>
      <c r="B84" s="63"/>
      <c r="C84" s="32" t="s">
        <v>3460</v>
      </c>
      <c r="D84" s="50"/>
      <c r="E84" s="51">
        <v>100</v>
      </c>
      <c r="F84" s="13"/>
      <c r="G84" s="53"/>
      <c r="H84" s="18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s="64" customFormat="1" ht="13.5" customHeight="1" x14ac:dyDescent="0.2">
      <c r="A85" s="184"/>
      <c r="B85" s="63"/>
      <c r="C85" s="32" t="s">
        <v>3461</v>
      </c>
      <c r="D85" s="50"/>
      <c r="E85" s="51">
        <v>69.95</v>
      </c>
      <c r="F85" s="13"/>
      <c r="G85" s="53"/>
      <c r="H85" s="18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s="64" customFormat="1" ht="13.5" customHeight="1" x14ac:dyDescent="0.2">
      <c r="A86" s="184"/>
      <c r="B86" s="63"/>
      <c r="C86" s="32" t="s">
        <v>3462</v>
      </c>
      <c r="D86" s="50"/>
      <c r="E86" s="51">
        <v>14.68</v>
      </c>
      <c r="F86" s="13"/>
      <c r="G86" s="53"/>
      <c r="H86" s="18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s="64" customFormat="1" ht="13.5" customHeight="1" x14ac:dyDescent="0.2">
      <c r="A87" s="184"/>
      <c r="B87" s="63"/>
      <c r="C87" s="32" t="s">
        <v>3564</v>
      </c>
      <c r="D87" s="50"/>
      <c r="E87" s="165">
        <v>8584.75</v>
      </c>
      <c r="F87" s="13"/>
      <c r="G87" s="53">
        <v>2432.4700000000194</v>
      </c>
      <c r="H87" s="18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s="64" customFormat="1" ht="13.5" customHeight="1" x14ac:dyDescent="0.2">
      <c r="A88" s="184">
        <v>43819</v>
      </c>
      <c r="B88" s="63"/>
      <c r="C88" s="32" t="s">
        <v>1834</v>
      </c>
      <c r="D88" s="50"/>
      <c r="E88" s="51">
        <v>20.399999999999999</v>
      </c>
      <c r="F88" s="13"/>
      <c r="G88" s="53"/>
      <c r="H88" s="18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s="64" customFormat="1" ht="13.5" customHeight="1" x14ac:dyDescent="0.2">
      <c r="A89" s="184"/>
      <c r="B89" s="63"/>
      <c r="C89" s="32" t="s">
        <v>3463</v>
      </c>
      <c r="D89" s="50"/>
      <c r="E89" s="51">
        <v>41.62</v>
      </c>
      <c r="F89" s="13"/>
      <c r="G89" s="53"/>
      <c r="H89" s="18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s="64" customFormat="1" ht="13.5" customHeight="1" x14ac:dyDescent="0.2">
      <c r="A90" s="184"/>
      <c r="B90" s="63"/>
      <c r="C90" s="32" t="s">
        <v>3464</v>
      </c>
      <c r="D90" s="50"/>
      <c r="E90" s="51">
        <v>6.4</v>
      </c>
      <c r="F90" s="13"/>
      <c r="G90" s="53"/>
      <c r="H90" s="18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s="64" customFormat="1" ht="13.5" customHeight="1" x14ac:dyDescent="0.2">
      <c r="A91" s="184"/>
      <c r="B91" s="63"/>
      <c r="C91" s="32" t="s">
        <v>3465</v>
      </c>
      <c r="D91" s="50"/>
      <c r="E91" s="51">
        <v>14.2</v>
      </c>
      <c r="F91" s="13"/>
      <c r="G91" s="53"/>
      <c r="H91" s="18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s="64" customFormat="1" ht="13.5" customHeight="1" x14ac:dyDescent="0.2">
      <c r="A92" s="184"/>
      <c r="B92" s="63"/>
      <c r="C92" s="32" t="s">
        <v>3466</v>
      </c>
      <c r="D92" s="50"/>
      <c r="E92" s="51">
        <v>49.9</v>
      </c>
      <c r="F92" s="13"/>
      <c r="G92" s="53"/>
      <c r="H92" s="18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s="64" customFormat="1" ht="13.5" customHeight="1" x14ac:dyDescent="0.2">
      <c r="A93" s="184"/>
      <c r="B93" s="63"/>
      <c r="C93" s="32" t="s">
        <v>3565</v>
      </c>
      <c r="D93" s="50"/>
      <c r="E93" s="51">
        <v>5.5</v>
      </c>
      <c r="F93" s="13"/>
      <c r="G93" s="53"/>
      <c r="H93" s="18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s="64" customFormat="1" ht="13.5" customHeight="1" x14ac:dyDescent="0.2">
      <c r="A94" s="184"/>
      <c r="B94" s="63"/>
      <c r="C94" s="32" t="s">
        <v>3467</v>
      </c>
      <c r="D94" s="50"/>
      <c r="E94" s="51">
        <v>5.4</v>
      </c>
      <c r="F94" s="13"/>
      <c r="G94" s="53"/>
      <c r="H94" s="18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s="64" customFormat="1" ht="13.5" customHeight="1" x14ac:dyDescent="0.2">
      <c r="A95" s="184"/>
      <c r="B95" s="63"/>
      <c r="C95" s="32" t="s">
        <v>1834</v>
      </c>
      <c r="D95" s="50"/>
      <c r="E95" s="51">
        <v>23.1</v>
      </c>
      <c r="F95" s="13"/>
      <c r="G95" s="53"/>
      <c r="H95" s="18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s="64" customFormat="1" ht="13.5" customHeight="1" x14ac:dyDescent="0.2">
      <c r="A96" s="184"/>
      <c r="B96" s="63"/>
      <c r="C96" s="32" t="s">
        <v>3468</v>
      </c>
      <c r="D96" s="50"/>
      <c r="E96" s="51">
        <v>43.9</v>
      </c>
      <c r="F96" s="13"/>
      <c r="G96" s="53"/>
      <c r="H96" s="18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s="64" customFormat="1" ht="13.5" customHeight="1" x14ac:dyDescent="0.2">
      <c r="A97" s="184"/>
      <c r="B97" s="63"/>
      <c r="C97" s="32" t="s">
        <v>3469</v>
      </c>
      <c r="D97" s="50"/>
      <c r="E97" s="51">
        <v>630</v>
      </c>
      <c r="F97" s="13"/>
      <c r="G97" s="53"/>
      <c r="H97" s="18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s="64" customFormat="1" ht="13.5" customHeight="1" x14ac:dyDescent="0.2">
      <c r="A98" s="184"/>
      <c r="B98" s="63"/>
      <c r="C98" s="32" t="s">
        <v>3470</v>
      </c>
      <c r="D98" s="50"/>
      <c r="E98" s="51">
        <v>300</v>
      </c>
      <c r="F98" s="13"/>
      <c r="G98" s="53"/>
      <c r="H98" s="18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s="64" customFormat="1" ht="13.5" customHeight="1" x14ac:dyDescent="0.2">
      <c r="A99" s="184"/>
      <c r="B99" s="63"/>
      <c r="C99" s="32" t="s">
        <v>1887</v>
      </c>
      <c r="D99" s="50"/>
      <c r="E99" s="51">
        <v>70</v>
      </c>
      <c r="F99" s="13"/>
      <c r="G99" s="53">
        <v>1222.0500000000193</v>
      </c>
      <c r="H99" s="18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s="64" customFormat="1" ht="13.5" customHeight="1" x14ac:dyDescent="0.2">
      <c r="A100" s="184">
        <v>43822</v>
      </c>
      <c r="B100" s="63"/>
      <c r="C100" s="32" t="s">
        <v>3471</v>
      </c>
      <c r="D100" s="50"/>
      <c r="E100" s="51"/>
      <c r="F100" s="13">
        <v>5200</v>
      </c>
      <c r="G100" s="53"/>
      <c r="H100" s="18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s="64" customFormat="1" ht="13.5" customHeight="1" x14ac:dyDescent="0.2">
      <c r="A101" s="184"/>
      <c r="B101" s="63"/>
      <c r="C101" s="32" t="s">
        <v>3472</v>
      </c>
      <c r="D101" s="50"/>
      <c r="E101" s="51">
        <v>6</v>
      </c>
      <c r="F101" s="13"/>
      <c r="G101" s="53">
        <v>6416.0500000000193</v>
      </c>
      <c r="H101" s="18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s="64" customFormat="1" ht="13.5" customHeight="1" x14ac:dyDescent="0.2">
      <c r="A102" s="184">
        <v>43825</v>
      </c>
      <c r="B102" s="63"/>
      <c r="C102" s="32" t="s">
        <v>3473</v>
      </c>
      <c r="D102" s="50"/>
      <c r="E102" s="51">
        <v>16.2</v>
      </c>
      <c r="F102" s="13"/>
      <c r="G102" s="53"/>
      <c r="H102" s="18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s="64" customFormat="1" ht="13.5" customHeight="1" x14ac:dyDescent="0.2">
      <c r="A103" s="184"/>
      <c r="B103" s="63"/>
      <c r="C103" s="32" t="s">
        <v>3474</v>
      </c>
      <c r="D103" s="50"/>
      <c r="E103" s="51">
        <v>320</v>
      </c>
      <c r="F103" s="13"/>
      <c r="G103" s="53"/>
      <c r="H103" s="18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s="64" customFormat="1" ht="13.5" customHeight="1" x14ac:dyDescent="0.2">
      <c r="A104" s="184"/>
      <c r="B104" s="63"/>
      <c r="C104" s="41" t="s">
        <v>3566</v>
      </c>
      <c r="D104" s="50"/>
      <c r="E104" s="552">
        <v>500</v>
      </c>
      <c r="F104" s="13"/>
      <c r="G104" s="53">
        <v>5579.8500000000195</v>
      </c>
      <c r="H104" s="18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s="64" customFormat="1" ht="13.5" customHeight="1" x14ac:dyDescent="0.2">
      <c r="A105" s="184">
        <v>43826</v>
      </c>
      <c r="B105" s="63"/>
      <c r="C105" s="32" t="s">
        <v>3090</v>
      </c>
      <c r="D105" s="50"/>
      <c r="E105" s="51"/>
      <c r="F105" s="13">
        <v>1900</v>
      </c>
      <c r="G105" s="53"/>
      <c r="H105" s="18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s="64" customFormat="1" ht="13.5" customHeight="1" x14ac:dyDescent="0.2">
      <c r="A106" s="184"/>
      <c r="B106" s="63"/>
      <c r="C106" s="32" t="s">
        <v>3475</v>
      </c>
      <c r="D106" s="50"/>
      <c r="E106" s="51"/>
      <c r="F106" s="13">
        <v>1464</v>
      </c>
      <c r="G106" s="53"/>
      <c r="H106" s="18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s="64" customFormat="1" ht="13.5" customHeight="1" x14ac:dyDescent="0.2">
      <c r="A107" s="184"/>
      <c r="B107" s="63"/>
      <c r="C107" s="41" t="s">
        <v>2364</v>
      </c>
      <c r="D107" s="50"/>
      <c r="E107" s="552">
        <v>6615</v>
      </c>
      <c r="F107" s="13"/>
      <c r="G107" s="53"/>
      <c r="H107" s="18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s="64" customFormat="1" ht="13.5" customHeight="1" x14ac:dyDescent="0.2">
      <c r="A108" s="184"/>
      <c r="B108" s="63"/>
      <c r="C108" s="32" t="s">
        <v>3476</v>
      </c>
      <c r="D108" s="50"/>
      <c r="E108" s="51">
        <v>420</v>
      </c>
      <c r="F108" s="13"/>
      <c r="G108" s="53">
        <v>1908.8500000000204</v>
      </c>
      <c r="H108" s="18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s="64" customFormat="1" ht="13.5" customHeight="1" x14ac:dyDescent="0.2">
      <c r="A109" s="184">
        <v>43829</v>
      </c>
      <c r="B109" s="63"/>
      <c r="C109" s="32" t="s">
        <v>3477</v>
      </c>
      <c r="D109" s="50"/>
      <c r="E109" s="51"/>
      <c r="F109" s="13">
        <v>900</v>
      </c>
      <c r="G109" s="53"/>
      <c r="H109" s="18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s="64" customFormat="1" ht="13.5" customHeight="1" x14ac:dyDescent="0.2">
      <c r="A110" s="184"/>
      <c r="B110" s="63"/>
      <c r="C110" s="32" t="s">
        <v>3478</v>
      </c>
      <c r="D110" s="50"/>
      <c r="E110" s="51"/>
      <c r="F110" s="13">
        <v>2205</v>
      </c>
      <c r="G110" s="178">
        <v>5013.8500000000204</v>
      </c>
      <c r="H110" s="124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s="64" customFormat="1" ht="13.5" customHeight="1" thickBot="1" x14ac:dyDescent="0.25">
      <c r="A111" s="184"/>
      <c r="B111" s="63"/>
      <c r="C111" s="63"/>
      <c r="D111" s="50"/>
      <c r="E111" s="650">
        <f>-SUM(E3:E110)</f>
        <v>-45038.17000000002</v>
      </c>
      <c r="F111" s="650">
        <f>SUM(F3:F110)</f>
        <v>47701.61</v>
      </c>
      <c r="G111" s="53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3.5" customHeight="1" thickBot="1" x14ac:dyDescent="0.25">
      <c r="A112" s="2" t="s">
        <v>2</v>
      </c>
      <c r="B112" s="3"/>
      <c r="C112" s="3" t="s">
        <v>536</v>
      </c>
      <c r="D112" s="3" t="s">
        <v>4</v>
      </c>
      <c r="E112" s="3" t="s">
        <v>5</v>
      </c>
      <c r="F112" s="3" t="s">
        <v>6</v>
      </c>
      <c r="G112" s="5" t="s">
        <v>7</v>
      </c>
    </row>
    <row r="113" spans="1:27" ht="13.5" customHeight="1" x14ac:dyDescent="0.2">
      <c r="A113" s="8">
        <v>43800</v>
      </c>
      <c r="B113" s="56"/>
      <c r="C113" s="10" t="s">
        <v>8</v>
      </c>
      <c r="D113" s="11"/>
      <c r="E113" s="51"/>
      <c r="F113" s="12"/>
      <c r="G113" s="205">
        <v>-1241.2499999999927</v>
      </c>
      <c r="H113" s="18"/>
    </row>
    <row r="114" spans="1:27" ht="13.5" customHeight="1" x14ac:dyDescent="0.2">
      <c r="A114" s="171">
        <v>43808</v>
      </c>
      <c r="B114" s="46"/>
      <c r="C114" s="36" t="s">
        <v>3479</v>
      </c>
      <c r="D114" s="11"/>
      <c r="E114" s="30">
        <v>196</v>
      </c>
      <c r="F114" s="12"/>
      <c r="G114" s="182">
        <v>-1437.2499999999927</v>
      </c>
      <c r="H114" s="18"/>
    </row>
    <row r="115" spans="1:27" ht="13.5" customHeight="1" x14ac:dyDescent="0.2">
      <c r="A115" s="180"/>
      <c r="B115" s="56"/>
      <c r="C115" s="32" t="s">
        <v>3480</v>
      </c>
      <c r="D115" s="11"/>
      <c r="E115" s="30">
        <v>3.95</v>
      </c>
      <c r="F115" s="12"/>
      <c r="G115" s="182">
        <v>-1441.1999999999928</v>
      </c>
      <c r="H115" s="18"/>
    </row>
    <row r="116" spans="1:27" ht="13.5" customHeight="1" x14ac:dyDescent="0.2">
      <c r="A116" s="180">
        <v>43810</v>
      </c>
      <c r="B116" s="56"/>
      <c r="C116" s="36" t="s">
        <v>3481</v>
      </c>
      <c r="D116" s="11"/>
      <c r="E116" s="30">
        <v>5</v>
      </c>
      <c r="F116" s="12"/>
      <c r="G116" s="182">
        <v>-1446.1999999999928</v>
      </c>
      <c r="H116" s="18"/>
    </row>
    <row r="117" spans="1:27" ht="13.5" customHeight="1" x14ac:dyDescent="0.2">
      <c r="A117" s="180"/>
      <c r="B117" s="56"/>
      <c r="C117" s="36" t="s">
        <v>3482</v>
      </c>
      <c r="D117" s="11"/>
      <c r="E117" s="30">
        <v>12.9</v>
      </c>
      <c r="F117" s="12"/>
      <c r="G117" s="182">
        <v>-1459.0999999999929</v>
      </c>
      <c r="H117" s="18"/>
    </row>
    <row r="118" spans="1:27" ht="13.5" customHeight="1" x14ac:dyDescent="0.2">
      <c r="A118" s="180">
        <v>43811</v>
      </c>
      <c r="B118" s="56"/>
      <c r="C118" s="36" t="s">
        <v>3483</v>
      </c>
      <c r="D118" s="11"/>
      <c r="E118" s="30">
        <v>19.600000000000001</v>
      </c>
      <c r="F118" s="12"/>
      <c r="G118" s="182">
        <v>-1478.6999999999928</v>
      </c>
      <c r="H118" s="18"/>
    </row>
    <row r="119" spans="1:27" ht="13.5" customHeight="1" x14ac:dyDescent="0.2">
      <c r="A119" s="180"/>
      <c r="B119" s="56"/>
      <c r="C119" s="36" t="s">
        <v>829</v>
      </c>
      <c r="D119" s="11"/>
      <c r="E119" s="30">
        <v>1200</v>
      </c>
      <c r="F119" s="12"/>
      <c r="G119" s="182">
        <v>-2678.6999999999925</v>
      </c>
      <c r="H119" s="18"/>
    </row>
    <row r="120" spans="1:27" ht="13.5" customHeight="1" x14ac:dyDescent="0.2">
      <c r="A120" s="180"/>
      <c r="B120" s="56"/>
      <c r="C120" s="36" t="s">
        <v>3484</v>
      </c>
      <c r="D120" s="11"/>
      <c r="E120" s="30">
        <v>980</v>
      </c>
      <c r="F120" s="12"/>
      <c r="G120" s="182">
        <v>-3658.6999999999925</v>
      </c>
      <c r="H120" s="18"/>
    </row>
    <row r="121" spans="1:27" s="64" customFormat="1" ht="13.5" customHeight="1" x14ac:dyDescent="0.2">
      <c r="A121" s="184"/>
      <c r="B121" s="63"/>
      <c r="C121" s="32" t="s">
        <v>3485</v>
      </c>
      <c r="D121" s="50"/>
      <c r="E121" s="51">
        <v>100</v>
      </c>
      <c r="F121" s="13"/>
      <c r="G121" s="182">
        <v>-3758.6999999999925</v>
      </c>
      <c r="H121" s="18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s="64" customFormat="1" ht="13.5" customHeight="1" x14ac:dyDescent="0.2">
      <c r="A122" s="184">
        <v>43816</v>
      </c>
      <c r="B122" s="63"/>
      <c r="C122" s="32" t="s">
        <v>2364</v>
      </c>
      <c r="D122" s="50"/>
      <c r="E122" s="51"/>
      <c r="F122" s="277">
        <v>5000</v>
      </c>
      <c r="G122" s="182">
        <v>1241.3000000000075</v>
      </c>
      <c r="H122" s="18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s="64" customFormat="1" ht="13.5" customHeight="1" x14ac:dyDescent="0.2">
      <c r="A123" s="184">
        <v>43819</v>
      </c>
      <c r="B123" s="63"/>
      <c r="C123" s="32" t="s">
        <v>3303</v>
      </c>
      <c r="D123" s="50"/>
      <c r="E123" s="51">
        <v>270.06</v>
      </c>
      <c r="F123" s="13"/>
      <c r="G123" s="182">
        <v>971.24000000000751</v>
      </c>
      <c r="H123" s="18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s="64" customFormat="1" ht="13.5" customHeight="1" x14ac:dyDescent="0.2">
      <c r="A124" s="184">
        <v>43817</v>
      </c>
      <c r="B124" s="63"/>
      <c r="C124" s="32" t="s">
        <v>3486</v>
      </c>
      <c r="D124" s="50"/>
      <c r="E124" s="51">
        <v>171.38</v>
      </c>
      <c r="F124" s="13"/>
      <c r="G124" s="182">
        <v>799.86000000000752</v>
      </c>
      <c r="H124" s="18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s="64" customFormat="1" ht="13.5" customHeight="1" x14ac:dyDescent="0.2">
      <c r="A125" s="184"/>
      <c r="B125" s="63"/>
      <c r="C125" s="32" t="s">
        <v>3487</v>
      </c>
      <c r="D125" s="50"/>
      <c r="E125" s="51">
        <v>7.6</v>
      </c>
      <c r="F125" s="13"/>
      <c r="G125" s="182">
        <v>792.26000000000749</v>
      </c>
      <c r="H125" s="18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s="64" customFormat="1" ht="13.5" customHeight="1" x14ac:dyDescent="0.2">
      <c r="A126" s="184"/>
      <c r="B126" s="63"/>
      <c r="C126" s="32" t="s">
        <v>3488</v>
      </c>
      <c r="D126" s="50"/>
      <c r="E126" s="51">
        <v>38.92</v>
      </c>
      <c r="F126" s="13"/>
      <c r="G126" s="182">
        <v>753.34000000000754</v>
      </c>
      <c r="H126" s="18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s="64" customFormat="1" ht="13.5" customHeight="1" x14ac:dyDescent="0.2">
      <c r="A127" s="184">
        <v>43824</v>
      </c>
      <c r="B127" s="63"/>
      <c r="C127" s="32" t="s">
        <v>3486</v>
      </c>
      <c r="D127" s="50"/>
      <c r="E127" s="51">
        <v>208.58</v>
      </c>
      <c r="F127" s="13"/>
      <c r="G127" s="182">
        <v>544.76000000000749</v>
      </c>
      <c r="H127" s="18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s="64" customFormat="1" ht="13.5" customHeight="1" x14ac:dyDescent="0.2">
      <c r="A128" s="184"/>
      <c r="B128" s="63"/>
      <c r="C128" s="32" t="s">
        <v>3488</v>
      </c>
      <c r="D128" s="50"/>
      <c r="E128" s="51">
        <v>44.1</v>
      </c>
      <c r="F128" s="13"/>
      <c r="G128" s="182">
        <v>500.66000000000747</v>
      </c>
      <c r="H128" s="18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s="64" customFormat="1" ht="13.5" customHeight="1" x14ac:dyDescent="0.2">
      <c r="A129" s="184">
        <v>43825</v>
      </c>
      <c r="B129" s="63"/>
      <c r="C129" s="32" t="s">
        <v>3487</v>
      </c>
      <c r="D129" s="50"/>
      <c r="E129" s="51">
        <v>4.5</v>
      </c>
      <c r="F129" s="13"/>
      <c r="G129" s="182">
        <v>496.16000000000747</v>
      </c>
      <c r="H129" s="18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s="64" customFormat="1" ht="13.5" customHeight="1" x14ac:dyDescent="0.2">
      <c r="A130" s="184"/>
      <c r="B130" s="63"/>
      <c r="C130" s="32" t="s">
        <v>3486</v>
      </c>
      <c r="D130" s="50"/>
      <c r="E130" s="51">
        <v>290.56</v>
      </c>
      <c r="F130" s="13"/>
      <c r="G130" s="182">
        <v>205.60000000000747</v>
      </c>
      <c r="H130" s="18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s="64" customFormat="1" ht="13.5" customHeight="1" x14ac:dyDescent="0.2">
      <c r="A131" s="184"/>
      <c r="B131" s="63"/>
      <c r="C131" s="138" t="s">
        <v>3489</v>
      </c>
      <c r="D131" s="50"/>
      <c r="E131" s="51">
        <v>9.85</v>
      </c>
      <c r="F131" s="13"/>
      <c r="G131" s="182">
        <v>195.75000000000747</v>
      </c>
      <c r="H131" s="18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s="64" customFormat="1" ht="13.5" customHeight="1" x14ac:dyDescent="0.2">
      <c r="A132" s="184"/>
      <c r="B132" s="63"/>
      <c r="C132" s="138" t="s">
        <v>3490</v>
      </c>
      <c r="D132" s="50"/>
      <c r="E132" s="51">
        <v>25</v>
      </c>
      <c r="F132" s="13"/>
      <c r="G132" s="182">
        <v>170.75000000000747</v>
      </c>
      <c r="H132" s="18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s="64" customFormat="1" ht="13.5" customHeight="1" x14ac:dyDescent="0.2">
      <c r="A133" s="184">
        <v>43826</v>
      </c>
      <c r="B133" s="63"/>
      <c r="C133" s="138" t="s">
        <v>3491</v>
      </c>
      <c r="D133" s="50"/>
      <c r="E133" s="51">
        <v>37</v>
      </c>
      <c r="F133" s="13"/>
      <c r="G133" s="182">
        <v>133.75000000000747</v>
      </c>
      <c r="H133" s="18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s="64" customFormat="1" ht="13.5" customHeight="1" x14ac:dyDescent="0.2">
      <c r="A134" s="184">
        <v>44191</v>
      </c>
      <c r="B134" s="63"/>
      <c r="C134" s="32" t="s">
        <v>3566</v>
      </c>
      <c r="D134" s="50"/>
      <c r="E134" s="51"/>
      <c r="F134" s="277">
        <v>500</v>
      </c>
      <c r="G134" s="182">
        <v>633.7500000000075</v>
      </c>
      <c r="H134" s="18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s="64" customFormat="1" ht="13.5" customHeight="1" x14ac:dyDescent="0.2">
      <c r="A135" s="184">
        <v>44195</v>
      </c>
      <c r="B135" s="63"/>
      <c r="C135" s="32" t="s">
        <v>3566</v>
      </c>
      <c r="D135" s="50"/>
      <c r="E135" s="51"/>
      <c r="F135" s="277">
        <v>6615</v>
      </c>
      <c r="G135" s="182">
        <v>7248.7500000000073</v>
      </c>
      <c r="H135" s="18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s="64" customFormat="1" ht="13.5" customHeight="1" x14ac:dyDescent="0.2">
      <c r="A136" s="184"/>
      <c r="B136" s="63"/>
      <c r="C136" s="138" t="s">
        <v>1002</v>
      </c>
      <c r="D136" s="50"/>
      <c r="E136" s="51">
        <v>3248.75</v>
      </c>
      <c r="F136" s="13"/>
      <c r="G136" s="205">
        <v>4000.0000000000073</v>
      </c>
      <c r="H136" s="124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3.5" customHeight="1" thickBot="1" x14ac:dyDescent="0.25">
      <c r="A137" s="180"/>
      <c r="B137" s="56"/>
      <c r="C137" s="56"/>
      <c r="D137" s="11"/>
      <c r="E137" s="653">
        <f>-SUM(E113:E136)</f>
        <v>-6873.75</v>
      </c>
      <c r="F137" s="653">
        <f>SUM(F113:F136)</f>
        <v>12115</v>
      </c>
      <c r="G137" s="182"/>
    </row>
    <row r="138" spans="1:27" ht="13.5" customHeight="1" thickBot="1" x14ac:dyDescent="0.25">
      <c r="A138" s="2" t="s">
        <v>2</v>
      </c>
      <c r="B138" s="3"/>
      <c r="C138" s="3" t="s">
        <v>3</v>
      </c>
      <c r="D138" s="3"/>
      <c r="E138" s="3"/>
      <c r="F138" s="3"/>
      <c r="G138" s="5" t="s">
        <v>7</v>
      </c>
    </row>
    <row r="139" spans="1:27" ht="13.5" customHeight="1" x14ac:dyDescent="0.2">
      <c r="A139" s="8">
        <v>43800</v>
      </c>
      <c r="B139" s="70"/>
      <c r="C139" s="10" t="s">
        <v>537</v>
      </c>
      <c r="D139" s="46"/>
      <c r="E139" s="67"/>
      <c r="F139" s="67"/>
      <c r="G139" s="205">
        <v>1311.53</v>
      </c>
      <c r="H139" s="18"/>
    </row>
    <row r="140" spans="1:27" ht="13.5" customHeight="1" x14ac:dyDescent="0.2">
      <c r="A140" s="171" t="s">
        <v>3567</v>
      </c>
      <c r="B140" s="46"/>
      <c r="C140" s="34" t="s">
        <v>53</v>
      </c>
      <c r="D140" s="46" t="s">
        <v>3568</v>
      </c>
      <c r="E140" s="69">
        <v>-545.80999999999995</v>
      </c>
      <c r="F140" s="69" t="s">
        <v>549</v>
      </c>
      <c r="G140" s="182"/>
      <c r="H140" s="18"/>
    </row>
    <row r="141" spans="1:27" ht="13.5" customHeight="1" x14ac:dyDescent="0.2">
      <c r="A141" s="180"/>
      <c r="B141" s="46"/>
      <c r="C141" s="36" t="s">
        <v>20</v>
      </c>
      <c r="D141" s="46" t="s">
        <v>19</v>
      </c>
      <c r="E141" s="69" t="s">
        <v>549</v>
      </c>
      <c r="F141" s="69">
        <v>0.02</v>
      </c>
      <c r="G141" s="182"/>
      <c r="H141" s="18"/>
    </row>
    <row r="142" spans="1:27" ht="13.5" customHeight="1" x14ac:dyDescent="0.2">
      <c r="A142" s="180" t="s">
        <v>3569</v>
      </c>
      <c r="B142" s="46"/>
      <c r="C142" s="34" t="s">
        <v>55</v>
      </c>
      <c r="D142" s="46" t="s">
        <v>473</v>
      </c>
      <c r="E142" s="61">
        <v>-400</v>
      </c>
      <c r="F142" s="61" t="s">
        <v>549</v>
      </c>
      <c r="G142" s="182"/>
      <c r="H142" s="18"/>
    </row>
    <row r="143" spans="1:27" ht="13.5" customHeight="1" x14ac:dyDescent="0.2">
      <c r="A143" s="180"/>
      <c r="B143" s="46"/>
      <c r="C143" s="36" t="s">
        <v>1901</v>
      </c>
      <c r="D143" s="46" t="s">
        <v>3570</v>
      </c>
      <c r="E143" s="69" t="s">
        <v>549</v>
      </c>
      <c r="F143" s="322">
        <v>4500</v>
      </c>
      <c r="G143" s="182"/>
      <c r="H143" s="18"/>
    </row>
    <row r="144" spans="1:27" ht="13.5" customHeight="1" x14ac:dyDescent="0.2">
      <c r="A144" s="180" t="s">
        <v>3571</v>
      </c>
      <c r="B144" s="9"/>
      <c r="C144" s="34" t="s">
        <v>62</v>
      </c>
      <c r="D144" s="46" t="s">
        <v>19</v>
      </c>
      <c r="E144" s="61">
        <v>-427.38</v>
      </c>
      <c r="F144" s="61" t="s">
        <v>549</v>
      </c>
      <c r="G144" s="182"/>
      <c r="H144" s="18"/>
    </row>
    <row r="145" spans="1:8" ht="13.5" customHeight="1" x14ac:dyDescent="0.2">
      <c r="A145" s="180"/>
      <c r="B145" s="9"/>
      <c r="C145" s="36" t="s">
        <v>3562</v>
      </c>
      <c r="D145" s="46" t="s">
        <v>3572</v>
      </c>
      <c r="E145" s="61" t="s">
        <v>549</v>
      </c>
      <c r="F145" s="600">
        <v>200</v>
      </c>
      <c r="G145" s="182"/>
      <c r="H145" s="18"/>
    </row>
    <row r="146" spans="1:8" ht="13.5" customHeight="1" x14ac:dyDescent="0.2">
      <c r="A146" s="180"/>
      <c r="B146" s="9"/>
      <c r="C146" s="36" t="s">
        <v>20</v>
      </c>
      <c r="D146" s="46"/>
      <c r="E146" s="61"/>
      <c r="F146" s="61">
        <v>0.02</v>
      </c>
      <c r="G146" s="182"/>
      <c r="H146" s="18"/>
    </row>
    <row r="147" spans="1:8" ht="13.5" customHeight="1" x14ac:dyDescent="0.2">
      <c r="A147" s="180" t="s">
        <v>3573</v>
      </c>
      <c r="B147" s="9"/>
      <c r="C147" s="34" t="s">
        <v>68</v>
      </c>
      <c r="D147" s="46" t="s">
        <v>1275</v>
      </c>
      <c r="E147" s="61">
        <v>-129.9</v>
      </c>
      <c r="F147" s="61" t="s">
        <v>549</v>
      </c>
      <c r="G147" s="182"/>
      <c r="H147" s="18"/>
    </row>
    <row r="148" spans="1:8" ht="13.5" customHeight="1" x14ac:dyDescent="0.2">
      <c r="A148" s="180"/>
      <c r="B148" s="9"/>
      <c r="C148" s="34" t="s">
        <v>3492</v>
      </c>
      <c r="D148" s="46" t="s">
        <v>3574</v>
      </c>
      <c r="E148" s="61">
        <v>-74</v>
      </c>
      <c r="F148" s="61" t="s">
        <v>549</v>
      </c>
      <c r="G148" s="182"/>
      <c r="H148" s="18"/>
    </row>
    <row r="149" spans="1:8" ht="13.5" customHeight="1" x14ac:dyDescent="0.2">
      <c r="A149" s="180"/>
      <c r="B149" s="9"/>
      <c r="C149" s="36" t="s">
        <v>20</v>
      </c>
      <c r="D149" s="46" t="s">
        <v>19</v>
      </c>
      <c r="E149" s="61" t="s">
        <v>549</v>
      </c>
      <c r="F149" s="61">
        <v>0.02</v>
      </c>
      <c r="G149" s="182"/>
      <c r="H149" s="18"/>
    </row>
    <row r="150" spans="1:8" ht="13.5" customHeight="1" x14ac:dyDescent="0.2">
      <c r="A150" s="180" t="s">
        <v>3575</v>
      </c>
      <c r="B150" s="46"/>
      <c r="C150" s="36" t="s">
        <v>3280</v>
      </c>
      <c r="D150" s="46" t="s">
        <v>3576</v>
      </c>
      <c r="E150" s="69" t="s">
        <v>549</v>
      </c>
      <c r="F150" s="322">
        <v>606</v>
      </c>
      <c r="G150" s="182"/>
      <c r="H150" s="18"/>
    </row>
    <row r="151" spans="1:8" ht="13.5" customHeight="1" x14ac:dyDescent="0.2">
      <c r="A151" s="180" t="s">
        <v>3577</v>
      </c>
      <c r="B151" s="46"/>
      <c r="C151" s="34" t="s">
        <v>87</v>
      </c>
      <c r="D151" s="46" t="s">
        <v>19</v>
      </c>
      <c r="E151" s="69">
        <v>-63.68</v>
      </c>
      <c r="F151" s="69" t="s">
        <v>549</v>
      </c>
      <c r="G151" s="182"/>
      <c r="H151" s="18"/>
    </row>
    <row r="152" spans="1:8" ht="13.5" customHeight="1" x14ac:dyDescent="0.2">
      <c r="A152" s="180"/>
      <c r="B152" s="46"/>
      <c r="C152" s="34" t="s">
        <v>2486</v>
      </c>
      <c r="D152" s="46" t="s">
        <v>19</v>
      </c>
      <c r="E152" s="69">
        <v>-129.99</v>
      </c>
      <c r="F152" s="69" t="s">
        <v>549</v>
      </c>
      <c r="G152" s="182"/>
      <c r="H152" s="18"/>
    </row>
    <row r="153" spans="1:8" ht="13.5" customHeight="1" x14ac:dyDescent="0.2">
      <c r="A153" s="171" t="s">
        <v>3578</v>
      </c>
      <c r="B153" s="46"/>
      <c r="C153" s="32" t="s">
        <v>3563</v>
      </c>
      <c r="D153" s="46" t="s">
        <v>3579</v>
      </c>
      <c r="E153" s="69" t="s">
        <v>549</v>
      </c>
      <c r="F153" s="322">
        <v>800</v>
      </c>
      <c r="G153" s="182"/>
      <c r="H153" s="18"/>
    </row>
    <row r="154" spans="1:8" ht="13.5" customHeight="1" x14ac:dyDescent="0.2">
      <c r="A154" s="171" t="s">
        <v>3580</v>
      </c>
      <c r="B154" s="46"/>
      <c r="C154" s="34" t="s">
        <v>86</v>
      </c>
      <c r="D154" s="46" t="s">
        <v>19</v>
      </c>
      <c r="E154" s="69">
        <v>-75.900000000000006</v>
      </c>
      <c r="F154" s="69" t="s">
        <v>549</v>
      </c>
      <c r="G154" s="182"/>
      <c r="H154" s="18"/>
    </row>
    <row r="155" spans="1:8" ht="13.5" customHeight="1" x14ac:dyDescent="0.2">
      <c r="A155" s="171" t="s">
        <v>3581</v>
      </c>
      <c r="B155" s="46"/>
      <c r="C155" s="34" t="s">
        <v>18</v>
      </c>
      <c r="D155" s="46" t="s">
        <v>3582</v>
      </c>
      <c r="E155" s="69">
        <v>-399.97</v>
      </c>
      <c r="F155" s="69" t="s">
        <v>549</v>
      </c>
      <c r="G155" s="182"/>
      <c r="H155" s="18"/>
    </row>
    <row r="156" spans="1:8" ht="13.5" customHeight="1" x14ac:dyDescent="0.2">
      <c r="A156" s="171"/>
      <c r="B156" s="46"/>
      <c r="C156" s="34" t="s">
        <v>3493</v>
      </c>
      <c r="D156" s="46" t="s">
        <v>3583</v>
      </c>
      <c r="E156" s="69">
        <v>-378</v>
      </c>
      <c r="F156" s="69" t="s">
        <v>549</v>
      </c>
      <c r="G156" s="182"/>
      <c r="H156" s="18"/>
    </row>
    <row r="157" spans="1:8" ht="13.5" customHeight="1" x14ac:dyDescent="0.2">
      <c r="A157" s="171"/>
      <c r="B157" s="46"/>
      <c r="C157" s="36" t="s">
        <v>20</v>
      </c>
      <c r="D157" s="46" t="s">
        <v>19</v>
      </c>
      <c r="E157" s="69" t="s">
        <v>549</v>
      </c>
      <c r="F157" s="69">
        <v>0.05</v>
      </c>
      <c r="G157" s="182"/>
      <c r="H157" s="18"/>
    </row>
    <row r="158" spans="1:8" ht="13.5" customHeight="1" x14ac:dyDescent="0.2">
      <c r="A158" s="171" t="s">
        <v>3584</v>
      </c>
      <c r="B158" s="46"/>
      <c r="C158" s="34" t="s">
        <v>3494</v>
      </c>
      <c r="D158" s="46" t="s">
        <v>457</v>
      </c>
      <c r="E158" s="69">
        <v>-2300</v>
      </c>
      <c r="F158" s="69" t="s">
        <v>549</v>
      </c>
      <c r="G158" s="182"/>
      <c r="H158" s="18"/>
    </row>
    <row r="159" spans="1:8" ht="13.5" customHeight="1" x14ac:dyDescent="0.2">
      <c r="A159" s="171"/>
      <c r="B159" s="46"/>
      <c r="C159" s="36" t="s">
        <v>20</v>
      </c>
      <c r="D159" s="46" t="s">
        <v>19</v>
      </c>
      <c r="E159" s="69" t="s">
        <v>549</v>
      </c>
      <c r="F159" s="69">
        <v>0.06</v>
      </c>
      <c r="G159" s="182"/>
      <c r="H159" s="18"/>
    </row>
    <row r="160" spans="1:8" ht="13.5" customHeight="1" x14ac:dyDescent="0.2">
      <c r="A160" s="171" t="s">
        <v>3585</v>
      </c>
      <c r="B160" s="46"/>
      <c r="C160" s="34" t="s">
        <v>132</v>
      </c>
      <c r="D160" s="46" t="s">
        <v>1336</v>
      </c>
      <c r="E160" s="69">
        <v>-539.46</v>
      </c>
      <c r="F160" s="69" t="s">
        <v>549</v>
      </c>
      <c r="G160" s="182"/>
      <c r="H160" s="18"/>
    </row>
    <row r="161" spans="1:11" ht="13.5" customHeight="1" x14ac:dyDescent="0.2">
      <c r="A161" s="171"/>
      <c r="B161" s="46"/>
      <c r="C161" s="34" t="s">
        <v>134</v>
      </c>
      <c r="D161" s="46" t="s">
        <v>883</v>
      </c>
      <c r="E161" s="69">
        <v>-109.9</v>
      </c>
      <c r="F161" s="69" t="s">
        <v>549</v>
      </c>
      <c r="G161" s="182"/>
      <c r="H161" s="18"/>
    </row>
    <row r="162" spans="1:11" ht="13.5" customHeight="1" x14ac:dyDescent="0.2">
      <c r="A162" s="171"/>
      <c r="B162" s="46"/>
      <c r="C162" s="36" t="s">
        <v>20</v>
      </c>
      <c r="D162" s="46" t="s">
        <v>19</v>
      </c>
      <c r="E162" s="69" t="s">
        <v>549</v>
      </c>
      <c r="F162" s="69">
        <v>0.02</v>
      </c>
      <c r="G162" s="182"/>
      <c r="H162" s="18"/>
    </row>
    <row r="163" spans="1:11" ht="13.5" customHeight="1" x14ac:dyDescent="0.2">
      <c r="A163" s="171" t="s">
        <v>3586</v>
      </c>
      <c r="B163" s="46"/>
      <c r="C163" s="33" t="s">
        <v>736</v>
      </c>
      <c r="D163" s="46" t="s">
        <v>19</v>
      </c>
      <c r="E163" s="69">
        <v>-46.37</v>
      </c>
      <c r="F163" s="69" t="s">
        <v>549</v>
      </c>
      <c r="G163" s="182"/>
      <c r="H163" s="18"/>
    </row>
    <row r="164" spans="1:11" ht="13.5" customHeight="1" x14ac:dyDescent="0.2">
      <c r="A164" s="171"/>
      <c r="B164" s="46"/>
      <c r="C164" s="36" t="s">
        <v>127</v>
      </c>
      <c r="D164" s="46" t="s">
        <v>19</v>
      </c>
      <c r="E164" s="69">
        <v>-49.69</v>
      </c>
      <c r="F164" s="69" t="s">
        <v>549</v>
      </c>
      <c r="G164" s="182"/>
      <c r="H164" s="18"/>
    </row>
    <row r="165" spans="1:11" ht="13.5" customHeight="1" x14ac:dyDescent="0.2">
      <c r="A165" s="171"/>
      <c r="B165" s="46"/>
      <c r="C165" s="36" t="s">
        <v>129</v>
      </c>
      <c r="D165" s="46" t="s">
        <v>19</v>
      </c>
      <c r="E165" s="69">
        <v>-49.69</v>
      </c>
      <c r="F165" s="69" t="s">
        <v>549</v>
      </c>
      <c r="G165" s="182"/>
      <c r="H165" s="18"/>
    </row>
    <row r="166" spans="1:11" ht="13.5" customHeight="1" x14ac:dyDescent="0.2">
      <c r="A166" s="171"/>
      <c r="B166" s="46"/>
      <c r="C166" s="36" t="s">
        <v>130</v>
      </c>
      <c r="D166" s="46" t="s">
        <v>19</v>
      </c>
      <c r="E166" s="69">
        <v>-169.68</v>
      </c>
      <c r="F166" s="69" t="s">
        <v>549</v>
      </c>
      <c r="G166" s="182"/>
      <c r="H166" s="18"/>
    </row>
    <row r="167" spans="1:11" ht="13.5" customHeight="1" x14ac:dyDescent="0.2">
      <c r="A167" s="171"/>
      <c r="B167" s="46"/>
      <c r="C167" s="33" t="s">
        <v>737</v>
      </c>
      <c r="D167" s="46" t="s">
        <v>19</v>
      </c>
      <c r="E167" s="69">
        <v>-417.7</v>
      </c>
      <c r="F167" s="69" t="s">
        <v>549</v>
      </c>
      <c r="G167" s="182"/>
      <c r="H167" s="18"/>
    </row>
    <row r="168" spans="1:11" ht="13.5" customHeight="1" x14ac:dyDescent="0.2">
      <c r="A168" s="171"/>
      <c r="B168" s="46"/>
      <c r="C168" s="36" t="s">
        <v>20</v>
      </c>
      <c r="D168" s="46" t="s">
        <v>19</v>
      </c>
      <c r="E168" s="69" t="s">
        <v>549</v>
      </c>
      <c r="F168" s="69">
        <v>0.04</v>
      </c>
      <c r="G168" s="182"/>
      <c r="H168" s="18"/>
    </row>
    <row r="169" spans="1:11" ht="13.5" customHeight="1" x14ac:dyDescent="0.2">
      <c r="A169" s="171" t="s">
        <v>3587</v>
      </c>
      <c r="B169" s="46"/>
      <c r="C169" s="34" t="s">
        <v>136</v>
      </c>
      <c r="D169" s="46" t="s">
        <v>19</v>
      </c>
      <c r="E169" s="69">
        <v>-45.9</v>
      </c>
      <c r="F169" s="69" t="s">
        <v>549</v>
      </c>
      <c r="G169" s="182"/>
      <c r="H169" s="18"/>
    </row>
    <row r="170" spans="1:11" ht="13.5" customHeight="1" x14ac:dyDescent="0.2">
      <c r="A170" s="171"/>
      <c r="B170" s="46"/>
      <c r="C170" s="34" t="s">
        <v>3495</v>
      </c>
      <c r="D170" s="46" t="s">
        <v>3588</v>
      </c>
      <c r="E170" s="69" t="s">
        <v>549</v>
      </c>
      <c r="F170" s="69">
        <v>300</v>
      </c>
      <c r="G170" s="182"/>
      <c r="H170" s="18"/>
    </row>
    <row r="171" spans="1:11" ht="13.5" customHeight="1" x14ac:dyDescent="0.2">
      <c r="A171" s="171"/>
      <c r="B171" s="46"/>
      <c r="C171" s="34" t="s">
        <v>673</v>
      </c>
      <c r="D171" s="46" t="s">
        <v>19</v>
      </c>
      <c r="E171" s="69">
        <v>-99.98</v>
      </c>
      <c r="F171" s="69" t="s">
        <v>549</v>
      </c>
      <c r="G171" s="182"/>
      <c r="H171" s="18"/>
    </row>
    <row r="172" spans="1:11" ht="13.5" customHeight="1" x14ac:dyDescent="0.2">
      <c r="A172" s="171"/>
      <c r="B172" s="46"/>
      <c r="C172" s="33" t="s">
        <v>81</v>
      </c>
      <c r="D172" s="46" t="s">
        <v>19</v>
      </c>
      <c r="E172" s="69">
        <v>-52.35</v>
      </c>
      <c r="F172" s="69" t="s">
        <v>549</v>
      </c>
      <c r="G172" s="205">
        <v>1212.4100000000001</v>
      </c>
      <c r="H172" s="124"/>
    </row>
    <row r="173" spans="1:11" ht="13.5" customHeight="1" thickBot="1" x14ac:dyDescent="0.25">
      <c r="A173" s="171"/>
      <c r="B173" s="46"/>
      <c r="C173" s="34"/>
      <c r="D173" s="46"/>
      <c r="E173" s="654">
        <f>SUM(E139:E172)</f>
        <v>-6505.3499999999985</v>
      </c>
      <c r="F173" s="654">
        <f>SUM(F139:F172)</f>
        <v>6406.2300000000023</v>
      </c>
      <c r="G173" s="182"/>
    </row>
    <row r="174" spans="1:11" ht="13.5" customHeight="1" thickBot="1" x14ac:dyDescent="0.25">
      <c r="A174" s="2" t="s">
        <v>2</v>
      </c>
      <c r="B174" s="3"/>
      <c r="C174" s="3" t="s">
        <v>481</v>
      </c>
      <c r="D174" s="3"/>
      <c r="E174" s="3"/>
      <c r="F174" s="3"/>
      <c r="G174" s="5" t="s">
        <v>7</v>
      </c>
      <c r="H174" s="1415" t="s">
        <v>482</v>
      </c>
      <c r="I174" s="1416"/>
      <c r="J174" s="1417"/>
    </row>
    <row r="175" spans="1:11" ht="13.5" customHeight="1" x14ac:dyDescent="0.2">
      <c r="A175" s="8">
        <v>43800</v>
      </c>
      <c r="B175" s="70"/>
      <c r="C175" s="10" t="s">
        <v>537</v>
      </c>
      <c r="D175" s="602"/>
      <c r="E175" s="67"/>
      <c r="F175" s="67"/>
      <c r="G175" s="205">
        <v>0</v>
      </c>
      <c r="H175" s="179"/>
      <c r="I175" s="57"/>
      <c r="J175" s="58">
        <v>1184.75</v>
      </c>
      <c r="K175" s="18"/>
    </row>
    <row r="176" spans="1:11" ht="13.5" customHeight="1" x14ac:dyDescent="0.2">
      <c r="A176" s="171" t="s">
        <v>3589</v>
      </c>
      <c r="B176" s="46" t="s">
        <v>483</v>
      </c>
      <c r="C176" s="32" t="s">
        <v>199</v>
      </c>
      <c r="D176" s="711" t="s">
        <v>488</v>
      </c>
      <c r="E176" s="557">
        <v>-387.11</v>
      </c>
      <c r="F176" s="69"/>
      <c r="G176" s="182" t="s">
        <v>483</v>
      </c>
      <c r="H176" s="59"/>
      <c r="I176" s="60"/>
      <c r="J176" s="61">
        <v>1184.75</v>
      </c>
      <c r="K176" s="18"/>
    </row>
    <row r="177" spans="1:11" ht="13.5" customHeight="1" x14ac:dyDescent="0.2">
      <c r="A177" s="171"/>
      <c r="B177" s="46" t="s">
        <v>483</v>
      </c>
      <c r="C177" s="34" t="s">
        <v>3496</v>
      </c>
      <c r="D177" s="553" t="s">
        <v>2510</v>
      </c>
      <c r="E177" s="557">
        <v>-474.1</v>
      </c>
      <c r="F177" s="69"/>
      <c r="G177" s="182">
        <v>-861.21</v>
      </c>
      <c r="H177" s="59"/>
      <c r="I177" s="60"/>
      <c r="J177" s="61">
        <v>1184.75</v>
      </c>
      <c r="K177" s="18"/>
    </row>
    <row r="178" spans="1:11" ht="13.5" customHeight="1" x14ac:dyDescent="0.2">
      <c r="A178" s="171"/>
      <c r="B178" s="46" t="s">
        <v>483</v>
      </c>
      <c r="C178" s="34" t="s">
        <v>1597</v>
      </c>
      <c r="D178" s="553" t="s">
        <v>488</v>
      </c>
      <c r="E178" s="557">
        <v>-0.2</v>
      </c>
      <c r="F178" s="69"/>
      <c r="G178" s="182" t="s">
        <v>483</v>
      </c>
      <c r="H178" s="59"/>
      <c r="I178" s="60"/>
      <c r="J178" s="61">
        <v>1184.75</v>
      </c>
      <c r="K178" s="18"/>
    </row>
    <row r="179" spans="1:11" ht="13.5" customHeight="1" x14ac:dyDescent="0.2">
      <c r="A179" s="171"/>
      <c r="B179" s="46" t="s">
        <v>483</v>
      </c>
      <c r="C179" s="34" t="s">
        <v>1598</v>
      </c>
      <c r="D179" s="553" t="s">
        <v>488</v>
      </c>
      <c r="E179" s="557">
        <v>-10.29</v>
      </c>
      <c r="F179" s="69"/>
      <c r="G179" s="182" t="s">
        <v>483</v>
      </c>
      <c r="H179" s="59"/>
      <c r="I179" s="60"/>
      <c r="J179" s="61">
        <v>1184.75</v>
      </c>
      <c r="K179" s="18"/>
    </row>
    <row r="180" spans="1:11" ht="13.5" customHeight="1" x14ac:dyDescent="0.2">
      <c r="A180" s="171"/>
      <c r="B180" s="46" t="s">
        <v>483</v>
      </c>
      <c r="C180" s="36" t="s">
        <v>174</v>
      </c>
      <c r="D180" s="553" t="s">
        <v>488</v>
      </c>
      <c r="E180" s="69"/>
      <c r="F180" s="557">
        <v>871.7</v>
      </c>
      <c r="G180" s="182">
        <v>0</v>
      </c>
      <c r="H180" s="59">
        <v>871.7</v>
      </c>
      <c r="I180" s="60"/>
      <c r="J180" s="61">
        <v>313.04999999999995</v>
      </c>
      <c r="K180" s="18"/>
    </row>
    <row r="181" spans="1:11" ht="13.5" customHeight="1" x14ac:dyDescent="0.2">
      <c r="A181" s="171" t="s">
        <v>3590</v>
      </c>
      <c r="B181" s="46" t="s">
        <v>483</v>
      </c>
      <c r="C181" s="34" t="s">
        <v>172</v>
      </c>
      <c r="D181" s="553" t="s">
        <v>3591</v>
      </c>
      <c r="E181" s="557">
        <v>-636.16</v>
      </c>
      <c r="F181" s="69"/>
      <c r="G181" s="182" t="s">
        <v>483</v>
      </c>
      <c r="H181" s="59"/>
      <c r="I181" s="60"/>
      <c r="J181" s="61">
        <v>313.04999999999995</v>
      </c>
      <c r="K181" s="18"/>
    </row>
    <row r="182" spans="1:11" ht="13.5" customHeight="1" x14ac:dyDescent="0.2">
      <c r="A182" s="171"/>
      <c r="B182" s="46" t="s">
        <v>483</v>
      </c>
      <c r="C182" s="36" t="s">
        <v>174</v>
      </c>
      <c r="D182" s="11" t="s">
        <v>488</v>
      </c>
      <c r="E182" s="69"/>
      <c r="F182" s="557">
        <v>313.05</v>
      </c>
      <c r="G182" s="182">
        <v>-323.11</v>
      </c>
      <c r="H182" s="59">
        <v>313.05</v>
      </c>
      <c r="I182" s="60"/>
      <c r="J182" s="61">
        <v>-5.6843418860808015E-14</v>
      </c>
      <c r="K182" s="18"/>
    </row>
    <row r="183" spans="1:11" ht="13.5" customHeight="1" x14ac:dyDescent="0.2">
      <c r="A183" s="171" t="s">
        <v>3592</v>
      </c>
      <c r="B183" s="46" t="s">
        <v>483</v>
      </c>
      <c r="C183" s="32" t="s">
        <v>20</v>
      </c>
      <c r="D183" s="11" t="s">
        <v>488</v>
      </c>
      <c r="E183" s="557">
        <v>-22.43</v>
      </c>
      <c r="F183" s="69"/>
      <c r="G183" s="182">
        <v>-345.54</v>
      </c>
      <c r="H183" s="59"/>
      <c r="I183" s="60"/>
      <c r="J183" s="61">
        <v>-5.6843418860808015E-14</v>
      </c>
      <c r="K183" s="18"/>
    </row>
    <row r="184" spans="1:11" ht="13.5" customHeight="1" x14ac:dyDescent="0.2">
      <c r="A184" s="171" t="s">
        <v>3593</v>
      </c>
      <c r="B184" s="46" t="s">
        <v>483</v>
      </c>
      <c r="C184" s="36" t="s">
        <v>177</v>
      </c>
      <c r="D184" s="11" t="s">
        <v>488</v>
      </c>
      <c r="E184" s="557">
        <v>-126.45</v>
      </c>
      <c r="F184" s="69"/>
      <c r="G184" s="182">
        <v>-471.99</v>
      </c>
      <c r="H184" s="59"/>
      <c r="I184" s="60"/>
      <c r="J184" s="61">
        <v>-5.6843418860808015E-14</v>
      </c>
      <c r="K184" s="18"/>
    </row>
    <row r="185" spans="1:11" ht="13.5" customHeight="1" x14ac:dyDescent="0.2">
      <c r="A185" s="171" t="s">
        <v>3594</v>
      </c>
      <c r="B185" s="46" t="s">
        <v>483</v>
      </c>
      <c r="C185" s="36" t="s">
        <v>180</v>
      </c>
      <c r="D185" s="11" t="s">
        <v>488</v>
      </c>
      <c r="E185" s="557">
        <v>-688.92</v>
      </c>
      <c r="F185" s="69"/>
      <c r="G185" s="182" t="s">
        <v>483</v>
      </c>
      <c r="H185" s="59"/>
      <c r="I185" s="60"/>
      <c r="J185" s="61">
        <v>-5.6843418860808015E-14</v>
      </c>
      <c r="K185" s="18"/>
    </row>
    <row r="186" spans="1:11" ht="13.5" customHeight="1" x14ac:dyDescent="0.2">
      <c r="A186" s="171"/>
      <c r="B186" s="46" t="s">
        <v>483</v>
      </c>
      <c r="C186" s="34" t="s">
        <v>2509</v>
      </c>
      <c r="D186" s="11" t="s">
        <v>3595</v>
      </c>
      <c r="E186" s="557">
        <v>-100</v>
      </c>
      <c r="F186" s="69"/>
      <c r="G186" s="182">
        <v>-1260.9100000000001</v>
      </c>
      <c r="H186" s="59"/>
      <c r="I186" s="60"/>
      <c r="J186" s="61">
        <v>-5.6843418860808015E-14</v>
      </c>
      <c r="K186" s="18"/>
    </row>
    <row r="187" spans="1:11" ht="13.5" customHeight="1" x14ac:dyDescent="0.2">
      <c r="A187" s="171" t="s">
        <v>3596</v>
      </c>
      <c r="B187" s="46" t="s">
        <v>483</v>
      </c>
      <c r="C187" s="36" t="s">
        <v>3497</v>
      </c>
      <c r="D187" s="11" t="s">
        <v>488</v>
      </c>
      <c r="E187" s="69"/>
      <c r="F187" s="557">
        <v>4731.47</v>
      </c>
      <c r="G187" s="182"/>
      <c r="H187" s="59"/>
      <c r="I187" s="60"/>
      <c r="J187" s="61">
        <v>-5.6843418860808015E-14</v>
      </c>
      <c r="K187" s="18"/>
    </row>
    <row r="188" spans="1:11" ht="13.5" customHeight="1" x14ac:dyDescent="0.2">
      <c r="A188" s="171"/>
      <c r="B188" s="46" t="s">
        <v>483</v>
      </c>
      <c r="C188" s="36" t="s">
        <v>189</v>
      </c>
      <c r="D188" s="11" t="s">
        <v>488</v>
      </c>
      <c r="E188" s="557">
        <v>-3470.56</v>
      </c>
      <c r="F188" s="69"/>
      <c r="G188" s="182">
        <v>0</v>
      </c>
      <c r="H188" s="59"/>
      <c r="I188" s="60">
        <v>3470.56</v>
      </c>
      <c r="J188" s="61">
        <v>3470.56</v>
      </c>
      <c r="K188" s="18"/>
    </row>
    <row r="189" spans="1:11" ht="13.5" customHeight="1" x14ac:dyDescent="0.2">
      <c r="A189" s="171" t="s">
        <v>3597</v>
      </c>
      <c r="B189" s="46" t="s">
        <v>483</v>
      </c>
      <c r="C189" s="32" t="s">
        <v>3366</v>
      </c>
      <c r="D189" s="11" t="s">
        <v>519</v>
      </c>
      <c r="E189" s="557">
        <v>-754</v>
      </c>
      <c r="F189" s="69"/>
      <c r="G189" s="182" t="s">
        <v>483</v>
      </c>
      <c r="H189" s="59"/>
      <c r="I189" s="60"/>
      <c r="J189" s="61">
        <v>3470.56</v>
      </c>
      <c r="K189" s="18"/>
    </row>
    <row r="190" spans="1:11" ht="13.5" customHeight="1" x14ac:dyDescent="0.2">
      <c r="A190" s="171"/>
      <c r="B190" s="46" t="s">
        <v>483</v>
      </c>
      <c r="C190" s="32" t="s">
        <v>781</v>
      </c>
      <c r="D190" s="11" t="s">
        <v>3598</v>
      </c>
      <c r="E190" s="557">
        <v>-754</v>
      </c>
      <c r="F190" s="69"/>
      <c r="G190" s="182" t="s">
        <v>483</v>
      </c>
      <c r="H190" s="59"/>
      <c r="I190" s="60"/>
      <c r="J190" s="61">
        <v>3470.56</v>
      </c>
      <c r="K190" s="18"/>
    </row>
    <row r="191" spans="1:11" ht="13.5" customHeight="1" x14ac:dyDescent="0.2">
      <c r="A191" s="171"/>
      <c r="B191" s="46" t="s">
        <v>483</v>
      </c>
      <c r="C191" s="32" t="s">
        <v>194</v>
      </c>
      <c r="D191" s="11" t="s">
        <v>488</v>
      </c>
      <c r="E191" s="557">
        <v>-86.16</v>
      </c>
      <c r="F191" s="69"/>
      <c r="G191" s="182" t="s">
        <v>483</v>
      </c>
      <c r="H191" s="59"/>
      <c r="I191" s="60"/>
      <c r="J191" s="61">
        <v>3470.56</v>
      </c>
      <c r="K191" s="18"/>
    </row>
    <row r="192" spans="1:11" ht="13.5" customHeight="1" x14ac:dyDescent="0.2">
      <c r="A192" s="171"/>
      <c r="B192" s="46" t="s">
        <v>483</v>
      </c>
      <c r="C192" s="32" t="s">
        <v>195</v>
      </c>
      <c r="D192" s="11" t="s">
        <v>488</v>
      </c>
      <c r="E192" s="557">
        <v>-397.66</v>
      </c>
      <c r="F192" s="69"/>
      <c r="G192" s="182" t="s">
        <v>483</v>
      </c>
      <c r="H192" s="59"/>
      <c r="I192" s="60"/>
      <c r="J192" s="61">
        <v>3470.56</v>
      </c>
      <c r="K192" s="18"/>
    </row>
    <row r="193" spans="1:11" ht="13.5" customHeight="1" x14ac:dyDescent="0.2">
      <c r="A193" s="171"/>
      <c r="B193" s="46" t="s">
        <v>483</v>
      </c>
      <c r="C193" s="34" t="s">
        <v>3498</v>
      </c>
      <c r="D193" s="11" t="s">
        <v>488</v>
      </c>
      <c r="E193" s="557">
        <v>-117.8</v>
      </c>
      <c r="F193" s="69"/>
      <c r="G193" s="182" t="s">
        <v>483</v>
      </c>
      <c r="H193" s="59"/>
      <c r="I193" s="60"/>
      <c r="J193" s="61">
        <v>3470.56</v>
      </c>
      <c r="K193" s="18"/>
    </row>
    <row r="194" spans="1:11" ht="13.5" customHeight="1" x14ac:dyDescent="0.2">
      <c r="A194" s="171"/>
      <c r="B194" s="46" t="s">
        <v>483</v>
      </c>
      <c r="C194" s="34" t="s">
        <v>3499</v>
      </c>
      <c r="D194" s="11" t="s">
        <v>488</v>
      </c>
      <c r="E194" s="557">
        <v>-98</v>
      </c>
      <c r="F194" s="69"/>
      <c r="G194" s="182"/>
      <c r="H194" s="59"/>
      <c r="I194" s="60"/>
      <c r="J194" s="61">
        <v>3470.56</v>
      </c>
      <c r="K194" s="18"/>
    </row>
    <row r="195" spans="1:11" ht="13.5" customHeight="1" x14ac:dyDescent="0.2">
      <c r="A195" s="171"/>
      <c r="B195" s="46" t="s">
        <v>483</v>
      </c>
      <c r="C195" s="34" t="s">
        <v>3500</v>
      </c>
      <c r="D195" s="11" t="s">
        <v>3599</v>
      </c>
      <c r="E195" s="557">
        <v>-92.25</v>
      </c>
      <c r="F195" s="69"/>
      <c r="G195" s="182" t="s">
        <v>483</v>
      </c>
      <c r="H195" s="59"/>
      <c r="I195" s="60"/>
      <c r="J195" s="61">
        <v>3470.56</v>
      </c>
      <c r="K195" s="18"/>
    </row>
    <row r="196" spans="1:11" ht="13.5" customHeight="1" x14ac:dyDescent="0.2">
      <c r="A196" s="171"/>
      <c r="B196" s="46" t="s">
        <v>483</v>
      </c>
      <c r="C196" s="36" t="s">
        <v>174</v>
      </c>
      <c r="D196" s="11" t="s">
        <v>488</v>
      </c>
      <c r="E196" s="69"/>
      <c r="F196" s="557">
        <v>2299.87</v>
      </c>
      <c r="G196" s="182">
        <v>0</v>
      </c>
      <c r="H196" s="59">
        <v>2299.87</v>
      </c>
      <c r="I196" s="60"/>
      <c r="J196" s="61">
        <v>1170.69</v>
      </c>
      <c r="K196" s="18"/>
    </row>
    <row r="197" spans="1:11" ht="13.5" customHeight="1" x14ac:dyDescent="0.2">
      <c r="A197" s="171" t="s">
        <v>3600</v>
      </c>
      <c r="B197" s="46" t="s">
        <v>483</v>
      </c>
      <c r="C197" s="34" t="s">
        <v>3501</v>
      </c>
      <c r="D197" s="11" t="s">
        <v>488</v>
      </c>
      <c r="E197" s="557">
        <v>-262.73</v>
      </c>
      <c r="F197" s="69"/>
      <c r="G197" s="182"/>
      <c r="H197" s="59"/>
      <c r="I197" s="60"/>
      <c r="J197" s="61">
        <v>1170.69</v>
      </c>
      <c r="K197" s="18"/>
    </row>
    <row r="198" spans="1:11" ht="13.5" customHeight="1" x14ac:dyDescent="0.2">
      <c r="A198" s="171"/>
      <c r="B198" s="46" t="s">
        <v>483</v>
      </c>
      <c r="C198" s="36" t="s">
        <v>174</v>
      </c>
      <c r="D198" s="11" t="s">
        <v>488</v>
      </c>
      <c r="E198" s="69"/>
      <c r="F198" s="557">
        <v>262.73</v>
      </c>
      <c r="G198" s="182">
        <v>0</v>
      </c>
      <c r="H198" s="59">
        <v>262.73</v>
      </c>
      <c r="I198" s="60"/>
      <c r="J198" s="61">
        <v>907.96</v>
      </c>
      <c r="K198" s="18"/>
    </row>
    <row r="199" spans="1:11" ht="13.5" customHeight="1" x14ac:dyDescent="0.2">
      <c r="A199" s="171" t="s">
        <v>3601</v>
      </c>
      <c r="B199" s="46" t="s">
        <v>483</v>
      </c>
      <c r="C199" s="34" t="s">
        <v>3376</v>
      </c>
      <c r="D199" s="11" t="s">
        <v>3362</v>
      </c>
      <c r="E199" s="557">
        <v>-1250.6199999999999</v>
      </c>
      <c r="F199" s="69"/>
      <c r="G199" s="182" t="s">
        <v>483</v>
      </c>
      <c r="H199" s="59"/>
      <c r="I199" s="60"/>
      <c r="J199" s="61">
        <v>907.96</v>
      </c>
      <c r="K199" s="18"/>
    </row>
    <row r="200" spans="1:11" ht="13.5" customHeight="1" x14ac:dyDescent="0.2">
      <c r="A200" s="171"/>
      <c r="B200" s="46" t="s">
        <v>483</v>
      </c>
      <c r="C200" s="34" t="s">
        <v>3502</v>
      </c>
      <c r="D200" s="11" t="s">
        <v>494</v>
      </c>
      <c r="E200" s="557">
        <v>-366.71</v>
      </c>
      <c r="F200" s="69"/>
      <c r="G200" s="182" t="s">
        <v>483</v>
      </c>
      <c r="H200" s="59"/>
      <c r="I200" s="60"/>
      <c r="J200" s="61">
        <v>907.96</v>
      </c>
      <c r="K200" s="18"/>
    </row>
    <row r="201" spans="1:11" ht="13.5" customHeight="1" x14ac:dyDescent="0.2">
      <c r="A201" s="171"/>
      <c r="B201" s="46" t="s">
        <v>591</v>
      </c>
      <c r="C201" s="32" t="s">
        <v>3564</v>
      </c>
      <c r="D201" s="11" t="s">
        <v>3602</v>
      </c>
      <c r="E201" s="557"/>
      <c r="F201" s="322">
        <v>8584.75</v>
      </c>
      <c r="G201" s="182" t="s">
        <v>483</v>
      </c>
      <c r="H201" s="59"/>
      <c r="I201" s="60"/>
      <c r="J201" s="61">
        <v>907.96</v>
      </c>
      <c r="K201" s="18"/>
    </row>
    <row r="202" spans="1:11" ht="13.5" customHeight="1" x14ac:dyDescent="0.2">
      <c r="A202" s="171"/>
      <c r="B202" s="46" t="s">
        <v>483</v>
      </c>
      <c r="C202" s="34" t="s">
        <v>3503</v>
      </c>
      <c r="D202" s="11" t="s">
        <v>3603</v>
      </c>
      <c r="E202" s="557">
        <v>-442.6</v>
      </c>
      <c r="F202" s="69"/>
      <c r="G202" s="182" t="s">
        <v>483</v>
      </c>
      <c r="H202" s="59"/>
      <c r="I202" s="60"/>
      <c r="J202" s="61">
        <v>907.96</v>
      </c>
      <c r="K202" s="18"/>
    </row>
    <row r="203" spans="1:11" ht="13.5" customHeight="1" x14ac:dyDescent="0.2">
      <c r="A203" s="171"/>
      <c r="B203" s="46" t="s">
        <v>483</v>
      </c>
      <c r="C203" s="32" t="s">
        <v>3504</v>
      </c>
      <c r="D203" s="11" t="s">
        <v>3604</v>
      </c>
      <c r="E203" s="557">
        <v>-421.52</v>
      </c>
      <c r="F203" s="69"/>
      <c r="G203" s="182" t="s">
        <v>483</v>
      </c>
      <c r="H203" s="59"/>
      <c r="I203" s="60"/>
      <c r="J203" s="61">
        <v>907.96</v>
      </c>
      <c r="K203" s="18"/>
    </row>
    <row r="204" spans="1:11" ht="13.5" customHeight="1" x14ac:dyDescent="0.2">
      <c r="A204" s="171"/>
      <c r="B204" s="46" t="s">
        <v>483</v>
      </c>
      <c r="C204" s="32" t="s">
        <v>3505</v>
      </c>
      <c r="D204" s="11" t="s">
        <v>3605</v>
      </c>
      <c r="E204" s="557">
        <v>-1330.14</v>
      </c>
      <c r="F204" s="69"/>
      <c r="G204" s="182" t="s">
        <v>483</v>
      </c>
      <c r="H204" s="59"/>
      <c r="I204" s="60"/>
      <c r="J204" s="61">
        <v>907.96</v>
      </c>
      <c r="K204" s="18"/>
    </row>
    <row r="205" spans="1:11" ht="13.5" customHeight="1" x14ac:dyDescent="0.2">
      <c r="A205" s="171"/>
      <c r="B205" s="46" t="s">
        <v>483</v>
      </c>
      <c r="C205" s="36" t="s">
        <v>174</v>
      </c>
      <c r="D205" s="11" t="s">
        <v>488</v>
      </c>
      <c r="E205" s="69"/>
      <c r="F205" s="557">
        <v>908.01</v>
      </c>
      <c r="G205" s="182">
        <v>5681.17</v>
      </c>
      <c r="H205" s="59">
        <v>908.01</v>
      </c>
      <c r="I205" s="60"/>
      <c r="J205" s="61">
        <v>-4.9999999999954525E-2</v>
      </c>
      <c r="K205" s="18"/>
    </row>
    <row r="206" spans="1:11" ht="13.5" customHeight="1" x14ac:dyDescent="0.2">
      <c r="A206" s="171" t="s">
        <v>3606</v>
      </c>
      <c r="B206" s="46" t="s">
        <v>483</v>
      </c>
      <c r="C206" s="34" t="s">
        <v>86</v>
      </c>
      <c r="D206" s="11" t="s">
        <v>488</v>
      </c>
      <c r="E206" s="557">
        <v>-92.5</v>
      </c>
      <c r="F206" s="69"/>
      <c r="G206" s="182" t="s">
        <v>483</v>
      </c>
      <c r="H206" s="59"/>
      <c r="I206" s="60"/>
      <c r="J206" s="61">
        <v>-4.9999999999954525E-2</v>
      </c>
      <c r="K206" s="18"/>
    </row>
    <row r="207" spans="1:11" ht="13.5" customHeight="1" x14ac:dyDescent="0.2">
      <c r="A207" s="171"/>
      <c r="B207" s="46" t="s">
        <v>483</v>
      </c>
      <c r="C207" s="36" t="s">
        <v>189</v>
      </c>
      <c r="D207" s="11" t="s">
        <v>488</v>
      </c>
      <c r="E207" s="557">
        <v>-5588.67</v>
      </c>
      <c r="F207" s="69"/>
      <c r="G207" s="182">
        <v>0</v>
      </c>
      <c r="H207" s="59"/>
      <c r="I207" s="60">
        <v>5588.67</v>
      </c>
      <c r="J207" s="61">
        <v>5588.62</v>
      </c>
      <c r="K207" s="18"/>
    </row>
    <row r="208" spans="1:11" ht="13.5" customHeight="1" x14ac:dyDescent="0.2">
      <c r="A208" s="171" t="s">
        <v>3607</v>
      </c>
      <c r="B208" s="46" t="s">
        <v>483</v>
      </c>
      <c r="C208" s="34" t="s">
        <v>86</v>
      </c>
      <c r="D208" s="11" t="s">
        <v>488</v>
      </c>
      <c r="E208" s="557">
        <v>-12.5</v>
      </c>
      <c r="F208" s="69"/>
      <c r="G208" s="182" t="s">
        <v>483</v>
      </c>
      <c r="H208" s="59"/>
      <c r="I208" s="60"/>
      <c r="J208" s="61">
        <v>5588.62</v>
      </c>
      <c r="K208" s="18"/>
    </row>
    <row r="209" spans="1:12" ht="13.5" customHeight="1" x14ac:dyDescent="0.2">
      <c r="A209" s="171"/>
      <c r="B209" s="46" t="s">
        <v>483</v>
      </c>
      <c r="C209" s="36" t="s">
        <v>174</v>
      </c>
      <c r="D209" s="11" t="s">
        <v>488</v>
      </c>
      <c r="E209" s="69"/>
      <c r="F209" s="557">
        <v>12.5</v>
      </c>
      <c r="G209" s="182">
        <v>0</v>
      </c>
      <c r="H209" s="59">
        <v>12.5</v>
      </c>
      <c r="I209" s="60"/>
      <c r="J209" s="61">
        <v>5576.12</v>
      </c>
      <c r="K209" s="18"/>
    </row>
    <row r="210" spans="1:12" ht="13.5" customHeight="1" x14ac:dyDescent="0.2">
      <c r="A210" s="171" t="s">
        <v>3608</v>
      </c>
      <c r="B210" s="46" t="s">
        <v>483</v>
      </c>
      <c r="C210" s="34" t="s">
        <v>3506</v>
      </c>
      <c r="D210" s="11" t="s">
        <v>488</v>
      </c>
      <c r="E210" s="557">
        <v>-59.69</v>
      </c>
      <c r="F210" s="69"/>
      <c r="G210" s="182">
        <v>-59.69</v>
      </c>
      <c r="H210" s="59"/>
      <c r="I210" s="60"/>
      <c r="J210" s="61">
        <v>5576.12</v>
      </c>
      <c r="K210" s="18"/>
    </row>
    <row r="211" spans="1:12" ht="13.5" customHeight="1" x14ac:dyDescent="0.2">
      <c r="A211" s="171"/>
      <c r="B211" s="46" t="s">
        <v>483</v>
      </c>
      <c r="C211" s="36" t="s">
        <v>174</v>
      </c>
      <c r="D211" s="11" t="s">
        <v>488</v>
      </c>
      <c r="E211" s="69"/>
      <c r="F211" s="557">
        <v>59.69</v>
      </c>
      <c r="G211" s="182">
        <v>0</v>
      </c>
      <c r="H211" s="59">
        <v>59.69</v>
      </c>
      <c r="I211" s="60"/>
      <c r="J211" s="61">
        <v>5516.43</v>
      </c>
      <c r="K211" s="18"/>
    </row>
    <row r="212" spans="1:12" ht="13.5" customHeight="1" x14ac:dyDescent="0.2">
      <c r="A212" s="171" t="s">
        <v>3609</v>
      </c>
      <c r="B212" s="46" t="s">
        <v>483</v>
      </c>
      <c r="C212" s="32" t="s">
        <v>813</v>
      </c>
      <c r="D212" s="11" t="s">
        <v>3362</v>
      </c>
      <c r="E212" s="557">
        <v>-75</v>
      </c>
      <c r="F212" s="69"/>
      <c r="G212" s="182" t="s">
        <v>483</v>
      </c>
      <c r="H212" s="59"/>
      <c r="I212" s="60"/>
      <c r="J212" s="61">
        <v>5516.43</v>
      </c>
      <c r="K212" s="18"/>
    </row>
    <row r="213" spans="1:12" ht="13.5" customHeight="1" x14ac:dyDescent="0.2">
      <c r="A213" s="171"/>
      <c r="B213" s="46" t="s">
        <v>483</v>
      </c>
      <c r="C213" s="36" t="s">
        <v>174</v>
      </c>
      <c r="D213" s="11" t="s">
        <v>488</v>
      </c>
      <c r="E213" s="69"/>
      <c r="F213" s="557">
        <v>75</v>
      </c>
      <c r="G213" s="205">
        <v>0</v>
      </c>
      <c r="H213" s="59">
        <v>75</v>
      </c>
      <c r="I213" s="60"/>
      <c r="J213" s="61">
        <v>5441.43</v>
      </c>
      <c r="K213" s="18"/>
    </row>
    <row r="214" spans="1:12" ht="13.5" customHeight="1" x14ac:dyDescent="0.2">
      <c r="A214" s="171"/>
      <c r="B214" s="46"/>
      <c r="C214" s="32" t="s">
        <v>20</v>
      </c>
      <c r="D214" s="11"/>
      <c r="E214" s="69"/>
      <c r="F214" s="69"/>
      <c r="G214" s="182"/>
      <c r="H214" s="179"/>
      <c r="I214" s="57">
        <v>0.10999999999967258</v>
      </c>
      <c r="J214" s="58">
        <v>5441.54</v>
      </c>
      <c r="K214" s="124"/>
    </row>
    <row r="215" spans="1:12" ht="13.5" customHeight="1" thickBot="1" x14ac:dyDescent="0.25">
      <c r="A215" s="171"/>
      <c r="B215" s="46"/>
      <c r="C215" s="34"/>
      <c r="D215" s="11"/>
      <c r="E215" s="654">
        <f>SUM(E175:E214)</f>
        <v>-18118.769999999997</v>
      </c>
      <c r="F215" s="654">
        <f>SUM(F175:F214)</f>
        <v>18118.769999999997</v>
      </c>
      <c r="G215" s="182"/>
      <c r="H215" s="179"/>
      <c r="I215" s="57"/>
      <c r="J215" s="67"/>
    </row>
    <row r="216" spans="1:12" ht="13.5" customHeight="1" thickBot="1" x14ac:dyDescent="0.25">
      <c r="A216" s="2" t="s">
        <v>2</v>
      </c>
      <c r="B216" s="3"/>
      <c r="C216" s="3" t="s">
        <v>525</v>
      </c>
      <c r="D216" s="3"/>
      <c r="E216" s="3"/>
      <c r="F216" s="3"/>
      <c r="G216" s="5" t="s">
        <v>7</v>
      </c>
    </row>
    <row r="217" spans="1:12" ht="13.5" customHeight="1" x14ac:dyDescent="0.2">
      <c r="A217" s="8">
        <v>43800</v>
      </c>
      <c r="B217" s="70"/>
      <c r="C217" s="10" t="s">
        <v>537</v>
      </c>
      <c r="D217" s="125"/>
      <c r="E217" s="67"/>
      <c r="F217" s="67"/>
      <c r="G217" s="205">
        <v>259.74999999999864</v>
      </c>
    </row>
    <row r="218" spans="1:12" ht="13.5" customHeight="1" x14ac:dyDescent="0.2">
      <c r="A218" s="171">
        <v>43805</v>
      </c>
      <c r="B218" s="46"/>
      <c r="C218" s="36" t="s">
        <v>815</v>
      </c>
      <c r="D218" s="11"/>
      <c r="E218" s="181">
        <v>888.22</v>
      </c>
      <c r="F218" s="69"/>
      <c r="G218" s="182"/>
    </row>
    <row r="219" spans="1:12" ht="13.5" customHeight="1" x14ac:dyDescent="0.2">
      <c r="A219" s="171"/>
      <c r="B219" s="46"/>
      <c r="C219" s="32" t="s">
        <v>1390</v>
      </c>
      <c r="D219" s="229"/>
      <c r="E219" s="614"/>
      <c r="F219" s="557">
        <v>1000</v>
      </c>
      <c r="G219" s="205">
        <v>371.52999999999861</v>
      </c>
      <c r="K219" s="97"/>
    </row>
    <row r="220" spans="1:12" ht="13.5" customHeight="1" thickBot="1" x14ac:dyDescent="0.25">
      <c r="A220" s="70"/>
      <c r="B220" s="70"/>
      <c r="C220" s="63"/>
      <c r="D220" s="50"/>
      <c r="E220" s="13"/>
      <c r="F220" s="13"/>
      <c r="G220" s="182"/>
      <c r="K220" s="97"/>
    </row>
    <row r="221" spans="1:12" s="97" customFormat="1" ht="13.5" customHeight="1" thickBot="1" x14ac:dyDescent="0.25">
      <c r="A221" s="561" t="s">
        <v>2</v>
      </c>
      <c r="B221" s="562"/>
      <c r="C221" s="562" t="s">
        <v>534</v>
      </c>
      <c r="D221" s="563" t="s">
        <v>4</v>
      </c>
      <c r="E221" s="562" t="s">
        <v>5</v>
      </c>
      <c r="F221" s="562" t="s">
        <v>6</v>
      </c>
      <c r="G221" s="564" t="s">
        <v>7</v>
      </c>
      <c r="H221" s="1"/>
      <c r="I221" s="30">
        <f>SUM(G3,G113,G139,G175)</f>
        <v>2420.6900000000242</v>
      </c>
      <c r="J221" t="s">
        <v>8082</v>
      </c>
      <c r="L221" s="567"/>
    </row>
    <row r="222" spans="1:12" s="97" customFormat="1" ht="13.5" customHeight="1" x14ac:dyDescent="0.2">
      <c r="A222" s="568">
        <v>42370</v>
      </c>
      <c r="B222" s="569"/>
      <c r="C222" s="570" t="s">
        <v>8</v>
      </c>
      <c r="D222" s="571"/>
      <c r="E222" s="572"/>
      <c r="F222" s="573"/>
      <c r="G222" s="574">
        <v>0</v>
      </c>
      <c r="H222" s="1"/>
      <c r="I222" s="1159"/>
      <c r="J222" s="1"/>
      <c r="L222" s="567"/>
    </row>
    <row r="223" spans="1:12" s="97" customFormat="1" ht="13.5" customHeight="1" x14ac:dyDescent="0.2">
      <c r="A223" s="578">
        <v>43284</v>
      </c>
      <c r="B223" s="569"/>
      <c r="C223" s="569" t="s">
        <v>535</v>
      </c>
      <c r="D223" s="571"/>
      <c r="E223" s="572"/>
      <c r="F223" s="579">
        <v>500</v>
      </c>
      <c r="G223" s="580">
        <v>500</v>
      </c>
      <c r="H223" s="1"/>
      <c r="I223" s="30">
        <f>SUM(G136,G172,G213,G110)</f>
        <v>10226.260000000028</v>
      </c>
      <c r="J223" t="s">
        <v>8083</v>
      </c>
      <c r="L223" s="567"/>
    </row>
    <row r="224" spans="1:12" s="97" customFormat="1" ht="13.5" customHeight="1" x14ac:dyDescent="0.2">
      <c r="A224" s="578">
        <v>43346</v>
      </c>
      <c r="B224" s="569"/>
      <c r="C224" s="569" t="s">
        <v>535</v>
      </c>
      <c r="D224" s="571"/>
      <c r="E224" s="572"/>
      <c r="F224" s="579">
        <v>3000</v>
      </c>
      <c r="G224" s="580">
        <v>3500</v>
      </c>
      <c r="H224" s="1"/>
      <c r="I224" s="1159"/>
      <c r="J224" s="1"/>
      <c r="L224" s="567"/>
    </row>
    <row r="225" spans="1:12" s="97" customFormat="1" ht="13.5" customHeight="1" x14ac:dyDescent="0.2">
      <c r="A225" s="578">
        <v>43374</v>
      </c>
      <c r="B225" s="569"/>
      <c r="C225" s="569" t="s">
        <v>535</v>
      </c>
      <c r="D225" s="571"/>
      <c r="E225" s="572"/>
      <c r="F225" s="579">
        <v>2000</v>
      </c>
      <c r="G225" s="580">
        <v>5500</v>
      </c>
      <c r="H225" s="1"/>
      <c r="I225" s="30">
        <f>SUM(F215,E215,F173,E173,E137,F111,E111,F137)</f>
        <v>7805.5699999999852</v>
      </c>
      <c r="J225" t="s">
        <v>8085</v>
      </c>
      <c r="L225" s="567"/>
    </row>
    <row r="226" spans="1:12" s="97" customFormat="1" ht="13.5" customHeight="1" x14ac:dyDescent="0.2">
      <c r="A226" s="578">
        <v>43409</v>
      </c>
      <c r="B226" s="569"/>
      <c r="C226" s="569" t="s">
        <v>535</v>
      </c>
      <c r="D226" s="571"/>
      <c r="E226" s="572"/>
      <c r="F226" s="579">
        <v>1000</v>
      </c>
      <c r="G226" s="580">
        <v>6500</v>
      </c>
      <c r="H226" s="1"/>
      <c r="I226" s="1159"/>
      <c r="J226" s="1"/>
      <c r="L226" s="567"/>
    </row>
    <row r="227" spans="1:12" s="97" customFormat="1" ht="13.5" customHeight="1" x14ac:dyDescent="0.2">
      <c r="A227" s="578">
        <v>43804</v>
      </c>
      <c r="B227" s="569"/>
      <c r="C227" s="569" t="s">
        <v>535</v>
      </c>
      <c r="D227" s="571"/>
      <c r="E227" s="572"/>
      <c r="F227" s="579">
        <v>500</v>
      </c>
      <c r="G227" s="580">
        <v>7000</v>
      </c>
      <c r="H227" s="1"/>
      <c r="I227" s="1159"/>
      <c r="J227" s="1"/>
      <c r="L227" s="567"/>
    </row>
    <row r="228" spans="1:12" s="97" customFormat="1" ht="13.5" customHeight="1" x14ac:dyDescent="0.2">
      <c r="A228" s="578">
        <v>43469</v>
      </c>
      <c r="B228" s="569"/>
      <c r="C228" s="569" t="s">
        <v>1390</v>
      </c>
      <c r="D228" s="581"/>
      <c r="E228" s="572"/>
      <c r="F228" s="579">
        <v>1500</v>
      </c>
      <c r="G228" s="580">
        <v>8500</v>
      </c>
      <c r="H228" s="1"/>
      <c r="I228" s="615">
        <f>I221+I225-I223</f>
        <v>-1.8189894035458565E-11</v>
      </c>
      <c r="J228" t="s">
        <v>8084</v>
      </c>
      <c r="L228" s="567"/>
    </row>
    <row r="229" spans="1:12" s="97" customFormat="1" ht="13.5" customHeight="1" x14ac:dyDescent="0.2">
      <c r="A229" s="578">
        <v>43475</v>
      </c>
      <c r="B229" s="569"/>
      <c r="C229" s="569" t="s">
        <v>1391</v>
      </c>
      <c r="D229" s="581"/>
      <c r="E229" s="572"/>
      <c r="F229" s="579">
        <v>5000</v>
      </c>
      <c r="G229" s="580">
        <v>13500</v>
      </c>
      <c r="H229" s="1"/>
      <c r="I229" s="1"/>
      <c r="J229" s="1"/>
      <c r="L229" s="567"/>
    </row>
    <row r="230" spans="1:12" s="97" customFormat="1" ht="13.5" customHeight="1" x14ac:dyDescent="0.2">
      <c r="A230" s="578">
        <v>43482</v>
      </c>
      <c r="B230" s="569"/>
      <c r="C230" s="569" t="s">
        <v>1391</v>
      </c>
      <c r="D230" s="581"/>
      <c r="E230" s="572"/>
      <c r="F230" s="579">
        <v>5000</v>
      </c>
      <c r="G230" s="580">
        <v>18500</v>
      </c>
      <c r="H230" s="1"/>
      <c r="I230" s="1"/>
      <c r="J230" s="1"/>
      <c r="L230" s="567"/>
    </row>
    <row r="231" spans="1:12" s="97" customFormat="1" ht="13.5" customHeight="1" x14ac:dyDescent="0.2">
      <c r="A231" s="578">
        <v>43500</v>
      </c>
      <c r="B231" s="569"/>
      <c r="C231" s="569" t="s">
        <v>1391</v>
      </c>
      <c r="D231" s="581"/>
      <c r="E231" s="572"/>
      <c r="F231" s="579">
        <v>3000</v>
      </c>
      <c r="G231" s="580">
        <v>21500</v>
      </c>
      <c r="H231" s="1"/>
      <c r="I231" s="1"/>
      <c r="J231" s="1"/>
      <c r="L231" s="567"/>
    </row>
    <row r="232" spans="1:12" s="97" customFormat="1" ht="13.5" customHeight="1" x14ac:dyDescent="0.2">
      <c r="A232" s="578">
        <v>43501</v>
      </c>
      <c r="B232" s="569"/>
      <c r="C232" s="569" t="s">
        <v>1391</v>
      </c>
      <c r="D232" s="581"/>
      <c r="E232" s="572"/>
      <c r="F232" s="579">
        <v>4000</v>
      </c>
      <c r="G232" s="580">
        <v>25500</v>
      </c>
      <c r="H232" s="1"/>
      <c r="I232" s="584"/>
      <c r="J232" s="583"/>
      <c r="L232" s="567"/>
    </row>
    <row r="233" spans="1:12" s="97" customFormat="1" ht="13.5" customHeight="1" x14ac:dyDescent="0.2">
      <c r="A233" s="578">
        <v>43503</v>
      </c>
      <c r="B233" s="569"/>
      <c r="C233" s="569" t="s">
        <v>1391</v>
      </c>
      <c r="D233" s="581"/>
      <c r="E233" s="572"/>
      <c r="F233" s="579">
        <v>2000</v>
      </c>
      <c r="G233" s="580">
        <v>27500</v>
      </c>
      <c r="H233" s="1"/>
      <c r="L233" s="567"/>
    </row>
    <row r="234" spans="1:12" s="97" customFormat="1" ht="13.5" customHeight="1" x14ac:dyDescent="0.2">
      <c r="A234" s="578">
        <v>43504</v>
      </c>
      <c r="B234" s="569"/>
      <c r="C234" s="569" t="s">
        <v>1390</v>
      </c>
      <c r="D234" s="581"/>
      <c r="E234" s="572"/>
      <c r="F234" s="579">
        <v>1500</v>
      </c>
      <c r="G234" s="580">
        <v>29000</v>
      </c>
      <c r="H234" s="1"/>
      <c r="L234" s="567"/>
    </row>
    <row r="235" spans="1:12" s="97" customFormat="1" ht="13.5" customHeight="1" x14ac:dyDescent="0.2">
      <c r="A235" s="578">
        <v>43522</v>
      </c>
      <c r="B235" s="569"/>
      <c r="C235" s="569" t="s">
        <v>1544</v>
      </c>
      <c r="D235" s="581"/>
      <c r="E235" s="582">
        <v>5000</v>
      </c>
      <c r="F235" s="573"/>
      <c r="G235" s="580">
        <v>24000</v>
      </c>
      <c r="H235" s="1"/>
      <c r="L235" s="567"/>
    </row>
    <row r="236" spans="1:12" s="97" customFormat="1" ht="13.5" customHeight="1" x14ac:dyDescent="0.2">
      <c r="A236" s="578">
        <v>43531</v>
      </c>
      <c r="B236" s="569"/>
      <c r="C236" s="569" t="s">
        <v>1390</v>
      </c>
      <c r="D236" s="581"/>
      <c r="E236" s="572"/>
      <c r="F236" s="579">
        <v>3000</v>
      </c>
      <c r="G236" s="580">
        <v>27000</v>
      </c>
      <c r="H236" s="1"/>
      <c r="L236" s="567"/>
    </row>
    <row r="237" spans="1:12" s="97" customFormat="1" ht="13.5" customHeight="1" x14ac:dyDescent="0.2">
      <c r="A237" s="578">
        <v>43536</v>
      </c>
      <c r="B237" s="569"/>
      <c r="C237" s="569" t="s">
        <v>1391</v>
      </c>
      <c r="D237" s="581"/>
      <c r="E237" s="572"/>
      <c r="F237" s="579">
        <v>3000</v>
      </c>
      <c r="G237" s="580">
        <v>30000</v>
      </c>
      <c r="H237" s="1"/>
      <c r="L237" s="567"/>
    </row>
    <row r="238" spans="1:12" s="97" customFormat="1" ht="13.5" customHeight="1" x14ac:dyDescent="0.2">
      <c r="A238" s="578">
        <v>43560</v>
      </c>
      <c r="B238" s="569"/>
      <c r="C238" s="569" t="s">
        <v>1390</v>
      </c>
      <c r="D238" s="581"/>
      <c r="E238" s="572"/>
      <c r="F238" s="579">
        <v>2000</v>
      </c>
      <c r="G238" s="580">
        <v>32000</v>
      </c>
      <c r="H238" s="1"/>
      <c r="L238" s="567"/>
    </row>
    <row r="239" spans="1:12" s="97" customFormat="1" ht="13.5" customHeight="1" x14ac:dyDescent="0.2">
      <c r="A239" s="578">
        <v>43565</v>
      </c>
      <c r="B239" s="569"/>
      <c r="C239" s="569" t="s">
        <v>1390</v>
      </c>
      <c r="D239" s="581"/>
      <c r="E239" s="572"/>
      <c r="F239" s="579">
        <v>8000</v>
      </c>
      <c r="G239" s="580">
        <v>40000</v>
      </c>
      <c r="H239" s="1"/>
      <c r="L239" s="567"/>
    </row>
    <row r="240" spans="1:12" s="97" customFormat="1" ht="13.5" customHeight="1" x14ac:dyDescent="0.2">
      <c r="A240" s="578">
        <v>43571</v>
      </c>
      <c r="B240" s="569"/>
      <c r="C240" s="569" t="s">
        <v>1544</v>
      </c>
      <c r="D240" s="581"/>
      <c r="E240" s="582">
        <v>4000</v>
      </c>
      <c r="F240" s="573"/>
      <c r="G240" s="580">
        <v>36000</v>
      </c>
      <c r="H240" s="1"/>
      <c r="L240" s="567"/>
    </row>
    <row r="241" spans="1:12" s="97" customFormat="1" ht="13.5" customHeight="1" x14ac:dyDescent="0.2">
      <c r="A241" s="578">
        <v>43580</v>
      </c>
      <c r="B241" s="569"/>
      <c r="C241" s="569" t="s">
        <v>1544</v>
      </c>
      <c r="D241" s="581"/>
      <c r="E241" s="582">
        <v>2000</v>
      </c>
      <c r="F241" s="573"/>
      <c r="G241" s="580">
        <v>34000</v>
      </c>
      <c r="H241" s="1"/>
      <c r="L241" s="567"/>
    </row>
    <row r="242" spans="1:12" s="97" customFormat="1" ht="13.5" customHeight="1" x14ac:dyDescent="0.2">
      <c r="A242" s="578">
        <v>43593</v>
      </c>
      <c r="B242" s="569"/>
      <c r="C242" s="569" t="s">
        <v>1390</v>
      </c>
      <c r="D242" s="581"/>
      <c r="E242" s="572"/>
      <c r="F242" s="579">
        <v>500</v>
      </c>
      <c r="G242" s="580">
        <v>34500</v>
      </c>
      <c r="H242" s="1"/>
      <c r="L242" s="567"/>
    </row>
    <row r="243" spans="1:12" s="97" customFormat="1" ht="13.5" customHeight="1" x14ac:dyDescent="0.2">
      <c r="A243" s="578">
        <v>43620</v>
      </c>
      <c r="B243" s="569"/>
      <c r="C243" s="569" t="s">
        <v>1390</v>
      </c>
      <c r="D243" s="581"/>
      <c r="E243" s="572"/>
      <c r="F243" s="579">
        <v>2500</v>
      </c>
      <c r="G243" s="580">
        <v>37000</v>
      </c>
      <c r="H243" s="1"/>
      <c r="L243" s="567"/>
    </row>
    <row r="244" spans="1:12" s="97" customFormat="1" ht="13.5" customHeight="1" x14ac:dyDescent="0.2">
      <c r="A244" s="578">
        <v>43633</v>
      </c>
      <c r="B244" s="569"/>
      <c r="C244" s="569" t="s">
        <v>1544</v>
      </c>
      <c r="D244" s="581"/>
      <c r="E244" s="582">
        <v>4000</v>
      </c>
      <c r="F244" s="573"/>
      <c r="G244" s="580">
        <v>33000</v>
      </c>
      <c r="H244" s="583"/>
      <c r="I244" s="1"/>
      <c r="J244" s="1"/>
      <c r="K244" s="1"/>
      <c r="L244" s="567"/>
    </row>
    <row r="245" spans="1:12" s="97" customFormat="1" ht="13.5" customHeight="1" x14ac:dyDescent="0.2">
      <c r="A245" s="578">
        <v>43651</v>
      </c>
      <c r="B245" s="585"/>
      <c r="C245" s="569" t="s">
        <v>1544</v>
      </c>
      <c r="D245" s="586"/>
      <c r="E245" s="579">
        <v>3000</v>
      </c>
      <c r="F245" s="573"/>
      <c r="G245" s="580">
        <v>30000</v>
      </c>
      <c r="I245" s="1"/>
      <c r="J245" s="1"/>
      <c r="K245" s="1"/>
    </row>
    <row r="246" spans="1:12" s="97" customFormat="1" ht="13.5" customHeight="1" x14ac:dyDescent="0.2">
      <c r="A246" s="578">
        <v>43668</v>
      </c>
      <c r="B246" s="585"/>
      <c r="C246" s="569" t="s">
        <v>1544</v>
      </c>
      <c r="D246" s="586"/>
      <c r="E246" s="579">
        <v>3000</v>
      </c>
      <c r="F246" s="573"/>
      <c r="G246" s="580">
        <v>27000</v>
      </c>
      <c r="I246" s="1"/>
      <c r="J246" s="1"/>
      <c r="K246" s="1"/>
    </row>
    <row r="247" spans="1:12" s="97" customFormat="1" ht="13.5" customHeight="1" x14ac:dyDescent="0.2">
      <c r="A247" s="578">
        <v>43682</v>
      </c>
      <c r="B247" s="603"/>
      <c r="C247" s="569" t="s">
        <v>1391</v>
      </c>
      <c r="D247" s="604"/>
      <c r="E247" s="573"/>
      <c r="F247" s="579">
        <v>2000</v>
      </c>
      <c r="G247" s="580">
        <v>29000</v>
      </c>
      <c r="I247" s="1"/>
      <c r="J247" s="1"/>
      <c r="K247" s="1"/>
    </row>
    <row r="248" spans="1:12" s="97" customFormat="1" ht="13.5" customHeight="1" x14ac:dyDescent="0.2">
      <c r="A248" s="171" t="s">
        <v>3158</v>
      </c>
      <c r="B248" s="603"/>
      <c r="C248" s="569" t="s">
        <v>1391</v>
      </c>
      <c r="D248" s="604"/>
      <c r="E248" s="573"/>
      <c r="F248" s="579">
        <v>1500</v>
      </c>
      <c r="G248" s="580">
        <v>30500</v>
      </c>
      <c r="I248" s="1"/>
      <c r="J248" s="1"/>
      <c r="K248" s="1"/>
    </row>
    <row r="249" spans="1:12" s="97" customFormat="1" ht="13.5" customHeight="1" x14ac:dyDescent="0.2">
      <c r="A249" s="171" t="s">
        <v>3165</v>
      </c>
      <c r="B249" s="603"/>
      <c r="C249" s="569" t="s">
        <v>1391</v>
      </c>
      <c r="D249" s="604"/>
      <c r="E249" s="573"/>
      <c r="F249" s="579">
        <v>3000</v>
      </c>
      <c r="G249" s="580">
        <v>33500</v>
      </c>
      <c r="I249" s="1"/>
      <c r="J249" s="1"/>
      <c r="K249" s="1"/>
    </row>
    <row r="250" spans="1:12" s="97" customFormat="1" ht="13.5" customHeight="1" x14ac:dyDescent="0.2">
      <c r="A250" s="171" t="s">
        <v>3197</v>
      </c>
      <c r="B250" s="603"/>
      <c r="C250" s="569" t="s">
        <v>1544</v>
      </c>
      <c r="D250" s="604"/>
      <c r="E250" s="579">
        <v>3000</v>
      </c>
      <c r="F250" s="573"/>
      <c r="G250" s="580">
        <v>30500</v>
      </c>
      <c r="I250" s="1"/>
      <c r="J250" s="1"/>
      <c r="K250" s="1"/>
    </row>
    <row r="251" spans="1:12" s="97" customFormat="1" ht="13.5" customHeight="1" x14ac:dyDescent="0.2">
      <c r="A251" s="171" t="s">
        <v>3203</v>
      </c>
      <c r="B251" s="603"/>
      <c r="C251" s="569" t="s">
        <v>1391</v>
      </c>
      <c r="D251" s="604"/>
      <c r="E251" s="573"/>
      <c r="F251" s="579">
        <v>2000</v>
      </c>
      <c r="G251" s="580">
        <v>32500</v>
      </c>
      <c r="I251" s="1"/>
      <c r="J251" s="1"/>
      <c r="K251" s="1"/>
    </row>
    <row r="252" spans="1:12" s="97" customFormat="1" ht="13.5" customHeight="1" x14ac:dyDescent="0.2">
      <c r="A252" s="578"/>
      <c r="B252" s="603"/>
      <c r="C252" s="569" t="s">
        <v>1391</v>
      </c>
      <c r="D252" s="604"/>
      <c r="E252" s="573"/>
      <c r="F252" s="579">
        <v>2000</v>
      </c>
      <c r="G252" s="580">
        <v>34500</v>
      </c>
      <c r="I252" s="1"/>
      <c r="J252" s="1"/>
      <c r="K252" s="1"/>
    </row>
    <row r="253" spans="1:12" s="97" customFormat="1" ht="13.5" customHeight="1" x14ac:dyDescent="0.2">
      <c r="A253" s="578">
        <v>43775</v>
      </c>
      <c r="B253" s="603"/>
      <c r="C253" s="32" t="s">
        <v>1390</v>
      </c>
      <c r="D253" s="604"/>
      <c r="E253" s="573"/>
      <c r="F253" s="579">
        <v>1000</v>
      </c>
      <c r="G253" s="580">
        <v>35500</v>
      </c>
      <c r="I253" s="1"/>
      <c r="J253" s="1"/>
      <c r="K253" s="1"/>
    </row>
    <row r="254" spans="1:12" s="97" customFormat="1" ht="13.5" customHeight="1" x14ac:dyDescent="0.2">
      <c r="A254" s="578">
        <v>43805</v>
      </c>
      <c r="B254" s="603"/>
      <c r="C254" s="32" t="s">
        <v>1390</v>
      </c>
      <c r="D254" s="604"/>
      <c r="E254" s="573"/>
      <c r="F254" s="579">
        <v>1000</v>
      </c>
      <c r="G254" s="574">
        <v>36500</v>
      </c>
      <c r="I254" s="1"/>
      <c r="J254" s="1"/>
      <c r="K254" s="1"/>
    </row>
    <row r="255" spans="1:12" s="97" customFormat="1" ht="13.5" customHeight="1" thickBot="1" x14ac:dyDescent="0.25">
      <c r="A255" s="578"/>
      <c r="B255" s="569"/>
      <c r="C255" s="569"/>
      <c r="D255" s="581"/>
      <c r="E255" s="572"/>
      <c r="F255" s="573"/>
      <c r="G255" s="580"/>
      <c r="I255" s="1"/>
      <c r="J255" s="1"/>
      <c r="K255" s="1"/>
    </row>
    <row r="256" spans="1:12" ht="13.5" customHeight="1" thickBot="1" x14ac:dyDescent="0.25">
      <c r="A256" s="213"/>
      <c r="B256" s="214"/>
      <c r="C256" s="215" t="s">
        <v>539</v>
      </c>
      <c r="D256" s="216"/>
      <c r="E256" s="187"/>
      <c r="F256" s="187"/>
      <c r="G256" s="217" t="s">
        <v>7</v>
      </c>
    </row>
    <row r="257" spans="1:7" ht="13.5" customHeight="1" x14ac:dyDescent="0.2">
      <c r="A257" s="74" t="s">
        <v>540</v>
      </c>
      <c r="B257" s="74"/>
      <c r="C257" s="218" t="s">
        <v>541</v>
      </c>
      <c r="D257" s="219"/>
      <c r="E257" s="220"/>
      <c r="F257" s="220"/>
      <c r="G257" s="75">
        <v>0</v>
      </c>
    </row>
    <row r="258" spans="1:7" ht="13.5" customHeight="1" x14ac:dyDescent="0.2">
      <c r="A258" s="221" t="s">
        <v>540</v>
      </c>
      <c r="B258" s="70"/>
      <c r="C258" s="63" t="s">
        <v>542</v>
      </c>
      <c r="D258" s="50"/>
      <c r="E258" s="13"/>
      <c r="F258" s="13"/>
      <c r="G258" s="75">
        <v>0</v>
      </c>
    </row>
    <row r="259" spans="1:7" ht="13.5" customHeight="1" x14ac:dyDescent="0.2">
      <c r="A259" s="70"/>
      <c r="B259" s="70"/>
      <c r="C259" s="222" t="s">
        <v>543</v>
      </c>
      <c r="D259" s="50"/>
      <c r="E259" s="13"/>
      <c r="F259" s="13"/>
      <c r="G259" s="14">
        <f>J214</f>
        <v>5441.54</v>
      </c>
    </row>
    <row r="260" spans="1:7" ht="13.5" customHeight="1" x14ac:dyDescent="0.2">
      <c r="A260" s="70"/>
      <c r="B260" s="70"/>
      <c r="C260" s="63"/>
      <c r="D260" s="50"/>
      <c r="E260" s="13"/>
      <c r="F260" s="13"/>
      <c r="G260" s="14"/>
    </row>
    <row r="261" spans="1:7" ht="13.5" customHeight="1" x14ac:dyDescent="0.2">
      <c r="A261" s="70"/>
      <c r="B261" s="70"/>
      <c r="C261" s="222" t="s">
        <v>544</v>
      </c>
      <c r="D261" s="50"/>
      <c r="E261" s="13"/>
      <c r="F261" s="13"/>
      <c r="G261" s="14">
        <v>0</v>
      </c>
    </row>
    <row r="262" spans="1:7" ht="13.5" customHeight="1" x14ac:dyDescent="0.2">
      <c r="A262" s="70"/>
      <c r="B262" s="70"/>
      <c r="C262" s="63"/>
      <c r="D262" s="50"/>
      <c r="E262" s="13"/>
      <c r="F262" s="13"/>
      <c r="G262" s="75"/>
    </row>
    <row r="263" spans="1:7" ht="13.5" customHeight="1" x14ac:dyDescent="0.2">
      <c r="A263" s="76"/>
      <c r="B263" s="76"/>
      <c r="C263" s="222" t="s">
        <v>545</v>
      </c>
      <c r="D263" s="78"/>
      <c r="E263" s="78"/>
      <c r="F263" s="78"/>
      <c r="G263" s="14">
        <v>0</v>
      </c>
    </row>
    <row r="264" spans="1:7" ht="13.5" customHeight="1" x14ac:dyDescent="0.2">
      <c r="A264" s="76"/>
      <c r="B264" s="76"/>
      <c r="C264" s="78"/>
      <c r="D264" s="78"/>
      <c r="E264" s="78"/>
      <c r="F264" s="78"/>
      <c r="G264" s="75"/>
    </row>
    <row r="265" spans="1:7" ht="13.5" customHeight="1" x14ac:dyDescent="0.2">
      <c r="A265" s="70"/>
      <c r="B265" s="70"/>
      <c r="C265" s="63"/>
      <c r="D265" s="50"/>
      <c r="E265" s="13"/>
      <c r="F265" s="13"/>
      <c r="G265" s="75"/>
    </row>
    <row r="266" spans="1:7" ht="13.5" customHeight="1" x14ac:dyDescent="0.2">
      <c r="A266" s="70"/>
      <c r="B266" s="70"/>
      <c r="C266" s="63"/>
      <c r="D266" s="50"/>
      <c r="E266" s="13"/>
      <c r="F266" s="13"/>
      <c r="G266" s="182"/>
    </row>
    <row r="267" spans="1:7" ht="13.5" customHeight="1" x14ac:dyDescent="0.2">
      <c r="A267" s="70"/>
      <c r="B267" s="70"/>
      <c r="C267" s="63"/>
      <c r="D267" s="50"/>
      <c r="E267" s="13"/>
      <c r="F267" s="13"/>
      <c r="G267" s="182"/>
    </row>
    <row r="268" spans="1:7" ht="13.5" customHeight="1" x14ac:dyDescent="0.2">
      <c r="A268" s="70"/>
      <c r="B268" s="70"/>
      <c r="C268" s="63"/>
      <c r="D268" s="50"/>
      <c r="E268" s="13"/>
      <c r="F268" s="13"/>
      <c r="G268" s="182"/>
    </row>
    <row r="269" spans="1:7" ht="13.5" customHeight="1" x14ac:dyDescent="0.2">
      <c r="A269" s="70"/>
      <c r="B269" s="70"/>
      <c r="C269" s="63"/>
      <c r="D269" s="50"/>
      <c r="E269" s="13"/>
      <c r="F269" s="13"/>
      <c r="G269" s="182"/>
    </row>
    <row r="270" spans="1:7" ht="13.5" customHeight="1" x14ac:dyDescent="0.2">
      <c r="A270" s="70"/>
      <c r="B270" s="70"/>
      <c r="C270" s="63"/>
      <c r="D270" s="50"/>
      <c r="E270" s="13"/>
      <c r="F270" s="13"/>
      <c r="G270" s="182"/>
    </row>
    <row r="271" spans="1:7" ht="13.5" customHeight="1" x14ac:dyDescent="0.2">
      <c r="A271" s="70"/>
      <c r="B271" s="70"/>
      <c r="C271" s="63"/>
      <c r="D271" s="50"/>
      <c r="E271" s="13"/>
      <c r="F271" s="13"/>
      <c r="G271" s="182"/>
    </row>
    <row r="272" spans="1:7" ht="13.5" customHeight="1" x14ac:dyDescent="0.2">
      <c r="A272" s="70"/>
      <c r="B272" s="70"/>
      <c r="C272" s="63"/>
      <c r="D272" s="50"/>
      <c r="E272" s="13"/>
      <c r="F272" s="13"/>
      <c r="G272" s="182"/>
    </row>
    <row r="273" spans="1:7" ht="13.5" customHeight="1" x14ac:dyDescent="0.2">
      <c r="A273" s="70"/>
      <c r="B273" s="70"/>
      <c r="C273" s="63"/>
      <c r="D273" s="50"/>
      <c r="E273" s="13"/>
      <c r="F273" s="13"/>
      <c r="G273" s="182"/>
    </row>
    <row r="274" spans="1:7" ht="13.5" customHeight="1" x14ac:dyDescent="0.2">
      <c r="A274" s="70"/>
      <c r="B274" s="70"/>
      <c r="C274" s="63"/>
      <c r="D274" s="50"/>
      <c r="E274" s="13"/>
      <c r="F274" s="13"/>
      <c r="G274" s="182"/>
    </row>
    <row r="275" spans="1:7" ht="13.5" customHeight="1" x14ac:dyDescent="0.2">
      <c r="A275" s="70"/>
      <c r="B275" s="70"/>
      <c r="C275" s="63"/>
      <c r="D275" s="50"/>
      <c r="E275" s="13"/>
      <c r="F275" s="13"/>
      <c r="G275" s="182"/>
    </row>
    <row r="276" spans="1:7" ht="13.5" customHeight="1" x14ac:dyDescent="0.2">
      <c r="A276" s="70"/>
      <c r="B276" s="70"/>
      <c r="C276" s="63"/>
      <c r="D276" s="50"/>
      <c r="E276" s="13"/>
      <c r="F276" s="13"/>
      <c r="G276" s="182"/>
    </row>
    <row r="277" spans="1:7" ht="13.5" customHeight="1" x14ac:dyDescent="0.2">
      <c r="A277" s="70"/>
      <c r="B277" s="70"/>
      <c r="C277" s="63"/>
      <c r="D277" s="50"/>
      <c r="E277" s="13"/>
      <c r="F277" s="13"/>
      <c r="G277" s="182"/>
    </row>
    <row r="278" spans="1:7" ht="13.5" customHeight="1" x14ac:dyDescent="0.2">
      <c r="A278" s="70"/>
      <c r="B278" s="70"/>
      <c r="C278" s="63"/>
      <c r="D278" s="50"/>
      <c r="E278" s="13"/>
      <c r="F278" s="13"/>
      <c r="G278" s="182"/>
    </row>
    <row r="279" spans="1:7" ht="13.5" customHeight="1" x14ac:dyDescent="0.2">
      <c r="A279" s="70"/>
      <c r="B279" s="70"/>
      <c r="C279" s="63"/>
      <c r="D279" s="50"/>
      <c r="E279" s="13"/>
      <c r="F279" s="13"/>
      <c r="G279" s="182"/>
    </row>
    <row r="280" spans="1:7" ht="13.5" customHeight="1" x14ac:dyDescent="0.2">
      <c r="A280" s="70"/>
      <c r="B280" s="70"/>
      <c r="C280" s="63"/>
      <c r="D280" s="50"/>
      <c r="E280" s="13"/>
      <c r="F280" s="13"/>
      <c r="G280" s="182"/>
    </row>
    <row r="281" spans="1:7" ht="13.5" customHeight="1" x14ac:dyDescent="0.2">
      <c r="A281" s="70"/>
      <c r="B281" s="70"/>
      <c r="C281" s="63"/>
      <c r="D281" s="50"/>
      <c r="E281" s="13"/>
      <c r="F281" s="13"/>
      <c r="G281" s="182"/>
    </row>
    <row r="282" spans="1:7" ht="13.5" customHeight="1" x14ac:dyDescent="0.2">
      <c r="A282" s="70"/>
      <c r="B282" s="70"/>
      <c r="C282" s="63"/>
      <c r="D282" s="50"/>
      <c r="E282" s="13"/>
      <c r="F282" s="13"/>
      <c r="G282" s="182"/>
    </row>
    <row r="283" spans="1:7" ht="13.5" customHeight="1" x14ac:dyDescent="0.2">
      <c r="A283" s="70"/>
      <c r="B283" s="70"/>
      <c r="C283" s="63"/>
      <c r="D283" s="50"/>
      <c r="E283" s="13"/>
      <c r="F283" s="13"/>
      <c r="G283" s="182"/>
    </row>
    <row r="284" spans="1:7" ht="13.5" customHeight="1" x14ac:dyDescent="0.2">
      <c r="A284" s="70"/>
      <c r="B284" s="70"/>
      <c r="C284" s="63"/>
      <c r="D284" s="50"/>
      <c r="E284" s="13"/>
      <c r="F284" s="13"/>
      <c r="G284" s="182"/>
    </row>
    <row r="285" spans="1:7" ht="13.5" customHeight="1" x14ac:dyDescent="0.2">
      <c r="A285" s="70"/>
      <c r="B285" s="70"/>
      <c r="C285" s="63"/>
      <c r="D285" s="50"/>
      <c r="E285" s="13"/>
      <c r="F285" s="13"/>
      <c r="G285" s="182"/>
    </row>
    <row r="286" spans="1:7" ht="13.5" customHeight="1" x14ac:dyDescent="0.2">
      <c r="A286" s="70"/>
      <c r="B286" s="70"/>
      <c r="C286" s="63"/>
      <c r="D286" s="50"/>
      <c r="E286" s="13"/>
      <c r="F286" s="13"/>
      <c r="G286" s="182"/>
    </row>
    <row r="287" spans="1:7" ht="13.5" customHeight="1" x14ac:dyDescent="0.2">
      <c r="A287" s="70"/>
      <c r="B287" s="70"/>
      <c r="C287" s="63"/>
      <c r="D287" s="50"/>
      <c r="E287" s="13"/>
      <c r="F287" s="13"/>
      <c r="G287" s="182"/>
    </row>
    <row r="288" spans="1:7" ht="13.5" customHeight="1" x14ac:dyDescent="0.2">
      <c r="A288" s="70"/>
      <c r="B288" s="70"/>
      <c r="C288" s="63"/>
      <c r="D288" s="50"/>
      <c r="E288" s="13"/>
      <c r="F288" s="13"/>
      <c r="G288" s="182"/>
    </row>
    <row r="289" spans="1:7" ht="13.5" customHeight="1" x14ac:dyDescent="0.2">
      <c r="A289" s="70"/>
      <c r="B289" s="70"/>
      <c r="C289" s="63"/>
      <c r="D289" s="50"/>
      <c r="E289" s="13"/>
      <c r="F289" s="13"/>
      <c r="G289" s="182"/>
    </row>
    <row r="290" spans="1:7" ht="13.5" customHeight="1" x14ac:dyDescent="0.2">
      <c r="A290" s="70"/>
      <c r="B290" s="70"/>
      <c r="C290" s="63"/>
      <c r="D290" s="50"/>
      <c r="E290" s="13"/>
      <c r="F290" s="13"/>
      <c r="G290" s="182"/>
    </row>
    <row r="291" spans="1:7" ht="13.5" customHeight="1" x14ac:dyDescent="0.2">
      <c r="A291" s="70"/>
      <c r="B291" s="70"/>
      <c r="C291" s="63"/>
      <c r="D291" s="50"/>
      <c r="E291" s="13"/>
      <c r="F291" s="13"/>
      <c r="G291" s="182"/>
    </row>
    <row r="292" spans="1:7" ht="13.5" customHeight="1" x14ac:dyDescent="0.2">
      <c r="A292" s="70"/>
      <c r="B292" s="70"/>
      <c r="C292" s="63"/>
      <c r="D292" s="50"/>
      <c r="E292" s="13"/>
      <c r="F292" s="13"/>
      <c r="G292" s="182"/>
    </row>
    <row r="293" spans="1:7" ht="13.5" customHeight="1" x14ac:dyDescent="0.2">
      <c r="A293" s="131"/>
      <c r="B293" s="70"/>
      <c r="C293" s="64"/>
      <c r="D293" s="50"/>
      <c r="E293" s="13"/>
      <c r="F293" s="13"/>
      <c r="G293" s="182"/>
    </row>
    <row r="294" spans="1:7" ht="13.5" customHeight="1" x14ac:dyDescent="0.2">
      <c r="A294" s="70"/>
      <c r="B294" s="70"/>
      <c r="C294" s="63"/>
      <c r="D294" s="50"/>
      <c r="E294" s="13"/>
      <c r="F294" s="13"/>
      <c r="G294" s="182"/>
    </row>
    <row r="295" spans="1:7" ht="13.5" customHeight="1" x14ac:dyDescent="0.2">
      <c r="A295" s="70"/>
      <c r="B295" s="70"/>
      <c r="C295" s="63"/>
      <c r="D295" s="50"/>
      <c r="E295" s="13"/>
      <c r="F295" s="13"/>
      <c r="G295" s="182"/>
    </row>
    <row r="296" spans="1:7" ht="13.5" customHeight="1" x14ac:dyDescent="0.2">
      <c r="A296" s="131"/>
      <c r="B296" s="70"/>
      <c r="C296" s="85"/>
      <c r="D296" s="50"/>
      <c r="E296" s="13"/>
      <c r="F296" s="13"/>
      <c r="G296" s="182"/>
    </row>
    <row r="297" spans="1:7" ht="13.5" customHeight="1" x14ac:dyDescent="0.2">
      <c r="A297" s="131"/>
      <c r="B297" s="70"/>
      <c r="C297" s="63"/>
      <c r="D297" s="50"/>
      <c r="E297" s="13"/>
      <c r="F297" s="13"/>
      <c r="G297" s="182"/>
    </row>
    <row r="298" spans="1:7" ht="13.5" customHeight="1" x14ac:dyDescent="0.2">
      <c r="A298" s="131"/>
      <c r="B298" s="70"/>
      <c r="C298" s="63"/>
      <c r="D298" s="50"/>
      <c r="E298" s="13"/>
      <c r="F298" s="13"/>
      <c r="G298" s="182"/>
    </row>
    <row r="299" spans="1:7" ht="13.5" customHeight="1" x14ac:dyDescent="0.2">
      <c r="A299" s="131"/>
      <c r="B299" s="70"/>
      <c r="C299" s="64"/>
      <c r="D299" s="50"/>
      <c r="E299" s="13"/>
      <c r="F299" s="13"/>
      <c r="G299" s="182"/>
    </row>
    <row r="300" spans="1:7" ht="13.5" customHeight="1" x14ac:dyDescent="0.2">
      <c r="A300" s="70"/>
      <c r="B300" s="70"/>
      <c r="C300" s="63"/>
      <c r="D300" s="50"/>
      <c r="E300" s="13"/>
      <c r="F300" s="13"/>
      <c r="G300" s="182"/>
    </row>
    <row r="301" spans="1:7" ht="13.5" customHeight="1" x14ac:dyDescent="0.2">
      <c r="A301" s="131"/>
      <c r="B301" s="70"/>
      <c r="C301" s="63"/>
      <c r="D301" s="50"/>
      <c r="E301" s="13"/>
      <c r="F301" s="13"/>
      <c r="G301" s="182"/>
    </row>
    <row r="302" spans="1:7" ht="13.5" customHeight="1" x14ac:dyDescent="0.2">
      <c r="A302" s="131"/>
      <c r="B302" s="70"/>
      <c r="C302" s="64"/>
      <c r="D302" s="50"/>
      <c r="E302" s="13"/>
      <c r="F302" s="13"/>
      <c r="G302" s="182"/>
    </row>
    <row r="303" spans="1:7" ht="13.5" customHeight="1" x14ac:dyDescent="0.2">
      <c r="A303" s="70"/>
      <c r="B303" s="70"/>
      <c r="C303" s="63"/>
      <c r="D303" s="50"/>
      <c r="E303" s="13"/>
      <c r="F303" s="13"/>
      <c r="G303" s="182"/>
    </row>
    <row r="304" spans="1:7" ht="13.5" customHeight="1" x14ac:dyDescent="0.2">
      <c r="A304" s="131"/>
      <c r="B304" s="70"/>
      <c r="C304" s="63"/>
      <c r="D304" s="50"/>
      <c r="E304" s="13"/>
      <c r="F304" s="13"/>
      <c r="G304" s="182"/>
    </row>
    <row r="305" spans="1:7" ht="13.5" customHeight="1" x14ac:dyDescent="0.2">
      <c r="A305" s="131"/>
      <c r="B305" s="70"/>
      <c r="C305" s="64"/>
      <c r="D305" s="50"/>
      <c r="E305" s="13"/>
      <c r="F305" s="13"/>
      <c r="G305" s="182"/>
    </row>
    <row r="306" spans="1:7" ht="13.5" customHeight="1" x14ac:dyDescent="0.2">
      <c r="A306" s="70"/>
      <c r="B306" s="70"/>
      <c r="C306" s="63"/>
      <c r="D306" s="50"/>
      <c r="E306" s="13"/>
      <c r="F306" s="13"/>
      <c r="G306" s="182"/>
    </row>
    <row r="307" spans="1:7" ht="13.5" customHeight="1" x14ac:dyDescent="0.2">
      <c r="A307" s="70"/>
      <c r="B307" s="70"/>
      <c r="C307" s="63"/>
      <c r="D307" s="50"/>
      <c r="E307" s="13"/>
      <c r="F307" s="13"/>
      <c r="G307" s="182"/>
    </row>
    <row r="308" spans="1:7" ht="13.5" customHeight="1" x14ac:dyDescent="0.2">
      <c r="A308" s="70"/>
      <c r="B308" s="70"/>
      <c r="C308" s="63"/>
      <c r="D308" s="50"/>
      <c r="E308" s="13"/>
      <c r="F308" s="13"/>
      <c r="G308" s="182"/>
    </row>
    <row r="309" spans="1:7" ht="13.5" customHeight="1" x14ac:dyDescent="0.2">
      <c r="A309" s="131"/>
      <c r="B309" s="70"/>
      <c r="C309" s="86"/>
      <c r="D309" s="50"/>
      <c r="E309" s="13"/>
      <c r="F309" s="13"/>
      <c r="G309" s="182"/>
    </row>
    <row r="310" spans="1:7" ht="13.5" customHeight="1" x14ac:dyDescent="0.2">
      <c r="A310" s="131"/>
      <c r="B310" s="70"/>
      <c r="C310" s="85"/>
      <c r="D310" s="50"/>
      <c r="E310" s="13"/>
      <c r="F310" s="13"/>
      <c r="G310" s="182"/>
    </row>
    <row r="311" spans="1:7" ht="13.5" customHeight="1" x14ac:dyDescent="0.2">
      <c r="A311" s="131"/>
      <c r="B311" s="70"/>
      <c r="C311" s="87"/>
      <c r="D311" s="50"/>
      <c r="E311" s="13"/>
      <c r="F311" s="13"/>
      <c r="G311" s="182"/>
    </row>
    <row r="312" spans="1:7" ht="13.5" customHeight="1" x14ac:dyDescent="0.2">
      <c r="A312" s="131"/>
      <c r="B312" s="70"/>
      <c r="C312" s="88"/>
      <c r="D312" s="50"/>
      <c r="E312" s="13"/>
      <c r="F312" s="13"/>
      <c r="G312" s="182"/>
    </row>
    <row r="313" spans="1:7" ht="13.5" customHeight="1" x14ac:dyDescent="0.2">
      <c r="A313" s="91"/>
      <c r="B313" s="9"/>
      <c r="C313" s="56"/>
      <c r="D313" s="11"/>
      <c r="E313" s="12"/>
      <c r="F313" s="12"/>
      <c r="G313" s="182"/>
    </row>
    <row r="314" spans="1:7" ht="13.5" customHeight="1" x14ac:dyDescent="0.2">
      <c r="A314" s="9"/>
      <c r="B314" s="9"/>
      <c r="C314" s="56"/>
      <c r="D314" s="11"/>
      <c r="E314" s="12"/>
      <c r="F314" s="12"/>
      <c r="G314" s="182"/>
    </row>
    <row r="315" spans="1:7" ht="13.5" customHeight="1" x14ac:dyDescent="0.2">
      <c r="A315" s="9"/>
      <c r="B315" s="9"/>
      <c r="C315" s="56"/>
      <c r="D315" s="11"/>
      <c r="E315" s="12"/>
      <c r="F315" s="12"/>
      <c r="G315" s="182"/>
    </row>
    <row r="316" spans="1:7" ht="13.5" customHeight="1" x14ac:dyDescent="0.2">
      <c r="A316" s="91"/>
      <c r="B316" s="9"/>
      <c r="D316" s="11"/>
      <c r="E316" s="12"/>
      <c r="F316" s="12"/>
      <c r="G316" s="182"/>
    </row>
    <row r="317" spans="1:7" ht="13.5" customHeight="1" x14ac:dyDescent="0.2">
      <c r="A317" s="9"/>
      <c r="B317" s="9"/>
      <c r="C317" s="56"/>
      <c r="D317" s="11"/>
      <c r="E317" s="12"/>
      <c r="F317" s="12"/>
      <c r="G317" s="182"/>
    </row>
    <row r="318" spans="1:7" ht="13.5" customHeight="1" x14ac:dyDescent="0.2">
      <c r="A318" s="9"/>
      <c r="B318" s="9"/>
      <c r="C318" s="56"/>
      <c r="D318" s="11"/>
      <c r="E318" s="12"/>
      <c r="F318" s="12"/>
      <c r="G318" s="182"/>
    </row>
    <row r="319" spans="1:7" ht="13.5" customHeight="1" x14ac:dyDescent="0.2">
      <c r="A319" s="9"/>
      <c r="B319" s="9"/>
      <c r="C319" s="56"/>
      <c r="D319" s="11"/>
      <c r="E319" s="12"/>
      <c r="F319" s="12"/>
      <c r="G319" s="182"/>
    </row>
    <row r="320" spans="1:7" ht="13.5" customHeight="1" x14ac:dyDescent="0.2">
      <c r="A320" s="91"/>
      <c r="B320" s="9"/>
      <c r="C320" s="27"/>
      <c r="D320" s="11"/>
      <c r="E320" s="12"/>
      <c r="F320" s="12"/>
      <c r="G320" s="182"/>
    </row>
    <row r="321" spans="1:7" ht="13.5" customHeight="1" x14ac:dyDescent="0.2">
      <c r="A321" s="91"/>
      <c r="B321" s="9"/>
      <c r="C321" s="27"/>
      <c r="D321" s="11"/>
      <c r="E321" s="12"/>
      <c r="F321" s="12"/>
      <c r="G321" s="182"/>
    </row>
    <row r="322" spans="1:7" ht="13.5" customHeight="1" x14ac:dyDescent="0.2">
      <c r="A322" s="91"/>
      <c r="B322" s="9"/>
      <c r="D322" s="11"/>
      <c r="E322" s="12"/>
      <c r="F322" s="12"/>
      <c r="G322" s="182"/>
    </row>
    <row r="323" spans="1:7" ht="13.5" customHeight="1" x14ac:dyDescent="0.2">
      <c r="A323" s="9"/>
      <c r="B323" s="9"/>
      <c r="C323" s="56"/>
      <c r="D323" s="11"/>
      <c r="E323" s="12"/>
      <c r="F323" s="12"/>
      <c r="G323" s="182"/>
    </row>
    <row r="324" spans="1:7" ht="13.5" customHeight="1" x14ac:dyDescent="0.2">
      <c r="A324" s="9"/>
      <c r="B324" s="9"/>
      <c r="C324" s="56"/>
      <c r="D324" s="11"/>
      <c r="E324" s="12"/>
      <c r="F324" s="12"/>
      <c r="G324" s="182"/>
    </row>
    <row r="325" spans="1:7" ht="13.5" customHeight="1" x14ac:dyDescent="0.2">
      <c r="A325" s="9"/>
      <c r="B325" s="9"/>
      <c r="C325" s="56"/>
      <c r="D325" s="11"/>
      <c r="E325" s="12"/>
      <c r="F325" s="12"/>
      <c r="G325" s="182"/>
    </row>
    <row r="326" spans="1:7" ht="13.5" customHeight="1" x14ac:dyDescent="0.2">
      <c r="A326" s="9"/>
      <c r="B326" s="9"/>
      <c r="C326" s="56"/>
      <c r="D326" s="11"/>
      <c r="E326" s="12"/>
      <c r="F326" s="12"/>
      <c r="G326" s="182"/>
    </row>
    <row r="327" spans="1:7" x14ac:dyDescent="0.2">
      <c r="A327" s="132"/>
      <c r="B327" s="93"/>
      <c r="C327" s="94"/>
      <c r="D327" s="27"/>
      <c r="E327" s="27"/>
      <c r="F327" s="27"/>
      <c r="G327" s="182"/>
    </row>
  </sheetData>
  <mergeCells count="3">
    <mergeCell ref="A1:C1"/>
    <mergeCell ref="D1:G1"/>
    <mergeCell ref="H174:J174"/>
  </mergeCells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U305"/>
  <sheetViews>
    <sheetView zoomScale="90" zoomScaleNormal="90" workbookViewId="0">
      <selection sqref="A1:XFD1"/>
    </sheetView>
  </sheetViews>
  <sheetFormatPr defaultColWidth="9" defaultRowHeight="12.75" x14ac:dyDescent="0.2"/>
  <cols>
    <col min="1" max="1" width="13.875" style="1" customWidth="1"/>
    <col min="2" max="2" width="105" style="1" bestFit="1" customWidth="1"/>
    <col min="3" max="3" width="12.5" style="622" customWidth="1"/>
    <col min="4" max="4" width="15" style="622" customWidth="1"/>
    <col min="5" max="5" width="11.5" style="1" customWidth="1"/>
    <col min="6" max="6" width="12.125" style="1" customWidth="1"/>
    <col min="7" max="7" width="9" style="1"/>
    <col min="8" max="8" width="10.75" style="1" customWidth="1"/>
    <col min="9" max="9" width="9" style="1"/>
    <col min="10" max="10" width="11.75" style="1" customWidth="1"/>
    <col min="11" max="16384" width="9" style="1"/>
  </cols>
  <sheetData>
    <row r="1" spans="1:10" x14ac:dyDescent="0.2">
      <c r="F1" s="97" t="s">
        <v>218</v>
      </c>
      <c r="G1" s="97" t="s">
        <v>219</v>
      </c>
      <c r="H1" s="97" t="s">
        <v>220</v>
      </c>
      <c r="I1" s="97" t="s">
        <v>221</v>
      </c>
      <c r="J1" s="97" t="s">
        <v>222</v>
      </c>
    </row>
    <row r="2" spans="1:10" ht="13.5" customHeight="1" x14ac:dyDescent="0.2">
      <c r="A2" s="126" t="s">
        <v>240</v>
      </c>
      <c r="B2" s="32" t="s">
        <v>3456</v>
      </c>
      <c r="D2" s="622">
        <v>950.00000000000011</v>
      </c>
      <c r="F2" s="622">
        <v>1058.6300000000001</v>
      </c>
      <c r="G2" s="25">
        <v>90</v>
      </c>
      <c r="H2" s="402"/>
      <c r="I2" s="402">
        <v>18.63</v>
      </c>
      <c r="J2" s="104">
        <f>F2-G2-H2-I2</f>
        <v>950.00000000000011</v>
      </c>
    </row>
    <row r="3" spans="1:10" ht="13.5" customHeight="1" x14ac:dyDescent="0.2">
      <c r="A3" s="126" t="s">
        <v>240</v>
      </c>
      <c r="B3" s="36" t="s">
        <v>3391</v>
      </c>
      <c r="D3" s="622">
        <v>1049.95</v>
      </c>
      <c r="F3" s="622">
        <v>1168</v>
      </c>
      <c r="G3" s="25">
        <v>90</v>
      </c>
      <c r="H3" s="402"/>
      <c r="I3" s="402">
        <v>28.05</v>
      </c>
      <c r="J3" s="104">
        <f t="shared" ref="J3:J14" si="0">F3-G3-H3-I3</f>
        <v>1049.95</v>
      </c>
    </row>
    <row r="4" spans="1:10" ht="13.5" customHeight="1" x14ac:dyDescent="0.2">
      <c r="A4" s="126" t="s">
        <v>240</v>
      </c>
      <c r="B4" s="36" t="s">
        <v>3406</v>
      </c>
      <c r="D4" s="622">
        <v>1010</v>
      </c>
      <c r="F4" s="622">
        <v>1100</v>
      </c>
      <c r="G4" s="25">
        <v>90</v>
      </c>
      <c r="H4" s="402"/>
      <c r="I4" s="402"/>
      <c r="J4" s="104">
        <f t="shared" si="0"/>
        <v>1010</v>
      </c>
    </row>
    <row r="5" spans="1:10" ht="13.5" customHeight="1" x14ac:dyDescent="0.2">
      <c r="A5" s="126" t="s">
        <v>240</v>
      </c>
      <c r="B5" s="32" t="s">
        <v>3455</v>
      </c>
      <c r="D5" s="622">
        <v>1400</v>
      </c>
      <c r="F5" s="622">
        <v>1518.28</v>
      </c>
      <c r="G5" s="25">
        <v>90</v>
      </c>
      <c r="H5" s="402"/>
      <c r="I5" s="402">
        <v>28.28</v>
      </c>
      <c r="J5" s="104">
        <f>F5-G5-H5-I5</f>
        <v>1400</v>
      </c>
    </row>
    <row r="6" spans="1:10" ht="13.5" customHeight="1" x14ac:dyDescent="0.2">
      <c r="A6" s="126" t="s">
        <v>240</v>
      </c>
      <c r="B6" s="36" t="s">
        <v>3414</v>
      </c>
      <c r="D6" s="622">
        <v>1400</v>
      </c>
      <c r="F6" s="622">
        <v>1507.15</v>
      </c>
      <c r="G6" s="25">
        <v>90</v>
      </c>
      <c r="H6" s="402"/>
      <c r="I6" s="402">
        <v>17.149999999999999</v>
      </c>
      <c r="J6" s="104">
        <f t="shared" si="0"/>
        <v>1400</v>
      </c>
    </row>
    <row r="7" spans="1:10" ht="13.5" customHeight="1" x14ac:dyDescent="0.2">
      <c r="A7" s="126" t="s">
        <v>240</v>
      </c>
      <c r="B7" s="36" t="s">
        <v>3409</v>
      </c>
      <c r="D7" s="622">
        <v>550</v>
      </c>
      <c r="F7" s="622">
        <v>550</v>
      </c>
      <c r="G7" s="25"/>
      <c r="H7" s="402"/>
      <c r="I7" s="402"/>
      <c r="J7" s="104">
        <f>F7-G7-H7-I7</f>
        <v>550</v>
      </c>
    </row>
    <row r="8" spans="1:10" ht="13.5" customHeight="1" x14ac:dyDescent="0.2">
      <c r="A8" s="126" t="s">
        <v>240</v>
      </c>
      <c r="B8" s="34" t="s">
        <v>2332</v>
      </c>
      <c r="D8" s="622">
        <v>900</v>
      </c>
      <c r="F8" s="622"/>
      <c r="G8" s="25"/>
      <c r="H8" s="403"/>
      <c r="I8" s="403"/>
      <c r="J8" s="104">
        <f>F8-G8-H8-I8</f>
        <v>0</v>
      </c>
    </row>
    <row r="9" spans="1:10" ht="13.5" customHeight="1" x14ac:dyDescent="0.2">
      <c r="A9" s="126" t="s">
        <v>240</v>
      </c>
      <c r="B9" s="34" t="s">
        <v>10</v>
      </c>
      <c r="D9" s="622">
        <v>450</v>
      </c>
      <c r="F9" s="622"/>
      <c r="G9" s="25"/>
      <c r="H9" s="403"/>
      <c r="I9" s="403"/>
      <c r="J9" s="104">
        <f>F9-G9-H9-I9</f>
        <v>0</v>
      </c>
    </row>
    <row r="10" spans="1:10" ht="13.5" customHeight="1" x14ac:dyDescent="0.2">
      <c r="A10" s="126" t="s">
        <v>240</v>
      </c>
      <c r="B10" s="34" t="s">
        <v>3397</v>
      </c>
      <c r="D10" s="622">
        <v>1500</v>
      </c>
      <c r="F10" s="622">
        <v>1500</v>
      </c>
      <c r="G10" s="25"/>
      <c r="H10" s="403"/>
      <c r="I10" s="403"/>
      <c r="J10" s="104">
        <f>F10-G10-H10-I10</f>
        <v>1500</v>
      </c>
    </row>
    <row r="11" spans="1:10" ht="13.5" customHeight="1" x14ac:dyDescent="0.2">
      <c r="A11" s="126" t="s">
        <v>240</v>
      </c>
      <c r="B11" s="138" t="s">
        <v>3090</v>
      </c>
      <c r="D11" s="622">
        <v>1900</v>
      </c>
      <c r="F11" s="622">
        <v>1900</v>
      </c>
      <c r="G11" s="25"/>
      <c r="H11" s="403"/>
      <c r="I11" s="403"/>
      <c r="J11" s="104">
        <f t="shared" si="0"/>
        <v>1900</v>
      </c>
    </row>
    <row r="12" spans="1:10" ht="13.5" customHeight="1" x14ac:dyDescent="0.2">
      <c r="A12" s="126" t="s">
        <v>240</v>
      </c>
      <c r="B12" s="36" t="s">
        <v>3407</v>
      </c>
      <c r="D12" s="622">
        <v>4500</v>
      </c>
    </row>
    <row r="13" spans="1:10" ht="13.5" customHeight="1" x14ac:dyDescent="0.2">
      <c r="A13" s="126" t="s">
        <v>240</v>
      </c>
      <c r="B13" s="36" t="s">
        <v>3415</v>
      </c>
      <c r="D13" s="622">
        <v>1000</v>
      </c>
      <c r="F13" s="622">
        <v>1000</v>
      </c>
      <c r="G13" s="25"/>
      <c r="H13" s="403"/>
      <c r="I13" s="403"/>
      <c r="J13" s="104">
        <f t="shared" si="0"/>
        <v>1000</v>
      </c>
    </row>
    <row r="14" spans="1:10" ht="13.5" customHeight="1" x14ac:dyDescent="0.2">
      <c r="A14" s="126" t="s">
        <v>240</v>
      </c>
      <c r="B14" s="32" t="s">
        <v>3452</v>
      </c>
      <c r="D14" s="622">
        <v>3765</v>
      </c>
      <c r="F14" s="622">
        <v>3765</v>
      </c>
      <c r="G14" s="25"/>
      <c r="H14" s="403"/>
      <c r="I14" s="403"/>
      <c r="J14" s="104">
        <f t="shared" si="0"/>
        <v>3765</v>
      </c>
    </row>
    <row r="15" spans="1:10" ht="13.5" customHeight="1" x14ac:dyDescent="0.2">
      <c r="A15" s="126" t="s">
        <v>240</v>
      </c>
      <c r="B15" s="32" t="s">
        <v>3478</v>
      </c>
      <c r="D15" s="622">
        <v>2205</v>
      </c>
      <c r="F15" s="622">
        <v>2205</v>
      </c>
      <c r="G15" s="25"/>
      <c r="H15" s="403"/>
      <c r="I15" s="403"/>
      <c r="J15" s="104">
        <f>F15-G15-H15-I15</f>
        <v>2205</v>
      </c>
    </row>
    <row r="16" spans="1:10" ht="13.5" customHeight="1" x14ac:dyDescent="0.2">
      <c r="A16" s="126" t="s">
        <v>240</v>
      </c>
      <c r="B16" s="36" t="s">
        <v>3388</v>
      </c>
      <c r="D16" s="622">
        <v>2205</v>
      </c>
      <c r="F16" s="622">
        <v>2205</v>
      </c>
      <c r="G16" s="25"/>
      <c r="H16" s="403"/>
      <c r="I16" s="403"/>
      <c r="J16" s="104">
        <f>F16-G16-H16-I16</f>
        <v>2205</v>
      </c>
    </row>
    <row r="17" spans="1:10" ht="13.5" customHeight="1" x14ac:dyDescent="0.2">
      <c r="A17" s="126" t="s">
        <v>240</v>
      </c>
      <c r="B17" s="32" t="s">
        <v>3471</v>
      </c>
      <c r="D17" s="622">
        <v>5200</v>
      </c>
      <c r="F17" s="622">
        <v>5200</v>
      </c>
      <c r="G17" s="25"/>
      <c r="H17" s="403"/>
      <c r="I17" s="403"/>
      <c r="J17" s="104">
        <f>F17-G17-H17-I17</f>
        <v>5200</v>
      </c>
    </row>
    <row r="18" spans="1:10" ht="13.5" customHeight="1" x14ac:dyDescent="0.2">
      <c r="A18" s="126" t="s">
        <v>240</v>
      </c>
      <c r="B18" s="138" t="s">
        <v>3475</v>
      </c>
      <c r="D18" s="622">
        <v>1464</v>
      </c>
      <c r="F18" s="622">
        <v>1464</v>
      </c>
      <c r="G18" s="25"/>
      <c r="H18" s="403"/>
      <c r="I18" s="403"/>
      <c r="J18" s="104">
        <f>F18-G18-H18-I18</f>
        <v>1464</v>
      </c>
    </row>
    <row r="19" spans="1:10" ht="13.5" customHeight="1" x14ac:dyDescent="0.2">
      <c r="A19" s="126" t="s">
        <v>240</v>
      </c>
      <c r="B19" s="34" t="s">
        <v>3403</v>
      </c>
      <c r="D19" s="644">
        <v>250</v>
      </c>
      <c r="F19" s="399"/>
      <c r="G19" s="107">
        <f>SUM(G2:G18)</f>
        <v>450</v>
      </c>
      <c r="H19" s="107">
        <f>SUM(H2:H18)</f>
        <v>0</v>
      </c>
      <c r="I19" s="107">
        <f>SUM(I2:I18)</f>
        <v>92.110000000000014</v>
      </c>
    </row>
    <row r="20" spans="1:10" ht="13.5" customHeight="1" x14ac:dyDescent="0.2">
      <c r="A20" s="126" t="s">
        <v>240</v>
      </c>
      <c r="B20" s="36" t="s">
        <v>3422</v>
      </c>
      <c r="D20" s="644">
        <v>250</v>
      </c>
    </row>
    <row r="21" spans="1:10" ht="13.5" customHeight="1" x14ac:dyDescent="0.2">
      <c r="A21" s="126" t="s">
        <v>240</v>
      </c>
      <c r="B21" s="36" t="s">
        <v>3421</v>
      </c>
      <c r="D21" s="644">
        <v>200</v>
      </c>
    </row>
    <row r="22" spans="1:10" ht="13.5" customHeight="1" x14ac:dyDescent="0.2">
      <c r="A22" s="126" t="s">
        <v>240</v>
      </c>
      <c r="B22" s="36" t="s">
        <v>3400</v>
      </c>
      <c r="D22" s="644">
        <v>220</v>
      </c>
    </row>
    <row r="23" spans="1:10" ht="13.5" customHeight="1" x14ac:dyDescent="0.2">
      <c r="A23" s="126" t="s">
        <v>240</v>
      </c>
      <c r="B23" s="36" t="s">
        <v>3392</v>
      </c>
      <c r="D23" s="644">
        <v>150</v>
      </c>
    </row>
    <row r="24" spans="1:10" ht="13.5" customHeight="1" x14ac:dyDescent="0.2">
      <c r="A24" s="126" t="s">
        <v>240</v>
      </c>
      <c r="B24" s="36" t="s">
        <v>3408</v>
      </c>
      <c r="D24" s="644">
        <v>250</v>
      </c>
    </row>
    <row r="25" spans="1:10" ht="13.5" customHeight="1" x14ac:dyDescent="0.2">
      <c r="A25" s="126" t="s">
        <v>240</v>
      </c>
      <c r="B25" s="36" t="s">
        <v>3429</v>
      </c>
      <c r="D25" s="644">
        <v>200</v>
      </c>
    </row>
    <row r="26" spans="1:10" ht="13.5" customHeight="1" x14ac:dyDescent="0.2">
      <c r="A26" s="126" t="s">
        <v>240</v>
      </c>
      <c r="B26" s="36" t="s">
        <v>3390</v>
      </c>
      <c r="D26" s="644">
        <v>200</v>
      </c>
    </row>
    <row r="27" spans="1:10" ht="13.5" customHeight="1" x14ac:dyDescent="0.2">
      <c r="A27" s="126" t="s">
        <v>240</v>
      </c>
      <c r="B27" s="36" t="s">
        <v>3389</v>
      </c>
      <c r="D27" s="644">
        <v>220</v>
      </c>
    </row>
    <row r="28" spans="1:10" ht="13.5" customHeight="1" x14ac:dyDescent="0.2">
      <c r="A28" s="126" t="s">
        <v>240</v>
      </c>
      <c r="B28" s="36" t="s">
        <v>3399</v>
      </c>
      <c r="D28" s="644">
        <v>217.7</v>
      </c>
    </row>
    <row r="29" spans="1:10" ht="13.5" customHeight="1" x14ac:dyDescent="0.2">
      <c r="A29" s="126" t="s">
        <v>240</v>
      </c>
      <c r="B29" s="36" t="s">
        <v>3404</v>
      </c>
      <c r="D29" s="644">
        <v>60</v>
      </c>
      <c r="E29" s="627">
        <f>SUM(D19:D29)</f>
        <v>2217.6999999999998</v>
      </c>
    </row>
    <row r="30" spans="1:10" ht="13.5" customHeight="1" x14ac:dyDescent="0.2">
      <c r="A30" s="126" t="s">
        <v>240</v>
      </c>
      <c r="B30" s="36" t="s">
        <v>1792</v>
      </c>
      <c r="D30" s="626">
        <v>92.11</v>
      </c>
      <c r="E30" s="107"/>
    </row>
    <row r="31" spans="1:10" ht="13.5" customHeight="1" x14ac:dyDescent="0.2">
      <c r="A31" s="126"/>
      <c r="B31" s="36"/>
      <c r="D31" s="640">
        <f>SUM(D2:D30)</f>
        <v>33758.759999999995</v>
      </c>
    </row>
    <row r="32" spans="1:10" ht="13.5" customHeight="1" x14ac:dyDescent="0.2">
      <c r="A32" s="126"/>
      <c r="B32" s="36"/>
    </row>
    <row r="33" spans="1:10" ht="13.5" customHeight="1" x14ac:dyDescent="0.2">
      <c r="A33" s="126" t="s">
        <v>240</v>
      </c>
      <c r="B33" s="36" t="s">
        <v>3411</v>
      </c>
      <c r="D33" s="622">
        <v>900</v>
      </c>
      <c r="F33" s="622">
        <v>900</v>
      </c>
      <c r="G33" s="109"/>
      <c r="H33" s="109"/>
      <c r="I33" s="109"/>
      <c r="J33" s="104">
        <f t="shared" ref="J33:J38" si="1">F33-G33-H33-I33</f>
        <v>900</v>
      </c>
    </row>
    <row r="34" spans="1:10" ht="13.5" customHeight="1" x14ac:dyDescent="0.2">
      <c r="A34" s="126" t="s">
        <v>240</v>
      </c>
      <c r="B34" s="32" t="s">
        <v>3477</v>
      </c>
      <c r="D34" s="622">
        <v>900</v>
      </c>
      <c r="F34" s="622">
        <v>900</v>
      </c>
      <c r="G34" s="109"/>
      <c r="H34" s="109"/>
      <c r="I34" s="109"/>
      <c r="J34" s="104">
        <f t="shared" si="1"/>
        <v>900</v>
      </c>
    </row>
    <row r="35" spans="1:10" ht="13.5" customHeight="1" x14ac:dyDescent="0.2">
      <c r="A35" s="126" t="s">
        <v>240</v>
      </c>
      <c r="B35" s="36" t="s">
        <v>3495</v>
      </c>
      <c r="D35" s="622">
        <v>300</v>
      </c>
      <c r="F35" s="622">
        <v>300</v>
      </c>
      <c r="G35" s="109"/>
      <c r="H35" s="109"/>
      <c r="I35" s="109"/>
      <c r="J35" s="104">
        <f t="shared" si="1"/>
        <v>300</v>
      </c>
    </row>
    <row r="36" spans="1:10" ht="13.5" customHeight="1" x14ac:dyDescent="0.2">
      <c r="A36" s="126" t="s">
        <v>240</v>
      </c>
      <c r="B36" s="32" t="s">
        <v>3458</v>
      </c>
      <c r="D36" s="622">
        <v>7750</v>
      </c>
      <c r="F36" s="622">
        <v>8059.75</v>
      </c>
      <c r="G36" s="109"/>
      <c r="H36" s="109"/>
      <c r="I36" s="109">
        <v>309.75</v>
      </c>
      <c r="J36" s="104">
        <f t="shared" si="1"/>
        <v>7750</v>
      </c>
    </row>
    <row r="37" spans="1:10" ht="13.5" customHeight="1" x14ac:dyDescent="0.2">
      <c r="A37" s="126" t="s">
        <v>240</v>
      </c>
      <c r="B37" s="32" t="s">
        <v>3457</v>
      </c>
      <c r="D37" s="622">
        <v>525</v>
      </c>
      <c r="F37" s="622">
        <v>525</v>
      </c>
      <c r="G37" s="109"/>
      <c r="H37" s="109"/>
      <c r="I37" s="109"/>
      <c r="J37" s="104">
        <f t="shared" si="1"/>
        <v>525</v>
      </c>
    </row>
    <row r="38" spans="1:10" ht="13.5" customHeight="1" x14ac:dyDescent="0.2">
      <c r="A38" s="126" t="s">
        <v>240</v>
      </c>
      <c r="B38" s="36" t="s">
        <v>3497</v>
      </c>
      <c r="D38" s="622">
        <v>4731.47</v>
      </c>
      <c r="E38" s="18"/>
      <c r="F38" s="622">
        <v>4731.47</v>
      </c>
      <c r="G38" s="109"/>
      <c r="H38" s="109"/>
      <c r="I38" s="109"/>
      <c r="J38" s="104">
        <f t="shared" si="1"/>
        <v>4731.47</v>
      </c>
    </row>
    <row r="39" spans="1:10" ht="13.5" customHeight="1" x14ac:dyDescent="0.2">
      <c r="A39" s="126" t="s">
        <v>240</v>
      </c>
      <c r="B39" s="36" t="s">
        <v>3542</v>
      </c>
      <c r="D39" s="622">
        <f>I40</f>
        <v>309.75</v>
      </c>
      <c r="E39" s="18"/>
      <c r="F39" s="628"/>
      <c r="G39" s="642"/>
      <c r="H39" s="642"/>
      <c r="I39" s="642"/>
      <c r="J39" s="405"/>
    </row>
    <row r="40" spans="1:10" ht="13.5" customHeight="1" x14ac:dyDescent="0.2">
      <c r="A40"/>
      <c r="B40" s="36"/>
      <c r="D40" s="640">
        <f>SUM(D33:D39)</f>
        <v>15416.220000000001</v>
      </c>
      <c r="E40" s="18"/>
      <c r="F40" s="18">
        <f>SUM(F33:F38)</f>
        <v>15416.220000000001</v>
      </c>
      <c r="G40" s="107">
        <f>SUM(G33:G38)</f>
        <v>0</v>
      </c>
      <c r="H40" s="107">
        <f>SUM(H33:H38)</f>
        <v>0</v>
      </c>
      <c r="I40" s="107">
        <f>SUM(I33:I38)</f>
        <v>309.75</v>
      </c>
      <c r="J40" s="107">
        <f>SUM(J33:J38)</f>
        <v>15106.470000000001</v>
      </c>
    </row>
    <row r="41" spans="1:10" ht="13.5" customHeight="1" x14ac:dyDescent="0.2">
      <c r="A41"/>
      <c r="B41" s="36"/>
      <c r="E41" s="18"/>
    </row>
    <row r="42" spans="1:10" ht="13.5" customHeight="1" x14ac:dyDescent="0.2">
      <c r="A42" s="126" t="s">
        <v>241</v>
      </c>
      <c r="B42" s="36" t="s">
        <v>189</v>
      </c>
      <c r="C42" s="622">
        <v>5588.67</v>
      </c>
      <c r="E42" s="18"/>
    </row>
    <row r="43" spans="1:10" ht="13.5" customHeight="1" x14ac:dyDescent="0.2">
      <c r="A43" s="126" t="s">
        <v>241</v>
      </c>
      <c r="B43" s="36" t="s">
        <v>189</v>
      </c>
      <c r="C43" s="622">
        <v>3470.56</v>
      </c>
      <c r="E43" s="18"/>
    </row>
    <row r="44" spans="1:10" ht="13.5" customHeight="1" x14ac:dyDescent="0.2">
      <c r="A44" s="126" t="s">
        <v>241</v>
      </c>
      <c r="B44" s="36" t="s">
        <v>174</v>
      </c>
      <c r="C44" s="622">
        <v>-12.5</v>
      </c>
      <c r="E44" s="18"/>
    </row>
    <row r="45" spans="1:10" ht="13.5" customHeight="1" x14ac:dyDescent="0.2">
      <c r="A45" s="126" t="s">
        <v>241</v>
      </c>
      <c r="B45" s="36" t="s">
        <v>174</v>
      </c>
      <c r="C45" s="622">
        <v>-59.69</v>
      </c>
      <c r="E45" s="18"/>
    </row>
    <row r="46" spans="1:10" ht="13.5" customHeight="1" x14ac:dyDescent="0.2">
      <c r="A46" s="126" t="s">
        <v>241</v>
      </c>
      <c r="B46" s="36" t="s">
        <v>174</v>
      </c>
      <c r="C46" s="622">
        <v>-75</v>
      </c>
      <c r="E46" s="18"/>
    </row>
    <row r="47" spans="1:10" ht="13.5" customHeight="1" x14ac:dyDescent="0.2">
      <c r="A47" s="126" t="s">
        <v>241</v>
      </c>
      <c r="B47" s="36" t="s">
        <v>174</v>
      </c>
      <c r="C47" s="622">
        <v>-262.73</v>
      </c>
      <c r="E47" s="18"/>
    </row>
    <row r="48" spans="1:10" ht="13.5" customHeight="1" x14ac:dyDescent="0.2">
      <c r="A48" s="126" t="s">
        <v>241</v>
      </c>
      <c r="B48" s="36" t="s">
        <v>174</v>
      </c>
      <c r="C48" s="622">
        <v>-313.05</v>
      </c>
      <c r="E48" s="18"/>
    </row>
    <row r="49" spans="1:5" ht="13.5" customHeight="1" x14ac:dyDescent="0.2">
      <c r="A49" s="126" t="s">
        <v>241</v>
      </c>
      <c r="B49" s="36" t="s">
        <v>174</v>
      </c>
      <c r="C49" s="622">
        <v>-871.7</v>
      </c>
      <c r="E49" s="18"/>
    </row>
    <row r="50" spans="1:5" ht="13.5" customHeight="1" x14ac:dyDescent="0.2">
      <c r="A50" s="126" t="s">
        <v>241</v>
      </c>
      <c r="B50" s="36" t="s">
        <v>174</v>
      </c>
      <c r="C50" s="622">
        <v>-908.01</v>
      </c>
      <c r="E50" s="18"/>
    </row>
    <row r="51" spans="1:5" ht="13.5" customHeight="1" x14ac:dyDescent="0.2">
      <c r="A51" s="126" t="s">
        <v>241</v>
      </c>
      <c r="B51" s="36" t="s">
        <v>174</v>
      </c>
      <c r="C51" s="622">
        <v>-2299.87</v>
      </c>
      <c r="E51" s="18"/>
    </row>
    <row r="52" spans="1:5" ht="13.5" customHeight="1" x14ac:dyDescent="0.2">
      <c r="A52" s="126"/>
      <c r="B52" s="36"/>
      <c r="C52" s="640">
        <f>SUM(C42:C51)</f>
        <v>4256.68</v>
      </c>
      <c r="E52" s="18"/>
    </row>
    <row r="53" spans="1:5" ht="13.5" customHeight="1" x14ac:dyDescent="0.2">
      <c r="A53" s="126"/>
      <c r="B53" s="36"/>
      <c r="E53" s="18"/>
    </row>
    <row r="54" spans="1:5" ht="13.5" customHeight="1" x14ac:dyDescent="0.2">
      <c r="A54" s="126" t="s">
        <v>224</v>
      </c>
      <c r="B54" s="36" t="s">
        <v>62</v>
      </c>
      <c r="C54" s="622">
        <v>427.38</v>
      </c>
    </row>
    <row r="55" spans="1:5" ht="13.5" customHeight="1" x14ac:dyDescent="0.2">
      <c r="A55" s="126" t="s">
        <v>224</v>
      </c>
      <c r="B55" s="36" t="s">
        <v>68</v>
      </c>
      <c r="C55" s="622">
        <v>129.9</v>
      </c>
    </row>
    <row r="56" spans="1:5" ht="13.5" customHeight="1" x14ac:dyDescent="0.2">
      <c r="A56" s="126" t="s">
        <v>224</v>
      </c>
      <c r="B56" s="36" t="s">
        <v>1597</v>
      </c>
      <c r="C56" s="622">
        <v>0.2</v>
      </c>
      <c r="E56" s="18"/>
    </row>
    <row r="57" spans="1:5" ht="13.5" customHeight="1" x14ac:dyDescent="0.2">
      <c r="A57" s="126" t="s">
        <v>224</v>
      </c>
      <c r="B57" s="32" t="s">
        <v>199</v>
      </c>
      <c r="C57" s="622">
        <v>387.11</v>
      </c>
      <c r="E57" s="18"/>
    </row>
    <row r="58" spans="1:5" ht="13.5" customHeight="1" x14ac:dyDescent="0.2">
      <c r="A58" s="126" t="s">
        <v>224</v>
      </c>
      <c r="B58" s="36" t="s">
        <v>1598</v>
      </c>
      <c r="C58" s="622">
        <v>10.29</v>
      </c>
      <c r="E58" s="18"/>
    </row>
    <row r="59" spans="1:5" ht="13.5" customHeight="1" x14ac:dyDescent="0.2">
      <c r="A59" s="126" t="s">
        <v>224</v>
      </c>
      <c r="B59" s="36" t="s">
        <v>1795</v>
      </c>
      <c r="C59" s="622">
        <v>400</v>
      </c>
      <c r="E59" s="18"/>
    </row>
    <row r="60" spans="1:5" ht="13.5" customHeight="1" x14ac:dyDescent="0.2">
      <c r="A60" s="126"/>
      <c r="B60" s="36"/>
      <c r="C60" s="640">
        <f>SUM(C54:C59)</f>
        <v>1354.88</v>
      </c>
      <c r="E60" s="18"/>
    </row>
    <row r="61" spans="1:5" ht="13.5" customHeight="1" x14ac:dyDescent="0.2">
      <c r="A61" s="126"/>
      <c r="B61" s="36"/>
      <c r="E61" s="18"/>
    </row>
    <row r="62" spans="1:5" ht="13.5" customHeight="1" x14ac:dyDescent="0.2">
      <c r="A62" s="126" t="s">
        <v>224</v>
      </c>
      <c r="B62" s="36" t="s">
        <v>3451</v>
      </c>
      <c r="C62" s="622">
        <v>280</v>
      </c>
      <c r="D62" s="638">
        <f>SUM(C62:C63)-D63</f>
        <v>400</v>
      </c>
    </row>
    <row r="63" spans="1:5" ht="13.5" customHeight="1" x14ac:dyDescent="0.2">
      <c r="A63" s="126" t="s">
        <v>224</v>
      </c>
      <c r="B63" s="32" t="s">
        <v>3474</v>
      </c>
      <c r="C63" s="641">
        <v>320</v>
      </c>
      <c r="D63" s="638">
        <f t="array" ref="D63">SUM(C62:C63/3)</f>
        <v>200</v>
      </c>
    </row>
    <row r="64" spans="1:5" ht="13.5" customHeight="1" x14ac:dyDescent="0.2">
      <c r="A64"/>
      <c r="B64" s="32"/>
      <c r="E64" s="18"/>
    </row>
    <row r="65" spans="1:5" ht="13.5" customHeight="1" x14ac:dyDescent="0.2">
      <c r="A65"/>
      <c r="B65" s="32"/>
      <c r="E65" s="18"/>
    </row>
    <row r="66" spans="1:5" ht="13.5" customHeight="1" x14ac:dyDescent="0.2">
      <c r="A66" t="s">
        <v>225</v>
      </c>
      <c r="B66" s="32" t="s">
        <v>781</v>
      </c>
      <c r="C66" s="622">
        <v>754</v>
      </c>
      <c r="E66" s="18"/>
    </row>
    <row r="67" spans="1:5" ht="13.5" customHeight="1" x14ac:dyDescent="0.2">
      <c r="A67" t="s">
        <v>225</v>
      </c>
      <c r="B67" s="32" t="s">
        <v>3366</v>
      </c>
      <c r="C67" s="622">
        <v>754</v>
      </c>
      <c r="E67" s="18"/>
    </row>
    <row r="68" spans="1:5" ht="13.5" customHeight="1" x14ac:dyDescent="0.2">
      <c r="A68"/>
      <c r="B68" s="32"/>
      <c r="C68" s="640">
        <f>SUM(C66:C67)</f>
        <v>1508</v>
      </c>
      <c r="E68" s="18"/>
    </row>
    <row r="69" spans="1:5" ht="13.5" customHeight="1" x14ac:dyDescent="0.2">
      <c r="A69"/>
      <c r="B69" s="32"/>
      <c r="E69" s="18"/>
    </row>
    <row r="70" spans="1:5" ht="13.5" customHeight="1" x14ac:dyDescent="0.2">
      <c r="A70" s="126" t="s">
        <v>242</v>
      </c>
      <c r="B70" s="36" t="s">
        <v>3416</v>
      </c>
      <c r="C70" s="622">
        <v>-606</v>
      </c>
    </row>
    <row r="71" spans="1:5" ht="13.5" customHeight="1" x14ac:dyDescent="0.2">
      <c r="A71" s="126" t="s">
        <v>242</v>
      </c>
      <c r="B71" s="36" t="s">
        <v>3423</v>
      </c>
      <c r="C71" s="622">
        <v>-3450</v>
      </c>
    </row>
    <row r="72" spans="1:5" ht="13.5" customHeight="1" x14ac:dyDescent="0.2">
      <c r="A72" s="126" t="s">
        <v>242</v>
      </c>
      <c r="B72" s="36" t="s">
        <v>127</v>
      </c>
      <c r="C72" s="622">
        <v>49.69</v>
      </c>
    </row>
    <row r="73" spans="1:5" ht="13.5" customHeight="1" x14ac:dyDescent="0.2">
      <c r="A73" s="126" t="s">
        <v>242</v>
      </c>
      <c r="B73" s="36" t="s">
        <v>3413</v>
      </c>
      <c r="C73" s="622">
        <v>-400</v>
      </c>
    </row>
    <row r="74" spans="1:5" ht="13.5" customHeight="1" x14ac:dyDescent="0.2">
      <c r="A74" s="126" t="s">
        <v>242</v>
      </c>
      <c r="B74" s="33" t="s">
        <v>736</v>
      </c>
      <c r="C74" s="622">
        <v>46.37</v>
      </c>
    </row>
    <row r="75" spans="1:5" ht="13.5" customHeight="1" x14ac:dyDescent="0.2">
      <c r="A75" s="126" t="s">
        <v>242</v>
      </c>
      <c r="B75" s="36" t="s">
        <v>129</v>
      </c>
      <c r="C75" s="622">
        <v>49.69</v>
      </c>
    </row>
    <row r="76" spans="1:5" ht="13.5" customHeight="1" x14ac:dyDescent="0.2">
      <c r="A76" s="126" t="s">
        <v>242</v>
      </c>
      <c r="B76" s="33" t="s">
        <v>737</v>
      </c>
      <c r="C76" s="622">
        <v>417.7</v>
      </c>
    </row>
    <row r="77" spans="1:5" ht="13.5" customHeight="1" x14ac:dyDescent="0.2">
      <c r="A77" s="126" t="s">
        <v>242</v>
      </c>
      <c r="B77" s="32" t="s">
        <v>3490</v>
      </c>
      <c r="C77" s="641">
        <v>25</v>
      </c>
    </row>
    <row r="78" spans="1:5" ht="13.5" customHeight="1" x14ac:dyDescent="0.2">
      <c r="A78" s="126" t="s">
        <v>242</v>
      </c>
      <c r="B78" s="36" t="s">
        <v>87</v>
      </c>
      <c r="C78" s="622">
        <v>63.68</v>
      </c>
    </row>
    <row r="79" spans="1:5" ht="13.5" customHeight="1" x14ac:dyDescent="0.2">
      <c r="A79" s="126" t="s">
        <v>242</v>
      </c>
      <c r="B79" s="36" t="s">
        <v>3395</v>
      </c>
      <c r="C79" s="622">
        <v>21</v>
      </c>
    </row>
    <row r="80" spans="1:5" ht="13.5" customHeight="1" x14ac:dyDescent="0.2">
      <c r="A80" s="126" t="s">
        <v>242</v>
      </c>
      <c r="B80" s="36" t="s">
        <v>3396</v>
      </c>
      <c r="C80" s="622">
        <v>50</v>
      </c>
    </row>
    <row r="81" spans="1:21" ht="13.5" customHeight="1" x14ac:dyDescent="0.2">
      <c r="A81" s="126" t="s">
        <v>242</v>
      </c>
      <c r="B81" s="32" t="s">
        <v>3489</v>
      </c>
      <c r="C81" s="641">
        <v>9.85</v>
      </c>
    </row>
    <row r="82" spans="1:21" ht="13.5" customHeight="1" x14ac:dyDescent="0.2">
      <c r="A82" s="126" t="s">
        <v>242</v>
      </c>
      <c r="B82" s="32" t="s">
        <v>3465</v>
      </c>
      <c r="C82" s="641">
        <v>14.2</v>
      </c>
    </row>
    <row r="83" spans="1:21" ht="13.5" customHeight="1" x14ac:dyDescent="0.2">
      <c r="A83" s="126" t="s">
        <v>242</v>
      </c>
      <c r="B83" s="32" t="s">
        <v>624</v>
      </c>
      <c r="C83" s="641">
        <f t="array" ref="C83">SUM(H90:H111/2)</f>
        <v>2458.0450000000001</v>
      </c>
    </row>
    <row r="84" spans="1:21" ht="13.5" customHeight="1" x14ac:dyDescent="0.2">
      <c r="A84" s="126"/>
      <c r="B84" s="32"/>
      <c r="C84" s="640">
        <f>SUM(C70:C83)</f>
        <v>-1250.7750000000005</v>
      </c>
    </row>
    <row r="85" spans="1:21" ht="13.5" customHeight="1" x14ac:dyDescent="0.2">
      <c r="A85" s="126"/>
      <c r="B85" s="32"/>
      <c r="C85" s="641"/>
    </row>
    <row r="86" spans="1:21" ht="13.5" customHeight="1" x14ac:dyDescent="0.2">
      <c r="A86" s="126" t="s">
        <v>242</v>
      </c>
      <c r="B86" s="36" t="s">
        <v>3291</v>
      </c>
      <c r="C86" s="622">
        <v>8.9</v>
      </c>
    </row>
    <row r="87" spans="1:21" ht="13.5" customHeight="1" x14ac:dyDescent="0.2">
      <c r="A87" s="126" t="s">
        <v>242</v>
      </c>
      <c r="B87" s="32" t="s">
        <v>3461</v>
      </c>
      <c r="C87" s="641">
        <v>69.95</v>
      </c>
    </row>
    <row r="88" spans="1:21" s="64" customFormat="1" ht="13.5" customHeight="1" x14ac:dyDescent="0.2">
      <c r="A88" s="126" t="s">
        <v>242</v>
      </c>
      <c r="B88" s="36" t="s">
        <v>3410</v>
      </c>
      <c r="C88" s="622">
        <v>100</v>
      </c>
      <c r="D88" s="622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</row>
    <row r="89" spans="1:21" s="64" customFormat="1" ht="13.5" customHeight="1" x14ac:dyDescent="0.2">
      <c r="A89" s="126" t="s">
        <v>242</v>
      </c>
      <c r="B89" s="32" t="s">
        <v>3460</v>
      </c>
      <c r="C89" s="641">
        <v>100</v>
      </c>
      <c r="D89" s="622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</row>
    <row r="90" spans="1:21" s="64" customFormat="1" ht="13.5" customHeight="1" x14ac:dyDescent="0.2">
      <c r="A90" s="126" t="s">
        <v>242</v>
      </c>
      <c r="B90" s="32" t="s">
        <v>3472</v>
      </c>
      <c r="C90" s="641">
        <v>6</v>
      </c>
      <c r="D90" s="622"/>
      <c r="E90" s="1"/>
      <c r="F90" s="126" t="s">
        <v>242</v>
      </c>
      <c r="G90" s="32" t="s">
        <v>3480</v>
      </c>
      <c r="H90" s="622">
        <v>3.95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</row>
    <row r="91" spans="1:21" s="64" customFormat="1" ht="13.5" customHeight="1" x14ac:dyDescent="0.2">
      <c r="A91" s="126" t="s">
        <v>242</v>
      </c>
      <c r="B91" s="36" t="s">
        <v>180</v>
      </c>
      <c r="C91" s="622">
        <v>688.92</v>
      </c>
      <c r="D91" s="622"/>
      <c r="E91" s="1"/>
      <c r="F91" s="126" t="s">
        <v>242</v>
      </c>
      <c r="G91" s="36" t="s">
        <v>3481</v>
      </c>
      <c r="H91" s="622">
        <v>5</v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</row>
    <row r="92" spans="1:21" s="64" customFormat="1" ht="13.5" customHeight="1" x14ac:dyDescent="0.2">
      <c r="A92" s="126" t="s">
        <v>242</v>
      </c>
      <c r="B92" s="36" t="s">
        <v>3501</v>
      </c>
      <c r="C92" s="622">
        <v>262.73</v>
      </c>
      <c r="D92" s="622"/>
      <c r="E92" s="1"/>
      <c r="F92" s="126" t="s">
        <v>242</v>
      </c>
      <c r="G92" s="36" t="s">
        <v>3430</v>
      </c>
      <c r="H92" s="622">
        <v>230.38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</row>
    <row r="93" spans="1:21" s="64" customFormat="1" ht="13.5" customHeight="1" x14ac:dyDescent="0.2">
      <c r="A93" s="126" t="s">
        <v>242</v>
      </c>
      <c r="B93" s="36" t="s">
        <v>423</v>
      </c>
      <c r="C93" s="622">
        <f>C83</f>
        <v>2458.0450000000001</v>
      </c>
      <c r="D93" s="622"/>
      <c r="E93" s="1"/>
      <c r="F93" s="126" t="s">
        <v>242</v>
      </c>
      <c r="G93" s="36" t="s">
        <v>3427</v>
      </c>
      <c r="H93" s="622">
        <v>199.45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</row>
    <row r="94" spans="1:21" s="64" customFormat="1" ht="13.5" customHeight="1" x14ac:dyDescent="0.2">
      <c r="A94" s="126"/>
      <c r="B94" s="36"/>
      <c r="C94" s="640">
        <f>SUM(C86:C93)</f>
        <v>3694.5450000000001</v>
      </c>
      <c r="D94" s="622"/>
      <c r="E94" s="1"/>
      <c r="F94" s="126" t="s">
        <v>242</v>
      </c>
      <c r="G94" s="36" t="s">
        <v>3434</v>
      </c>
      <c r="H94" s="622">
        <v>50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</row>
    <row r="95" spans="1:21" s="64" customFormat="1" ht="13.5" customHeight="1" x14ac:dyDescent="0.2">
      <c r="A95" s="126"/>
      <c r="B95" s="36"/>
      <c r="C95" s="622"/>
      <c r="D95" s="622"/>
      <c r="E95" s="1"/>
      <c r="F95" s="126" t="s">
        <v>242</v>
      </c>
      <c r="G95" s="36" t="s">
        <v>3419</v>
      </c>
      <c r="H95" s="622">
        <v>4.5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</row>
    <row r="96" spans="1:21" s="64" customFormat="1" ht="13.5" customHeight="1" x14ac:dyDescent="0.2">
      <c r="A96" s="64" t="s">
        <v>243</v>
      </c>
      <c r="B96" s="36" t="s">
        <v>3537</v>
      </c>
      <c r="C96" s="622">
        <v>200</v>
      </c>
      <c r="D96" s="622"/>
      <c r="E96" s="1"/>
      <c r="F96" s="126" t="s">
        <v>242</v>
      </c>
      <c r="G96" s="36" t="s">
        <v>3419</v>
      </c>
      <c r="H96" s="622">
        <v>12.99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</row>
    <row r="97" spans="1:21" s="64" customFormat="1" ht="13.5" customHeight="1" x14ac:dyDescent="0.2">
      <c r="A97" s="64" t="s">
        <v>243</v>
      </c>
      <c r="B97" s="36" t="s">
        <v>9</v>
      </c>
      <c r="C97" s="622">
        <v>900</v>
      </c>
      <c r="D97" s="622"/>
      <c r="E97" s="1"/>
      <c r="F97" s="126" t="s">
        <v>242</v>
      </c>
      <c r="G97" s="36" t="s">
        <v>3418</v>
      </c>
      <c r="H97" s="622">
        <v>22.97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</row>
    <row r="98" spans="1:21" s="64" customFormat="1" ht="13.5" customHeight="1" x14ac:dyDescent="0.2">
      <c r="A98" s="64" t="s">
        <v>243</v>
      </c>
      <c r="B98" s="36" t="s">
        <v>3439</v>
      </c>
      <c r="C98" s="622">
        <v>38.36</v>
      </c>
      <c r="D98" s="622"/>
      <c r="E98" s="1"/>
      <c r="F98" s="126" t="s">
        <v>242</v>
      </c>
      <c r="G98" s="36" t="s">
        <v>3436</v>
      </c>
      <c r="H98" s="622">
        <v>5.9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</row>
    <row r="99" spans="1:21" s="64" customFormat="1" ht="13.5" customHeight="1" x14ac:dyDescent="0.2">
      <c r="A99" s="64" t="s">
        <v>243</v>
      </c>
      <c r="B99" s="36" t="s">
        <v>134</v>
      </c>
      <c r="C99" s="622">
        <v>109.9</v>
      </c>
      <c r="D99" s="622"/>
      <c r="E99" s="1"/>
      <c r="F99" s="126" t="s">
        <v>242</v>
      </c>
      <c r="G99" s="36" t="s">
        <v>3432</v>
      </c>
      <c r="H99" s="622">
        <v>9.99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</row>
    <row r="100" spans="1:21" s="64" customFormat="1" ht="13.5" customHeight="1" x14ac:dyDescent="0.2">
      <c r="A100" s="64" t="s">
        <v>243</v>
      </c>
      <c r="B100" s="32" t="s">
        <v>3303</v>
      </c>
      <c r="C100" s="641">
        <v>270.06</v>
      </c>
      <c r="D100" s="622"/>
      <c r="E100" s="1"/>
      <c r="F100" s="126" t="s">
        <v>242</v>
      </c>
      <c r="G100" s="36" t="s">
        <v>3420</v>
      </c>
      <c r="H100" s="622">
        <v>150.5</v>
      </c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</row>
    <row r="101" spans="1:21" s="64" customFormat="1" ht="13.5" customHeight="1" x14ac:dyDescent="0.2">
      <c r="A101" s="244" t="s">
        <v>243</v>
      </c>
      <c r="B101" s="33" t="s">
        <v>81</v>
      </c>
      <c r="C101" s="622">
        <v>52.35</v>
      </c>
      <c r="D101" s="622"/>
      <c r="E101" s="1"/>
      <c r="F101" s="126" t="s">
        <v>242</v>
      </c>
      <c r="G101" s="36" t="s">
        <v>3417</v>
      </c>
      <c r="H101" s="622">
        <v>24.99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</row>
    <row r="102" spans="1:21" s="64" customFormat="1" ht="13.5" customHeight="1" x14ac:dyDescent="0.2">
      <c r="A102" s="244" t="s">
        <v>243</v>
      </c>
      <c r="B102" s="36" t="s">
        <v>673</v>
      </c>
      <c r="C102" s="622">
        <v>99.98</v>
      </c>
      <c r="D102" s="622"/>
      <c r="E102" s="1"/>
      <c r="F102" s="126" t="s">
        <v>242</v>
      </c>
      <c r="G102" s="36" t="s">
        <v>3448</v>
      </c>
      <c r="H102" s="622">
        <v>40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</row>
    <row r="103" spans="1:21" s="64" customFormat="1" ht="13.5" customHeight="1" x14ac:dyDescent="0.2">
      <c r="A103" t="s">
        <v>243</v>
      </c>
      <c r="B103" s="36" t="s">
        <v>3402</v>
      </c>
      <c r="C103" s="622">
        <v>1.6</v>
      </c>
      <c r="D103" s="622"/>
      <c r="E103" s="1"/>
      <c r="F103" s="126" t="s">
        <v>242</v>
      </c>
      <c r="G103" s="36" t="s">
        <v>3446</v>
      </c>
      <c r="H103" s="622">
        <v>4.99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</row>
    <row r="104" spans="1:21" s="64" customFormat="1" ht="13.5" customHeight="1" x14ac:dyDescent="0.2">
      <c r="A104" t="s">
        <v>243</v>
      </c>
      <c r="B104" s="32" t="s">
        <v>3466</v>
      </c>
      <c r="C104" s="641">
        <v>49.9</v>
      </c>
      <c r="D104" s="622"/>
      <c r="E104" s="1"/>
      <c r="F104" s="126" t="s">
        <v>242</v>
      </c>
      <c r="G104" s="36" t="s">
        <v>3428</v>
      </c>
      <c r="H104" s="622">
        <v>120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</row>
    <row r="105" spans="1:21" s="64" customFormat="1" ht="13.5" customHeight="1" x14ac:dyDescent="0.2">
      <c r="A105" t="s">
        <v>243</v>
      </c>
      <c r="B105" s="32" t="s">
        <v>3459</v>
      </c>
      <c r="C105" s="641">
        <v>1300</v>
      </c>
      <c r="D105" s="622"/>
      <c r="E105" s="1"/>
      <c r="F105" s="126" t="s">
        <v>242</v>
      </c>
      <c r="G105" s="36" t="s">
        <v>3426</v>
      </c>
      <c r="H105" s="622">
        <v>52.58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</row>
    <row r="106" spans="1:21" s="64" customFormat="1" ht="13.5" customHeight="1" x14ac:dyDescent="0.2">
      <c r="A106" t="s">
        <v>243</v>
      </c>
      <c r="B106" s="36" t="s">
        <v>3405</v>
      </c>
      <c r="C106" s="622">
        <v>1625</v>
      </c>
      <c r="D106" s="622"/>
      <c r="E106" s="18"/>
      <c r="F106" s="126" t="s">
        <v>242</v>
      </c>
      <c r="G106" s="36" t="s">
        <v>3493</v>
      </c>
      <c r="H106" s="622">
        <v>378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</row>
    <row r="107" spans="1:21" s="64" customFormat="1" ht="13.5" customHeight="1" x14ac:dyDescent="0.2">
      <c r="A107" t="s">
        <v>243</v>
      </c>
      <c r="B107" s="36" t="s">
        <v>3401</v>
      </c>
      <c r="C107" s="622">
        <v>2490</v>
      </c>
      <c r="D107" s="622"/>
      <c r="E107" s="1"/>
      <c r="F107" s="126" t="s">
        <v>242</v>
      </c>
      <c r="G107" s="36" t="s">
        <v>829</v>
      </c>
      <c r="H107" s="622">
        <v>1200</v>
      </c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</row>
    <row r="108" spans="1:21" s="64" customFormat="1" ht="13.5" customHeight="1" x14ac:dyDescent="0.2">
      <c r="A108" t="s">
        <v>243</v>
      </c>
      <c r="B108" s="32" t="s">
        <v>1834</v>
      </c>
      <c r="C108" s="641">
        <v>20.399999999999999</v>
      </c>
      <c r="D108" s="622"/>
      <c r="E108" s="1"/>
      <c r="F108" s="126" t="s">
        <v>242</v>
      </c>
      <c r="G108" s="36" t="s">
        <v>3394</v>
      </c>
      <c r="H108" s="622">
        <v>12</v>
      </c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</row>
    <row r="109" spans="1:21" s="64" customFormat="1" ht="13.5" customHeight="1" x14ac:dyDescent="0.2">
      <c r="A109" t="s">
        <v>243</v>
      </c>
      <c r="B109" s="32" t="s">
        <v>1834</v>
      </c>
      <c r="C109" s="641">
        <v>23.1</v>
      </c>
      <c r="D109" s="622"/>
      <c r="E109" s="1"/>
      <c r="F109" s="126" t="s">
        <v>242</v>
      </c>
      <c r="G109" s="32" t="s">
        <v>813</v>
      </c>
      <c r="H109" s="622">
        <v>75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</row>
    <row r="110" spans="1:21" s="64" customFormat="1" ht="13.5" customHeight="1" x14ac:dyDescent="0.2">
      <c r="A110"/>
      <c r="B110" s="32"/>
      <c r="C110" s="640">
        <f>SUM(C96:C109)</f>
        <v>7180.65</v>
      </c>
      <c r="D110" s="622">
        <f>C110/2</f>
        <v>3590.3249999999998</v>
      </c>
      <c r="E110" s="1" t="s">
        <v>3539</v>
      </c>
      <c r="F110" s="126" t="s">
        <v>242</v>
      </c>
      <c r="G110" s="36" t="s">
        <v>3482</v>
      </c>
      <c r="H110" s="622">
        <v>12.9</v>
      </c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</row>
    <row r="111" spans="1:21" ht="13.5" customHeight="1" x14ac:dyDescent="0.2">
      <c r="A111"/>
      <c r="B111" s="32"/>
      <c r="C111" s="641"/>
      <c r="F111" s="126" t="s">
        <v>242</v>
      </c>
      <c r="G111" s="36" t="s">
        <v>3494</v>
      </c>
      <c r="H111" s="622">
        <v>2300</v>
      </c>
    </row>
    <row r="112" spans="1:21" s="64" customFormat="1" ht="13.5" customHeight="1" x14ac:dyDescent="0.2">
      <c r="A112" t="s">
        <v>230</v>
      </c>
      <c r="B112" s="36" t="s">
        <v>177</v>
      </c>
      <c r="C112" s="640">
        <v>126.45</v>
      </c>
      <c r="D112" s="622">
        <f>SUM(C112*D122)</f>
        <v>33.099783048450931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</row>
    <row r="113" spans="1:21" s="64" customFormat="1" ht="13.5" customHeight="1" x14ac:dyDescent="0.2">
      <c r="A113"/>
      <c r="B113" s="36"/>
      <c r="C113" s="622"/>
      <c r="D113" s="622">
        <f>SUM(C112)-D112</f>
        <v>93.350216951549072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</row>
    <row r="114" spans="1:21" s="64" customFormat="1" ht="13.5" customHeight="1" x14ac:dyDescent="0.2">
      <c r="A114"/>
      <c r="B114" s="36"/>
      <c r="C114" s="622"/>
      <c r="D114" s="622"/>
      <c r="E114" s="18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</row>
    <row r="115" spans="1:21" s="64" customFormat="1" ht="13.5" customHeight="1" x14ac:dyDescent="0.2">
      <c r="A115" t="s">
        <v>231</v>
      </c>
      <c r="B115" s="36" t="s">
        <v>3376</v>
      </c>
      <c r="C115" s="622">
        <v>1250.6199999999999</v>
      </c>
      <c r="D115" s="622">
        <f>SUM(C117*D122)</f>
        <v>423.3552559727255</v>
      </c>
      <c r="E115" s="18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</row>
    <row r="116" spans="1:21" s="64" customFormat="1" ht="13.5" customHeight="1" x14ac:dyDescent="0.2">
      <c r="A116" t="s">
        <v>231</v>
      </c>
      <c r="B116" s="36" t="s">
        <v>3502</v>
      </c>
      <c r="C116" s="622">
        <v>366.71</v>
      </c>
      <c r="D116" s="622">
        <f>SUM(C117)-D115</f>
        <v>1193.9747440272745</v>
      </c>
      <c r="E116" s="18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</row>
    <row r="117" spans="1:21" s="64" customFormat="1" ht="13.5" customHeight="1" x14ac:dyDescent="0.2">
      <c r="A117"/>
      <c r="B117" s="36"/>
      <c r="C117" s="640">
        <f>SUM(C115:C116)</f>
        <v>1617.33</v>
      </c>
      <c r="D117" s="622"/>
      <c r="E117" s="18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</row>
    <row r="118" spans="1:21" s="64" customFormat="1" ht="13.5" customHeight="1" x14ac:dyDescent="0.2">
      <c r="A118"/>
      <c r="B118" s="36"/>
      <c r="C118" s="643"/>
      <c r="D118" s="622"/>
      <c r="E118" s="18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</row>
    <row r="119" spans="1:21" s="64" customFormat="1" ht="13.5" customHeight="1" x14ac:dyDescent="0.2">
      <c r="A119" t="s">
        <v>417</v>
      </c>
      <c r="B119" s="36" t="s">
        <v>624</v>
      </c>
      <c r="C119" s="646">
        <f t="array" ref="C119">SUM(H122:H131/2)</f>
        <v>1521.7549999999999</v>
      </c>
      <c r="D119" s="622"/>
      <c r="E119" s="18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</row>
    <row r="120" spans="1:21" s="64" customFormat="1" ht="13.5" customHeight="1" x14ac:dyDescent="0.2">
      <c r="A120"/>
      <c r="B120" s="36"/>
      <c r="C120" s="643"/>
      <c r="D120" s="622"/>
      <c r="E120" s="18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</row>
    <row r="121" spans="1:21" s="64" customFormat="1" ht="13.5" customHeight="1" x14ac:dyDescent="0.2">
      <c r="A121"/>
      <c r="B121" s="36"/>
      <c r="C121" s="622"/>
      <c r="D121" s="622"/>
      <c r="E121" s="18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</row>
    <row r="122" spans="1:21" s="64" customFormat="1" ht="13.5" customHeight="1" x14ac:dyDescent="0.2">
      <c r="A122" t="s">
        <v>417</v>
      </c>
      <c r="B122" s="138" t="s">
        <v>1887</v>
      </c>
      <c r="C122" s="641">
        <v>70</v>
      </c>
      <c r="D122" s="645">
        <f>SUM(C119/(C119+C130))</f>
        <v>0.26176182719217816</v>
      </c>
      <c r="E122" s="18"/>
      <c r="F122" s="64" t="s">
        <v>417</v>
      </c>
      <c r="G122" s="32" t="s">
        <v>3504</v>
      </c>
      <c r="H122" s="622">
        <v>421.52</v>
      </c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</row>
    <row r="123" spans="1:21" s="64" customFormat="1" ht="13.5" customHeight="1" x14ac:dyDescent="0.2">
      <c r="A123" t="s">
        <v>417</v>
      </c>
      <c r="B123" s="34" t="s">
        <v>3412</v>
      </c>
      <c r="C123" s="622">
        <v>525</v>
      </c>
      <c r="D123" s="622"/>
      <c r="E123" s="1"/>
      <c r="F123" s="64" t="s">
        <v>417</v>
      </c>
      <c r="G123" s="36" t="s">
        <v>2509</v>
      </c>
      <c r="H123" s="622">
        <v>100</v>
      </c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</row>
    <row r="124" spans="1:21" s="64" customFormat="1" ht="13.5" customHeight="1" x14ac:dyDescent="0.2">
      <c r="A124" t="s">
        <v>417</v>
      </c>
      <c r="B124" s="32" t="s">
        <v>3453</v>
      </c>
      <c r="C124" s="641">
        <v>525</v>
      </c>
      <c r="D124" s="622"/>
      <c r="E124" s="1"/>
      <c r="F124" s="64" t="s">
        <v>417</v>
      </c>
      <c r="G124" s="36" t="s">
        <v>3437</v>
      </c>
      <c r="H124" s="622">
        <v>27.36</v>
      </c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</row>
    <row r="125" spans="1:21" s="64" customFormat="1" ht="13.5" customHeight="1" x14ac:dyDescent="0.2">
      <c r="A125" t="s">
        <v>417</v>
      </c>
      <c r="B125" s="138" t="s">
        <v>3469</v>
      </c>
      <c r="C125" s="641">
        <v>630</v>
      </c>
      <c r="D125" s="622"/>
      <c r="E125" s="1"/>
      <c r="F125" s="64" t="s">
        <v>417</v>
      </c>
      <c r="G125" s="36" t="s">
        <v>3442</v>
      </c>
      <c r="H125" s="622">
        <v>8.98</v>
      </c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</row>
    <row r="126" spans="1:21" s="64" customFormat="1" ht="13.5" customHeight="1" x14ac:dyDescent="0.2">
      <c r="A126" t="s">
        <v>417</v>
      </c>
      <c r="B126" s="32" t="s">
        <v>3476</v>
      </c>
      <c r="C126" s="641">
        <v>420</v>
      </c>
      <c r="D126" s="622"/>
      <c r="E126" s="1"/>
      <c r="F126" s="244" t="s">
        <v>417</v>
      </c>
      <c r="G126" s="36" t="s">
        <v>3445</v>
      </c>
      <c r="H126" s="622">
        <v>5.25</v>
      </c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</row>
    <row r="127" spans="1:21" s="64" customFormat="1" ht="13.5" customHeight="1" x14ac:dyDescent="0.2">
      <c r="A127" t="s">
        <v>417</v>
      </c>
      <c r="B127" s="138" t="s">
        <v>3454</v>
      </c>
      <c r="C127" s="641">
        <v>300</v>
      </c>
      <c r="D127" s="622"/>
      <c r="E127" s="1"/>
      <c r="F127" s="64" t="s">
        <v>417</v>
      </c>
      <c r="G127" s="32" t="s">
        <v>3505</v>
      </c>
      <c r="H127" s="622">
        <v>1330.14</v>
      </c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</row>
    <row r="128" spans="1:21" s="64" customFormat="1" ht="13.5" customHeight="1" x14ac:dyDescent="0.2">
      <c r="A128" t="s">
        <v>417</v>
      </c>
      <c r="B128" s="138" t="s">
        <v>3470</v>
      </c>
      <c r="C128" s="641">
        <v>300</v>
      </c>
      <c r="D128" s="622"/>
      <c r="E128" s="1"/>
      <c r="F128" s="64" t="s">
        <v>417</v>
      </c>
      <c r="G128" s="36" t="s">
        <v>3503</v>
      </c>
      <c r="H128" s="622">
        <v>442.6</v>
      </c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</row>
    <row r="129" spans="1:21" s="64" customFormat="1" ht="13.5" customHeight="1" x14ac:dyDescent="0.2">
      <c r="A129" t="s">
        <v>417</v>
      </c>
      <c r="B129" s="138" t="s">
        <v>625</v>
      </c>
      <c r="C129" s="641">
        <f>SUM(C119)</f>
        <v>1521.7549999999999</v>
      </c>
      <c r="D129" s="622"/>
      <c r="E129" s="1"/>
      <c r="F129" s="244" t="s">
        <v>417</v>
      </c>
      <c r="G129" s="36" t="s">
        <v>3443</v>
      </c>
      <c r="H129" s="622">
        <v>28.5</v>
      </c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</row>
    <row r="130" spans="1:21" s="64" customFormat="1" ht="13.5" customHeight="1" x14ac:dyDescent="0.2">
      <c r="A130"/>
      <c r="B130" s="138"/>
      <c r="C130" s="640">
        <f>SUM(C122:C129)</f>
        <v>4291.7550000000001</v>
      </c>
      <c r="D130" s="622"/>
      <c r="E130" s="1"/>
      <c r="F130" s="244" t="s">
        <v>417</v>
      </c>
      <c r="G130" s="34" t="s">
        <v>3444</v>
      </c>
      <c r="H130" s="622">
        <v>43</v>
      </c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</row>
    <row r="131" spans="1:21" ht="13.5" customHeight="1" x14ac:dyDescent="0.2">
      <c r="A131"/>
      <c r="B131" s="138"/>
      <c r="C131" s="641"/>
      <c r="F131" s="244" t="s">
        <v>417</v>
      </c>
      <c r="G131" s="34" t="s">
        <v>172</v>
      </c>
      <c r="H131" s="622">
        <v>636.16</v>
      </c>
    </row>
    <row r="132" spans="1:21" ht="13.5" customHeight="1" x14ac:dyDescent="0.2">
      <c r="A132" s="126" t="s">
        <v>245</v>
      </c>
      <c r="B132" s="36" t="s">
        <v>3449</v>
      </c>
      <c r="C132" s="622">
        <v>3.78</v>
      </c>
    </row>
    <row r="133" spans="1:21" ht="13.5" customHeight="1" x14ac:dyDescent="0.2">
      <c r="A133" s="126" t="s">
        <v>245</v>
      </c>
      <c r="B133" s="34" t="s">
        <v>3435</v>
      </c>
      <c r="C133" s="622">
        <v>45.9</v>
      </c>
    </row>
    <row r="134" spans="1:21" ht="13.5" customHeight="1" x14ac:dyDescent="0.2">
      <c r="A134" s="126" t="s">
        <v>245</v>
      </c>
      <c r="B134" s="138" t="s">
        <v>3467</v>
      </c>
      <c r="C134" s="641">
        <v>5.4</v>
      </c>
    </row>
    <row r="135" spans="1:21" ht="13.5" customHeight="1" x14ac:dyDescent="0.2">
      <c r="A135" s="126" t="s">
        <v>245</v>
      </c>
      <c r="B135" s="36" t="s">
        <v>3433</v>
      </c>
      <c r="C135" s="622">
        <v>17.8</v>
      </c>
    </row>
    <row r="136" spans="1:21" ht="13.5" customHeight="1" x14ac:dyDescent="0.2">
      <c r="A136" s="126" t="s">
        <v>245</v>
      </c>
      <c r="B136" s="34" t="s">
        <v>3447</v>
      </c>
      <c r="C136" s="622">
        <v>18</v>
      </c>
    </row>
    <row r="137" spans="1:21" ht="13.5" customHeight="1" x14ac:dyDescent="0.2">
      <c r="A137" s="126" t="s">
        <v>245</v>
      </c>
      <c r="B137" s="138" t="s">
        <v>3462</v>
      </c>
      <c r="C137" s="641">
        <v>14.68</v>
      </c>
    </row>
    <row r="138" spans="1:21" ht="13.5" customHeight="1" x14ac:dyDescent="0.2">
      <c r="A138" s="126" t="s">
        <v>245</v>
      </c>
      <c r="B138" s="138" t="s">
        <v>3538</v>
      </c>
      <c r="C138" s="641">
        <v>5.5</v>
      </c>
      <c r="E138" s="18"/>
    </row>
    <row r="139" spans="1:21" ht="13.5" customHeight="1" x14ac:dyDescent="0.2">
      <c r="A139" s="126" t="s">
        <v>245</v>
      </c>
      <c r="B139" s="34" t="s">
        <v>3431</v>
      </c>
      <c r="C139" s="622">
        <v>4.3</v>
      </c>
      <c r="E139" s="18"/>
      <c r="F139" s="126" t="s">
        <v>245</v>
      </c>
      <c r="G139" s="34" t="s">
        <v>3499</v>
      </c>
      <c r="H139" s="622">
        <v>98</v>
      </c>
    </row>
    <row r="140" spans="1:21" ht="13.5" customHeight="1" x14ac:dyDescent="0.2">
      <c r="A140" s="126" t="s">
        <v>245</v>
      </c>
      <c r="B140" s="138" t="s">
        <v>3491</v>
      </c>
      <c r="C140" s="641">
        <v>37</v>
      </c>
      <c r="E140" s="18"/>
      <c r="F140" s="126"/>
      <c r="G140" s="395"/>
      <c r="H140" s="628"/>
    </row>
    <row r="141" spans="1:21" ht="13.5" customHeight="1" x14ac:dyDescent="0.2">
      <c r="A141" s="126" t="s">
        <v>245</v>
      </c>
      <c r="B141" s="36" t="s">
        <v>3393</v>
      </c>
      <c r="C141" s="622">
        <v>-2.1</v>
      </c>
      <c r="E141" s="18"/>
      <c r="F141" s="126"/>
      <c r="G141" s="395"/>
      <c r="H141" s="628"/>
    </row>
    <row r="142" spans="1:21" ht="13.5" customHeight="1" x14ac:dyDescent="0.2">
      <c r="A142" s="126" t="s">
        <v>245</v>
      </c>
      <c r="B142" s="36" t="s">
        <v>422</v>
      </c>
      <c r="C142" s="622">
        <f>SUM(H139/2)</f>
        <v>49</v>
      </c>
      <c r="E142" s="18"/>
      <c r="F142" s="126"/>
      <c r="G142" s="395"/>
      <c r="H142" s="628"/>
    </row>
    <row r="143" spans="1:21" ht="13.5" customHeight="1" x14ac:dyDescent="0.2">
      <c r="A143" s="126"/>
      <c r="B143" s="36"/>
      <c r="C143" s="640">
        <f>SUM(C132:C142)</f>
        <v>199.26000000000002</v>
      </c>
      <c r="E143" s="18"/>
    </row>
    <row r="144" spans="1:21" ht="13.5" customHeight="1" x14ac:dyDescent="0.2">
      <c r="A144" s="126"/>
      <c r="B144" s="36"/>
      <c r="E144" s="18"/>
    </row>
    <row r="145" spans="1:21" s="64" customFormat="1" ht="13.5" customHeight="1" x14ac:dyDescent="0.2">
      <c r="A145" s="126" t="s">
        <v>245</v>
      </c>
      <c r="B145" s="36" t="s">
        <v>3398</v>
      </c>
      <c r="C145" s="622">
        <v>9.92</v>
      </c>
      <c r="D145" s="622"/>
      <c r="E145" s="18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</row>
    <row r="146" spans="1:21" s="64" customFormat="1" ht="13.5" customHeight="1" x14ac:dyDescent="0.2">
      <c r="A146" s="126" t="s">
        <v>245</v>
      </c>
      <c r="B146" s="34" t="s">
        <v>3440</v>
      </c>
      <c r="C146" s="622">
        <v>23.48</v>
      </c>
      <c r="D146" s="622"/>
      <c r="E146" s="18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</row>
    <row r="147" spans="1:21" s="64" customFormat="1" ht="13.5" customHeight="1" x14ac:dyDescent="0.2">
      <c r="A147" s="126" t="s">
        <v>245</v>
      </c>
      <c r="B147" s="34" t="s">
        <v>3438</v>
      </c>
      <c r="C147" s="622">
        <v>9.9</v>
      </c>
      <c r="D147" s="622"/>
      <c r="E147" s="18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</row>
    <row r="148" spans="1:21" s="64" customFormat="1" ht="13.5" customHeight="1" x14ac:dyDescent="0.2">
      <c r="A148" s="126" t="s">
        <v>245</v>
      </c>
      <c r="B148" s="32" t="s">
        <v>3463</v>
      </c>
      <c r="C148" s="641">
        <v>41.62</v>
      </c>
      <c r="D148" s="622"/>
      <c r="E148" s="18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</row>
    <row r="149" spans="1:21" s="64" customFormat="1" ht="13.5" customHeight="1" x14ac:dyDescent="0.2">
      <c r="A149" s="126" t="s">
        <v>245</v>
      </c>
      <c r="B149" s="32" t="s">
        <v>3473</v>
      </c>
      <c r="C149" s="641">
        <v>16.2</v>
      </c>
      <c r="D149" s="622"/>
      <c r="E149" s="18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</row>
    <row r="150" spans="1:21" s="64" customFormat="1" ht="13.5" customHeight="1" x14ac:dyDescent="0.2">
      <c r="A150" s="126" t="s">
        <v>245</v>
      </c>
      <c r="B150" s="36" t="s">
        <v>3441</v>
      </c>
      <c r="C150" s="622">
        <v>2.9</v>
      </c>
      <c r="D150" s="622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</row>
    <row r="151" spans="1:21" s="64" customFormat="1" ht="13.5" customHeight="1" x14ac:dyDescent="0.2">
      <c r="A151" s="126" t="s">
        <v>245</v>
      </c>
      <c r="B151" s="32" t="s">
        <v>3464</v>
      </c>
      <c r="C151" s="641">
        <v>6.4</v>
      </c>
      <c r="D151" s="622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</row>
    <row r="152" spans="1:21" s="64" customFormat="1" ht="13.5" customHeight="1" x14ac:dyDescent="0.2">
      <c r="A152" s="126" t="s">
        <v>245</v>
      </c>
      <c r="B152" s="32" t="s">
        <v>3468</v>
      </c>
      <c r="C152" s="641">
        <v>43.9</v>
      </c>
      <c r="D152" s="622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</row>
    <row r="153" spans="1:21" s="64" customFormat="1" ht="13.5" customHeight="1" x14ac:dyDescent="0.2">
      <c r="A153" s="126" t="s">
        <v>245</v>
      </c>
      <c r="B153" s="36" t="s">
        <v>3506</v>
      </c>
      <c r="C153" s="622">
        <v>59.69</v>
      </c>
      <c r="D153" s="622"/>
      <c r="E153" s="18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</row>
    <row r="154" spans="1:21" s="64" customFormat="1" ht="13.5" customHeight="1" x14ac:dyDescent="0.2">
      <c r="A154" s="126" t="s">
        <v>245</v>
      </c>
      <c r="B154" s="36" t="s">
        <v>3483</v>
      </c>
      <c r="C154" s="622">
        <v>19.600000000000001</v>
      </c>
      <c r="D154" s="622"/>
      <c r="E154" s="18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</row>
    <row r="155" spans="1:21" s="64" customFormat="1" ht="13.5" customHeight="1" x14ac:dyDescent="0.2">
      <c r="A155" s="126" t="s">
        <v>245</v>
      </c>
      <c r="B155" s="34" t="s">
        <v>3500</v>
      </c>
      <c r="C155" s="622">
        <v>92.25</v>
      </c>
      <c r="D155" s="622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</row>
    <row r="156" spans="1:21" s="64" customFormat="1" ht="13.5" customHeight="1" x14ac:dyDescent="0.2">
      <c r="A156" s="126" t="s">
        <v>245</v>
      </c>
      <c r="B156" s="34" t="s">
        <v>3496</v>
      </c>
      <c r="C156" s="622">
        <v>474.1</v>
      </c>
      <c r="D156" s="622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</row>
    <row r="157" spans="1:21" s="64" customFormat="1" ht="13.5" customHeight="1" x14ac:dyDescent="0.2">
      <c r="A157" s="126" t="s">
        <v>245</v>
      </c>
      <c r="B157" s="34" t="s">
        <v>3498</v>
      </c>
      <c r="C157" s="622">
        <v>117.8</v>
      </c>
      <c r="D157" s="622"/>
      <c r="E157" s="18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</row>
    <row r="158" spans="1:21" s="64" customFormat="1" ht="13.5" customHeight="1" x14ac:dyDescent="0.2">
      <c r="A158" s="126" t="s">
        <v>245</v>
      </c>
      <c r="B158" s="34" t="s">
        <v>625</v>
      </c>
      <c r="C158" s="622">
        <f>C142</f>
        <v>49</v>
      </c>
      <c r="D158" s="622"/>
      <c r="E158" s="18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</row>
    <row r="159" spans="1:21" s="64" customFormat="1" ht="13.5" customHeight="1" x14ac:dyDescent="0.2">
      <c r="A159" s="126"/>
      <c r="B159" s="34"/>
      <c r="C159" s="640">
        <f>SUM(C145:C158)</f>
        <v>966.76</v>
      </c>
      <c r="D159" s="622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</row>
    <row r="160" spans="1:21" s="64" customFormat="1" ht="13.5" customHeight="1" x14ac:dyDescent="0.2">
      <c r="A160" s="126"/>
      <c r="B160" s="34"/>
      <c r="C160" s="622"/>
      <c r="D160" s="622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</row>
    <row r="161" spans="1:3" ht="13.5" customHeight="1" x14ac:dyDescent="0.2">
      <c r="A161" t="s">
        <v>246</v>
      </c>
      <c r="B161" s="32" t="s">
        <v>195</v>
      </c>
      <c r="C161" s="622">
        <v>397.66</v>
      </c>
    </row>
    <row r="162" spans="1:3" ht="13.5" customHeight="1" x14ac:dyDescent="0.2">
      <c r="A162" t="s">
        <v>246</v>
      </c>
      <c r="B162" s="138" t="s">
        <v>194</v>
      </c>
      <c r="C162" s="622">
        <v>86.16</v>
      </c>
    </row>
    <row r="163" spans="1:3" ht="13.5" customHeight="1" x14ac:dyDescent="0.2">
      <c r="A163"/>
      <c r="B163" s="138"/>
      <c r="C163" s="640">
        <f>SUM(C161:C162)</f>
        <v>483.82000000000005</v>
      </c>
    </row>
    <row r="164" spans="1:3" ht="13.5" customHeight="1" x14ac:dyDescent="0.2">
      <c r="A164"/>
      <c r="B164" s="138"/>
    </row>
    <row r="165" spans="1:3" ht="13.5" customHeight="1" x14ac:dyDescent="0.2">
      <c r="A165" s="64" t="s">
        <v>248</v>
      </c>
      <c r="B165" s="32" t="s">
        <v>1002</v>
      </c>
      <c r="C165" s="641">
        <v>3248.75</v>
      </c>
    </row>
    <row r="166" spans="1:3" ht="13.5" customHeight="1" x14ac:dyDescent="0.2">
      <c r="A166" s="64" t="s">
        <v>248</v>
      </c>
      <c r="B166" s="34" t="s">
        <v>3492</v>
      </c>
      <c r="C166" s="622">
        <v>74</v>
      </c>
    </row>
    <row r="167" spans="1:3" ht="13.5" customHeight="1" x14ac:dyDescent="0.2">
      <c r="A167" s="64" t="s">
        <v>248</v>
      </c>
      <c r="B167" s="34" t="s">
        <v>132</v>
      </c>
      <c r="C167" s="622">
        <v>539.46</v>
      </c>
    </row>
    <row r="168" spans="1:3" ht="13.5" customHeight="1" x14ac:dyDescent="0.2">
      <c r="A168" s="64" t="s">
        <v>248</v>
      </c>
      <c r="B168" s="34" t="s">
        <v>130</v>
      </c>
      <c r="C168" s="622">
        <v>169.68</v>
      </c>
    </row>
    <row r="169" spans="1:3" ht="13.5" customHeight="1" x14ac:dyDescent="0.2">
      <c r="A169" s="64" t="s">
        <v>248</v>
      </c>
      <c r="B169" s="36" t="s">
        <v>53</v>
      </c>
      <c r="C169" s="622">
        <v>545.80999999999995</v>
      </c>
    </row>
    <row r="170" spans="1:3" ht="13.5" customHeight="1" x14ac:dyDescent="0.2">
      <c r="A170" s="64" t="s">
        <v>248</v>
      </c>
      <c r="B170" s="34" t="s">
        <v>55</v>
      </c>
      <c r="C170" s="622">
        <v>400</v>
      </c>
    </row>
    <row r="171" spans="1:3" ht="13.5" customHeight="1" x14ac:dyDescent="0.2">
      <c r="A171" s="64" t="s">
        <v>248</v>
      </c>
      <c r="B171" s="36" t="s">
        <v>136</v>
      </c>
      <c r="C171" s="622">
        <v>45.9</v>
      </c>
    </row>
    <row r="172" spans="1:3" ht="13.5" customHeight="1" x14ac:dyDescent="0.2">
      <c r="A172" s="64" t="s">
        <v>248</v>
      </c>
      <c r="B172" s="36" t="s">
        <v>3450</v>
      </c>
      <c r="C172" s="622">
        <v>120</v>
      </c>
    </row>
    <row r="173" spans="1:3" ht="13.5" customHeight="1" x14ac:dyDescent="0.2">
      <c r="A173" s="64" t="s">
        <v>248</v>
      </c>
      <c r="B173" s="36" t="s">
        <v>3425</v>
      </c>
      <c r="C173" s="622">
        <v>1000</v>
      </c>
    </row>
    <row r="174" spans="1:3" ht="13.5" customHeight="1" x14ac:dyDescent="0.2">
      <c r="A174" s="64" t="s">
        <v>248</v>
      </c>
      <c r="B174" s="36" t="s">
        <v>3294</v>
      </c>
      <c r="C174" s="622">
        <v>500</v>
      </c>
    </row>
    <row r="175" spans="1:3" ht="13.5" customHeight="1" x14ac:dyDescent="0.2">
      <c r="A175" s="64" t="s">
        <v>248</v>
      </c>
      <c r="B175" s="34" t="s">
        <v>18</v>
      </c>
      <c r="C175" s="622">
        <v>399.97</v>
      </c>
    </row>
    <row r="176" spans="1:3" ht="13.5" customHeight="1" x14ac:dyDescent="0.2">
      <c r="A176" s="64"/>
      <c r="B176" s="34"/>
      <c r="C176" s="640">
        <f>SUM(C165:C175)</f>
        <v>7043.57</v>
      </c>
    </row>
    <row r="177" spans="1:5" ht="13.5" customHeight="1" x14ac:dyDescent="0.2">
      <c r="A177" s="64"/>
      <c r="B177" s="34"/>
    </row>
    <row r="178" spans="1:5" ht="13.5" customHeight="1" x14ac:dyDescent="0.2">
      <c r="A178" s="64" t="s">
        <v>248</v>
      </c>
      <c r="B178" s="36" t="s">
        <v>3424</v>
      </c>
      <c r="C178" s="622">
        <v>6000</v>
      </c>
      <c r="E178" s="18"/>
    </row>
    <row r="179" spans="1:5" ht="13.5" customHeight="1" x14ac:dyDescent="0.2">
      <c r="A179" s="64" t="s">
        <v>248</v>
      </c>
      <c r="B179" s="36" t="s">
        <v>2486</v>
      </c>
      <c r="C179" s="622">
        <v>129.99</v>
      </c>
    </row>
    <row r="180" spans="1:5" ht="13.5" customHeight="1" x14ac:dyDescent="0.2">
      <c r="A180" s="64"/>
      <c r="B180" s="36"/>
      <c r="C180" s="640">
        <f>SUM(C178:C179)</f>
        <v>6129.99</v>
      </c>
    </row>
    <row r="181" spans="1:5" ht="13.5" customHeight="1" x14ac:dyDescent="0.2">
      <c r="A181" s="64"/>
      <c r="B181" s="36"/>
    </row>
    <row r="182" spans="1:5" ht="13.5" customHeight="1" x14ac:dyDescent="0.2">
      <c r="A182" t="s">
        <v>249</v>
      </c>
      <c r="B182" s="36" t="s">
        <v>3479</v>
      </c>
      <c r="C182" s="622">
        <v>196</v>
      </c>
    </row>
    <row r="183" spans="1:5" ht="13.5" customHeight="1" x14ac:dyDescent="0.2">
      <c r="A183" t="s">
        <v>249</v>
      </c>
      <c r="B183" s="32" t="s">
        <v>3485</v>
      </c>
      <c r="C183" s="641">
        <v>100</v>
      </c>
    </row>
    <row r="184" spans="1:5" ht="13.5" customHeight="1" x14ac:dyDescent="0.2">
      <c r="A184" t="s">
        <v>249</v>
      </c>
      <c r="B184" s="36" t="s">
        <v>3484</v>
      </c>
      <c r="C184" s="622">
        <v>980</v>
      </c>
    </row>
    <row r="185" spans="1:5" ht="13.5" customHeight="1" x14ac:dyDescent="0.2">
      <c r="A185"/>
      <c r="B185" s="36"/>
      <c r="C185" s="640">
        <f>SUM(C182:C184)</f>
        <v>1276</v>
      </c>
    </row>
    <row r="186" spans="1:5" ht="13.5" customHeight="1" x14ac:dyDescent="0.2">
      <c r="A186"/>
      <c r="B186" s="36"/>
    </row>
    <row r="187" spans="1:5" ht="13.5" customHeight="1" x14ac:dyDescent="0.2">
      <c r="A187" s="126" t="s">
        <v>250</v>
      </c>
      <c r="B187" s="32" t="s">
        <v>20</v>
      </c>
      <c r="C187" s="622">
        <v>22.43</v>
      </c>
      <c r="E187" s="18"/>
    </row>
    <row r="188" spans="1:5" ht="13.5" customHeight="1" x14ac:dyDescent="0.2">
      <c r="A188" s="126" t="s">
        <v>250</v>
      </c>
      <c r="B188" s="34" t="s">
        <v>20</v>
      </c>
      <c r="C188" s="622">
        <v>-0.02</v>
      </c>
    </row>
    <row r="189" spans="1:5" ht="13.5" customHeight="1" x14ac:dyDescent="0.2">
      <c r="A189" s="126" t="s">
        <v>250</v>
      </c>
      <c r="B189" s="34" t="s">
        <v>20</v>
      </c>
      <c r="C189" s="622">
        <v>-0.02</v>
      </c>
      <c r="E189" s="18"/>
    </row>
    <row r="190" spans="1:5" ht="13.5" customHeight="1" x14ac:dyDescent="0.2">
      <c r="A190" s="126" t="s">
        <v>250</v>
      </c>
      <c r="B190" s="34" t="s">
        <v>20</v>
      </c>
      <c r="C190" s="622">
        <v>-0.02</v>
      </c>
      <c r="E190" s="18"/>
    </row>
    <row r="191" spans="1:5" ht="13.5" customHeight="1" x14ac:dyDescent="0.2">
      <c r="A191" s="126" t="s">
        <v>250</v>
      </c>
      <c r="B191" s="36" t="s">
        <v>20</v>
      </c>
      <c r="C191" s="622">
        <v>-0.04</v>
      </c>
      <c r="E191" s="18"/>
    </row>
    <row r="192" spans="1:5" ht="13.5" customHeight="1" x14ac:dyDescent="0.2">
      <c r="A192" s="126" t="s">
        <v>250</v>
      </c>
      <c r="B192" s="34" t="s">
        <v>20</v>
      </c>
      <c r="C192" s="622">
        <v>-0.05</v>
      </c>
      <c r="E192" s="18"/>
    </row>
    <row r="193" spans="1:6" ht="13.5" customHeight="1" x14ac:dyDescent="0.2">
      <c r="A193" s="126" t="s">
        <v>250</v>
      </c>
      <c r="B193" s="36" t="s">
        <v>20</v>
      </c>
      <c r="C193" s="622">
        <v>-0.06</v>
      </c>
      <c r="E193" s="18"/>
    </row>
    <row r="194" spans="1:6" ht="13.5" customHeight="1" x14ac:dyDescent="0.2">
      <c r="A194" s="126" t="s">
        <v>250</v>
      </c>
      <c r="B194" s="34" t="s">
        <v>20</v>
      </c>
      <c r="C194" s="622">
        <v>-0.02</v>
      </c>
      <c r="E194" s="18"/>
    </row>
    <row r="195" spans="1:6" ht="13.5" customHeight="1" x14ac:dyDescent="0.2">
      <c r="A195" s="126" t="s">
        <v>250</v>
      </c>
      <c r="B195" s="34" t="s">
        <v>86</v>
      </c>
      <c r="C195" s="622">
        <v>92.5</v>
      </c>
      <c r="E195" s="18"/>
    </row>
    <row r="196" spans="1:6" ht="13.5" customHeight="1" x14ac:dyDescent="0.2">
      <c r="A196" s="126" t="s">
        <v>250</v>
      </c>
      <c r="B196" s="36" t="s">
        <v>86</v>
      </c>
      <c r="C196" s="622">
        <v>75.900000000000006</v>
      </c>
      <c r="E196" s="18"/>
    </row>
    <row r="197" spans="1:6" ht="13.5" customHeight="1" x14ac:dyDescent="0.2">
      <c r="A197" s="126" t="s">
        <v>250</v>
      </c>
      <c r="B197" s="36" t="s">
        <v>86</v>
      </c>
      <c r="C197" s="622">
        <v>12.5</v>
      </c>
    </row>
    <row r="198" spans="1:6" ht="13.5" customHeight="1" x14ac:dyDescent="0.2">
      <c r="A198" s="126"/>
      <c r="B198" s="36"/>
      <c r="C198" s="640">
        <f>SUM(C187:C197)</f>
        <v>203.10000000000002</v>
      </c>
      <c r="D198" s="622">
        <f>SUM(C198/2)</f>
        <v>101.55000000000001</v>
      </c>
    </row>
    <row r="199" spans="1:6" ht="13.5" customHeight="1" x14ac:dyDescent="0.2">
      <c r="A199" s="126"/>
      <c r="B199" s="36"/>
    </row>
    <row r="200" spans="1:6" ht="13.5" customHeight="1" x14ac:dyDescent="0.2">
      <c r="A200" s="1" t="s">
        <v>251</v>
      </c>
      <c r="B200" s="32" t="s">
        <v>3486</v>
      </c>
      <c r="C200" s="641">
        <v>171.38</v>
      </c>
    </row>
    <row r="201" spans="1:6" ht="13.5" customHeight="1" x14ac:dyDescent="0.2">
      <c r="A201" s="1" t="s">
        <v>251</v>
      </c>
      <c r="B201" s="138" t="s">
        <v>3486</v>
      </c>
      <c r="C201" s="641">
        <v>208.58</v>
      </c>
    </row>
    <row r="202" spans="1:6" ht="13.5" customHeight="1" x14ac:dyDescent="0.2">
      <c r="A202" s="1" t="s">
        <v>251</v>
      </c>
      <c r="B202" s="32" t="s">
        <v>3486</v>
      </c>
      <c r="C202" s="641">
        <v>290.56</v>
      </c>
    </row>
    <row r="203" spans="1:6" ht="13.5" customHeight="1" x14ac:dyDescent="0.2">
      <c r="A203" s="1" t="s">
        <v>251</v>
      </c>
      <c r="B203" s="138" t="s">
        <v>3487</v>
      </c>
      <c r="C203" s="641">
        <v>4.5</v>
      </c>
    </row>
    <row r="204" spans="1:6" ht="13.5" customHeight="1" x14ac:dyDescent="0.2">
      <c r="A204" s="1" t="s">
        <v>251</v>
      </c>
      <c r="B204" s="32" t="s">
        <v>3487</v>
      </c>
      <c r="C204" s="641">
        <v>7.6</v>
      </c>
    </row>
    <row r="205" spans="1:6" ht="13.5" customHeight="1" x14ac:dyDescent="0.2">
      <c r="A205" s="1" t="s">
        <v>251</v>
      </c>
      <c r="B205" s="138" t="s">
        <v>3488</v>
      </c>
      <c r="C205" s="641">
        <v>38.92</v>
      </c>
    </row>
    <row r="206" spans="1:6" ht="13.5" customHeight="1" x14ac:dyDescent="0.2">
      <c r="A206" s="1" t="s">
        <v>251</v>
      </c>
      <c r="B206" s="32" t="s">
        <v>3488</v>
      </c>
      <c r="C206" s="641">
        <v>44.1</v>
      </c>
      <c r="F206" s="712">
        <f>SUM(C207,C198,C185,C180,C176,C163,C159,C143,C130,C119,C117,C112,C110,C94,C84,C68,C60,C52)-SUM(D40,D31)</f>
        <v>-7805.570000000007</v>
      </c>
    </row>
    <row r="207" spans="1:6" ht="13.5" customHeight="1" x14ac:dyDescent="0.2">
      <c r="B207" s="63"/>
      <c r="C207" s="640">
        <f>SUM(C200:C206)</f>
        <v>765.64</v>
      </c>
      <c r="D207" s="622">
        <f>SUM(C207/2)</f>
        <v>382.82</v>
      </c>
    </row>
    <row r="208" spans="1:6" ht="13.5" customHeight="1" x14ac:dyDescent="0.2">
      <c r="B208" s="56"/>
    </row>
    <row r="209" spans="2:5" ht="13.5" customHeight="1" x14ac:dyDescent="0.2">
      <c r="B209" s="36"/>
    </row>
    <row r="210" spans="2:5" ht="13.5" customHeight="1" x14ac:dyDescent="0.2">
      <c r="B210" s="34"/>
    </row>
    <row r="211" spans="2:5" ht="13.5" customHeight="1" x14ac:dyDescent="0.2">
      <c r="B211" s="63"/>
    </row>
    <row r="212" spans="2:5" ht="13.5" customHeight="1" x14ac:dyDescent="0.2">
      <c r="B212" s="63"/>
    </row>
    <row r="213" spans="2:5" ht="13.5" customHeight="1" x14ac:dyDescent="0.2">
      <c r="B213" s="63"/>
    </row>
    <row r="214" spans="2:5" ht="13.5" customHeight="1" x14ac:dyDescent="0.2">
      <c r="B214" s="63"/>
    </row>
    <row r="215" spans="2:5" ht="13.5" customHeight="1" x14ac:dyDescent="0.2">
      <c r="B215" s="63"/>
    </row>
    <row r="216" spans="2:5" ht="13.5" customHeight="1" x14ac:dyDescent="0.2">
      <c r="B216" s="63"/>
    </row>
    <row r="217" spans="2:5" ht="13.5" customHeight="1" x14ac:dyDescent="0.2">
      <c r="B217" s="63"/>
    </row>
    <row r="218" spans="2:5" ht="13.5" customHeight="1" x14ac:dyDescent="0.2">
      <c r="B218" s="63"/>
    </row>
    <row r="219" spans="2:5" ht="13.5" customHeight="1" x14ac:dyDescent="0.2">
      <c r="B219" s="63"/>
      <c r="E219" s="18"/>
    </row>
    <row r="220" spans="2:5" ht="13.5" customHeight="1" x14ac:dyDescent="0.2">
      <c r="B220" s="63"/>
    </row>
    <row r="221" spans="2:5" ht="13.5" customHeight="1" x14ac:dyDescent="0.2">
      <c r="B221" s="63"/>
    </row>
    <row r="222" spans="2:5" ht="13.5" customHeight="1" x14ac:dyDescent="0.2">
      <c r="B222" s="63"/>
    </row>
    <row r="223" spans="2:5" ht="13.5" customHeight="1" x14ac:dyDescent="0.2">
      <c r="B223" s="63"/>
    </row>
    <row r="224" spans="2:5" ht="13.5" customHeight="1" x14ac:dyDescent="0.2">
      <c r="B224" s="63"/>
    </row>
    <row r="225" spans="2:5" ht="13.5" customHeight="1" x14ac:dyDescent="0.2">
      <c r="B225" s="63"/>
    </row>
    <row r="226" spans="2:5" ht="13.5" customHeight="1" x14ac:dyDescent="0.2">
      <c r="B226" s="63"/>
    </row>
    <row r="227" spans="2:5" ht="13.5" customHeight="1" x14ac:dyDescent="0.2">
      <c r="B227" s="63"/>
      <c r="E227" s="124"/>
    </row>
    <row r="228" spans="2:5" ht="13.5" customHeight="1" x14ac:dyDescent="0.2">
      <c r="B228" s="63"/>
      <c r="E228" s="18"/>
    </row>
    <row r="229" spans="2:5" ht="13.5" customHeight="1" x14ac:dyDescent="0.2">
      <c r="B229" s="63"/>
    </row>
    <row r="230" spans="2:5" ht="13.5" customHeight="1" x14ac:dyDescent="0.2">
      <c r="B230" s="63"/>
      <c r="E230" s="18"/>
    </row>
    <row r="231" spans="2:5" ht="13.5" customHeight="1" x14ac:dyDescent="0.2">
      <c r="B231" s="63"/>
      <c r="E231" s="18"/>
    </row>
    <row r="232" spans="2:5" ht="13.5" customHeight="1" x14ac:dyDescent="0.2">
      <c r="B232" s="63"/>
      <c r="E232" s="18"/>
    </row>
    <row r="233" spans="2:5" ht="13.5" customHeight="1" x14ac:dyDescent="0.2">
      <c r="B233" s="63"/>
    </row>
    <row r="234" spans="2:5" ht="13.5" customHeight="1" x14ac:dyDescent="0.2">
      <c r="B234" s="63"/>
    </row>
    <row r="235" spans="2:5" ht="13.5" customHeight="1" x14ac:dyDescent="0.2">
      <c r="B235" s="63"/>
    </row>
    <row r="236" spans="2:5" ht="13.5" customHeight="1" x14ac:dyDescent="0.2">
      <c r="B236" s="63"/>
    </row>
    <row r="237" spans="2:5" ht="13.5" customHeight="1" x14ac:dyDescent="0.2">
      <c r="B237" s="63"/>
    </row>
    <row r="238" spans="2:5" ht="13.5" customHeight="1" x14ac:dyDescent="0.2">
      <c r="B238" s="63"/>
    </row>
    <row r="239" spans="2:5" ht="13.5" customHeight="1" x14ac:dyDescent="0.2">
      <c r="B239" s="64"/>
    </row>
    <row r="240" spans="2:5" ht="13.5" customHeight="1" x14ac:dyDescent="0.2">
      <c r="B240" s="63"/>
    </row>
    <row r="241" spans="2:2" ht="13.5" customHeight="1" x14ac:dyDescent="0.2">
      <c r="B241" s="63"/>
    </row>
    <row r="242" spans="2:2" ht="13.5" customHeight="1" x14ac:dyDescent="0.2">
      <c r="B242" s="85"/>
    </row>
    <row r="243" spans="2:2" ht="13.5" customHeight="1" x14ac:dyDescent="0.2">
      <c r="B243" s="63"/>
    </row>
    <row r="244" spans="2:2" ht="13.5" customHeight="1" x14ac:dyDescent="0.2">
      <c r="B244" s="63"/>
    </row>
    <row r="245" spans="2:2" ht="13.5" customHeight="1" x14ac:dyDescent="0.2">
      <c r="B245" s="64"/>
    </row>
    <row r="246" spans="2:2" ht="13.5" customHeight="1" x14ac:dyDescent="0.2">
      <c r="B246" s="63"/>
    </row>
    <row r="247" spans="2:2" ht="13.5" customHeight="1" x14ac:dyDescent="0.2">
      <c r="B247" s="63"/>
    </row>
    <row r="248" spans="2:2" ht="13.5" customHeight="1" x14ac:dyDescent="0.2">
      <c r="B248" s="64"/>
    </row>
    <row r="249" spans="2:2" ht="13.5" customHeight="1" x14ac:dyDescent="0.2">
      <c r="B249" s="63"/>
    </row>
    <row r="250" spans="2:2" ht="13.5" customHeight="1" x14ac:dyDescent="0.2">
      <c r="B250" s="63"/>
    </row>
    <row r="251" spans="2:2" ht="13.5" customHeight="1" x14ac:dyDescent="0.2">
      <c r="B251" s="64"/>
    </row>
    <row r="252" spans="2:2" ht="13.5" customHeight="1" x14ac:dyDescent="0.2">
      <c r="B252" s="63"/>
    </row>
    <row r="253" spans="2:2" ht="13.5" customHeight="1" x14ac:dyDescent="0.2">
      <c r="B253" s="63"/>
    </row>
    <row r="254" spans="2:2" ht="13.5" customHeight="1" x14ac:dyDescent="0.2">
      <c r="B254" s="63"/>
    </row>
    <row r="255" spans="2:2" ht="13.5" customHeight="1" x14ac:dyDescent="0.2">
      <c r="B255" s="86"/>
    </row>
    <row r="256" spans="2:2" ht="13.5" customHeight="1" x14ac:dyDescent="0.2">
      <c r="B256" s="85"/>
    </row>
    <row r="257" spans="2:2" ht="13.5" customHeight="1" x14ac:dyDescent="0.2">
      <c r="B257" s="87"/>
    </row>
    <row r="258" spans="2:2" ht="13.5" customHeight="1" x14ac:dyDescent="0.2">
      <c r="B258" s="88"/>
    </row>
    <row r="259" spans="2:2" ht="13.5" customHeight="1" x14ac:dyDescent="0.2">
      <c r="B259" s="56"/>
    </row>
    <row r="260" spans="2:2" ht="13.5" customHeight="1" x14ac:dyDescent="0.2">
      <c r="B260" s="56"/>
    </row>
    <row r="261" spans="2:2" ht="13.5" customHeight="1" x14ac:dyDescent="0.2">
      <c r="B261" s="56"/>
    </row>
    <row r="262" spans="2:2" ht="13.5" customHeight="1" x14ac:dyDescent="0.2"/>
    <row r="263" spans="2:2" ht="13.5" customHeight="1" x14ac:dyDescent="0.2">
      <c r="B263" s="56"/>
    </row>
    <row r="264" spans="2:2" ht="13.5" customHeight="1" x14ac:dyDescent="0.2">
      <c r="B264" s="56"/>
    </row>
    <row r="265" spans="2:2" ht="13.5" customHeight="1" x14ac:dyDescent="0.2">
      <c r="B265" s="56"/>
    </row>
    <row r="266" spans="2:2" ht="13.5" customHeight="1" x14ac:dyDescent="0.2">
      <c r="B266" s="27"/>
    </row>
    <row r="267" spans="2:2" ht="13.5" customHeight="1" x14ac:dyDescent="0.2">
      <c r="B267" s="27"/>
    </row>
    <row r="268" spans="2:2" ht="13.5" customHeight="1" x14ac:dyDescent="0.2"/>
    <row r="269" spans="2:2" ht="13.5" customHeight="1" x14ac:dyDescent="0.2">
      <c r="B269" s="56"/>
    </row>
    <row r="270" spans="2:2" ht="13.5" customHeight="1" x14ac:dyDescent="0.2">
      <c r="B270" s="56"/>
    </row>
    <row r="271" spans="2:2" ht="13.5" customHeight="1" x14ac:dyDescent="0.2">
      <c r="B271" s="56"/>
    </row>
    <row r="272" spans="2:2" ht="13.5" customHeight="1" x14ac:dyDescent="0.2">
      <c r="B272" s="56"/>
    </row>
    <row r="273" spans="2:2" ht="13.5" customHeight="1" x14ac:dyDescent="0.2">
      <c r="B273" s="94"/>
    </row>
    <row r="274" spans="2:2" ht="13.5" customHeight="1" x14ac:dyDescent="0.2"/>
    <row r="275" spans="2:2" ht="13.5" customHeight="1" x14ac:dyDescent="0.2"/>
    <row r="276" spans="2:2" ht="13.5" customHeight="1" x14ac:dyDescent="0.2"/>
    <row r="277" spans="2:2" ht="13.5" customHeight="1" x14ac:dyDescent="0.2"/>
    <row r="278" spans="2:2" ht="13.5" customHeight="1" x14ac:dyDescent="0.2"/>
    <row r="279" spans="2:2" ht="13.5" customHeight="1" x14ac:dyDescent="0.2"/>
    <row r="280" spans="2:2" ht="13.5" customHeight="1" x14ac:dyDescent="0.2"/>
    <row r="281" spans="2:2" ht="13.5" customHeight="1" x14ac:dyDescent="0.2"/>
    <row r="282" spans="2:2" ht="13.5" customHeight="1" x14ac:dyDescent="0.2"/>
    <row r="283" spans="2:2" ht="13.5" customHeight="1" x14ac:dyDescent="0.2"/>
    <row r="284" spans="2:2" ht="13.5" customHeight="1" x14ac:dyDescent="0.2"/>
    <row r="285" spans="2:2" ht="13.5" customHeight="1" x14ac:dyDescent="0.2"/>
    <row r="286" spans="2:2" ht="13.5" customHeight="1" x14ac:dyDescent="0.2"/>
    <row r="287" spans="2:2" ht="13.5" customHeight="1" x14ac:dyDescent="0.2"/>
    <row r="288" spans="2:2" ht="13.5" customHeight="1" x14ac:dyDescent="0.2"/>
    <row r="289" ht="13.5" customHeight="1" x14ac:dyDescent="0.2"/>
    <row r="290" ht="13.5" customHeight="1" x14ac:dyDescent="0.2"/>
    <row r="291" ht="13.5" customHeight="1" x14ac:dyDescent="0.2"/>
    <row r="292" ht="13.5" customHeight="1" x14ac:dyDescent="0.2"/>
    <row r="293" ht="13.5" customHeight="1" x14ac:dyDescent="0.2"/>
    <row r="294" ht="13.5" customHeight="1" x14ac:dyDescent="0.2"/>
    <row r="295" ht="13.5" customHeight="1" x14ac:dyDescent="0.2"/>
    <row r="296" ht="13.5" customHeight="1" x14ac:dyDescent="0.2"/>
    <row r="297" ht="13.5" customHeight="1" x14ac:dyDescent="0.2"/>
    <row r="298" ht="13.5" customHeight="1" x14ac:dyDescent="0.2"/>
    <row r="299" ht="13.5" customHeight="1" x14ac:dyDescent="0.2"/>
    <row r="300" ht="13.5" customHeight="1" x14ac:dyDescent="0.2"/>
    <row r="301" ht="13.5" customHeight="1" x14ac:dyDescent="0.2"/>
    <row r="302" ht="13.5" customHeight="1" x14ac:dyDescent="0.2"/>
    <row r="303" ht="13.5" customHeight="1" x14ac:dyDescent="0.2"/>
    <row r="304" ht="13.5" customHeight="1" x14ac:dyDescent="0.2"/>
    <row r="305" ht="13.5" customHeight="1" x14ac:dyDescent="0.2"/>
  </sheetData>
  <sortState xmlns:xlrd2="http://schemas.microsoft.com/office/spreadsheetml/2017/richdata2" ref="A2:U306">
    <sortCondition ref="A2:A306"/>
    <sortCondition ref="B2:B306"/>
  </sortState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L92"/>
  <sheetViews>
    <sheetView topLeftCell="A2" workbookViewId="0">
      <selection activeCell="K11" sqref="K11"/>
    </sheetView>
  </sheetViews>
  <sheetFormatPr defaultRowHeight="12.75" x14ac:dyDescent="0.2"/>
  <cols>
    <col min="1" max="1" width="11.75" bestFit="1" customWidth="1"/>
    <col min="2" max="2" width="16.375" bestFit="1" customWidth="1"/>
  </cols>
  <sheetData>
    <row r="1" spans="1:12" x14ac:dyDescent="0.2">
      <c r="A1" s="72"/>
    </row>
    <row r="2" spans="1:12" ht="15" x14ac:dyDescent="0.2">
      <c r="A2" s="72"/>
      <c r="B2" t="s">
        <v>240</v>
      </c>
      <c r="E2" t="s">
        <v>240</v>
      </c>
      <c r="H2" t="s">
        <v>240</v>
      </c>
      <c r="K2" s="126" t="s">
        <v>240</v>
      </c>
      <c r="L2" s="126"/>
    </row>
    <row r="3" spans="1:12" ht="15" x14ac:dyDescent="0.2">
      <c r="A3" s="72"/>
      <c r="B3" s="72" t="s">
        <v>424</v>
      </c>
      <c r="E3" s="72" t="s">
        <v>424</v>
      </c>
      <c r="H3" s="72" t="s">
        <v>424</v>
      </c>
      <c r="K3" s="126" t="s">
        <v>241</v>
      </c>
    </row>
    <row r="4" spans="1:12" ht="15" x14ac:dyDescent="0.2">
      <c r="A4" s="72"/>
      <c r="B4" t="s">
        <v>425</v>
      </c>
      <c r="E4" t="s">
        <v>426</v>
      </c>
      <c r="H4" t="s">
        <v>224</v>
      </c>
      <c r="K4" s="126" t="s">
        <v>224</v>
      </c>
    </row>
    <row r="5" spans="1:12" ht="15" x14ac:dyDescent="0.2">
      <c r="A5" s="140"/>
      <c r="B5" t="s">
        <v>427</v>
      </c>
      <c r="E5" t="s">
        <v>428</v>
      </c>
      <c r="H5" t="s">
        <v>426</v>
      </c>
      <c r="K5" s="126" t="s">
        <v>225</v>
      </c>
    </row>
    <row r="6" spans="1:12" ht="15" x14ac:dyDescent="0.2">
      <c r="A6" s="72"/>
      <c r="B6" t="s">
        <v>429</v>
      </c>
      <c r="E6" t="s">
        <v>430</v>
      </c>
      <c r="H6" t="s">
        <v>428</v>
      </c>
      <c r="K6" s="126" t="s">
        <v>428</v>
      </c>
    </row>
    <row r="7" spans="1:12" ht="15" x14ac:dyDescent="0.2">
      <c r="B7" t="s">
        <v>431</v>
      </c>
      <c r="E7" t="s">
        <v>432</v>
      </c>
      <c r="H7" t="s">
        <v>242</v>
      </c>
      <c r="K7" s="126" t="s">
        <v>242</v>
      </c>
    </row>
    <row r="8" spans="1:12" ht="15" x14ac:dyDescent="0.2">
      <c r="A8" s="72"/>
      <c r="B8" t="s">
        <v>433</v>
      </c>
      <c r="C8" s="141"/>
      <c r="E8" t="s">
        <v>434</v>
      </c>
      <c r="H8" t="s">
        <v>435</v>
      </c>
      <c r="K8" s="126" t="s">
        <v>243</v>
      </c>
    </row>
    <row r="9" spans="1:12" ht="15" x14ac:dyDescent="0.2">
      <c r="A9" s="72"/>
      <c r="B9" t="s">
        <v>426</v>
      </c>
      <c r="C9" s="141"/>
      <c r="E9" t="s">
        <v>436</v>
      </c>
      <c r="H9" t="s">
        <v>434</v>
      </c>
      <c r="K9" s="126" t="s">
        <v>244</v>
      </c>
    </row>
    <row r="10" spans="1:12" ht="15" x14ac:dyDescent="0.2">
      <c r="A10" s="72"/>
      <c r="B10" t="s">
        <v>437</v>
      </c>
      <c r="C10" s="141"/>
      <c r="E10" t="s">
        <v>438</v>
      </c>
      <c r="H10" t="s">
        <v>436</v>
      </c>
      <c r="K10" s="126" t="s">
        <v>230</v>
      </c>
    </row>
    <row r="11" spans="1:12" ht="15" x14ac:dyDescent="0.2">
      <c r="A11" s="72"/>
      <c r="B11" t="s">
        <v>439</v>
      </c>
      <c r="C11" s="141"/>
      <c r="E11" t="s">
        <v>230</v>
      </c>
      <c r="H11" t="s">
        <v>438</v>
      </c>
      <c r="K11" s="126" t="s">
        <v>231</v>
      </c>
    </row>
    <row r="12" spans="1:12" ht="15" x14ac:dyDescent="0.2">
      <c r="A12" s="72"/>
      <c r="B12" t="s">
        <v>428</v>
      </c>
      <c r="C12" s="141"/>
      <c r="E12" t="s">
        <v>440</v>
      </c>
      <c r="H12" t="s">
        <v>230</v>
      </c>
      <c r="K12" s="126" t="s">
        <v>441</v>
      </c>
    </row>
    <row r="13" spans="1:12" ht="15" x14ac:dyDescent="0.2">
      <c r="A13" s="72"/>
      <c r="B13" t="s">
        <v>442</v>
      </c>
      <c r="C13" s="141"/>
      <c r="E13" t="s">
        <v>441</v>
      </c>
      <c r="H13" t="s">
        <v>440</v>
      </c>
      <c r="K13" s="126" t="s">
        <v>443</v>
      </c>
    </row>
    <row r="14" spans="1:12" ht="15" x14ac:dyDescent="0.2">
      <c r="A14" s="72"/>
      <c r="B14" t="s">
        <v>444</v>
      </c>
      <c r="C14" s="141"/>
      <c r="E14" t="s">
        <v>445</v>
      </c>
      <c r="H14" t="s">
        <v>441</v>
      </c>
      <c r="K14" s="126" t="s">
        <v>232</v>
      </c>
    </row>
    <row r="15" spans="1:12" ht="15" x14ac:dyDescent="0.2">
      <c r="A15" s="72"/>
      <c r="B15" t="s">
        <v>430</v>
      </c>
      <c r="C15" s="141"/>
      <c r="E15" t="s">
        <v>443</v>
      </c>
      <c r="H15" t="s">
        <v>445</v>
      </c>
      <c r="K15" s="126" t="s">
        <v>245</v>
      </c>
    </row>
    <row r="16" spans="1:12" ht="15" x14ac:dyDescent="0.2">
      <c r="A16" s="72"/>
      <c r="B16" t="s">
        <v>432</v>
      </c>
      <c r="C16" s="141"/>
      <c r="E16" t="s">
        <v>446</v>
      </c>
      <c r="H16" t="s">
        <v>443</v>
      </c>
      <c r="K16" s="126" t="s">
        <v>246</v>
      </c>
    </row>
    <row r="17" spans="1:11" ht="15" x14ac:dyDescent="0.2">
      <c r="A17" s="72"/>
      <c r="B17" t="s">
        <v>434</v>
      </c>
      <c r="C17" s="141"/>
      <c r="E17" t="s">
        <v>447</v>
      </c>
      <c r="H17" t="s">
        <v>417</v>
      </c>
      <c r="K17" s="126" t="s">
        <v>247</v>
      </c>
    </row>
    <row r="18" spans="1:11" ht="15" x14ac:dyDescent="0.2">
      <c r="A18" s="72"/>
      <c r="B18" t="s">
        <v>436</v>
      </c>
      <c r="C18" s="142"/>
      <c r="E18" t="s">
        <v>448</v>
      </c>
      <c r="H18" t="s">
        <v>448</v>
      </c>
      <c r="K18" s="126" t="s">
        <v>248</v>
      </c>
    </row>
    <row r="19" spans="1:11" ht="15" x14ac:dyDescent="0.2">
      <c r="A19" s="72"/>
      <c r="B19" t="s">
        <v>438</v>
      </c>
      <c r="C19" s="141"/>
      <c r="E19" t="s">
        <v>246</v>
      </c>
      <c r="H19" t="s">
        <v>246</v>
      </c>
      <c r="K19" s="126" t="s">
        <v>249</v>
      </c>
    </row>
    <row r="20" spans="1:11" ht="15" x14ac:dyDescent="0.2">
      <c r="A20" s="72"/>
      <c r="B20" t="s">
        <v>230</v>
      </c>
      <c r="C20" s="141"/>
      <c r="E20" t="s">
        <v>247</v>
      </c>
      <c r="H20" t="s">
        <v>247</v>
      </c>
      <c r="K20" s="126" t="s">
        <v>250</v>
      </c>
    </row>
    <row r="21" spans="1:11" ht="15" x14ac:dyDescent="0.2">
      <c r="A21" s="72"/>
      <c r="B21" t="s">
        <v>449</v>
      </c>
      <c r="C21" s="141"/>
      <c r="E21" t="s">
        <v>248</v>
      </c>
      <c r="H21" t="s">
        <v>248</v>
      </c>
      <c r="K21" s="126" t="s">
        <v>251</v>
      </c>
    </row>
    <row r="22" spans="1:11" ht="15" x14ac:dyDescent="0.2">
      <c r="A22" s="72"/>
      <c r="B22" t="s">
        <v>440</v>
      </c>
      <c r="C22" s="141"/>
      <c r="E22" t="s">
        <v>249</v>
      </c>
      <c r="H22" t="s">
        <v>249</v>
      </c>
      <c r="K22" s="126" t="s">
        <v>421</v>
      </c>
    </row>
    <row r="23" spans="1:11" x14ac:dyDescent="0.2">
      <c r="A23" s="72"/>
      <c r="B23" t="s">
        <v>450</v>
      </c>
      <c r="E23" t="s">
        <v>250</v>
      </c>
      <c r="H23" t="s">
        <v>250</v>
      </c>
    </row>
    <row r="24" spans="1:11" x14ac:dyDescent="0.2">
      <c r="A24" s="72"/>
      <c r="B24" t="s">
        <v>441</v>
      </c>
      <c r="E24" t="s">
        <v>251</v>
      </c>
      <c r="H24" t="s">
        <v>251</v>
      </c>
    </row>
    <row r="25" spans="1:11" x14ac:dyDescent="0.2">
      <c r="A25" s="72"/>
      <c r="B25" t="s">
        <v>445</v>
      </c>
    </row>
    <row r="26" spans="1:11" x14ac:dyDescent="0.2">
      <c r="A26" s="72"/>
      <c r="B26" t="s">
        <v>443</v>
      </c>
    </row>
    <row r="27" spans="1:11" x14ac:dyDescent="0.2">
      <c r="A27" s="72"/>
      <c r="B27" t="s">
        <v>446</v>
      </c>
      <c r="C27" s="141"/>
    </row>
    <row r="28" spans="1:11" x14ac:dyDescent="0.2">
      <c r="A28" s="72"/>
      <c r="B28" t="s">
        <v>447</v>
      </c>
    </row>
    <row r="29" spans="1:11" x14ac:dyDescent="0.2">
      <c r="A29" s="72"/>
      <c r="B29" t="s">
        <v>448</v>
      </c>
    </row>
    <row r="30" spans="1:11" x14ac:dyDescent="0.2">
      <c r="A30" s="72"/>
      <c r="B30" t="s">
        <v>451</v>
      </c>
    </row>
    <row r="31" spans="1:11" x14ac:dyDescent="0.2">
      <c r="A31" s="72"/>
      <c r="B31" t="s">
        <v>246</v>
      </c>
    </row>
    <row r="32" spans="1:11" x14ac:dyDescent="0.2">
      <c r="A32" s="72"/>
      <c r="B32" t="s">
        <v>247</v>
      </c>
    </row>
    <row r="33" spans="1:3" x14ac:dyDescent="0.2">
      <c r="A33" s="72"/>
      <c r="B33" t="s">
        <v>452</v>
      </c>
    </row>
    <row r="34" spans="1:3" x14ac:dyDescent="0.2">
      <c r="A34" s="72"/>
      <c r="B34" t="s">
        <v>453</v>
      </c>
    </row>
    <row r="35" spans="1:3" x14ac:dyDescent="0.2">
      <c r="A35" s="72"/>
      <c r="B35" t="s">
        <v>249</v>
      </c>
    </row>
    <row r="36" spans="1:3" x14ac:dyDescent="0.2">
      <c r="A36" s="72"/>
      <c r="B36" t="s">
        <v>454</v>
      </c>
    </row>
    <row r="37" spans="1:3" x14ac:dyDescent="0.2">
      <c r="A37" s="72"/>
      <c r="B37" t="s">
        <v>250</v>
      </c>
    </row>
    <row r="38" spans="1:3" x14ac:dyDescent="0.2">
      <c r="A38" s="72"/>
      <c r="B38" t="s">
        <v>455</v>
      </c>
    </row>
    <row r="39" spans="1:3" x14ac:dyDescent="0.2">
      <c r="A39" s="72"/>
      <c r="B39" t="s">
        <v>251</v>
      </c>
    </row>
    <row r="40" spans="1:3" x14ac:dyDescent="0.2">
      <c r="A40" s="72"/>
      <c r="C40" s="72"/>
    </row>
    <row r="41" spans="1:3" x14ac:dyDescent="0.2">
      <c r="A41" s="72"/>
    </row>
    <row r="42" spans="1:3" x14ac:dyDescent="0.2">
      <c r="A42" s="72"/>
      <c r="C42" s="141"/>
    </row>
    <row r="43" spans="1:3" x14ac:dyDescent="0.2">
      <c r="A43" s="72"/>
      <c r="C43" s="142"/>
    </row>
    <row r="44" spans="1:3" x14ac:dyDescent="0.2">
      <c r="A44" s="72"/>
    </row>
    <row r="45" spans="1:3" x14ac:dyDescent="0.2">
      <c r="A45" s="72"/>
    </row>
    <row r="46" spans="1:3" x14ac:dyDescent="0.2">
      <c r="A46" s="72"/>
    </row>
    <row r="47" spans="1:3" x14ac:dyDescent="0.2">
      <c r="A47" s="72"/>
    </row>
    <row r="48" spans="1:3" x14ac:dyDescent="0.2">
      <c r="A48" s="72"/>
    </row>
    <row r="49" spans="1:3" x14ac:dyDescent="0.2">
      <c r="A49" s="72"/>
    </row>
    <row r="50" spans="1:3" x14ac:dyDescent="0.2">
      <c r="A50" s="72"/>
    </row>
    <row r="51" spans="1:3" x14ac:dyDescent="0.2">
      <c r="A51" s="72"/>
    </row>
    <row r="52" spans="1:3" x14ac:dyDescent="0.2">
      <c r="A52" s="72"/>
    </row>
    <row r="53" spans="1:3" x14ac:dyDescent="0.2">
      <c r="A53" s="72"/>
    </row>
    <row r="54" spans="1:3" x14ac:dyDescent="0.2">
      <c r="A54" s="72"/>
    </row>
    <row r="55" spans="1:3" x14ac:dyDescent="0.2">
      <c r="A55" s="72"/>
    </row>
    <row r="56" spans="1:3" x14ac:dyDescent="0.2">
      <c r="A56" s="143"/>
    </row>
    <row r="57" spans="1:3" x14ac:dyDescent="0.2">
      <c r="A57" s="144"/>
    </row>
    <row r="58" spans="1:3" x14ac:dyDescent="0.2">
      <c r="A58" s="72"/>
    </row>
    <row r="59" spans="1:3" x14ac:dyDescent="0.2">
      <c r="A59" s="72"/>
    </row>
    <row r="60" spans="1:3" x14ac:dyDescent="0.2">
      <c r="A60" s="72"/>
    </row>
    <row r="61" spans="1:3" x14ac:dyDescent="0.2">
      <c r="A61" s="72"/>
    </row>
    <row r="62" spans="1:3" ht="15" x14ac:dyDescent="0.2">
      <c r="A62" s="145"/>
      <c r="C62" s="146"/>
    </row>
    <row r="63" spans="1:3" x14ac:dyDescent="0.2">
      <c r="A63" s="72"/>
    </row>
    <row r="64" spans="1:3" x14ac:dyDescent="0.2">
      <c r="A64" s="72"/>
    </row>
    <row r="65" spans="1:3" x14ac:dyDescent="0.2">
      <c r="A65" s="147"/>
    </row>
    <row r="66" spans="1:3" x14ac:dyDescent="0.2">
      <c r="A66" s="72"/>
    </row>
    <row r="67" spans="1:3" x14ac:dyDescent="0.2">
      <c r="A67" s="72"/>
    </row>
    <row r="68" spans="1:3" ht="15" x14ac:dyDescent="0.2">
      <c r="A68" s="145"/>
      <c r="C68" s="146"/>
    </row>
    <row r="69" spans="1:3" x14ac:dyDescent="0.2">
      <c r="A69" s="72"/>
    </row>
    <row r="70" spans="1:3" ht="15" x14ac:dyDescent="0.2">
      <c r="A70" s="145"/>
      <c r="C70" s="146"/>
    </row>
    <row r="71" spans="1:3" x14ac:dyDescent="0.2">
      <c r="A71" s="72"/>
    </row>
    <row r="72" spans="1:3" ht="18" x14ac:dyDescent="0.25">
      <c r="A72" s="148"/>
      <c r="C72" s="149"/>
    </row>
    <row r="73" spans="1:3" ht="15" x14ac:dyDescent="0.2">
      <c r="A73" s="150"/>
      <c r="C73" s="151"/>
    </row>
    <row r="74" spans="1:3" ht="15" x14ac:dyDescent="0.2">
      <c r="A74" s="150"/>
      <c r="C74" s="151"/>
    </row>
    <row r="75" spans="1:3" ht="15" x14ac:dyDescent="0.2">
      <c r="A75" s="150"/>
      <c r="C75" s="151"/>
    </row>
    <row r="76" spans="1:3" ht="15" x14ac:dyDescent="0.2">
      <c r="A76" s="150"/>
      <c r="C76" s="151"/>
    </row>
    <row r="77" spans="1:3" ht="15" x14ac:dyDescent="0.2">
      <c r="A77" s="150"/>
      <c r="C77" s="151"/>
    </row>
    <row r="78" spans="1:3" x14ac:dyDescent="0.2">
      <c r="A78" s="72"/>
    </row>
    <row r="79" spans="1:3" x14ac:dyDescent="0.2">
      <c r="A79" s="72"/>
    </row>
    <row r="80" spans="1:3" x14ac:dyDescent="0.2">
      <c r="A80" s="72"/>
    </row>
    <row r="81" spans="1:3" x14ac:dyDescent="0.2">
      <c r="A81" s="72"/>
    </row>
    <row r="82" spans="1:3" x14ac:dyDescent="0.2">
      <c r="A82" s="72"/>
    </row>
    <row r="83" spans="1:3" ht="15" x14ac:dyDescent="0.2">
      <c r="A83" s="150"/>
      <c r="C83" s="151"/>
    </row>
    <row r="84" spans="1:3" ht="15" x14ac:dyDescent="0.2">
      <c r="A84" s="150"/>
      <c r="C84" s="151"/>
    </row>
    <row r="85" spans="1:3" ht="15" x14ac:dyDescent="0.2">
      <c r="A85" s="150"/>
      <c r="C85" s="151"/>
    </row>
    <row r="86" spans="1:3" x14ac:dyDescent="0.2">
      <c r="A86" s="152"/>
      <c r="C86" s="153"/>
    </row>
    <row r="87" spans="1:3" x14ac:dyDescent="0.2">
      <c r="A87" s="152"/>
      <c r="C87" s="153"/>
    </row>
    <row r="88" spans="1:3" x14ac:dyDescent="0.2">
      <c r="A88" s="152"/>
      <c r="C88" s="153"/>
    </row>
    <row r="89" spans="1:3" x14ac:dyDescent="0.2">
      <c r="A89" s="152"/>
      <c r="C89" s="153"/>
    </row>
    <row r="90" spans="1:3" ht="18" x14ac:dyDescent="0.25">
      <c r="A90" s="154"/>
      <c r="C90" s="155"/>
    </row>
    <row r="91" spans="1:3" x14ac:dyDescent="0.2">
      <c r="A91" s="156"/>
      <c r="B91" s="157"/>
      <c r="C91" s="157"/>
    </row>
    <row r="92" spans="1:3" x14ac:dyDescent="0.2">
      <c r="A92" s="156"/>
      <c r="B92" s="157"/>
      <c r="C92" s="157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AA272"/>
  <sheetViews>
    <sheetView topLeftCell="C170" zoomScale="85" zoomScaleNormal="85" workbookViewId="0">
      <selection activeCell="I191" sqref="I191:J198"/>
    </sheetView>
  </sheetViews>
  <sheetFormatPr defaultColWidth="9" defaultRowHeight="12.75" x14ac:dyDescent="0.2"/>
  <cols>
    <col min="1" max="1" width="14" style="1" customWidth="1"/>
    <col min="2" max="2" width="1.875" style="1" customWidth="1"/>
    <col min="3" max="3" width="100.75" style="1" customWidth="1"/>
    <col min="4" max="4" width="12" style="1" customWidth="1"/>
    <col min="5" max="5" width="12.375" style="1" customWidth="1"/>
    <col min="6" max="6" width="10.75" style="1" customWidth="1"/>
    <col min="7" max="7" width="11.875" style="1" customWidth="1"/>
    <col min="8" max="8" width="13.625" style="40" customWidth="1"/>
    <col min="9" max="9" width="12.125" style="1" customWidth="1"/>
    <col min="10" max="10" width="13.875" style="1" customWidth="1"/>
    <col min="11" max="11" width="9" style="1"/>
    <col min="12" max="12" width="9.875" style="1" bestFit="1" customWidth="1"/>
    <col min="13" max="16384" width="9" style="1"/>
  </cols>
  <sheetData>
    <row r="1" spans="1:8" ht="13.5" customHeight="1" thickBot="1" x14ac:dyDescent="0.25">
      <c r="A1" s="1372" t="s">
        <v>3610</v>
      </c>
      <c r="B1" s="1372"/>
      <c r="C1" s="1373"/>
      <c r="D1" s="1374" t="s">
        <v>0</v>
      </c>
      <c r="E1" s="1375"/>
      <c r="F1" s="1375"/>
      <c r="G1" s="1376"/>
    </row>
    <row r="2" spans="1:8" ht="13.5" customHeight="1" thickBot="1" x14ac:dyDescent="0.25">
      <c r="A2" s="2" t="s">
        <v>2</v>
      </c>
      <c r="B2" s="3"/>
      <c r="C2" s="3" t="s">
        <v>2335</v>
      </c>
      <c r="D2" s="3" t="s">
        <v>4</v>
      </c>
      <c r="E2" s="3" t="s">
        <v>5</v>
      </c>
      <c r="F2" s="3" t="s">
        <v>6</v>
      </c>
      <c r="G2" s="5" t="s">
        <v>7</v>
      </c>
    </row>
    <row r="3" spans="1:8" ht="13.5" customHeight="1" x14ac:dyDescent="0.2">
      <c r="A3" s="8">
        <v>43831</v>
      </c>
      <c r="B3" s="56"/>
      <c r="C3" s="10" t="s">
        <v>8</v>
      </c>
      <c r="D3" s="11">
        <v>0</v>
      </c>
      <c r="E3" s="51"/>
      <c r="F3" s="12"/>
      <c r="G3" s="178">
        <v>5013.8500000000204</v>
      </c>
      <c r="H3" s="40">
        <v>5013.8500000000204</v>
      </c>
    </row>
    <row r="4" spans="1:8" ht="13.5" customHeight="1" x14ac:dyDescent="0.2">
      <c r="A4" s="180">
        <v>43832</v>
      </c>
      <c r="B4" s="56"/>
      <c r="C4" s="36" t="s">
        <v>3611</v>
      </c>
      <c r="D4" s="11"/>
      <c r="E4" s="30"/>
      <c r="F4" s="12">
        <v>220</v>
      </c>
      <c r="G4" s="182">
        <v>5233.8500000000204</v>
      </c>
      <c r="H4" s="40">
        <v>5233.8500000000204</v>
      </c>
    </row>
    <row r="5" spans="1:8" ht="13.5" customHeight="1" x14ac:dyDescent="0.2">
      <c r="A5" s="180">
        <v>43833</v>
      </c>
      <c r="B5" s="56"/>
      <c r="C5" s="36" t="s">
        <v>3612</v>
      </c>
      <c r="D5" s="11"/>
      <c r="E5" s="30"/>
      <c r="F5" s="12">
        <v>88</v>
      </c>
      <c r="G5" s="182"/>
      <c r="H5" s="40">
        <v>5321.8500000000204</v>
      </c>
    </row>
    <row r="6" spans="1:8" ht="13.5" customHeight="1" x14ac:dyDescent="0.2">
      <c r="A6" s="180"/>
      <c r="B6" s="56"/>
      <c r="C6" s="36" t="s">
        <v>3613</v>
      </c>
      <c r="D6" s="11"/>
      <c r="E6" s="30"/>
      <c r="F6" s="12">
        <v>80</v>
      </c>
      <c r="G6" s="182"/>
      <c r="H6" s="40">
        <v>5401.8500000000204</v>
      </c>
    </row>
    <row r="7" spans="1:8" ht="13.5" customHeight="1" x14ac:dyDescent="0.2">
      <c r="A7" s="180"/>
      <c r="B7" s="56"/>
      <c r="C7" s="36" t="s">
        <v>3614</v>
      </c>
      <c r="D7" s="11"/>
      <c r="E7" s="30"/>
      <c r="F7" s="12">
        <v>1232.72</v>
      </c>
      <c r="G7" s="182"/>
      <c r="H7" s="40">
        <v>6634.5700000000206</v>
      </c>
    </row>
    <row r="8" spans="1:8" ht="13.5" customHeight="1" x14ac:dyDescent="0.2">
      <c r="A8" s="180"/>
      <c r="B8" s="56"/>
      <c r="C8" s="36" t="s">
        <v>3615</v>
      </c>
      <c r="D8" s="11"/>
      <c r="E8" s="30"/>
      <c r="F8" s="12">
        <v>1392.5</v>
      </c>
      <c r="G8" s="182"/>
      <c r="H8" s="40">
        <v>8027.0700000000206</v>
      </c>
    </row>
    <row r="9" spans="1:8" ht="13.5" customHeight="1" x14ac:dyDescent="0.2">
      <c r="A9" s="180"/>
      <c r="B9" s="56"/>
      <c r="C9" s="34" t="s">
        <v>3616</v>
      </c>
      <c r="D9" s="11"/>
      <c r="E9" s="30">
        <v>420</v>
      </c>
      <c r="F9" s="12"/>
      <c r="G9" s="182">
        <v>7607.0700000000206</v>
      </c>
      <c r="H9" s="40">
        <v>7607.0700000000206</v>
      </c>
    </row>
    <row r="10" spans="1:8" ht="13.5" customHeight="1" x14ac:dyDescent="0.2">
      <c r="A10" s="180">
        <v>43836</v>
      </c>
      <c r="B10" s="56"/>
      <c r="C10" s="36" t="s">
        <v>3617</v>
      </c>
      <c r="D10" s="11"/>
      <c r="E10" s="30">
        <v>27.55</v>
      </c>
      <c r="F10" s="12"/>
      <c r="G10" s="182"/>
      <c r="H10" s="40">
        <v>7579.5200000000204</v>
      </c>
    </row>
    <row r="11" spans="1:8" ht="13.5" customHeight="1" x14ac:dyDescent="0.2">
      <c r="A11" s="180"/>
      <c r="B11" s="56"/>
      <c r="C11" s="36" t="s">
        <v>3618</v>
      </c>
      <c r="D11" s="11"/>
      <c r="E11" s="30">
        <v>13</v>
      </c>
      <c r="F11" s="30"/>
      <c r="G11" s="182"/>
      <c r="H11" s="40">
        <v>7566.5200000000204</v>
      </c>
    </row>
    <row r="12" spans="1:8" ht="13.5" customHeight="1" x14ac:dyDescent="0.2">
      <c r="A12" s="180"/>
      <c r="B12" s="56"/>
      <c r="C12" s="36" t="s">
        <v>3619</v>
      </c>
      <c r="D12" s="11"/>
      <c r="E12" s="30"/>
      <c r="F12" s="30">
        <v>550</v>
      </c>
      <c r="G12" s="182"/>
      <c r="H12" s="40">
        <v>8116.5200000000204</v>
      </c>
    </row>
    <row r="13" spans="1:8" ht="13.5" customHeight="1" x14ac:dyDescent="0.2">
      <c r="A13" s="180"/>
      <c r="B13" s="56"/>
      <c r="C13" s="36" t="s">
        <v>3620</v>
      </c>
      <c r="D13" s="11"/>
      <c r="E13" s="30">
        <v>10</v>
      </c>
      <c r="F13" s="30"/>
      <c r="G13" s="182">
        <v>8106.5200000000204</v>
      </c>
      <c r="H13" s="40">
        <v>8106.5200000000204</v>
      </c>
    </row>
    <row r="14" spans="1:8" ht="13.5" customHeight="1" x14ac:dyDescent="0.2">
      <c r="A14" s="180">
        <v>43837</v>
      </c>
      <c r="B14" s="56"/>
      <c r="C14" s="36" t="s">
        <v>3621</v>
      </c>
      <c r="D14" s="11"/>
      <c r="E14" s="30">
        <v>2</v>
      </c>
      <c r="F14" s="30"/>
      <c r="G14" s="182"/>
      <c r="H14" s="40">
        <v>8104.5200000000204</v>
      </c>
    </row>
    <row r="15" spans="1:8" ht="13.5" customHeight="1" x14ac:dyDescent="0.2">
      <c r="A15" s="180"/>
      <c r="B15" s="56"/>
      <c r="C15" s="34" t="s">
        <v>3622</v>
      </c>
      <c r="D15" s="11"/>
      <c r="E15" s="30"/>
      <c r="F15" s="30">
        <v>220</v>
      </c>
      <c r="G15" s="182"/>
      <c r="H15" s="40">
        <v>8324.5200000000204</v>
      </c>
    </row>
    <row r="16" spans="1:8" ht="13.5" customHeight="1" x14ac:dyDescent="0.2">
      <c r="A16" s="180"/>
      <c r="B16" s="56"/>
      <c r="C16" s="34" t="s">
        <v>3623</v>
      </c>
      <c r="D16" s="11"/>
      <c r="E16" s="30"/>
      <c r="F16" s="30">
        <v>100</v>
      </c>
      <c r="G16" s="182">
        <v>8424.5200000000204</v>
      </c>
      <c r="H16" s="40">
        <v>8424.5200000000204</v>
      </c>
    </row>
    <row r="17" spans="1:8" ht="13.5" customHeight="1" x14ac:dyDescent="0.2">
      <c r="A17" s="180">
        <v>43838</v>
      </c>
      <c r="B17" s="56"/>
      <c r="C17" s="34" t="s">
        <v>3624</v>
      </c>
      <c r="D17" s="11"/>
      <c r="E17" s="30"/>
      <c r="F17" s="30">
        <v>60</v>
      </c>
      <c r="G17" s="182"/>
      <c r="H17" s="40">
        <v>8484.5200000000204</v>
      </c>
    </row>
    <row r="18" spans="1:8" ht="13.5" customHeight="1" x14ac:dyDescent="0.2">
      <c r="A18" s="180"/>
      <c r="B18" s="56"/>
      <c r="C18" s="34" t="s">
        <v>3625</v>
      </c>
      <c r="D18" s="11"/>
      <c r="E18" s="30"/>
      <c r="F18" s="30">
        <v>250</v>
      </c>
      <c r="G18" s="182"/>
      <c r="H18" s="40">
        <v>8734.5200000000204</v>
      </c>
    </row>
    <row r="19" spans="1:8" ht="13.5" customHeight="1" x14ac:dyDescent="0.2">
      <c r="A19" s="180"/>
      <c r="B19" s="56"/>
      <c r="C19" s="34" t="s">
        <v>3626</v>
      </c>
      <c r="D19" s="11"/>
      <c r="E19" s="30">
        <v>50</v>
      </c>
      <c r="F19" s="30"/>
      <c r="G19" s="182"/>
      <c r="H19" s="40">
        <v>8684.5200000000204</v>
      </c>
    </row>
    <row r="20" spans="1:8" ht="13.5" customHeight="1" x14ac:dyDescent="0.2">
      <c r="A20" s="180"/>
      <c r="B20" s="56"/>
      <c r="C20" s="34" t="s">
        <v>3273</v>
      </c>
      <c r="D20" s="11"/>
      <c r="E20" s="30">
        <v>1.2</v>
      </c>
      <c r="F20" s="30"/>
      <c r="G20" s="182"/>
      <c r="H20" s="40">
        <v>8683.3200000000197</v>
      </c>
    </row>
    <row r="21" spans="1:8" ht="13.5" customHeight="1" x14ac:dyDescent="0.2">
      <c r="A21" s="180"/>
      <c r="B21" s="56"/>
      <c r="C21" s="34" t="s">
        <v>3627</v>
      </c>
      <c r="D21" s="11"/>
      <c r="E21" s="30"/>
      <c r="F21" s="30">
        <v>1000</v>
      </c>
      <c r="G21" s="182"/>
      <c r="H21" s="40">
        <v>9683.3200000000197</v>
      </c>
    </row>
    <row r="22" spans="1:8" ht="13.5" customHeight="1" x14ac:dyDescent="0.2">
      <c r="A22" s="180"/>
      <c r="B22" s="56"/>
      <c r="C22" s="34" t="s">
        <v>3628</v>
      </c>
      <c r="D22" s="11"/>
      <c r="E22" s="30">
        <v>6000</v>
      </c>
      <c r="F22" s="30"/>
      <c r="G22" s="182">
        <v>3683.3200000000197</v>
      </c>
      <c r="H22" s="40">
        <v>3683.3200000000197</v>
      </c>
    </row>
    <row r="23" spans="1:8" ht="13.5" customHeight="1" x14ac:dyDescent="0.2">
      <c r="A23" s="180">
        <v>43839</v>
      </c>
      <c r="B23" s="56"/>
      <c r="C23" s="34" t="s">
        <v>3629</v>
      </c>
      <c r="D23" s="11"/>
      <c r="E23" s="30"/>
      <c r="F23" s="30">
        <v>275</v>
      </c>
      <c r="G23" s="182"/>
      <c r="H23" s="40">
        <v>3958.3200000000197</v>
      </c>
    </row>
    <row r="24" spans="1:8" ht="13.5" customHeight="1" x14ac:dyDescent="0.2">
      <c r="A24" s="180"/>
      <c r="B24" s="56"/>
      <c r="C24" s="34" t="s">
        <v>3630</v>
      </c>
      <c r="D24" s="11"/>
      <c r="E24" s="30">
        <v>15.3</v>
      </c>
      <c r="F24" s="30"/>
      <c r="G24" s="182"/>
      <c r="H24" s="40">
        <v>3943.0200000000195</v>
      </c>
    </row>
    <row r="25" spans="1:8" ht="13.5" customHeight="1" x14ac:dyDescent="0.2">
      <c r="A25" s="180"/>
      <c r="B25" s="56"/>
      <c r="C25" s="34" t="s">
        <v>3631</v>
      </c>
      <c r="D25" s="11"/>
      <c r="E25" s="30">
        <v>65.38</v>
      </c>
      <c r="F25" s="30"/>
      <c r="G25" s="182"/>
      <c r="H25" s="40">
        <v>3877.6400000000194</v>
      </c>
    </row>
    <row r="26" spans="1:8" ht="13.5" customHeight="1" x14ac:dyDescent="0.2">
      <c r="A26" s="180"/>
      <c r="B26" s="56"/>
      <c r="C26" s="34" t="s">
        <v>3632</v>
      </c>
      <c r="D26" s="11"/>
      <c r="E26" s="30">
        <v>8.6</v>
      </c>
      <c r="F26" s="30"/>
      <c r="G26" s="182"/>
      <c r="H26" s="40">
        <v>3869.0400000000195</v>
      </c>
    </row>
    <row r="27" spans="1:8" ht="13.5" customHeight="1" x14ac:dyDescent="0.2">
      <c r="A27" s="180"/>
      <c r="B27" s="56"/>
      <c r="C27" s="34" t="s">
        <v>3633</v>
      </c>
      <c r="D27" s="11"/>
      <c r="E27" s="30"/>
      <c r="F27" s="30">
        <v>250</v>
      </c>
      <c r="G27" s="182"/>
      <c r="H27" s="40">
        <v>4119.0400000000191</v>
      </c>
    </row>
    <row r="28" spans="1:8" ht="13.5" customHeight="1" x14ac:dyDescent="0.2">
      <c r="A28" s="180"/>
      <c r="B28" s="56"/>
      <c r="C28" s="34" t="s">
        <v>3634</v>
      </c>
      <c r="D28" s="11"/>
      <c r="E28" s="30">
        <v>280</v>
      </c>
      <c r="F28" s="30"/>
      <c r="G28" s="182">
        <v>3839.0400000000191</v>
      </c>
      <c r="H28" s="40">
        <v>3839.0400000000191</v>
      </c>
    </row>
    <row r="29" spans="1:8" ht="13.5" customHeight="1" x14ac:dyDescent="0.2">
      <c r="A29" s="180" t="s">
        <v>3635</v>
      </c>
      <c r="B29" s="56"/>
      <c r="C29" s="34" t="s">
        <v>3636</v>
      </c>
      <c r="D29" s="11"/>
      <c r="E29" s="30"/>
      <c r="F29" s="30">
        <v>1507</v>
      </c>
      <c r="G29" s="182"/>
      <c r="H29" s="40">
        <v>5346.0400000000191</v>
      </c>
    </row>
    <row r="30" spans="1:8" ht="13.5" customHeight="1" x14ac:dyDescent="0.2">
      <c r="A30" s="180"/>
      <c r="B30" s="56"/>
      <c r="C30" s="34" t="s">
        <v>3637</v>
      </c>
      <c r="D30" s="11"/>
      <c r="E30" s="30">
        <v>19.899999999999999</v>
      </c>
      <c r="F30" s="30"/>
      <c r="G30" s="182"/>
      <c r="H30" s="40">
        <v>5326.1400000000194</v>
      </c>
    </row>
    <row r="31" spans="1:8" ht="13.5" customHeight="1" x14ac:dyDescent="0.2">
      <c r="A31" s="180"/>
      <c r="B31" s="56"/>
      <c r="C31" s="34" t="s">
        <v>3638</v>
      </c>
      <c r="D31" s="11"/>
      <c r="E31" s="30">
        <v>240</v>
      </c>
      <c r="F31" s="30"/>
      <c r="G31" s="182"/>
      <c r="H31" s="40">
        <v>5086.1400000000194</v>
      </c>
    </row>
    <row r="32" spans="1:8" ht="13.5" customHeight="1" x14ac:dyDescent="0.2">
      <c r="A32" s="180"/>
      <c r="B32" s="56"/>
      <c r="C32" s="34" t="s">
        <v>3639</v>
      </c>
      <c r="D32" s="11"/>
      <c r="E32" s="30">
        <v>525</v>
      </c>
      <c r="F32" s="30"/>
      <c r="G32" s="182"/>
      <c r="H32" s="40">
        <v>4561.1400000000194</v>
      </c>
    </row>
    <row r="33" spans="1:8" ht="13.5" customHeight="1" x14ac:dyDescent="0.2">
      <c r="A33" s="180"/>
      <c r="B33" s="56"/>
      <c r="C33" s="34" t="s">
        <v>3640</v>
      </c>
      <c r="D33" s="11"/>
      <c r="E33" s="30">
        <v>2490</v>
      </c>
      <c r="F33" s="30"/>
      <c r="G33" s="182"/>
      <c r="H33" s="40">
        <v>2071.1400000000194</v>
      </c>
    </row>
    <row r="34" spans="1:8" ht="13.5" customHeight="1" x14ac:dyDescent="0.2">
      <c r="A34" s="180"/>
      <c r="B34" s="56"/>
      <c r="C34" s="34" t="s">
        <v>3641</v>
      </c>
      <c r="D34" s="11"/>
      <c r="E34" s="30"/>
      <c r="F34" s="30">
        <v>200</v>
      </c>
      <c r="G34" s="182"/>
      <c r="H34" s="40">
        <v>2271.1400000000194</v>
      </c>
    </row>
    <row r="35" spans="1:8" ht="13.5" customHeight="1" x14ac:dyDescent="0.2">
      <c r="A35" s="180"/>
      <c r="B35" s="56"/>
      <c r="C35" s="34" t="s">
        <v>3642</v>
      </c>
      <c r="D35" s="11"/>
      <c r="E35" s="30">
        <v>500</v>
      </c>
      <c r="F35" s="30"/>
      <c r="G35" s="182"/>
      <c r="H35" s="40">
        <v>1771.1400000000194</v>
      </c>
    </row>
    <row r="36" spans="1:8" ht="13.5" customHeight="1" x14ac:dyDescent="0.2">
      <c r="A36" s="180"/>
      <c r="B36" s="56"/>
      <c r="C36" s="36" t="s">
        <v>3643</v>
      </c>
      <c r="D36" s="11"/>
      <c r="E36" s="30"/>
      <c r="F36" s="30">
        <v>200</v>
      </c>
      <c r="G36" s="182">
        <v>1971.1400000000194</v>
      </c>
      <c r="H36" s="40">
        <v>1971.1400000000194</v>
      </c>
    </row>
    <row r="37" spans="1:8" ht="13.5" customHeight="1" x14ac:dyDescent="0.2">
      <c r="A37" s="180">
        <v>43843</v>
      </c>
      <c r="B37" s="56"/>
      <c r="C37" s="36" t="s">
        <v>3644</v>
      </c>
      <c r="D37" s="11"/>
      <c r="E37" s="30"/>
      <c r="F37" s="30">
        <v>1100</v>
      </c>
      <c r="G37" s="182"/>
      <c r="H37" s="40">
        <v>3071.1400000000194</v>
      </c>
    </row>
    <row r="38" spans="1:8" ht="13.5" customHeight="1" x14ac:dyDescent="0.2">
      <c r="A38" s="180"/>
      <c r="B38" s="56"/>
      <c r="C38" s="36" t="s">
        <v>3091</v>
      </c>
      <c r="D38" s="11"/>
      <c r="E38" s="30"/>
      <c r="F38" s="30">
        <v>400</v>
      </c>
      <c r="G38" s="182"/>
      <c r="H38" s="40">
        <v>3471.1400000000194</v>
      </c>
    </row>
    <row r="39" spans="1:8" ht="13.5" customHeight="1" x14ac:dyDescent="0.2">
      <c r="A39" s="180"/>
      <c r="B39" s="56"/>
      <c r="C39" s="36" t="s">
        <v>3645</v>
      </c>
      <c r="D39" s="11"/>
      <c r="E39" s="30"/>
      <c r="F39" s="30">
        <v>200</v>
      </c>
      <c r="G39" s="182">
        <v>3671.1400000000194</v>
      </c>
      <c r="H39" s="40">
        <v>3671.1400000000194</v>
      </c>
    </row>
    <row r="40" spans="1:8" ht="13.5" customHeight="1" x14ac:dyDescent="0.2">
      <c r="A40" s="180">
        <v>43844</v>
      </c>
      <c r="B40" s="56"/>
      <c r="C40" s="36" t="s">
        <v>3646</v>
      </c>
      <c r="D40" s="11"/>
      <c r="E40" s="30"/>
      <c r="F40" s="30">
        <v>3765</v>
      </c>
      <c r="G40" s="182"/>
      <c r="H40" s="40">
        <v>7436.1400000000194</v>
      </c>
    </row>
    <row r="41" spans="1:8" ht="13.5" customHeight="1" x14ac:dyDescent="0.2">
      <c r="A41" s="180"/>
      <c r="B41" s="56"/>
      <c r="C41" s="36" t="s">
        <v>3647</v>
      </c>
      <c r="D41" s="11"/>
      <c r="E41" s="552">
        <v>5000</v>
      </c>
      <c r="F41" s="30"/>
      <c r="G41" s="182"/>
      <c r="H41" s="40">
        <v>2436.1400000000194</v>
      </c>
    </row>
    <row r="42" spans="1:8" ht="13.5" customHeight="1" x14ac:dyDescent="0.2">
      <c r="A42" s="180"/>
      <c r="B42" s="56"/>
      <c r="C42" s="36" t="s">
        <v>3648</v>
      </c>
      <c r="D42" s="11"/>
      <c r="E42" s="30"/>
      <c r="F42" s="30">
        <v>220</v>
      </c>
      <c r="G42" s="182"/>
      <c r="H42" s="40">
        <v>2656.1400000000194</v>
      </c>
    </row>
    <row r="43" spans="1:8" ht="13.5" customHeight="1" x14ac:dyDescent="0.2">
      <c r="A43" s="180"/>
      <c r="B43" s="56"/>
      <c r="C43" s="36" t="s">
        <v>3649</v>
      </c>
      <c r="D43" s="11"/>
      <c r="E43" s="30"/>
      <c r="F43" s="30">
        <v>200</v>
      </c>
      <c r="G43" s="182">
        <v>2856.1400000000194</v>
      </c>
      <c r="H43" s="40">
        <v>2856.1400000000194</v>
      </c>
    </row>
    <row r="44" spans="1:8" ht="13.5" customHeight="1" x14ac:dyDescent="0.2">
      <c r="A44" s="180">
        <v>43845</v>
      </c>
      <c r="B44" s="56"/>
      <c r="C44" s="36" t="s">
        <v>3650</v>
      </c>
      <c r="D44" s="11"/>
      <c r="E44" s="30">
        <v>366.45</v>
      </c>
      <c r="F44" s="30"/>
      <c r="G44" s="182"/>
      <c r="H44" s="40">
        <v>2489.6900000000196</v>
      </c>
    </row>
    <row r="45" spans="1:8" ht="13.5" customHeight="1" x14ac:dyDescent="0.2">
      <c r="A45" s="180"/>
      <c r="B45" s="56"/>
      <c r="C45" s="36" t="s">
        <v>3642</v>
      </c>
      <c r="D45" s="11"/>
      <c r="E45" s="30">
        <v>500</v>
      </c>
      <c r="F45" s="30"/>
      <c r="G45" s="182">
        <v>1989.6900000000196</v>
      </c>
      <c r="H45" s="40">
        <v>1989.6900000000196</v>
      </c>
    </row>
    <row r="46" spans="1:8" ht="13.5" customHeight="1" x14ac:dyDescent="0.2">
      <c r="A46" s="180">
        <v>43846</v>
      </c>
      <c r="B46" s="56"/>
      <c r="C46" s="36" t="s">
        <v>3651</v>
      </c>
      <c r="D46" s="11"/>
      <c r="E46" s="30"/>
      <c r="F46" s="30">
        <v>420</v>
      </c>
      <c r="G46" s="182">
        <v>2409.6900000000196</v>
      </c>
      <c r="H46" s="40">
        <v>2409.6900000000196</v>
      </c>
    </row>
    <row r="47" spans="1:8" ht="13.5" customHeight="1" x14ac:dyDescent="0.2">
      <c r="A47" s="180">
        <v>43847</v>
      </c>
      <c r="B47" s="56"/>
      <c r="C47" s="36" t="s">
        <v>3652</v>
      </c>
      <c r="D47" s="11"/>
      <c r="E47" s="30"/>
      <c r="F47" s="30">
        <v>1140</v>
      </c>
      <c r="G47" s="182"/>
      <c r="H47" s="40">
        <v>3549.6900000000196</v>
      </c>
    </row>
    <row r="48" spans="1:8" ht="13.5" customHeight="1" x14ac:dyDescent="0.2">
      <c r="A48" s="180"/>
      <c r="B48" s="56"/>
      <c r="C48" s="36" t="s">
        <v>3653</v>
      </c>
      <c r="D48" s="11"/>
      <c r="E48" s="30"/>
      <c r="F48" s="30">
        <v>150</v>
      </c>
      <c r="G48" s="182"/>
      <c r="H48" s="40">
        <v>3699.6900000000196</v>
      </c>
    </row>
    <row r="49" spans="1:8" ht="13.5" customHeight="1" x14ac:dyDescent="0.2">
      <c r="A49" s="180"/>
      <c r="B49" s="56"/>
      <c r="C49" s="36" t="s">
        <v>3654</v>
      </c>
      <c r="D49" s="11"/>
      <c r="E49" s="30"/>
      <c r="F49" s="30">
        <v>1040</v>
      </c>
      <c r="G49" s="182"/>
      <c r="H49" s="40">
        <v>4739.6900000000196</v>
      </c>
    </row>
    <row r="50" spans="1:8" ht="13.5" customHeight="1" x14ac:dyDescent="0.2">
      <c r="A50" s="180"/>
      <c r="B50" s="56"/>
      <c r="C50" s="36" t="s">
        <v>3655</v>
      </c>
      <c r="D50" s="11"/>
      <c r="E50" s="30"/>
      <c r="F50" s="30">
        <v>1640</v>
      </c>
      <c r="G50" s="182"/>
      <c r="H50" s="40">
        <v>6379.6900000000196</v>
      </c>
    </row>
    <row r="51" spans="1:8" ht="13.5" customHeight="1" x14ac:dyDescent="0.2">
      <c r="A51" s="180"/>
      <c r="B51" s="56"/>
      <c r="C51" s="36" t="s">
        <v>3656</v>
      </c>
      <c r="D51" s="11"/>
      <c r="E51" s="30">
        <v>70</v>
      </c>
      <c r="F51" s="30"/>
      <c r="G51" s="182"/>
      <c r="H51" s="40">
        <v>6309.6900000000196</v>
      </c>
    </row>
    <row r="52" spans="1:8" ht="13.5" customHeight="1" x14ac:dyDescent="0.2">
      <c r="A52" s="180"/>
      <c r="B52" s="56"/>
      <c r="C52" s="36" t="s">
        <v>3657</v>
      </c>
      <c r="D52" s="11"/>
      <c r="E52" s="30">
        <v>300</v>
      </c>
      <c r="F52" s="30"/>
      <c r="G52" s="182"/>
      <c r="H52" s="40">
        <v>6009.6900000000196</v>
      </c>
    </row>
    <row r="53" spans="1:8" ht="13.5" customHeight="1" x14ac:dyDescent="0.2">
      <c r="A53" s="180"/>
      <c r="B53" s="56"/>
      <c r="C53" s="36" t="s">
        <v>3658</v>
      </c>
      <c r="D53" s="11"/>
      <c r="E53" s="30">
        <v>525</v>
      </c>
      <c r="F53" s="30"/>
      <c r="G53" s="182"/>
      <c r="H53" s="40">
        <v>5484.6900000000196</v>
      </c>
    </row>
    <row r="54" spans="1:8" ht="13.5" customHeight="1" x14ac:dyDescent="0.2">
      <c r="A54" s="180"/>
      <c r="B54" s="56"/>
      <c r="C54" s="36" t="s">
        <v>3659</v>
      </c>
      <c r="D54" s="11"/>
      <c r="E54" s="30">
        <v>1500</v>
      </c>
      <c r="F54" s="30"/>
      <c r="G54" s="182">
        <v>3984.6900000000196</v>
      </c>
      <c r="H54" s="40">
        <v>3984.6900000000196</v>
      </c>
    </row>
    <row r="55" spans="1:8" ht="13.5" customHeight="1" x14ac:dyDescent="0.2">
      <c r="A55" s="180">
        <v>43851</v>
      </c>
      <c r="B55" s="56"/>
      <c r="C55" s="36" t="s">
        <v>3660</v>
      </c>
      <c r="D55" s="11"/>
      <c r="E55" s="30"/>
      <c r="F55" s="30">
        <v>525</v>
      </c>
      <c r="G55" s="182"/>
      <c r="H55" s="40">
        <v>4509.6900000000196</v>
      </c>
    </row>
    <row r="56" spans="1:8" ht="13.5" customHeight="1" x14ac:dyDescent="0.2">
      <c r="A56" s="180"/>
      <c r="B56" s="56"/>
      <c r="C56" s="36" t="s">
        <v>3661</v>
      </c>
      <c r="D56" s="11"/>
      <c r="E56" s="30"/>
      <c r="F56" s="30">
        <v>7750</v>
      </c>
      <c r="G56" s="182"/>
      <c r="H56" s="40">
        <v>12259.690000000021</v>
      </c>
    </row>
    <row r="57" spans="1:8" ht="13.5" customHeight="1" x14ac:dyDescent="0.2">
      <c r="A57" s="180"/>
      <c r="B57" s="56"/>
      <c r="C57" s="36" t="s">
        <v>3662</v>
      </c>
      <c r="D57" s="11"/>
      <c r="E57" s="165">
        <v>8275</v>
      </c>
      <c r="F57" s="30"/>
      <c r="G57" s="182"/>
      <c r="H57" s="40">
        <v>3984.6900000000205</v>
      </c>
    </row>
    <row r="58" spans="1:8" ht="13.5" customHeight="1" x14ac:dyDescent="0.2">
      <c r="A58" s="180"/>
      <c r="B58" s="56"/>
      <c r="C58" s="36" t="s">
        <v>3663</v>
      </c>
      <c r="D58" s="11"/>
      <c r="E58" s="165">
        <v>820</v>
      </c>
      <c r="F58" s="30"/>
      <c r="G58" s="182"/>
      <c r="H58" s="40">
        <v>3164.6900000000205</v>
      </c>
    </row>
    <row r="59" spans="1:8" ht="13.5" customHeight="1" x14ac:dyDescent="0.2">
      <c r="A59" s="180"/>
      <c r="B59" s="56"/>
      <c r="C59" s="36" t="s">
        <v>3664</v>
      </c>
      <c r="D59" s="11"/>
      <c r="E59" s="30">
        <v>88.33</v>
      </c>
      <c r="F59" s="30"/>
      <c r="G59" s="182"/>
      <c r="H59" s="40">
        <v>3076.3600000000206</v>
      </c>
    </row>
    <row r="60" spans="1:8" ht="13.5" customHeight="1" x14ac:dyDescent="0.2">
      <c r="A60" s="180"/>
      <c r="B60" s="56"/>
      <c r="C60" s="36" t="s">
        <v>3665</v>
      </c>
      <c r="D60" s="11"/>
      <c r="E60" s="30"/>
      <c r="F60" s="30">
        <v>1110</v>
      </c>
      <c r="G60" s="182">
        <v>4186.3600000000206</v>
      </c>
      <c r="H60" s="40">
        <v>4186.3600000000206</v>
      </c>
    </row>
    <row r="61" spans="1:8" ht="13.5" customHeight="1" x14ac:dyDescent="0.2">
      <c r="A61" s="180">
        <v>43853</v>
      </c>
      <c r="B61" s="56"/>
      <c r="C61" s="36" t="s">
        <v>3666</v>
      </c>
      <c r="D61" s="11"/>
      <c r="E61" s="30">
        <v>320</v>
      </c>
      <c r="F61" s="30"/>
      <c r="G61" s="182">
        <v>3866.3600000000206</v>
      </c>
      <c r="H61" s="40">
        <v>3866.3600000000206</v>
      </c>
    </row>
    <row r="62" spans="1:8" ht="13.5" customHeight="1" x14ac:dyDescent="0.2">
      <c r="A62" s="180">
        <v>43854</v>
      </c>
      <c r="B62" s="56"/>
      <c r="C62" s="36" t="s">
        <v>3667</v>
      </c>
      <c r="D62" s="11"/>
      <c r="E62" s="30">
        <v>31.35</v>
      </c>
      <c r="F62" s="30"/>
      <c r="G62" s="182"/>
      <c r="H62" s="40">
        <v>3835.0100000000207</v>
      </c>
    </row>
    <row r="63" spans="1:8" ht="13.5" customHeight="1" x14ac:dyDescent="0.2">
      <c r="A63" s="180"/>
      <c r="B63" s="56"/>
      <c r="C63" s="36" t="s">
        <v>3668</v>
      </c>
      <c r="D63" s="11"/>
      <c r="E63" s="30">
        <v>8.6</v>
      </c>
      <c r="F63" s="30"/>
      <c r="G63" s="182"/>
      <c r="H63" s="40">
        <v>3826.4100000000208</v>
      </c>
    </row>
    <row r="64" spans="1:8" ht="13.5" customHeight="1" x14ac:dyDescent="0.2">
      <c r="A64" s="180"/>
      <c r="B64" s="56"/>
      <c r="C64" s="36" t="s">
        <v>3669</v>
      </c>
      <c r="D64" s="11"/>
      <c r="E64" s="30">
        <v>21.84</v>
      </c>
      <c r="F64" s="30"/>
      <c r="G64" s="182"/>
      <c r="H64" s="40">
        <v>3804.5700000000206</v>
      </c>
    </row>
    <row r="65" spans="1:8" ht="13.5" customHeight="1" x14ac:dyDescent="0.2">
      <c r="A65" s="180"/>
      <c r="B65" s="56"/>
      <c r="C65" s="36" t="s">
        <v>3670</v>
      </c>
      <c r="D65" s="11"/>
      <c r="E65" s="30">
        <v>300</v>
      </c>
      <c r="F65" s="30"/>
      <c r="G65" s="182"/>
      <c r="H65" s="40">
        <v>3504.5700000000206</v>
      </c>
    </row>
    <row r="66" spans="1:8" ht="13.5" customHeight="1" x14ac:dyDescent="0.2">
      <c r="A66" s="180"/>
      <c r="B66" s="56"/>
      <c r="C66" s="36" t="s">
        <v>3671</v>
      </c>
      <c r="D66" s="11"/>
      <c r="E66" s="30">
        <v>270</v>
      </c>
      <c r="F66" s="30"/>
      <c r="G66" s="182"/>
      <c r="H66" s="40">
        <v>3234.5700000000206</v>
      </c>
    </row>
    <row r="67" spans="1:8" ht="13.5" customHeight="1" x14ac:dyDescent="0.2">
      <c r="A67" s="180"/>
      <c r="B67" s="56"/>
      <c r="C67" s="36" t="s">
        <v>3672</v>
      </c>
      <c r="D67" s="11"/>
      <c r="E67" s="30">
        <v>525</v>
      </c>
      <c r="F67" s="30"/>
      <c r="G67" s="182">
        <v>2709.5700000000206</v>
      </c>
      <c r="H67" s="40">
        <v>2709.5700000000206</v>
      </c>
    </row>
    <row r="68" spans="1:8" ht="13.5" customHeight="1" x14ac:dyDescent="0.2">
      <c r="A68" s="180">
        <v>43857</v>
      </c>
      <c r="B68" s="56"/>
      <c r="C68" s="36" t="s">
        <v>3673</v>
      </c>
      <c r="D68" s="11"/>
      <c r="E68" s="30"/>
      <c r="F68" s="30">
        <v>5200</v>
      </c>
      <c r="G68" s="182">
        <v>7909.5700000000206</v>
      </c>
      <c r="H68" s="40">
        <v>7909.5700000000206</v>
      </c>
    </row>
    <row r="69" spans="1:8" ht="13.5" customHeight="1" x14ac:dyDescent="0.2">
      <c r="A69" s="180">
        <v>43858</v>
      </c>
      <c r="B69" s="56"/>
      <c r="C69" s="36" t="s">
        <v>3674</v>
      </c>
      <c r="D69" s="11"/>
      <c r="E69" s="30"/>
      <c r="F69" s="30">
        <v>950</v>
      </c>
      <c r="G69" s="182"/>
      <c r="H69" s="40">
        <v>8859.5700000000215</v>
      </c>
    </row>
    <row r="70" spans="1:8" ht="13.5" customHeight="1" x14ac:dyDescent="0.2">
      <c r="A70" s="180"/>
      <c r="B70" s="56"/>
      <c r="C70" s="36" t="s">
        <v>2776</v>
      </c>
      <c r="D70" s="11"/>
      <c r="E70" s="552">
        <v>5000</v>
      </c>
      <c r="F70" s="30"/>
      <c r="G70" s="182">
        <v>3859.5700000000215</v>
      </c>
      <c r="H70" s="40">
        <v>3859.5700000000215</v>
      </c>
    </row>
    <row r="71" spans="1:8" ht="13.5" customHeight="1" x14ac:dyDescent="0.2">
      <c r="A71" s="180">
        <v>43859</v>
      </c>
      <c r="B71" s="56"/>
      <c r="C71" s="36" t="s">
        <v>2772</v>
      </c>
      <c r="D71" s="11"/>
      <c r="E71" s="30">
        <v>8.98</v>
      </c>
      <c r="F71" s="30"/>
      <c r="G71" s="182"/>
      <c r="H71" s="40">
        <v>3850.5900000000215</v>
      </c>
    </row>
    <row r="72" spans="1:8" ht="13.5" customHeight="1" x14ac:dyDescent="0.2">
      <c r="A72" s="180"/>
      <c r="B72" s="56"/>
      <c r="C72" s="36" t="s">
        <v>3675</v>
      </c>
      <c r="D72" s="11"/>
      <c r="E72" s="30"/>
      <c r="F72" s="30">
        <v>1464</v>
      </c>
      <c r="G72" s="182"/>
      <c r="H72" s="40">
        <v>5314.590000000022</v>
      </c>
    </row>
    <row r="73" spans="1:8" ht="13.5" customHeight="1" x14ac:dyDescent="0.2">
      <c r="A73" s="180"/>
      <c r="B73" s="56"/>
      <c r="C73" s="36" t="s">
        <v>3676</v>
      </c>
      <c r="D73" s="11"/>
      <c r="E73" s="30">
        <v>40</v>
      </c>
      <c r="F73" s="30"/>
      <c r="G73" s="182"/>
      <c r="H73" s="40">
        <v>5274.590000000022</v>
      </c>
    </row>
    <row r="74" spans="1:8" ht="13.5" customHeight="1" x14ac:dyDescent="0.2">
      <c r="A74" s="180"/>
      <c r="B74" s="56"/>
      <c r="C74" s="36" t="s">
        <v>3677</v>
      </c>
      <c r="D74" s="11"/>
      <c r="E74" s="30">
        <v>7</v>
      </c>
      <c r="F74" s="30"/>
      <c r="G74" s="182"/>
      <c r="H74" s="40">
        <v>5267.590000000022</v>
      </c>
    </row>
    <row r="75" spans="1:8" ht="13.5" customHeight="1" x14ac:dyDescent="0.2">
      <c r="A75" s="180"/>
      <c r="B75" s="56"/>
      <c r="C75" s="36" t="s">
        <v>3678</v>
      </c>
      <c r="D75" s="11"/>
      <c r="E75" s="30">
        <v>40</v>
      </c>
      <c r="F75" s="30"/>
      <c r="G75" s="182">
        <v>5227.590000000022</v>
      </c>
      <c r="H75" s="40">
        <v>5227.590000000022</v>
      </c>
    </row>
    <row r="76" spans="1:8" ht="13.5" customHeight="1" x14ac:dyDescent="0.2">
      <c r="A76" s="180">
        <v>43860</v>
      </c>
      <c r="B76" s="56"/>
      <c r="C76" s="36" t="s">
        <v>3679</v>
      </c>
      <c r="D76" s="11"/>
      <c r="E76" s="30"/>
      <c r="F76" s="30">
        <v>200</v>
      </c>
      <c r="G76" s="182"/>
      <c r="H76" s="40">
        <v>5427.590000000022</v>
      </c>
    </row>
    <row r="77" spans="1:8" ht="13.5" customHeight="1" x14ac:dyDescent="0.2">
      <c r="A77" s="180"/>
      <c r="B77" s="56"/>
      <c r="C77" s="36" t="s">
        <v>3680</v>
      </c>
      <c r="D77" s="11"/>
      <c r="E77" s="30">
        <v>50.06</v>
      </c>
      <c r="F77" s="30"/>
      <c r="G77" s="182">
        <v>5377.5300000000216</v>
      </c>
      <c r="H77" s="40">
        <v>5377.5300000000216</v>
      </c>
    </row>
    <row r="78" spans="1:8" ht="13.5" customHeight="1" x14ac:dyDescent="0.2">
      <c r="A78" s="180">
        <v>43861</v>
      </c>
      <c r="B78" s="56"/>
      <c r="C78" s="36" t="s">
        <v>3681</v>
      </c>
      <c r="D78" s="11"/>
      <c r="E78" s="30"/>
      <c r="F78" s="30">
        <v>2205</v>
      </c>
      <c r="G78" s="182"/>
      <c r="H78" s="40">
        <v>7582.5300000000216</v>
      </c>
    </row>
    <row r="79" spans="1:8" ht="13.5" customHeight="1" x14ac:dyDescent="0.2">
      <c r="A79" s="180"/>
      <c r="B79" s="56"/>
      <c r="C79" s="36" t="s">
        <v>3682</v>
      </c>
      <c r="D79" s="11"/>
      <c r="E79" s="30">
        <v>12</v>
      </c>
      <c r="F79" s="30"/>
      <c r="G79" s="182"/>
      <c r="H79" s="40">
        <v>7570.5300000000216</v>
      </c>
    </row>
    <row r="80" spans="1:8" ht="13.5" customHeight="1" x14ac:dyDescent="0.2">
      <c r="A80" s="180"/>
      <c r="B80" s="56"/>
      <c r="C80" s="36" t="s">
        <v>2776</v>
      </c>
      <c r="D80" s="11"/>
      <c r="E80" s="552">
        <v>1000</v>
      </c>
      <c r="F80" s="30"/>
      <c r="G80" s="182"/>
      <c r="H80" s="40">
        <v>6570.5300000000216</v>
      </c>
    </row>
    <row r="81" spans="1:27" ht="13.5" customHeight="1" x14ac:dyDescent="0.2">
      <c r="A81" s="180"/>
      <c r="B81" s="56"/>
      <c r="C81" s="36" t="s">
        <v>3683</v>
      </c>
      <c r="D81" s="11"/>
      <c r="E81" s="30">
        <v>300</v>
      </c>
      <c r="F81" s="30"/>
      <c r="G81" s="182"/>
      <c r="H81" s="40">
        <v>6270.5300000000216</v>
      </c>
    </row>
    <row r="82" spans="1:27" ht="13.5" customHeight="1" x14ac:dyDescent="0.2">
      <c r="A82" s="180"/>
      <c r="B82" s="56"/>
      <c r="C82" s="36" t="s">
        <v>3684</v>
      </c>
      <c r="D82" s="11"/>
      <c r="E82" s="30">
        <v>525</v>
      </c>
      <c r="F82" s="12"/>
      <c r="G82" s="182"/>
      <c r="H82" s="40">
        <v>5745.5300000000216</v>
      </c>
    </row>
    <row r="83" spans="1:27" ht="13.5" customHeight="1" x14ac:dyDescent="0.2">
      <c r="A83" s="180"/>
      <c r="B83" s="56"/>
      <c r="C83" s="36" t="s">
        <v>3685</v>
      </c>
      <c r="D83" s="11"/>
      <c r="E83" s="30">
        <v>258</v>
      </c>
      <c r="F83" s="12"/>
      <c r="G83" s="205">
        <v>5487.5300000000216</v>
      </c>
      <c r="H83" s="40">
        <v>5487.5300000000216</v>
      </c>
    </row>
    <row r="84" spans="1:27" s="64" customFormat="1" ht="13.5" customHeight="1" thickBot="1" x14ac:dyDescent="0.25">
      <c r="A84" s="184"/>
      <c r="B84" s="63"/>
      <c r="C84" s="63"/>
      <c r="D84" s="50"/>
      <c r="E84" s="650">
        <f>-SUM(E3:E83)</f>
        <v>-36830.54</v>
      </c>
      <c r="F84" s="650">
        <f>SUM(F3:F83)</f>
        <v>37304.22</v>
      </c>
      <c r="G84" s="53"/>
      <c r="H84" s="40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3.5" customHeight="1" thickBot="1" x14ac:dyDescent="0.25">
      <c r="A85" s="2" t="s">
        <v>2</v>
      </c>
      <c r="B85" s="3"/>
      <c r="C85" s="3" t="s">
        <v>536</v>
      </c>
      <c r="D85" s="3" t="s">
        <v>4</v>
      </c>
      <c r="E85" s="3" t="s">
        <v>5</v>
      </c>
      <c r="F85" s="3" t="s">
        <v>6</v>
      </c>
      <c r="G85" s="5" t="s">
        <v>7</v>
      </c>
    </row>
    <row r="86" spans="1:27" ht="13.5" customHeight="1" x14ac:dyDescent="0.2">
      <c r="A86" s="8">
        <v>43831</v>
      </c>
      <c r="B86" s="56"/>
      <c r="C86" s="10" t="s">
        <v>8</v>
      </c>
      <c r="D86" s="11"/>
      <c r="E86" s="51"/>
      <c r="F86" s="12"/>
      <c r="G86" s="205">
        <v>4000.0000000000073</v>
      </c>
      <c r="H86" s="40">
        <v>4000.0000000000073</v>
      </c>
    </row>
    <row r="87" spans="1:27" ht="13.5" customHeight="1" x14ac:dyDescent="0.2">
      <c r="A87" s="171">
        <v>43836</v>
      </c>
      <c r="B87" s="46"/>
      <c r="C87" s="36" t="s">
        <v>3686</v>
      </c>
      <c r="D87" s="11"/>
      <c r="E87" s="30">
        <v>170</v>
      </c>
      <c r="F87" s="12"/>
      <c r="G87" s="182">
        <v>3830.0000000000073</v>
      </c>
      <c r="H87" s="40">
        <v>3830.0000000000073</v>
      </c>
    </row>
    <row r="88" spans="1:27" ht="13.5" customHeight="1" x14ac:dyDescent="0.2">
      <c r="A88" s="171">
        <v>43837</v>
      </c>
      <c r="B88" s="46"/>
      <c r="C88" s="36" t="s">
        <v>3687</v>
      </c>
      <c r="D88" s="11"/>
      <c r="E88" s="30">
        <v>14.7</v>
      </c>
      <c r="F88" s="12"/>
      <c r="G88" s="182">
        <v>3815.3000000000075</v>
      </c>
      <c r="H88" s="40">
        <v>3815.3000000000075</v>
      </c>
    </row>
    <row r="89" spans="1:27" ht="13.5" customHeight="1" x14ac:dyDescent="0.2">
      <c r="A89" s="171">
        <v>43838</v>
      </c>
      <c r="B89" s="46"/>
      <c r="C89" s="36" t="s">
        <v>3687</v>
      </c>
      <c r="D89" s="11"/>
      <c r="E89" s="30">
        <v>10.6</v>
      </c>
      <c r="F89" s="12"/>
      <c r="G89" s="182">
        <v>3804.7000000000075</v>
      </c>
      <c r="H89" s="40">
        <v>3804.7000000000075</v>
      </c>
    </row>
    <row r="90" spans="1:27" ht="13.5" customHeight="1" x14ac:dyDescent="0.2">
      <c r="A90" s="180">
        <v>43840</v>
      </c>
      <c r="B90" s="56"/>
      <c r="C90" s="32" t="s">
        <v>3688</v>
      </c>
      <c r="D90" s="11"/>
      <c r="E90" s="30">
        <v>3.45</v>
      </c>
      <c r="F90" s="12"/>
      <c r="G90" s="182">
        <v>3801.2500000000077</v>
      </c>
      <c r="H90" s="40">
        <v>3801.2500000000077</v>
      </c>
    </row>
    <row r="91" spans="1:27" ht="13.5" customHeight="1" x14ac:dyDescent="0.2">
      <c r="A91" s="180">
        <v>43843</v>
      </c>
      <c r="B91" s="56"/>
      <c r="C91" s="36" t="s">
        <v>3689</v>
      </c>
      <c r="D91" s="11"/>
      <c r="E91" s="30">
        <v>13.8</v>
      </c>
      <c r="F91" s="12"/>
      <c r="G91" s="182">
        <v>3787.4500000000075</v>
      </c>
      <c r="H91" s="40">
        <v>3787.4500000000075</v>
      </c>
    </row>
    <row r="92" spans="1:27" ht="13.5" customHeight="1" x14ac:dyDescent="0.2">
      <c r="A92" s="180"/>
      <c r="B92" s="56"/>
      <c r="C92" s="36" t="s">
        <v>3689</v>
      </c>
      <c r="D92" s="11"/>
      <c r="E92" s="30">
        <v>8.85</v>
      </c>
      <c r="F92" s="12"/>
      <c r="G92" s="182">
        <v>3778.6000000000076</v>
      </c>
      <c r="H92" s="40">
        <v>3778.6000000000076</v>
      </c>
    </row>
    <row r="93" spans="1:27" ht="13.5" customHeight="1" x14ac:dyDescent="0.2">
      <c r="A93" s="180"/>
      <c r="B93" s="56"/>
      <c r="C93" s="36" t="s">
        <v>3690</v>
      </c>
      <c r="D93" s="11"/>
      <c r="E93" s="30">
        <v>7</v>
      </c>
      <c r="F93" s="12"/>
      <c r="G93" s="182">
        <v>3771.6000000000076</v>
      </c>
      <c r="H93" s="40">
        <v>3771.6000000000076</v>
      </c>
    </row>
    <row r="94" spans="1:27" ht="13.5" customHeight="1" x14ac:dyDescent="0.2">
      <c r="A94" s="180">
        <v>43844</v>
      </c>
      <c r="B94" s="56"/>
      <c r="C94" s="36" t="s">
        <v>3647</v>
      </c>
      <c r="D94" s="11"/>
      <c r="E94" s="30"/>
      <c r="F94" s="277">
        <v>5000</v>
      </c>
      <c r="G94" s="182">
        <v>8771.6000000000076</v>
      </c>
      <c r="H94" s="40">
        <v>8771.6000000000076</v>
      </c>
    </row>
    <row r="95" spans="1:27" ht="13.5" customHeight="1" x14ac:dyDescent="0.2">
      <c r="A95" s="180"/>
      <c r="B95" s="56"/>
      <c r="C95" s="34" t="s">
        <v>3691</v>
      </c>
      <c r="D95" s="11"/>
      <c r="E95" s="30">
        <v>65</v>
      </c>
      <c r="F95" s="12"/>
      <c r="G95" s="182">
        <v>8706.6000000000076</v>
      </c>
      <c r="H95" s="40">
        <v>8706.6000000000076</v>
      </c>
    </row>
    <row r="96" spans="1:27" ht="13.5" customHeight="1" x14ac:dyDescent="0.2">
      <c r="A96" s="180"/>
      <c r="B96" s="56"/>
      <c r="C96" s="34" t="s">
        <v>3692</v>
      </c>
      <c r="D96" s="11"/>
      <c r="E96" s="30">
        <v>25</v>
      </c>
      <c r="F96" s="12"/>
      <c r="G96" s="182">
        <v>8681.6000000000076</v>
      </c>
      <c r="H96" s="40">
        <v>8681.6000000000076</v>
      </c>
    </row>
    <row r="97" spans="1:27" ht="13.5" customHeight="1" x14ac:dyDescent="0.2">
      <c r="A97" s="180">
        <v>43845</v>
      </c>
      <c r="B97" s="56"/>
      <c r="C97" s="34" t="s">
        <v>3693</v>
      </c>
      <c r="D97" s="11"/>
      <c r="E97" s="30">
        <v>26</v>
      </c>
      <c r="F97" s="12"/>
      <c r="G97" s="182">
        <v>8655.6000000000076</v>
      </c>
      <c r="H97" s="40">
        <v>8655.6000000000076</v>
      </c>
    </row>
    <row r="98" spans="1:27" ht="13.5" customHeight="1" x14ac:dyDescent="0.2">
      <c r="A98" s="180">
        <v>43846</v>
      </c>
      <c r="B98" s="56"/>
      <c r="C98" s="34" t="s">
        <v>3694</v>
      </c>
      <c r="D98" s="11"/>
      <c r="E98" s="30">
        <v>200</v>
      </c>
      <c r="F98" s="12"/>
      <c r="G98" s="182">
        <v>8455.6000000000076</v>
      </c>
      <c r="H98" s="40">
        <v>8455.6000000000076</v>
      </c>
    </row>
    <row r="99" spans="1:27" ht="13.5" customHeight="1" x14ac:dyDescent="0.2">
      <c r="A99" s="180">
        <v>43847</v>
      </c>
      <c r="B99" s="56"/>
      <c r="C99" s="34" t="s">
        <v>3695</v>
      </c>
      <c r="D99" s="11"/>
      <c r="E99" s="30">
        <v>7</v>
      </c>
      <c r="F99" s="12"/>
      <c r="G99" s="182">
        <v>8448.6000000000076</v>
      </c>
      <c r="H99" s="40">
        <v>8448.6000000000076</v>
      </c>
    </row>
    <row r="100" spans="1:27" ht="13.5" customHeight="1" x14ac:dyDescent="0.2">
      <c r="A100" s="180"/>
      <c r="B100" s="56"/>
      <c r="C100" s="34" t="s">
        <v>3696</v>
      </c>
      <c r="D100" s="11"/>
      <c r="E100" s="30">
        <v>29.94</v>
      </c>
      <c r="F100" s="12"/>
      <c r="G100" s="182">
        <v>8418.6600000000071</v>
      </c>
      <c r="H100" s="40">
        <v>8418.6600000000071</v>
      </c>
    </row>
    <row r="101" spans="1:27" ht="13.5" customHeight="1" x14ac:dyDescent="0.2">
      <c r="A101" s="180">
        <v>43852</v>
      </c>
      <c r="B101" s="56"/>
      <c r="C101" s="34" t="s">
        <v>3697</v>
      </c>
      <c r="D101" s="11"/>
      <c r="E101" s="30">
        <v>480</v>
      </c>
      <c r="F101" s="12"/>
      <c r="G101" s="182">
        <v>7938.6600000000071</v>
      </c>
      <c r="H101" s="40">
        <v>7938.6600000000071</v>
      </c>
    </row>
    <row r="102" spans="1:27" s="64" customFormat="1" ht="13.5" customHeight="1" x14ac:dyDescent="0.2">
      <c r="A102" s="184">
        <v>43853</v>
      </c>
      <c r="B102" s="63"/>
      <c r="C102" s="34" t="s">
        <v>3698</v>
      </c>
      <c r="D102" s="50"/>
      <c r="E102" s="552">
        <v>2000</v>
      </c>
      <c r="F102" s="13"/>
      <c r="G102" s="182">
        <v>5938.6600000000071</v>
      </c>
      <c r="H102" s="40">
        <v>5938.6600000000071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s="64" customFormat="1" ht="13.5" customHeight="1" x14ac:dyDescent="0.2">
      <c r="A103" s="184"/>
      <c r="B103" s="63"/>
      <c r="C103" s="34" t="s">
        <v>3698</v>
      </c>
      <c r="D103" s="50"/>
      <c r="E103" s="552">
        <v>2000</v>
      </c>
      <c r="F103" s="13"/>
      <c r="G103" s="182">
        <v>3938.6600000000071</v>
      </c>
      <c r="H103" s="40">
        <v>3938.6600000000071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s="64" customFormat="1" ht="13.5" customHeight="1" x14ac:dyDescent="0.2">
      <c r="A104" s="184">
        <v>43858</v>
      </c>
      <c r="B104" s="63"/>
      <c r="C104" s="32" t="s">
        <v>3699</v>
      </c>
      <c r="D104" s="50"/>
      <c r="E104" s="51">
        <v>525</v>
      </c>
      <c r="F104" s="13"/>
      <c r="G104" s="182">
        <v>3413.6600000000071</v>
      </c>
      <c r="H104" s="40">
        <v>3413.6600000000071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s="64" customFormat="1" ht="13.5" customHeight="1" x14ac:dyDescent="0.2">
      <c r="A105" s="184"/>
      <c r="B105" s="63"/>
      <c r="C105" s="36" t="s">
        <v>2776</v>
      </c>
      <c r="D105" s="50"/>
      <c r="E105" s="51"/>
      <c r="F105" s="277">
        <v>5000</v>
      </c>
      <c r="G105" s="182">
        <v>8413.6600000000071</v>
      </c>
      <c r="H105" s="40">
        <v>8413.6600000000071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13.5" customHeight="1" x14ac:dyDescent="0.2">
      <c r="A106" s="180">
        <v>43859</v>
      </c>
      <c r="B106" s="56"/>
      <c r="C106" s="36" t="s">
        <v>3700</v>
      </c>
      <c r="D106" s="11"/>
      <c r="E106" s="30">
        <v>10</v>
      </c>
      <c r="F106" s="12"/>
      <c r="G106" s="182">
        <v>8403.6600000000071</v>
      </c>
      <c r="H106" s="40">
        <v>8403.6600000000071</v>
      </c>
    </row>
    <row r="107" spans="1:27" s="64" customFormat="1" ht="13.5" customHeight="1" x14ac:dyDescent="0.2">
      <c r="A107" s="184">
        <v>43861</v>
      </c>
      <c r="B107" s="63"/>
      <c r="C107" s="36" t="s">
        <v>2776</v>
      </c>
      <c r="D107" s="50"/>
      <c r="E107" s="51"/>
      <c r="F107" s="277">
        <v>1000</v>
      </c>
      <c r="G107" s="205">
        <v>9403.6600000000071</v>
      </c>
      <c r="H107" s="40">
        <v>9403.6600000000071</v>
      </c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3.5" customHeight="1" thickBot="1" x14ac:dyDescent="0.25">
      <c r="A108" s="180"/>
      <c r="B108" s="56"/>
      <c r="C108" s="56"/>
      <c r="D108" s="11"/>
      <c r="E108" s="653">
        <f>-SUM(E86:E107)</f>
        <v>-5596.34</v>
      </c>
      <c r="F108" s="653">
        <f>SUM(F86:F107)</f>
        <v>11000</v>
      </c>
      <c r="G108" s="182"/>
    </row>
    <row r="109" spans="1:27" ht="13.5" customHeight="1" thickBot="1" x14ac:dyDescent="0.25">
      <c r="A109" s="2" t="s">
        <v>2</v>
      </c>
      <c r="B109" s="3"/>
      <c r="C109" s="3" t="s">
        <v>3</v>
      </c>
      <c r="D109" s="3"/>
      <c r="E109" s="3"/>
      <c r="F109" s="3"/>
      <c r="G109" s="5" t="s">
        <v>7</v>
      </c>
    </row>
    <row r="110" spans="1:27" ht="13.5" customHeight="1" x14ac:dyDescent="0.2">
      <c r="A110" s="8">
        <v>43831</v>
      </c>
      <c r="B110" s="70"/>
      <c r="C110" s="10" t="s">
        <v>537</v>
      </c>
      <c r="D110" s="46"/>
      <c r="E110" s="67"/>
      <c r="F110" s="67"/>
      <c r="G110" s="205">
        <v>1212.45</v>
      </c>
      <c r="H110" s="40">
        <v>1212.45</v>
      </c>
    </row>
    <row r="111" spans="1:27" ht="13.5" customHeight="1" x14ac:dyDescent="0.2">
      <c r="A111" s="171">
        <v>43836</v>
      </c>
      <c r="B111" s="46"/>
      <c r="C111" s="34" t="s">
        <v>55</v>
      </c>
      <c r="D111" s="46"/>
      <c r="E111" s="69">
        <v>-400</v>
      </c>
      <c r="F111" s="69"/>
      <c r="G111" s="182"/>
      <c r="H111" s="40">
        <v>812.45</v>
      </c>
    </row>
    <row r="112" spans="1:27" ht="13.5" customHeight="1" x14ac:dyDescent="0.2">
      <c r="A112" s="171"/>
      <c r="B112" s="46"/>
      <c r="C112" s="36" t="s">
        <v>20</v>
      </c>
      <c r="D112" s="46" t="s">
        <v>19</v>
      </c>
      <c r="E112" s="69" t="s">
        <v>549</v>
      </c>
      <c r="F112" s="69">
        <v>0.03</v>
      </c>
      <c r="G112" s="182">
        <v>812.48</v>
      </c>
      <c r="H112" s="40">
        <v>812.48</v>
      </c>
    </row>
    <row r="113" spans="1:8" ht="13.5" customHeight="1" x14ac:dyDescent="0.2">
      <c r="A113" s="171" t="s">
        <v>3701</v>
      </c>
      <c r="B113" s="46"/>
      <c r="C113" s="34" t="s">
        <v>3702</v>
      </c>
      <c r="D113" s="46" t="s">
        <v>19</v>
      </c>
      <c r="E113" s="69">
        <v>-884.72</v>
      </c>
      <c r="F113" s="69" t="s">
        <v>549</v>
      </c>
      <c r="G113" s="182"/>
      <c r="H113" s="40">
        <v>-72.240000000000009</v>
      </c>
    </row>
    <row r="114" spans="1:8" ht="13.5" customHeight="1" x14ac:dyDescent="0.2">
      <c r="A114" s="180"/>
      <c r="B114" s="46"/>
      <c r="C114" s="34" t="s">
        <v>1625</v>
      </c>
      <c r="D114" s="46" t="s">
        <v>3703</v>
      </c>
      <c r="E114" s="69" t="s">
        <v>549</v>
      </c>
      <c r="F114" s="322">
        <v>2000</v>
      </c>
      <c r="G114" s="182">
        <v>1927.76</v>
      </c>
      <c r="H114" s="40">
        <v>1927.76</v>
      </c>
    </row>
    <row r="115" spans="1:8" ht="13.5" customHeight="1" x14ac:dyDescent="0.2">
      <c r="A115" s="180" t="s">
        <v>3704</v>
      </c>
      <c r="B115" s="46"/>
      <c r="C115" s="34" t="s">
        <v>3705</v>
      </c>
      <c r="D115" s="46" t="s">
        <v>722</v>
      </c>
      <c r="E115" s="61">
        <v>-420</v>
      </c>
      <c r="F115" s="61" t="s">
        <v>549</v>
      </c>
      <c r="G115" s="182">
        <v>1507.76</v>
      </c>
      <c r="H115" s="40">
        <v>1507.76</v>
      </c>
    </row>
    <row r="116" spans="1:8" ht="13.5" customHeight="1" x14ac:dyDescent="0.2">
      <c r="A116" s="180" t="s">
        <v>3706</v>
      </c>
      <c r="B116" s="46"/>
      <c r="C116" s="34" t="s">
        <v>3707</v>
      </c>
      <c r="D116" s="46" t="s">
        <v>653</v>
      </c>
      <c r="E116" s="69">
        <v>-904.57</v>
      </c>
      <c r="F116" s="69" t="s">
        <v>549</v>
      </c>
      <c r="G116" s="182"/>
      <c r="H116" s="40">
        <v>603.18999999999994</v>
      </c>
    </row>
    <row r="117" spans="1:8" ht="13.5" customHeight="1" x14ac:dyDescent="0.2">
      <c r="A117" s="180"/>
      <c r="B117" s="9"/>
      <c r="C117" s="34" t="s">
        <v>68</v>
      </c>
      <c r="D117" s="46" t="s">
        <v>3708</v>
      </c>
      <c r="E117" s="61">
        <v>-129.9</v>
      </c>
      <c r="F117" s="61" t="s">
        <v>549</v>
      </c>
      <c r="G117" s="182"/>
      <c r="H117" s="40">
        <v>473.28999999999996</v>
      </c>
    </row>
    <row r="118" spans="1:8" ht="13.5" customHeight="1" x14ac:dyDescent="0.2">
      <c r="A118" s="180"/>
      <c r="B118" s="9"/>
      <c r="C118" s="36" t="s">
        <v>20</v>
      </c>
      <c r="D118" s="46"/>
      <c r="E118" s="61"/>
      <c r="F118" s="61">
        <v>0.1</v>
      </c>
      <c r="G118" s="182">
        <v>473.39</v>
      </c>
      <c r="H118" s="40">
        <v>473.39</v>
      </c>
    </row>
    <row r="119" spans="1:8" ht="13.5" customHeight="1" x14ac:dyDescent="0.2">
      <c r="A119" s="180" t="s">
        <v>3709</v>
      </c>
      <c r="B119" s="9"/>
      <c r="C119" s="34" t="s">
        <v>87</v>
      </c>
      <c r="D119" s="46" t="s">
        <v>19</v>
      </c>
      <c r="E119" s="61">
        <v>-44.91</v>
      </c>
      <c r="F119" s="61" t="s">
        <v>549</v>
      </c>
      <c r="G119" s="182"/>
      <c r="H119" s="40">
        <v>428.48</v>
      </c>
    </row>
    <row r="120" spans="1:8" ht="13.5" customHeight="1" x14ac:dyDescent="0.2">
      <c r="A120" s="180"/>
      <c r="B120" s="9"/>
      <c r="C120" s="34" t="s">
        <v>3710</v>
      </c>
      <c r="D120" s="46" t="s">
        <v>3711</v>
      </c>
      <c r="E120" s="61">
        <v>-945.4</v>
      </c>
      <c r="F120" s="61" t="s">
        <v>549</v>
      </c>
      <c r="G120" s="182"/>
      <c r="H120" s="40">
        <v>-516.91999999999996</v>
      </c>
    </row>
    <row r="121" spans="1:8" ht="13.5" customHeight="1" x14ac:dyDescent="0.2">
      <c r="A121" s="180"/>
      <c r="B121" s="9"/>
      <c r="C121" s="36" t="s">
        <v>20</v>
      </c>
      <c r="D121" s="46" t="s">
        <v>19</v>
      </c>
      <c r="E121" s="61" t="s">
        <v>549</v>
      </c>
      <c r="F121" s="61">
        <v>0.01</v>
      </c>
      <c r="G121" s="182">
        <v>-516.91</v>
      </c>
      <c r="H121" s="40">
        <v>-516.91</v>
      </c>
    </row>
    <row r="122" spans="1:8" ht="13.5" customHeight="1" x14ac:dyDescent="0.2">
      <c r="A122" s="180" t="s">
        <v>3712</v>
      </c>
      <c r="B122" s="9"/>
      <c r="C122" s="34" t="s">
        <v>86</v>
      </c>
      <c r="D122" s="46" t="s">
        <v>19</v>
      </c>
      <c r="E122" s="61">
        <v>-75.900000000000006</v>
      </c>
      <c r="F122" s="61" t="s">
        <v>549</v>
      </c>
      <c r="G122" s="182"/>
      <c r="H122" s="40">
        <v>-592.80999999999995</v>
      </c>
    </row>
    <row r="123" spans="1:8" ht="13.5" customHeight="1" x14ac:dyDescent="0.2">
      <c r="A123" s="180"/>
      <c r="B123" s="9"/>
      <c r="C123" s="34" t="s">
        <v>673</v>
      </c>
      <c r="D123" s="46" t="s">
        <v>1075</v>
      </c>
      <c r="E123" s="61">
        <v>-99.98</v>
      </c>
      <c r="F123" s="61" t="s">
        <v>549</v>
      </c>
      <c r="G123" s="182"/>
      <c r="H123" s="40">
        <v>-692.79</v>
      </c>
    </row>
    <row r="124" spans="1:8" ht="13.5" customHeight="1" x14ac:dyDescent="0.2">
      <c r="A124" s="180"/>
      <c r="B124" s="9"/>
      <c r="C124" s="33" t="s">
        <v>81</v>
      </c>
      <c r="D124" s="46" t="s">
        <v>3713</v>
      </c>
      <c r="E124" s="61">
        <v>-52.35</v>
      </c>
      <c r="F124" s="61" t="s">
        <v>549</v>
      </c>
      <c r="G124" s="182">
        <v>-745.14</v>
      </c>
      <c r="H124" s="40">
        <v>-745.14</v>
      </c>
    </row>
    <row r="125" spans="1:8" ht="13.5" customHeight="1" x14ac:dyDescent="0.2">
      <c r="A125" s="180" t="s">
        <v>3714</v>
      </c>
      <c r="B125" s="9"/>
      <c r="C125" s="34" t="s">
        <v>3715</v>
      </c>
      <c r="D125" s="46" t="s">
        <v>662</v>
      </c>
      <c r="E125" s="61">
        <v>-321</v>
      </c>
      <c r="F125" s="61" t="s">
        <v>549</v>
      </c>
      <c r="G125" s="182"/>
      <c r="H125" s="40">
        <v>-1066.1399999999999</v>
      </c>
    </row>
    <row r="126" spans="1:8" ht="13.5" customHeight="1" x14ac:dyDescent="0.2">
      <c r="A126" s="180"/>
      <c r="B126" s="9"/>
      <c r="C126" s="34" t="s">
        <v>18</v>
      </c>
      <c r="D126" s="46" t="s">
        <v>1865</v>
      </c>
      <c r="E126" s="61">
        <v>-425.07</v>
      </c>
      <c r="F126" s="61" t="s">
        <v>549</v>
      </c>
      <c r="G126" s="182"/>
      <c r="H126" s="40">
        <v>-1491.2099999999998</v>
      </c>
    </row>
    <row r="127" spans="1:8" ht="13.5" customHeight="1" x14ac:dyDescent="0.2">
      <c r="A127" s="180"/>
      <c r="B127" s="9"/>
      <c r="C127" s="34" t="s">
        <v>1625</v>
      </c>
      <c r="D127" s="46" t="s">
        <v>3716</v>
      </c>
      <c r="E127" s="61" t="s">
        <v>549</v>
      </c>
      <c r="F127" s="600">
        <v>2000</v>
      </c>
      <c r="G127" s="182">
        <v>508.79</v>
      </c>
      <c r="H127" s="40">
        <v>508.79000000000019</v>
      </c>
    </row>
    <row r="128" spans="1:8" ht="13.5" customHeight="1" x14ac:dyDescent="0.2">
      <c r="A128" s="180" t="s">
        <v>3717</v>
      </c>
      <c r="B128" s="9"/>
      <c r="C128" s="34" t="s">
        <v>3718</v>
      </c>
      <c r="D128" s="46" t="s">
        <v>2053</v>
      </c>
      <c r="E128" s="61">
        <v>-1373.34</v>
      </c>
      <c r="F128" s="61" t="s">
        <v>549</v>
      </c>
      <c r="G128" s="182"/>
      <c r="H128" s="40">
        <v>-864.54999999999973</v>
      </c>
    </row>
    <row r="129" spans="1:10" ht="13.5" customHeight="1" x14ac:dyDescent="0.2">
      <c r="A129" s="180"/>
      <c r="B129" s="9"/>
      <c r="C129" s="34" t="s">
        <v>132</v>
      </c>
      <c r="D129" s="46" t="s">
        <v>2487</v>
      </c>
      <c r="E129" s="61">
        <v>-2405.9699999999998</v>
      </c>
      <c r="F129" s="61" t="s">
        <v>549</v>
      </c>
      <c r="G129" s="182"/>
      <c r="H129" s="40">
        <v>-3270.5199999999995</v>
      </c>
    </row>
    <row r="130" spans="1:10" ht="13.5" customHeight="1" x14ac:dyDescent="0.2">
      <c r="A130" s="180"/>
      <c r="B130" s="9"/>
      <c r="C130" s="34" t="s">
        <v>134</v>
      </c>
      <c r="D130" s="46" t="s">
        <v>1101</v>
      </c>
      <c r="E130" s="61">
        <v>-109.9</v>
      </c>
      <c r="F130" s="61" t="s">
        <v>549</v>
      </c>
      <c r="G130" s="182">
        <v>-3380.42</v>
      </c>
      <c r="H130" s="40">
        <v>-3380.4199999999996</v>
      </c>
    </row>
    <row r="131" spans="1:10" ht="13.5" customHeight="1" x14ac:dyDescent="0.2">
      <c r="A131" s="180" t="s">
        <v>3719</v>
      </c>
      <c r="B131" s="9"/>
      <c r="C131" s="36" t="s">
        <v>3663</v>
      </c>
      <c r="D131" s="46" t="s">
        <v>3720</v>
      </c>
      <c r="E131" s="61" t="s">
        <v>549</v>
      </c>
      <c r="F131" s="600">
        <v>820</v>
      </c>
      <c r="G131" s="182">
        <v>-2560.42</v>
      </c>
      <c r="H131" s="40">
        <v>-2560.4199999999996</v>
      </c>
    </row>
    <row r="132" spans="1:10" ht="13.5" customHeight="1" x14ac:dyDescent="0.2">
      <c r="A132" s="180" t="s">
        <v>3721</v>
      </c>
      <c r="B132" s="9"/>
      <c r="C132" s="33" t="s">
        <v>736</v>
      </c>
      <c r="D132" s="46" t="s">
        <v>19</v>
      </c>
      <c r="E132" s="61">
        <v>-44.56</v>
      </c>
      <c r="F132" s="61" t="s">
        <v>549</v>
      </c>
      <c r="G132" s="182"/>
      <c r="H132" s="40">
        <v>-2604.9799999999996</v>
      </c>
    </row>
    <row r="133" spans="1:10" ht="13.5" customHeight="1" x14ac:dyDescent="0.2">
      <c r="A133" s="180"/>
      <c r="B133" s="9"/>
      <c r="C133" s="36" t="s">
        <v>127</v>
      </c>
      <c r="D133" s="46" t="s">
        <v>19</v>
      </c>
      <c r="E133" s="61">
        <v>-47.74</v>
      </c>
      <c r="F133" s="61" t="s">
        <v>549</v>
      </c>
      <c r="G133" s="182"/>
      <c r="H133" s="40">
        <v>-2652.7199999999993</v>
      </c>
    </row>
    <row r="134" spans="1:10" ht="13.5" customHeight="1" x14ac:dyDescent="0.2">
      <c r="A134" s="180"/>
      <c r="B134" s="9"/>
      <c r="C134" s="36" t="s">
        <v>129</v>
      </c>
      <c r="D134" s="46" t="s">
        <v>19</v>
      </c>
      <c r="E134" s="61">
        <v>-47.74</v>
      </c>
      <c r="F134" s="61" t="s">
        <v>549</v>
      </c>
      <c r="G134" s="182"/>
      <c r="H134" s="40">
        <v>-2700.4599999999991</v>
      </c>
    </row>
    <row r="135" spans="1:10" ht="13.5" customHeight="1" x14ac:dyDescent="0.2">
      <c r="A135" s="180"/>
      <c r="B135" s="9"/>
      <c r="C135" s="36" t="s">
        <v>130</v>
      </c>
      <c r="D135" s="46" t="s">
        <v>19</v>
      </c>
      <c r="E135" s="61">
        <v>-186.78</v>
      </c>
      <c r="F135" s="61" t="s">
        <v>549</v>
      </c>
      <c r="G135" s="182">
        <v>-2887.24</v>
      </c>
      <c r="H135" s="40">
        <v>-2887.2399999999993</v>
      </c>
    </row>
    <row r="136" spans="1:10" ht="13.5" customHeight="1" x14ac:dyDescent="0.2">
      <c r="A136" s="180" t="s">
        <v>3722</v>
      </c>
      <c r="B136" s="9"/>
      <c r="C136" s="34" t="s">
        <v>3698</v>
      </c>
      <c r="D136" s="46" t="s">
        <v>3723</v>
      </c>
      <c r="E136" s="61" t="s">
        <v>549</v>
      </c>
      <c r="F136" s="599">
        <v>2000</v>
      </c>
      <c r="G136" s="182"/>
      <c r="H136" s="40">
        <v>-887.23999999999933</v>
      </c>
    </row>
    <row r="137" spans="1:10" ht="13.5" customHeight="1" x14ac:dyDescent="0.2">
      <c r="A137" s="180"/>
      <c r="B137" s="9"/>
      <c r="C137" s="34" t="s">
        <v>3698</v>
      </c>
      <c r="D137" s="46" t="s">
        <v>3724</v>
      </c>
      <c r="E137" s="61" t="s">
        <v>549</v>
      </c>
      <c r="F137" s="599">
        <v>2000</v>
      </c>
      <c r="G137" s="182">
        <v>1112.76</v>
      </c>
      <c r="H137" s="40">
        <v>1112.7600000000007</v>
      </c>
    </row>
    <row r="138" spans="1:10" ht="13.5" customHeight="1" x14ac:dyDescent="0.2">
      <c r="A138" s="180">
        <v>43854</v>
      </c>
      <c r="B138" s="9"/>
      <c r="C138" s="34" t="s">
        <v>136</v>
      </c>
      <c r="D138" s="46" t="s">
        <v>19</v>
      </c>
      <c r="E138" s="61">
        <v>-45.9</v>
      </c>
      <c r="F138" s="61"/>
      <c r="G138" s="182">
        <v>1066.8599999999999</v>
      </c>
      <c r="H138" s="40">
        <v>1066.8600000000006</v>
      </c>
    </row>
    <row r="139" spans="1:10" ht="13.5" customHeight="1" x14ac:dyDescent="0.2">
      <c r="A139" s="180">
        <v>43857</v>
      </c>
      <c r="B139" s="9"/>
      <c r="C139" s="34" t="s">
        <v>3725</v>
      </c>
      <c r="D139" s="46"/>
      <c r="E139" s="61"/>
      <c r="F139" s="61">
        <v>300</v>
      </c>
      <c r="G139" s="182">
        <v>1366.86</v>
      </c>
      <c r="H139" s="40">
        <v>1366.8600000000006</v>
      </c>
    </row>
    <row r="140" spans="1:10" ht="13.5" customHeight="1" x14ac:dyDescent="0.2">
      <c r="A140" s="180">
        <v>43859</v>
      </c>
      <c r="B140" s="9"/>
      <c r="C140" s="36" t="s">
        <v>3726</v>
      </c>
      <c r="D140" s="46"/>
      <c r="E140" s="61">
        <v>-421.79</v>
      </c>
      <c r="F140" s="61"/>
      <c r="G140" s="182">
        <v>945.07</v>
      </c>
      <c r="H140" s="40">
        <v>945.07000000000062</v>
      </c>
    </row>
    <row r="141" spans="1:10" ht="13.5" customHeight="1" x14ac:dyDescent="0.2">
      <c r="A141" s="180">
        <v>43861</v>
      </c>
      <c r="B141" s="9"/>
      <c r="C141" s="34" t="s">
        <v>3727</v>
      </c>
      <c r="D141" s="46"/>
      <c r="E141" s="61">
        <v>-370.65</v>
      </c>
      <c r="F141" s="61"/>
      <c r="G141" s="182">
        <v>574.41999999999996</v>
      </c>
      <c r="H141" s="40">
        <v>574.42000000000064</v>
      </c>
    </row>
    <row r="142" spans="1:10" ht="13.5" customHeight="1" x14ac:dyDescent="0.2">
      <c r="A142" s="180"/>
      <c r="B142" s="46"/>
      <c r="C142" s="36" t="s">
        <v>20</v>
      </c>
      <c r="D142" s="46"/>
      <c r="E142" s="69"/>
      <c r="F142" s="69">
        <v>0.01</v>
      </c>
      <c r="G142" s="205">
        <v>574.42999999999995</v>
      </c>
      <c r="H142" s="40">
        <v>574.43000000000063</v>
      </c>
    </row>
    <row r="143" spans="1:10" ht="13.5" customHeight="1" thickBot="1" x14ac:dyDescent="0.25">
      <c r="A143" s="171"/>
      <c r="B143" s="46"/>
      <c r="C143" s="34"/>
      <c r="D143" s="46"/>
      <c r="E143" s="654">
        <f>SUM(E110:E142)</f>
        <v>-9758.1699999999983</v>
      </c>
      <c r="F143" s="654">
        <f>SUM(F110:F142)</f>
        <v>9120.15</v>
      </c>
      <c r="G143" s="182"/>
    </row>
    <row r="144" spans="1:10" ht="13.5" customHeight="1" thickBot="1" x14ac:dyDescent="0.25">
      <c r="A144" s="2" t="s">
        <v>2</v>
      </c>
      <c r="B144" s="3"/>
      <c r="C144" s="3" t="s">
        <v>481</v>
      </c>
      <c r="D144" s="3"/>
      <c r="E144" s="3"/>
      <c r="F144" s="3"/>
      <c r="G144" s="5" t="s">
        <v>7</v>
      </c>
      <c r="H144" s="775" t="s">
        <v>482</v>
      </c>
      <c r="I144" s="776"/>
      <c r="J144" s="777"/>
    </row>
    <row r="145" spans="1:12" ht="13.5" customHeight="1" x14ac:dyDescent="0.2">
      <c r="A145" s="8">
        <v>43831</v>
      </c>
      <c r="B145" s="70"/>
      <c r="C145" s="10" t="s">
        <v>537</v>
      </c>
      <c r="D145" s="602"/>
      <c r="E145" s="67"/>
      <c r="F145" s="67"/>
      <c r="G145" s="205">
        <v>0</v>
      </c>
      <c r="H145" s="721"/>
      <c r="I145" s="57"/>
      <c r="J145" s="58">
        <v>5441.54</v>
      </c>
      <c r="K145" s="18">
        <v>0</v>
      </c>
      <c r="L145" s="18">
        <v>5441.54</v>
      </c>
    </row>
    <row r="146" spans="1:12" ht="13.5" customHeight="1" x14ac:dyDescent="0.2">
      <c r="A146" s="171" t="s">
        <v>3728</v>
      </c>
      <c r="B146" s="46" t="s">
        <v>483</v>
      </c>
      <c r="C146" s="32" t="s">
        <v>199</v>
      </c>
      <c r="D146" s="553" t="s">
        <v>488</v>
      </c>
      <c r="E146" s="557">
        <v>-261.99</v>
      </c>
      <c r="F146" s="69"/>
      <c r="G146" s="182" t="s">
        <v>483</v>
      </c>
      <c r="H146" s="356"/>
      <c r="I146" s="60"/>
      <c r="J146" s="61">
        <v>5441.54</v>
      </c>
      <c r="K146" s="18">
        <v>-261.99</v>
      </c>
      <c r="L146" s="365">
        <v>5441.54</v>
      </c>
    </row>
    <row r="147" spans="1:12" ht="13.5" customHeight="1" x14ac:dyDescent="0.2">
      <c r="A147" s="171"/>
      <c r="B147" s="46" t="s">
        <v>483</v>
      </c>
      <c r="C147" s="722" t="s">
        <v>3729</v>
      </c>
      <c r="D147" s="553" t="s">
        <v>1748</v>
      </c>
      <c r="E147" s="557">
        <v>-152.21</v>
      </c>
      <c r="F147" s="69"/>
      <c r="G147" s="182" t="s">
        <v>483</v>
      </c>
      <c r="H147" s="356"/>
      <c r="I147" s="60"/>
      <c r="J147" s="61">
        <v>5441.54</v>
      </c>
      <c r="K147" s="18">
        <v>-414.20000000000005</v>
      </c>
      <c r="L147" s="365">
        <v>5441.54</v>
      </c>
    </row>
    <row r="148" spans="1:12" ht="13.5" customHeight="1" x14ac:dyDescent="0.2">
      <c r="A148" s="171"/>
      <c r="B148" s="46" t="s">
        <v>483</v>
      </c>
      <c r="C148" s="34" t="s">
        <v>1597</v>
      </c>
      <c r="D148" s="553" t="s">
        <v>488</v>
      </c>
      <c r="E148" s="557">
        <v>-0.49</v>
      </c>
      <c r="F148" s="69"/>
      <c r="G148" s="182" t="s">
        <v>483</v>
      </c>
      <c r="H148" s="356"/>
      <c r="I148" s="60"/>
      <c r="J148" s="61">
        <v>5441.54</v>
      </c>
      <c r="K148" s="18">
        <v>-414.69000000000005</v>
      </c>
      <c r="L148" s="365">
        <v>5441.54</v>
      </c>
    </row>
    <row r="149" spans="1:12" ht="13.5" customHeight="1" x14ac:dyDescent="0.2">
      <c r="A149" s="171"/>
      <c r="B149" s="46" t="s">
        <v>483</v>
      </c>
      <c r="C149" s="34" t="s">
        <v>1598</v>
      </c>
      <c r="D149" s="553" t="s">
        <v>488</v>
      </c>
      <c r="E149" s="557">
        <v>-15.8</v>
      </c>
      <c r="F149" s="69"/>
      <c r="G149" s="182" t="s">
        <v>483</v>
      </c>
      <c r="H149" s="356"/>
      <c r="I149" s="60"/>
      <c r="J149" s="61">
        <v>5441.54</v>
      </c>
      <c r="K149" s="18">
        <v>-430.49000000000007</v>
      </c>
      <c r="L149" s="365">
        <v>5441.54</v>
      </c>
    </row>
    <row r="150" spans="1:12" ht="13.5" customHeight="1" x14ac:dyDescent="0.2">
      <c r="A150" s="171"/>
      <c r="B150" s="46" t="s">
        <v>483</v>
      </c>
      <c r="C150" s="36" t="s">
        <v>174</v>
      </c>
      <c r="D150" s="553" t="s">
        <v>488</v>
      </c>
      <c r="E150" s="69"/>
      <c r="F150" s="557">
        <v>430.49</v>
      </c>
      <c r="G150" s="182">
        <v>0</v>
      </c>
      <c r="H150" s="356">
        <v>430.49</v>
      </c>
      <c r="I150" s="60"/>
      <c r="J150" s="61">
        <v>5011.05</v>
      </c>
      <c r="K150" s="18">
        <v>0</v>
      </c>
      <c r="L150" s="365">
        <v>5011.05</v>
      </c>
    </row>
    <row r="151" spans="1:12" ht="13.5" customHeight="1" x14ac:dyDescent="0.2">
      <c r="A151" s="171" t="s">
        <v>3730</v>
      </c>
      <c r="B151" s="46" t="s">
        <v>483</v>
      </c>
      <c r="C151" s="34" t="s">
        <v>3731</v>
      </c>
      <c r="D151" s="11" t="s">
        <v>3732</v>
      </c>
      <c r="E151" s="557">
        <v>-377.63</v>
      </c>
      <c r="F151" s="69"/>
      <c r="G151" s="182" t="s">
        <v>483</v>
      </c>
      <c r="H151" s="356"/>
      <c r="I151" s="60"/>
      <c r="J151" s="61">
        <v>5011.05</v>
      </c>
      <c r="K151" s="18">
        <v>-377.63</v>
      </c>
      <c r="L151" s="365">
        <v>5011.05</v>
      </c>
    </row>
    <row r="152" spans="1:12" ht="13.5" customHeight="1" x14ac:dyDescent="0.2">
      <c r="A152" s="171"/>
      <c r="B152" s="46" t="s">
        <v>483</v>
      </c>
      <c r="C152" s="36" t="s">
        <v>174</v>
      </c>
      <c r="D152" s="11" t="s">
        <v>488</v>
      </c>
      <c r="E152" s="69"/>
      <c r="F152" s="557">
        <v>377.63</v>
      </c>
      <c r="G152" s="182">
        <v>0</v>
      </c>
      <c r="H152" s="356">
        <v>377.63</v>
      </c>
      <c r="I152" s="60"/>
      <c r="J152" s="61">
        <v>4633.42</v>
      </c>
      <c r="K152" s="18">
        <v>0</v>
      </c>
      <c r="L152" s="365">
        <v>4633.42</v>
      </c>
    </row>
    <row r="153" spans="1:12" ht="13.5" customHeight="1" x14ac:dyDescent="0.2">
      <c r="A153" s="171" t="s">
        <v>3733</v>
      </c>
      <c r="B153" s="46" t="s">
        <v>483</v>
      </c>
      <c r="C153" s="722" t="s">
        <v>3734</v>
      </c>
      <c r="D153" s="11" t="s">
        <v>488</v>
      </c>
      <c r="E153" s="557">
        <v>-64</v>
      </c>
      <c r="F153" s="69"/>
      <c r="G153" s="182">
        <v>-64</v>
      </c>
      <c r="H153" s="356"/>
      <c r="I153" s="60"/>
      <c r="J153" s="61">
        <v>4633.42</v>
      </c>
      <c r="K153" s="18">
        <v>-64</v>
      </c>
      <c r="L153" s="365">
        <v>4633.42</v>
      </c>
    </row>
    <row r="154" spans="1:12" ht="13.5" customHeight="1" x14ac:dyDescent="0.2">
      <c r="A154" s="171"/>
      <c r="B154" s="46" t="s">
        <v>483</v>
      </c>
      <c r="C154" s="36" t="s">
        <v>20</v>
      </c>
      <c r="D154" s="11" t="s">
        <v>488</v>
      </c>
      <c r="E154" s="557">
        <v>-36.01</v>
      </c>
      <c r="F154" s="69"/>
      <c r="G154" s="182" t="s">
        <v>483</v>
      </c>
      <c r="H154" s="356"/>
      <c r="I154" s="60"/>
      <c r="J154" s="61">
        <v>4633.42</v>
      </c>
      <c r="K154" s="18">
        <v>-100.00999999999999</v>
      </c>
      <c r="L154" s="365">
        <v>4633.42</v>
      </c>
    </row>
    <row r="155" spans="1:12" ht="13.5" customHeight="1" x14ac:dyDescent="0.2">
      <c r="A155" s="171"/>
      <c r="B155" s="46" t="s">
        <v>483</v>
      </c>
      <c r="C155" s="36" t="s">
        <v>174</v>
      </c>
      <c r="D155" s="11" t="s">
        <v>488</v>
      </c>
      <c r="E155" s="69"/>
      <c r="F155" s="557">
        <v>100.01</v>
      </c>
      <c r="G155" s="182">
        <v>0</v>
      </c>
      <c r="H155" s="356">
        <v>100.01</v>
      </c>
      <c r="I155" s="60"/>
      <c r="J155" s="61">
        <v>4533.41</v>
      </c>
      <c r="K155" s="18">
        <v>0</v>
      </c>
      <c r="L155" s="365">
        <v>4533.41</v>
      </c>
    </row>
    <row r="156" spans="1:12" ht="13.5" customHeight="1" x14ac:dyDescent="0.2">
      <c r="A156" s="171" t="s">
        <v>3735</v>
      </c>
      <c r="B156" s="46" t="s">
        <v>483</v>
      </c>
      <c r="C156" s="36" t="s">
        <v>180</v>
      </c>
      <c r="D156" s="11" t="s">
        <v>488</v>
      </c>
      <c r="E156" s="557">
        <v>-217.13</v>
      </c>
      <c r="F156" s="69"/>
      <c r="G156" s="182" t="s">
        <v>483</v>
      </c>
      <c r="H156" s="356"/>
      <c r="I156" s="60"/>
      <c r="J156" s="61">
        <v>4533.41</v>
      </c>
      <c r="K156" s="18">
        <v>-217.13</v>
      </c>
      <c r="L156" s="365">
        <v>4533.41</v>
      </c>
    </row>
    <row r="157" spans="1:12" ht="13.5" customHeight="1" x14ac:dyDescent="0.2">
      <c r="A157" s="171"/>
      <c r="B157" s="46" t="s">
        <v>483</v>
      </c>
      <c r="C157" s="36" t="s">
        <v>177</v>
      </c>
      <c r="D157" s="11" t="s">
        <v>3736</v>
      </c>
      <c r="E157" s="557">
        <v>-137.69</v>
      </c>
      <c r="F157" s="69"/>
      <c r="G157" s="182" t="s">
        <v>483</v>
      </c>
      <c r="H157" s="356"/>
      <c r="I157" s="60"/>
      <c r="J157" s="61">
        <v>4533.41</v>
      </c>
      <c r="K157" s="18">
        <v>-354.82</v>
      </c>
      <c r="L157" s="365">
        <v>4533.41</v>
      </c>
    </row>
    <row r="158" spans="1:12" ht="13.5" customHeight="1" x14ac:dyDescent="0.2">
      <c r="A158" s="171"/>
      <c r="B158" s="46" t="s">
        <v>483</v>
      </c>
      <c r="C158" s="36" t="s">
        <v>174</v>
      </c>
      <c r="D158" s="11" t="s">
        <v>488</v>
      </c>
      <c r="E158" s="69"/>
      <c r="F158" s="557">
        <v>354.82</v>
      </c>
      <c r="G158" s="182">
        <v>0</v>
      </c>
      <c r="H158" s="356">
        <v>354.82</v>
      </c>
      <c r="I158" s="60"/>
      <c r="J158" s="61">
        <v>4178.59</v>
      </c>
      <c r="K158" s="18">
        <v>0</v>
      </c>
      <c r="L158" s="365">
        <v>4178.59</v>
      </c>
    </row>
    <row r="159" spans="1:12" ht="13.5" customHeight="1" x14ac:dyDescent="0.2">
      <c r="A159" s="171" t="s">
        <v>3737</v>
      </c>
      <c r="B159" s="46" t="s">
        <v>591</v>
      </c>
      <c r="C159" s="36" t="s">
        <v>3738</v>
      </c>
      <c r="D159" s="11" t="s">
        <v>3739</v>
      </c>
      <c r="E159" s="69"/>
      <c r="F159" s="557">
        <v>4731.47</v>
      </c>
      <c r="G159" s="182" t="s">
        <v>483</v>
      </c>
      <c r="H159" s="356"/>
      <c r="I159" s="60"/>
      <c r="J159" s="61">
        <v>4178.59</v>
      </c>
      <c r="K159" s="18">
        <v>4731.47</v>
      </c>
      <c r="L159" s="365">
        <v>4178.59</v>
      </c>
    </row>
    <row r="160" spans="1:12" ht="13.5" customHeight="1" x14ac:dyDescent="0.2">
      <c r="A160" s="171"/>
      <c r="B160" s="46" t="s">
        <v>483</v>
      </c>
      <c r="C160" s="34" t="s">
        <v>1625</v>
      </c>
      <c r="D160" s="11" t="s">
        <v>3740</v>
      </c>
      <c r="E160" s="322">
        <v>-2000</v>
      </c>
      <c r="F160" s="557"/>
      <c r="G160" s="182" t="s">
        <v>483</v>
      </c>
      <c r="H160" s="356"/>
      <c r="I160" s="60"/>
      <c r="J160" s="61">
        <v>4178.59</v>
      </c>
      <c r="K160" s="18">
        <v>2731.4700000000003</v>
      </c>
      <c r="L160" s="365">
        <v>4178.59</v>
      </c>
    </row>
    <row r="161" spans="1:13" ht="13.5" customHeight="1" x14ac:dyDescent="0.2">
      <c r="A161" s="171"/>
      <c r="B161" s="46" t="s">
        <v>483</v>
      </c>
      <c r="C161" s="36" t="s">
        <v>174</v>
      </c>
      <c r="D161" s="11" t="s">
        <v>488</v>
      </c>
      <c r="E161" s="69"/>
      <c r="F161" s="557">
        <v>2000</v>
      </c>
      <c r="G161" s="182">
        <v>4731.47</v>
      </c>
      <c r="H161" s="356">
        <v>2000</v>
      </c>
      <c r="I161" s="60"/>
      <c r="J161" s="61">
        <v>2178.59</v>
      </c>
      <c r="K161" s="18">
        <v>4731.47</v>
      </c>
      <c r="L161" s="365">
        <v>2178.59</v>
      </c>
    </row>
    <row r="162" spans="1:13" ht="13.5" customHeight="1" x14ac:dyDescent="0.2">
      <c r="A162" s="171" t="s">
        <v>3741</v>
      </c>
      <c r="B162" s="46" t="s">
        <v>483</v>
      </c>
      <c r="C162" s="36" t="s">
        <v>189</v>
      </c>
      <c r="D162" s="11" t="s">
        <v>488</v>
      </c>
      <c r="E162" s="557">
        <v>-4731.47</v>
      </c>
      <c r="F162" s="69"/>
      <c r="G162" s="182">
        <v>0</v>
      </c>
      <c r="H162" s="356"/>
      <c r="I162" s="60">
        <v>4731.47</v>
      </c>
      <c r="J162" s="61">
        <v>6910.06</v>
      </c>
      <c r="K162" s="18">
        <v>0</v>
      </c>
      <c r="L162" s="365">
        <v>6910.06</v>
      </c>
      <c r="M162" s="18"/>
    </row>
    <row r="163" spans="1:13" ht="13.5" customHeight="1" x14ac:dyDescent="0.2">
      <c r="A163" s="171" t="s">
        <v>3742</v>
      </c>
      <c r="B163" s="46" t="s">
        <v>483</v>
      </c>
      <c r="C163" s="722" t="s">
        <v>3743</v>
      </c>
      <c r="D163" s="11" t="s">
        <v>1530</v>
      </c>
      <c r="E163" s="557">
        <v>-245.8</v>
      </c>
      <c r="F163" s="69"/>
      <c r="G163" s="182" t="s">
        <v>483</v>
      </c>
      <c r="H163" s="356"/>
      <c r="I163" s="60"/>
      <c r="J163" s="61">
        <v>6910.06</v>
      </c>
      <c r="K163" s="18">
        <v>-245.8</v>
      </c>
      <c r="L163" s="365">
        <v>6910.06</v>
      </c>
    </row>
    <row r="164" spans="1:13" ht="13.5" customHeight="1" x14ac:dyDescent="0.2">
      <c r="A164" s="171"/>
      <c r="B164" s="46" t="s">
        <v>483</v>
      </c>
      <c r="C164" s="36" t="s">
        <v>174</v>
      </c>
      <c r="D164" s="11" t="s">
        <v>488</v>
      </c>
      <c r="E164" s="69"/>
      <c r="F164" s="557">
        <v>245.8</v>
      </c>
      <c r="G164" s="182">
        <v>0</v>
      </c>
      <c r="H164" s="356">
        <v>245.8</v>
      </c>
      <c r="I164" s="60"/>
      <c r="J164" s="61">
        <v>6664.26</v>
      </c>
      <c r="K164" s="18">
        <v>0</v>
      </c>
      <c r="L164" s="365">
        <v>6664.26</v>
      </c>
    </row>
    <row r="165" spans="1:13" ht="13.5" customHeight="1" x14ac:dyDescent="0.2">
      <c r="A165" s="171" t="s">
        <v>3744</v>
      </c>
      <c r="B165" s="46" t="s">
        <v>483</v>
      </c>
      <c r="C165" s="32" t="s">
        <v>3745</v>
      </c>
      <c r="D165" s="11" t="s">
        <v>3595</v>
      </c>
      <c r="E165" s="557">
        <v>-754</v>
      </c>
      <c r="F165" s="69"/>
      <c r="G165" s="182" t="s">
        <v>483</v>
      </c>
      <c r="H165" s="356"/>
      <c r="I165" s="60"/>
      <c r="J165" s="61">
        <v>6664.26</v>
      </c>
      <c r="K165" s="18">
        <v>-754</v>
      </c>
      <c r="L165" s="365">
        <v>6664.26</v>
      </c>
    </row>
    <row r="166" spans="1:13" ht="13.5" customHeight="1" x14ac:dyDescent="0.2">
      <c r="A166" s="171"/>
      <c r="B166" s="46" t="s">
        <v>483</v>
      </c>
      <c r="C166" s="36" t="s">
        <v>174</v>
      </c>
      <c r="D166" s="11" t="s">
        <v>488</v>
      </c>
      <c r="E166" s="69"/>
      <c r="F166" s="557">
        <v>754</v>
      </c>
      <c r="G166" s="182">
        <v>0</v>
      </c>
      <c r="H166" s="356">
        <v>754</v>
      </c>
      <c r="I166" s="60"/>
      <c r="J166" s="61">
        <v>5910.26</v>
      </c>
      <c r="K166" s="18">
        <v>0</v>
      </c>
      <c r="L166" s="365">
        <v>5910.26</v>
      </c>
    </row>
    <row r="167" spans="1:13" ht="13.5" customHeight="1" x14ac:dyDescent="0.2">
      <c r="A167" s="171" t="s">
        <v>3746</v>
      </c>
      <c r="B167" s="46" t="s">
        <v>483</v>
      </c>
      <c r="C167" s="34" t="s">
        <v>1625</v>
      </c>
      <c r="D167" s="11" t="s">
        <v>3747</v>
      </c>
      <c r="E167" s="322">
        <v>-2000</v>
      </c>
      <c r="F167" s="557"/>
      <c r="G167" s="182" t="s">
        <v>483</v>
      </c>
      <c r="H167" s="356"/>
      <c r="I167" s="60"/>
      <c r="J167" s="61">
        <v>5910.26</v>
      </c>
      <c r="K167" s="18">
        <v>-2000</v>
      </c>
      <c r="L167" s="365">
        <v>5910.26</v>
      </c>
    </row>
    <row r="168" spans="1:13" ht="13.5" customHeight="1" x14ac:dyDescent="0.2">
      <c r="A168" s="171"/>
      <c r="B168" s="46" t="s">
        <v>483</v>
      </c>
      <c r="C168" s="36" t="s">
        <v>174</v>
      </c>
      <c r="D168" s="11" t="s">
        <v>488</v>
      </c>
      <c r="E168" s="69"/>
      <c r="F168" s="557">
        <v>2000</v>
      </c>
      <c r="G168" s="182">
        <v>0</v>
      </c>
      <c r="H168" s="356">
        <v>2000</v>
      </c>
      <c r="I168" s="60"/>
      <c r="J168" s="61">
        <v>3910.26</v>
      </c>
      <c r="K168" s="18">
        <v>0</v>
      </c>
      <c r="L168" s="365">
        <v>3910.26</v>
      </c>
    </row>
    <row r="169" spans="1:13" ht="13.5" customHeight="1" x14ac:dyDescent="0.2">
      <c r="A169" s="171" t="s">
        <v>3748</v>
      </c>
      <c r="B169" s="46" t="s">
        <v>483</v>
      </c>
      <c r="C169" s="34" t="s">
        <v>3376</v>
      </c>
      <c r="D169" s="11" t="s">
        <v>3749</v>
      </c>
      <c r="E169" s="557">
        <v>-631.9</v>
      </c>
      <c r="F169" s="69"/>
      <c r="G169" s="182" t="s">
        <v>483</v>
      </c>
      <c r="H169" s="356"/>
      <c r="I169" s="60"/>
      <c r="J169" s="61">
        <v>3910.26</v>
      </c>
      <c r="K169" s="18">
        <v>-631.9</v>
      </c>
      <c r="L169" s="365">
        <v>3910.26</v>
      </c>
    </row>
    <row r="170" spans="1:13" ht="13.5" customHeight="1" x14ac:dyDescent="0.2">
      <c r="A170" s="171"/>
      <c r="B170" s="46" t="s">
        <v>483</v>
      </c>
      <c r="C170" s="34" t="s">
        <v>3750</v>
      </c>
      <c r="D170" s="11" t="s">
        <v>510</v>
      </c>
      <c r="E170" s="557">
        <v>-3760.06</v>
      </c>
      <c r="F170" s="69"/>
      <c r="G170" s="182" t="s">
        <v>483</v>
      </c>
      <c r="H170" s="356"/>
      <c r="I170" s="60"/>
      <c r="J170" s="61">
        <v>3910.26</v>
      </c>
      <c r="K170" s="18">
        <v>-4391.96</v>
      </c>
      <c r="L170" s="365">
        <v>3910.26</v>
      </c>
    </row>
    <row r="171" spans="1:13" ht="13.5" customHeight="1" x14ac:dyDescent="0.2">
      <c r="A171" s="171"/>
      <c r="B171" s="46" t="s">
        <v>483</v>
      </c>
      <c r="C171" s="36" t="s">
        <v>174</v>
      </c>
      <c r="D171" s="11" t="s">
        <v>488</v>
      </c>
      <c r="E171" s="69"/>
      <c r="F171" s="557">
        <v>3910.58</v>
      </c>
      <c r="G171" s="182">
        <v>-481.38</v>
      </c>
      <c r="H171" s="356">
        <v>3910.58</v>
      </c>
      <c r="I171" s="60"/>
      <c r="J171" s="61">
        <v>-0.31999999999970896</v>
      </c>
      <c r="K171" s="18">
        <v>-481.38000000000011</v>
      </c>
      <c r="L171" s="365">
        <v>-0.31999999999970896</v>
      </c>
    </row>
    <row r="172" spans="1:13" ht="13.5" customHeight="1" x14ac:dyDescent="0.2">
      <c r="A172" s="171" t="s">
        <v>3751</v>
      </c>
      <c r="B172" s="46" t="s">
        <v>483</v>
      </c>
      <c r="C172" s="34" t="s">
        <v>86</v>
      </c>
      <c r="D172" s="11" t="s">
        <v>488</v>
      </c>
      <c r="E172" s="557">
        <v>-92.5</v>
      </c>
      <c r="F172" s="69"/>
      <c r="G172" s="182" t="s">
        <v>483</v>
      </c>
      <c r="H172" s="356"/>
      <c r="I172" s="60"/>
      <c r="J172" s="61">
        <v>-0.31999999999970896</v>
      </c>
      <c r="K172" s="18">
        <v>-573.88000000000011</v>
      </c>
      <c r="L172" s="365">
        <v>-0.31999999999970896</v>
      </c>
    </row>
    <row r="173" spans="1:13" ht="13.5" customHeight="1" x14ac:dyDescent="0.2">
      <c r="A173" s="171"/>
      <c r="B173" s="46" t="s">
        <v>591</v>
      </c>
      <c r="C173" s="36" t="s">
        <v>3662</v>
      </c>
      <c r="D173" s="11" t="s">
        <v>3752</v>
      </c>
      <c r="E173" s="69"/>
      <c r="F173" s="723">
        <v>8275</v>
      </c>
      <c r="G173" s="182">
        <v>7701.12</v>
      </c>
      <c r="H173" s="356"/>
      <c r="I173" s="60"/>
      <c r="J173" s="61">
        <v>-0.31999999999970896</v>
      </c>
      <c r="K173" s="18">
        <v>7701.12</v>
      </c>
      <c r="L173" s="365">
        <v>-0.31999999999970896</v>
      </c>
    </row>
    <row r="174" spans="1:13" ht="13.5" customHeight="1" x14ac:dyDescent="0.2">
      <c r="A174" s="171" t="s">
        <v>3753</v>
      </c>
      <c r="B174" s="46" t="s">
        <v>483</v>
      </c>
      <c r="C174" s="36" t="s">
        <v>189</v>
      </c>
      <c r="D174" s="11" t="s">
        <v>488</v>
      </c>
      <c r="E174" s="557">
        <v>-7701.12</v>
      </c>
      <c r="F174" s="69"/>
      <c r="G174" s="182">
        <v>0</v>
      </c>
      <c r="H174" s="356"/>
      <c r="I174" s="60">
        <v>7701.12</v>
      </c>
      <c r="J174" s="61">
        <v>7700.8</v>
      </c>
      <c r="K174" s="18">
        <v>0</v>
      </c>
      <c r="L174" s="365">
        <v>7700.8</v>
      </c>
    </row>
    <row r="175" spans="1:13" ht="13.5" customHeight="1" x14ac:dyDescent="0.2">
      <c r="A175" s="171" t="s">
        <v>3754</v>
      </c>
      <c r="B175" s="46" t="s">
        <v>483</v>
      </c>
      <c r="C175" s="32" t="s">
        <v>813</v>
      </c>
      <c r="D175" s="11" t="s">
        <v>488</v>
      </c>
      <c r="E175" s="557">
        <v>-25</v>
      </c>
      <c r="F175" s="69"/>
      <c r="G175" s="182" t="s">
        <v>483</v>
      </c>
      <c r="H175" s="356"/>
      <c r="I175" s="60"/>
      <c r="J175" s="61">
        <v>7700.8</v>
      </c>
      <c r="K175" s="18">
        <v>-25</v>
      </c>
      <c r="L175" s="365">
        <v>7700.8</v>
      </c>
    </row>
    <row r="176" spans="1:13" ht="13.5" customHeight="1" x14ac:dyDescent="0.2">
      <c r="A176" s="171"/>
      <c r="B176" s="46" t="s">
        <v>483</v>
      </c>
      <c r="C176" s="32" t="s">
        <v>194</v>
      </c>
      <c r="D176" s="11" t="s">
        <v>488</v>
      </c>
      <c r="E176" s="557">
        <v>-84.54</v>
      </c>
      <c r="F176" s="69"/>
      <c r="G176" s="182" t="s">
        <v>483</v>
      </c>
      <c r="H176" s="356"/>
      <c r="I176" s="60"/>
      <c r="J176" s="61">
        <v>7700.8</v>
      </c>
      <c r="K176" s="18">
        <v>-109.54</v>
      </c>
      <c r="L176" s="365">
        <v>7700.8</v>
      </c>
    </row>
    <row r="177" spans="1:12" ht="13.5" customHeight="1" x14ac:dyDescent="0.2">
      <c r="A177" s="171"/>
      <c r="B177" s="46" t="s">
        <v>483</v>
      </c>
      <c r="C177" s="32" t="s">
        <v>195</v>
      </c>
      <c r="D177" s="11" t="s">
        <v>488</v>
      </c>
      <c r="E177" s="557">
        <v>-390.19</v>
      </c>
      <c r="F177" s="69"/>
      <c r="G177" s="182" t="s">
        <v>483</v>
      </c>
      <c r="H177" s="356"/>
      <c r="I177" s="60"/>
      <c r="J177" s="61">
        <v>7700.8</v>
      </c>
      <c r="K177" s="18">
        <v>-499.73</v>
      </c>
      <c r="L177" s="365">
        <v>7700.8</v>
      </c>
    </row>
    <row r="178" spans="1:12" ht="13.5" customHeight="1" x14ac:dyDescent="0.2">
      <c r="A178" s="171"/>
      <c r="B178" s="46" t="s">
        <v>483</v>
      </c>
      <c r="C178" s="34" t="s">
        <v>196</v>
      </c>
      <c r="D178" s="11" t="s">
        <v>488</v>
      </c>
      <c r="E178" s="557">
        <v>-1130.93</v>
      </c>
      <c r="F178" s="69"/>
      <c r="G178" s="182" t="s">
        <v>483</v>
      </c>
      <c r="H178" s="356"/>
      <c r="I178" s="60"/>
      <c r="J178" s="61">
        <v>7700.8</v>
      </c>
      <c r="K178" s="18">
        <v>-1630.66</v>
      </c>
      <c r="L178" s="365">
        <v>7700.8</v>
      </c>
    </row>
    <row r="179" spans="1:12" ht="13.5" customHeight="1" x14ac:dyDescent="0.2">
      <c r="A179" s="171"/>
      <c r="B179" s="46" t="s">
        <v>483</v>
      </c>
      <c r="C179" s="34" t="s">
        <v>197</v>
      </c>
      <c r="D179" s="11" t="s">
        <v>488</v>
      </c>
      <c r="E179" s="557">
        <v>-1884.88</v>
      </c>
      <c r="F179" s="69"/>
      <c r="G179" s="182"/>
      <c r="H179" s="356"/>
      <c r="I179" s="60"/>
      <c r="J179" s="61">
        <v>7700.8</v>
      </c>
      <c r="K179" s="18">
        <v>-3515.54</v>
      </c>
      <c r="L179" s="365">
        <v>7700.8</v>
      </c>
    </row>
    <row r="180" spans="1:12" ht="13.5" customHeight="1" x14ac:dyDescent="0.2">
      <c r="A180" s="171"/>
      <c r="B180" s="46" t="s">
        <v>483</v>
      </c>
      <c r="C180" s="36" t="s">
        <v>174</v>
      </c>
      <c r="D180" s="11" t="s">
        <v>488</v>
      </c>
      <c r="E180" s="69"/>
      <c r="F180" s="557">
        <v>3515.54</v>
      </c>
      <c r="G180" s="182">
        <v>0</v>
      </c>
      <c r="H180" s="356">
        <v>3515.54</v>
      </c>
      <c r="I180" s="60"/>
      <c r="J180" s="61">
        <v>4185.26</v>
      </c>
      <c r="K180" s="18">
        <v>0</v>
      </c>
      <c r="L180" s="365">
        <v>4185.26</v>
      </c>
    </row>
    <row r="181" spans="1:12" ht="13.5" customHeight="1" x14ac:dyDescent="0.2">
      <c r="A181" s="171" t="s">
        <v>3755</v>
      </c>
      <c r="B181" s="46" t="s">
        <v>483</v>
      </c>
      <c r="C181" s="34" t="s">
        <v>86</v>
      </c>
      <c r="D181" s="11" t="s">
        <v>488</v>
      </c>
      <c r="E181" s="557">
        <v>-12.5</v>
      </c>
      <c r="F181" s="69"/>
      <c r="G181" s="182" t="s">
        <v>483</v>
      </c>
      <c r="H181" s="356"/>
      <c r="I181" s="60"/>
      <c r="J181" s="61">
        <v>4185.26</v>
      </c>
      <c r="K181" s="18">
        <v>-12.5</v>
      </c>
      <c r="L181" s="365">
        <v>4185.26</v>
      </c>
    </row>
    <row r="182" spans="1:12" ht="13.5" customHeight="1" x14ac:dyDescent="0.2">
      <c r="A182" s="171"/>
      <c r="B182" s="46" t="s">
        <v>483</v>
      </c>
      <c r="C182" s="36" t="s">
        <v>174</v>
      </c>
      <c r="D182" s="11" t="s">
        <v>488</v>
      </c>
      <c r="E182" s="69"/>
      <c r="F182" s="557">
        <v>12.5</v>
      </c>
      <c r="G182" s="182">
        <v>0</v>
      </c>
      <c r="H182" s="356">
        <v>12.5</v>
      </c>
      <c r="I182" s="60"/>
      <c r="J182" s="61">
        <v>4172.76</v>
      </c>
      <c r="K182" s="18">
        <v>0</v>
      </c>
      <c r="L182" s="365">
        <v>4172.76</v>
      </c>
    </row>
    <row r="183" spans="1:12" ht="13.5" customHeight="1" x14ac:dyDescent="0.2">
      <c r="A183" s="171" t="s">
        <v>3756</v>
      </c>
      <c r="B183" s="46" t="s">
        <v>483</v>
      </c>
      <c r="C183" s="722" t="s">
        <v>3757</v>
      </c>
      <c r="D183" s="11" t="s">
        <v>488</v>
      </c>
      <c r="E183" s="557">
        <v>-127.3</v>
      </c>
      <c r="F183" s="69"/>
      <c r="G183" s="182"/>
      <c r="H183" s="356"/>
      <c r="I183" s="60"/>
      <c r="J183" s="61">
        <v>4172.76</v>
      </c>
      <c r="K183" s="18">
        <v>-127.3</v>
      </c>
      <c r="L183" s="365">
        <v>4172.76</v>
      </c>
    </row>
    <row r="184" spans="1:12" ht="13.5" customHeight="1" x14ac:dyDescent="0.2">
      <c r="A184" s="171"/>
      <c r="B184" s="46" t="s">
        <v>483</v>
      </c>
      <c r="C184" s="36" t="s">
        <v>174</v>
      </c>
      <c r="D184" s="11" t="s">
        <v>488</v>
      </c>
      <c r="E184" s="69"/>
      <c r="F184" s="557">
        <v>127.3</v>
      </c>
      <c r="G184" s="205">
        <v>0</v>
      </c>
      <c r="H184" s="356">
        <v>127.3</v>
      </c>
      <c r="I184" s="60"/>
      <c r="J184" s="61">
        <v>4045.46</v>
      </c>
      <c r="K184" s="18">
        <v>0</v>
      </c>
      <c r="L184" s="365">
        <v>4045.46</v>
      </c>
    </row>
    <row r="185" spans="1:12" ht="13.5" customHeight="1" x14ac:dyDescent="0.2">
      <c r="A185" s="171"/>
      <c r="B185" s="46"/>
      <c r="C185" s="36" t="s">
        <v>20</v>
      </c>
      <c r="D185" s="11"/>
      <c r="E185" s="69"/>
      <c r="F185" s="69"/>
      <c r="G185" s="182"/>
      <c r="H185" s="356"/>
      <c r="I185" s="60">
        <v>0.39</v>
      </c>
      <c r="J185" s="186">
        <v>4045.85</v>
      </c>
      <c r="L185" s="365">
        <v>4045.85</v>
      </c>
    </row>
    <row r="186" spans="1:12" ht="13.5" customHeight="1" thickBot="1" x14ac:dyDescent="0.25">
      <c r="A186" s="171"/>
      <c r="B186" s="46"/>
      <c r="C186" s="34"/>
      <c r="D186" s="11"/>
      <c r="E186" s="654">
        <f>SUM(E145:E185)</f>
        <v>-26835.14</v>
      </c>
      <c r="F186" s="654">
        <f>SUM(F145:F185)</f>
        <v>26835.14</v>
      </c>
      <c r="G186" s="182"/>
      <c r="H186" s="721"/>
      <c r="I186" s="57"/>
      <c r="J186" s="67"/>
    </row>
    <row r="187" spans="1:12" ht="13.5" customHeight="1" thickBot="1" x14ac:dyDescent="0.25">
      <c r="A187" s="2" t="s">
        <v>2</v>
      </c>
      <c r="B187" s="3"/>
      <c r="C187" s="3" t="s">
        <v>525</v>
      </c>
      <c r="D187" s="3"/>
      <c r="E187" s="3"/>
      <c r="F187" s="3"/>
      <c r="G187" s="5" t="s">
        <v>7</v>
      </c>
    </row>
    <row r="188" spans="1:12" ht="13.5" customHeight="1" x14ac:dyDescent="0.2">
      <c r="A188" s="8">
        <v>43831</v>
      </c>
      <c r="B188" s="70"/>
      <c r="C188" s="10" t="s">
        <v>537</v>
      </c>
      <c r="D188" s="125"/>
      <c r="E188" s="67"/>
      <c r="F188" s="67"/>
      <c r="G188" s="205">
        <v>702.50999999999817</v>
      </c>
    </row>
    <row r="189" spans="1:12" ht="13.5" customHeight="1" x14ac:dyDescent="0.2">
      <c r="A189" s="171">
        <v>43837</v>
      </c>
      <c r="B189" s="46"/>
      <c r="C189" s="36" t="s">
        <v>530</v>
      </c>
      <c r="D189" s="11"/>
      <c r="E189" s="181">
        <v>888.22</v>
      </c>
      <c r="F189" s="69"/>
      <c r="G189" s="182">
        <v>-185.71000000000186</v>
      </c>
    </row>
    <row r="190" spans="1:12" ht="13.5" customHeight="1" x14ac:dyDescent="0.2">
      <c r="A190" s="171"/>
      <c r="B190" s="46"/>
      <c r="C190" s="32" t="s">
        <v>3758</v>
      </c>
      <c r="D190" s="11"/>
      <c r="E190" s="30"/>
      <c r="F190" s="557">
        <v>1000</v>
      </c>
      <c r="G190" s="182">
        <v>814.28999999999814</v>
      </c>
    </row>
    <row r="191" spans="1:12" ht="13.5" customHeight="1" x14ac:dyDescent="0.2">
      <c r="A191" s="171">
        <v>43845</v>
      </c>
      <c r="B191" s="46"/>
      <c r="C191" s="569" t="s">
        <v>3759</v>
      </c>
      <c r="D191" s="229"/>
      <c r="E191" s="557">
        <v>366.45</v>
      </c>
      <c r="F191" s="69"/>
      <c r="G191" s="182">
        <v>447.83999999999816</v>
      </c>
      <c r="I191" s="30">
        <f>SUM(G3,G86,G110,G145)</f>
        <v>10226.300000000028</v>
      </c>
      <c r="J191" t="s">
        <v>8082</v>
      </c>
    </row>
    <row r="192" spans="1:12" ht="13.5" customHeight="1" x14ac:dyDescent="0.2">
      <c r="A192" s="171"/>
      <c r="B192" s="46"/>
      <c r="C192" s="569" t="s">
        <v>3760</v>
      </c>
      <c r="D192" s="229"/>
      <c r="E192" s="69"/>
      <c r="F192" s="557">
        <v>353</v>
      </c>
      <c r="G192" s="182">
        <v>800.8399999999981</v>
      </c>
      <c r="I192" s="1159"/>
    </row>
    <row r="193" spans="1:11" ht="13.5" customHeight="1" x14ac:dyDescent="0.2">
      <c r="A193" s="171">
        <v>43861</v>
      </c>
      <c r="B193" s="46"/>
      <c r="C193" s="569" t="s">
        <v>3761</v>
      </c>
      <c r="D193" s="229"/>
      <c r="E193" s="557">
        <v>258</v>
      </c>
      <c r="F193" s="69"/>
      <c r="G193" s="205">
        <v>542.8399999999981</v>
      </c>
      <c r="I193" s="30">
        <f>SUM(G107,G142,G184,G83)</f>
        <v>15465.620000000028</v>
      </c>
      <c r="J193" t="s">
        <v>8083</v>
      </c>
    </row>
    <row r="194" spans="1:11" ht="13.5" customHeight="1" thickBot="1" x14ac:dyDescent="0.25">
      <c r="A194" s="180"/>
      <c r="B194" s="46"/>
      <c r="C194" s="34"/>
      <c r="D194" s="229"/>
      <c r="E194" s="69"/>
      <c r="F194" s="69"/>
      <c r="G194" s="182"/>
      <c r="I194" s="1159"/>
    </row>
    <row r="195" spans="1:11" ht="13.5" customHeight="1" thickBot="1" x14ac:dyDescent="0.25">
      <c r="A195" s="561" t="s">
        <v>2</v>
      </c>
      <c r="B195" s="562"/>
      <c r="C195" s="562" t="s">
        <v>534</v>
      </c>
      <c r="D195" s="563" t="s">
        <v>4</v>
      </c>
      <c r="E195" s="562" t="s">
        <v>5</v>
      </c>
      <c r="F195" s="562" t="s">
        <v>6</v>
      </c>
      <c r="G195" s="564" t="s">
        <v>7</v>
      </c>
      <c r="I195" s="200">
        <f>SUM(F186,E186,F143,E143,E108,F84,E84,F108)</f>
        <v>5239.32</v>
      </c>
      <c r="J195" t="s">
        <v>8085</v>
      </c>
    </row>
    <row r="196" spans="1:11" ht="13.5" customHeight="1" x14ac:dyDescent="0.2">
      <c r="A196" s="568">
        <v>43805</v>
      </c>
      <c r="B196" s="569"/>
      <c r="C196" s="570" t="s">
        <v>8</v>
      </c>
      <c r="D196" s="571"/>
      <c r="E196" s="572"/>
      <c r="F196" s="573"/>
      <c r="G196" s="574">
        <v>39700</v>
      </c>
      <c r="I196" s="1159"/>
    </row>
    <row r="197" spans="1:11" ht="13.5" customHeight="1" x14ac:dyDescent="0.2">
      <c r="A197" s="578">
        <v>43837</v>
      </c>
      <c r="B197" s="569"/>
      <c r="C197" s="32" t="s">
        <v>1390</v>
      </c>
      <c r="D197" s="571"/>
      <c r="E197" s="572"/>
      <c r="F197" s="579">
        <v>1000</v>
      </c>
      <c r="G197" s="580">
        <v>40700</v>
      </c>
      <c r="I197" s="1159"/>
    </row>
    <row r="198" spans="1:11" ht="13.5" customHeight="1" x14ac:dyDescent="0.2">
      <c r="A198" s="578">
        <v>43838</v>
      </c>
      <c r="B198" s="569"/>
      <c r="C198" s="569" t="s">
        <v>1544</v>
      </c>
      <c r="D198" s="571"/>
      <c r="E198" s="582">
        <v>2000</v>
      </c>
      <c r="F198" s="573"/>
      <c r="G198" s="580">
        <v>38700</v>
      </c>
      <c r="I198" s="615">
        <f>I191+I195-I193</f>
        <v>0</v>
      </c>
      <c r="J198" t="s">
        <v>8084</v>
      </c>
    </row>
    <row r="199" spans="1:11" ht="13.5" customHeight="1" x14ac:dyDescent="0.2">
      <c r="A199" s="578">
        <v>43847</v>
      </c>
      <c r="B199" s="569"/>
      <c r="C199" s="569" t="s">
        <v>1544</v>
      </c>
      <c r="D199" s="571"/>
      <c r="E199" s="582">
        <v>2000</v>
      </c>
      <c r="F199" s="573"/>
      <c r="G199" s="574">
        <v>36700</v>
      </c>
    </row>
    <row r="200" spans="1:11" ht="13.5" customHeight="1" thickBot="1" x14ac:dyDescent="0.25">
      <c r="A200" s="70"/>
      <c r="B200" s="70"/>
      <c r="C200" s="63"/>
      <c r="D200" s="50"/>
      <c r="E200" s="13"/>
      <c r="F200" s="13"/>
      <c r="G200" s="182"/>
    </row>
    <row r="201" spans="1:11" ht="13.5" customHeight="1" thickBot="1" x14ac:dyDescent="0.25">
      <c r="A201" s="213"/>
      <c r="B201" s="214"/>
      <c r="C201" s="215" t="s">
        <v>539</v>
      </c>
      <c r="D201" s="216"/>
      <c r="E201" s="187"/>
      <c r="F201" s="187"/>
      <c r="G201" s="217" t="s">
        <v>7</v>
      </c>
    </row>
    <row r="202" spans="1:11" ht="13.5" customHeight="1" x14ac:dyDescent="0.2">
      <c r="A202" s="74" t="s">
        <v>540</v>
      </c>
      <c r="B202" s="74"/>
      <c r="C202" s="218" t="s">
        <v>541</v>
      </c>
      <c r="D202" s="219"/>
      <c r="E202" s="220"/>
      <c r="F202" s="220"/>
      <c r="G202" s="75">
        <v>0</v>
      </c>
      <c r="K202" s="97"/>
    </row>
    <row r="203" spans="1:11" ht="13.5" customHeight="1" x14ac:dyDescent="0.2">
      <c r="A203" s="221" t="s">
        <v>540</v>
      </c>
      <c r="B203" s="70"/>
      <c r="C203" s="63" t="s">
        <v>542</v>
      </c>
      <c r="D203" s="50"/>
      <c r="E203" s="13"/>
      <c r="F203" s="13"/>
      <c r="G203" s="75">
        <v>0</v>
      </c>
      <c r="K203" s="97"/>
    </row>
    <row r="204" spans="1:11" ht="13.5" customHeight="1" x14ac:dyDescent="0.2">
      <c r="A204" s="70"/>
      <c r="B204" s="70"/>
      <c r="C204" s="222" t="s">
        <v>543</v>
      </c>
      <c r="D204" s="50"/>
      <c r="E204" s="13"/>
      <c r="F204" s="13"/>
      <c r="G204" s="14">
        <v>0</v>
      </c>
      <c r="K204" s="97"/>
    </row>
    <row r="205" spans="1:11" ht="13.5" customHeight="1" x14ac:dyDescent="0.2">
      <c r="A205" s="70"/>
      <c r="B205" s="70"/>
      <c r="C205" s="63"/>
      <c r="D205" s="50"/>
      <c r="E205" s="13"/>
      <c r="F205" s="13"/>
      <c r="G205" s="14"/>
      <c r="K205" s="97"/>
    </row>
    <row r="206" spans="1:11" ht="13.5" customHeight="1" x14ac:dyDescent="0.2">
      <c r="A206" s="70"/>
      <c r="B206" s="70"/>
      <c r="C206" s="222" t="s">
        <v>544</v>
      </c>
      <c r="D206" s="50"/>
      <c r="E206" s="13"/>
      <c r="F206" s="13"/>
      <c r="G206" s="14">
        <v>0</v>
      </c>
      <c r="K206" s="97"/>
    </row>
    <row r="207" spans="1:11" ht="13.5" customHeight="1" x14ac:dyDescent="0.2">
      <c r="A207" s="70"/>
      <c r="B207" s="70"/>
      <c r="C207" s="63"/>
      <c r="D207" s="50"/>
      <c r="E207" s="13"/>
      <c r="F207" s="13"/>
      <c r="G207" s="75"/>
      <c r="K207" s="97"/>
    </row>
    <row r="208" spans="1:11" ht="13.5" customHeight="1" x14ac:dyDescent="0.2">
      <c r="A208" s="76"/>
      <c r="B208" s="76"/>
      <c r="C208" s="222" t="s">
        <v>545</v>
      </c>
      <c r="D208" s="78"/>
      <c r="E208" s="78"/>
      <c r="F208" s="78"/>
      <c r="G208" s="14">
        <v>0</v>
      </c>
      <c r="K208" s="97"/>
    </row>
    <row r="209" spans="1:11" ht="13.5" customHeight="1" x14ac:dyDescent="0.2">
      <c r="A209" s="76"/>
      <c r="B209" s="76"/>
      <c r="C209" s="78"/>
      <c r="D209" s="78"/>
      <c r="E209" s="78"/>
      <c r="F209" s="78"/>
      <c r="G209" s="75"/>
      <c r="K209" s="97"/>
    </row>
    <row r="210" spans="1:11" ht="13.5" customHeight="1" x14ac:dyDescent="0.2">
      <c r="A210" s="70"/>
      <c r="B210" s="70"/>
      <c r="C210" s="63"/>
      <c r="D210" s="50"/>
      <c r="E210" s="13"/>
      <c r="F210" s="13"/>
      <c r="G210" s="75"/>
    </row>
    <row r="211" spans="1:11" ht="13.5" customHeight="1" x14ac:dyDescent="0.2">
      <c r="A211" s="70"/>
      <c r="B211" s="70"/>
      <c r="C211" s="63"/>
      <c r="D211" s="50"/>
      <c r="E211" s="13"/>
      <c r="F211" s="13"/>
      <c r="G211" s="182"/>
    </row>
    <row r="212" spans="1:11" ht="13.5" customHeight="1" x14ac:dyDescent="0.2">
      <c r="A212" s="70"/>
      <c r="B212" s="70"/>
      <c r="C212" s="63"/>
      <c r="D212" s="50"/>
      <c r="E212" s="13"/>
      <c r="F212" s="13"/>
      <c r="G212" s="182"/>
    </row>
    <row r="213" spans="1:11" ht="13.5" customHeight="1" x14ac:dyDescent="0.2">
      <c r="A213" s="70"/>
      <c r="B213" s="70"/>
      <c r="C213" s="63"/>
      <c r="D213" s="50"/>
      <c r="E213" s="13"/>
      <c r="F213" s="13"/>
      <c r="G213" s="182"/>
    </row>
    <row r="214" spans="1:11" ht="13.5" customHeight="1" x14ac:dyDescent="0.2">
      <c r="A214" s="70"/>
      <c r="B214" s="70"/>
      <c r="C214" s="63"/>
      <c r="D214" s="50"/>
      <c r="E214" s="13"/>
      <c r="F214" s="13"/>
      <c r="G214" s="182"/>
    </row>
    <row r="215" spans="1:11" ht="13.5" customHeight="1" x14ac:dyDescent="0.2">
      <c r="A215" s="70"/>
      <c r="B215" s="70"/>
      <c r="C215" s="63"/>
      <c r="D215" s="50"/>
      <c r="E215" s="13"/>
      <c r="F215" s="13"/>
      <c r="G215" s="182"/>
    </row>
    <row r="216" spans="1:11" ht="13.5" customHeight="1" x14ac:dyDescent="0.2">
      <c r="A216" s="70"/>
      <c r="B216" s="70"/>
      <c r="C216" s="63"/>
      <c r="D216" s="50"/>
      <c r="E216" s="13"/>
      <c r="F216" s="13"/>
      <c r="G216" s="182"/>
    </row>
    <row r="217" spans="1:11" ht="13.5" customHeight="1" x14ac:dyDescent="0.2">
      <c r="A217" s="70"/>
      <c r="B217" s="70"/>
      <c r="C217" s="63"/>
      <c r="D217" s="50"/>
      <c r="E217" s="13"/>
      <c r="F217" s="13"/>
      <c r="G217" s="182"/>
    </row>
    <row r="218" spans="1:11" ht="13.5" customHeight="1" x14ac:dyDescent="0.2">
      <c r="A218" s="70"/>
      <c r="B218" s="70"/>
      <c r="C218" s="63"/>
      <c r="D218" s="50"/>
      <c r="E218" s="13"/>
      <c r="F218" s="13"/>
      <c r="G218" s="182"/>
    </row>
    <row r="219" spans="1:11" ht="13.5" customHeight="1" x14ac:dyDescent="0.2">
      <c r="A219" s="70"/>
      <c r="B219" s="70"/>
      <c r="C219" s="63"/>
      <c r="D219" s="50"/>
      <c r="E219" s="13"/>
      <c r="F219" s="13"/>
      <c r="G219" s="182"/>
    </row>
    <row r="220" spans="1:11" ht="13.5" customHeight="1" x14ac:dyDescent="0.2">
      <c r="A220" s="70"/>
      <c r="B220" s="70"/>
      <c r="C220" s="63"/>
      <c r="D220" s="50"/>
      <c r="E220" s="13"/>
      <c r="F220" s="13"/>
      <c r="G220" s="182"/>
    </row>
    <row r="221" spans="1:11" ht="13.5" customHeight="1" x14ac:dyDescent="0.2">
      <c r="A221" s="70"/>
      <c r="B221" s="70"/>
      <c r="C221" s="63"/>
      <c r="D221" s="50"/>
      <c r="E221" s="13"/>
      <c r="F221" s="13"/>
      <c r="G221" s="182"/>
    </row>
    <row r="222" spans="1:11" ht="13.5" customHeight="1" x14ac:dyDescent="0.2">
      <c r="A222" s="70"/>
      <c r="B222" s="70"/>
      <c r="C222" s="63"/>
      <c r="D222" s="50"/>
      <c r="E222" s="13"/>
      <c r="F222" s="13"/>
      <c r="G222" s="182"/>
    </row>
    <row r="223" spans="1:11" ht="13.5" customHeight="1" x14ac:dyDescent="0.2">
      <c r="A223" s="70"/>
      <c r="B223" s="70"/>
      <c r="C223" s="63"/>
      <c r="D223" s="50"/>
      <c r="E223" s="13"/>
      <c r="F223" s="13"/>
      <c r="G223" s="182"/>
    </row>
    <row r="224" spans="1:11" ht="13.5" customHeight="1" x14ac:dyDescent="0.2">
      <c r="A224" s="70"/>
      <c r="B224" s="70"/>
      <c r="C224" s="63"/>
      <c r="D224" s="50"/>
      <c r="E224" s="13"/>
      <c r="F224" s="13"/>
      <c r="G224" s="182"/>
    </row>
    <row r="225" spans="1:7" ht="13.5" customHeight="1" x14ac:dyDescent="0.2">
      <c r="A225" s="70"/>
      <c r="B225" s="70"/>
      <c r="C225" s="63"/>
      <c r="D225" s="50"/>
      <c r="E225" s="13"/>
      <c r="F225" s="13"/>
      <c r="G225" s="182"/>
    </row>
    <row r="226" spans="1:7" ht="13.5" customHeight="1" x14ac:dyDescent="0.2">
      <c r="A226" s="70"/>
      <c r="B226" s="70"/>
      <c r="C226" s="63"/>
      <c r="D226" s="50"/>
      <c r="E226" s="13"/>
      <c r="F226" s="13"/>
      <c r="G226" s="182"/>
    </row>
    <row r="227" spans="1:7" ht="13.5" customHeight="1" x14ac:dyDescent="0.2">
      <c r="A227" s="70"/>
      <c r="B227" s="70"/>
      <c r="C227" s="63"/>
      <c r="D227" s="50"/>
      <c r="E227" s="13"/>
      <c r="F227" s="13"/>
      <c r="G227" s="182"/>
    </row>
    <row r="228" spans="1:7" ht="13.5" customHeight="1" x14ac:dyDescent="0.2">
      <c r="A228" s="70"/>
      <c r="B228" s="70"/>
      <c r="C228" s="63"/>
      <c r="D228" s="50"/>
      <c r="E228" s="13"/>
      <c r="F228" s="13"/>
      <c r="G228" s="182"/>
    </row>
    <row r="229" spans="1:7" ht="13.5" customHeight="1" x14ac:dyDescent="0.2">
      <c r="A229" s="70"/>
      <c r="B229" s="70"/>
      <c r="C229" s="63"/>
      <c r="D229" s="50"/>
      <c r="E229" s="13"/>
      <c r="F229" s="13"/>
      <c r="G229" s="182"/>
    </row>
    <row r="230" spans="1:7" ht="13.5" customHeight="1" x14ac:dyDescent="0.2">
      <c r="A230" s="70"/>
      <c r="B230" s="70"/>
      <c r="C230" s="63"/>
      <c r="D230" s="50"/>
      <c r="E230" s="13"/>
      <c r="F230" s="13"/>
      <c r="G230" s="182"/>
    </row>
    <row r="231" spans="1:7" ht="13.5" customHeight="1" x14ac:dyDescent="0.2">
      <c r="A231" s="70"/>
      <c r="B231" s="70"/>
      <c r="C231" s="63"/>
      <c r="D231" s="50"/>
      <c r="E231" s="13"/>
      <c r="F231" s="13"/>
      <c r="G231" s="182"/>
    </row>
    <row r="232" spans="1:7" ht="13.5" customHeight="1" x14ac:dyDescent="0.2">
      <c r="A232" s="70"/>
      <c r="B232" s="70"/>
      <c r="C232" s="63"/>
      <c r="D232" s="50"/>
      <c r="E232" s="13"/>
      <c r="F232" s="13"/>
      <c r="G232" s="182"/>
    </row>
    <row r="233" spans="1:7" ht="13.5" customHeight="1" x14ac:dyDescent="0.2">
      <c r="A233" s="70"/>
      <c r="B233" s="70"/>
      <c r="C233" s="63"/>
      <c r="D233" s="50"/>
      <c r="E233" s="13"/>
      <c r="F233" s="13"/>
      <c r="G233" s="182"/>
    </row>
    <row r="234" spans="1:7" ht="13.5" customHeight="1" x14ac:dyDescent="0.2">
      <c r="A234" s="70"/>
      <c r="B234" s="70"/>
      <c r="C234" s="63"/>
      <c r="D234" s="50"/>
      <c r="E234" s="13"/>
      <c r="F234" s="13"/>
      <c r="G234" s="182"/>
    </row>
    <row r="235" spans="1:7" ht="13.5" customHeight="1" x14ac:dyDescent="0.2">
      <c r="A235" s="70"/>
      <c r="B235" s="70"/>
      <c r="C235" s="63"/>
      <c r="D235" s="50"/>
      <c r="E235" s="13"/>
      <c r="F235" s="13"/>
      <c r="G235" s="182"/>
    </row>
    <row r="236" spans="1:7" ht="13.5" customHeight="1" x14ac:dyDescent="0.2">
      <c r="A236" s="70"/>
      <c r="B236" s="70"/>
      <c r="C236" s="63"/>
      <c r="D236" s="50"/>
      <c r="E236" s="13"/>
      <c r="F236" s="13"/>
      <c r="G236" s="182"/>
    </row>
    <row r="237" spans="1:7" ht="13.5" customHeight="1" x14ac:dyDescent="0.2">
      <c r="A237" s="70"/>
      <c r="B237" s="70"/>
      <c r="C237" s="63"/>
      <c r="D237" s="50"/>
      <c r="E237" s="13"/>
      <c r="F237" s="13"/>
      <c r="G237" s="182"/>
    </row>
    <row r="238" spans="1:7" ht="13.5" customHeight="1" x14ac:dyDescent="0.2">
      <c r="A238" s="131"/>
      <c r="B238" s="70"/>
      <c r="C238" s="64"/>
      <c r="D238" s="50"/>
      <c r="E238" s="13"/>
      <c r="F238" s="13"/>
      <c r="G238" s="182"/>
    </row>
    <row r="239" spans="1:7" ht="13.5" customHeight="1" x14ac:dyDescent="0.2">
      <c r="A239" s="70"/>
      <c r="B239" s="70"/>
      <c r="C239" s="63"/>
      <c r="D239" s="50"/>
      <c r="E239" s="13"/>
      <c r="F239" s="13"/>
      <c r="G239" s="182"/>
    </row>
    <row r="240" spans="1:7" ht="13.5" customHeight="1" x14ac:dyDescent="0.2">
      <c r="A240" s="70"/>
      <c r="B240" s="70"/>
      <c r="C240" s="63"/>
      <c r="D240" s="50"/>
      <c r="E240" s="13"/>
      <c r="F240" s="13"/>
      <c r="G240" s="182"/>
    </row>
    <row r="241" spans="1:7" ht="13.5" customHeight="1" x14ac:dyDescent="0.2">
      <c r="A241" s="131"/>
      <c r="B241" s="70"/>
      <c r="C241" s="85"/>
      <c r="D241" s="50"/>
      <c r="E241" s="13"/>
      <c r="F241" s="13"/>
      <c r="G241" s="182"/>
    </row>
    <row r="242" spans="1:7" ht="13.5" customHeight="1" x14ac:dyDescent="0.2">
      <c r="A242" s="131"/>
      <c r="B242" s="70"/>
      <c r="C242" s="63"/>
      <c r="D242" s="50"/>
      <c r="E242" s="13"/>
      <c r="F242" s="13"/>
      <c r="G242" s="182"/>
    </row>
    <row r="243" spans="1:7" ht="13.5" customHeight="1" x14ac:dyDescent="0.2">
      <c r="A243" s="131"/>
      <c r="B243" s="70"/>
      <c r="C243" s="63"/>
      <c r="D243" s="50"/>
      <c r="E243" s="13"/>
      <c r="F243" s="13"/>
      <c r="G243" s="182"/>
    </row>
    <row r="244" spans="1:7" ht="13.5" customHeight="1" x14ac:dyDescent="0.2">
      <c r="A244" s="131"/>
      <c r="B244" s="70"/>
      <c r="C244" s="64"/>
      <c r="D244" s="50"/>
      <c r="E244" s="13"/>
      <c r="F244" s="13"/>
      <c r="G244" s="182"/>
    </row>
    <row r="245" spans="1:7" ht="13.5" customHeight="1" x14ac:dyDescent="0.2">
      <c r="A245" s="70"/>
      <c r="B245" s="70"/>
      <c r="C245" s="63"/>
      <c r="D245" s="50"/>
      <c r="E245" s="13"/>
      <c r="F245" s="13"/>
      <c r="G245" s="182"/>
    </row>
    <row r="246" spans="1:7" ht="13.5" customHeight="1" x14ac:dyDescent="0.2">
      <c r="A246" s="131"/>
      <c r="B246" s="70"/>
      <c r="C246" s="63"/>
      <c r="D246" s="50"/>
      <c r="E246" s="13"/>
      <c r="F246" s="13"/>
      <c r="G246" s="182"/>
    </row>
    <row r="247" spans="1:7" ht="13.5" customHeight="1" x14ac:dyDescent="0.2">
      <c r="A247" s="131"/>
      <c r="B247" s="70"/>
      <c r="C247" s="64"/>
      <c r="D247" s="50"/>
      <c r="E247" s="13"/>
      <c r="F247" s="13"/>
      <c r="G247" s="182"/>
    </row>
    <row r="248" spans="1:7" ht="13.5" customHeight="1" x14ac:dyDescent="0.2">
      <c r="A248" s="70"/>
      <c r="B248" s="70"/>
      <c r="C248" s="63"/>
      <c r="D248" s="50"/>
      <c r="E248" s="13"/>
      <c r="F248" s="13"/>
      <c r="G248" s="182"/>
    </row>
    <row r="249" spans="1:7" ht="13.5" customHeight="1" x14ac:dyDescent="0.2">
      <c r="A249" s="131"/>
      <c r="B249" s="70"/>
      <c r="C249" s="63"/>
      <c r="D249" s="50"/>
      <c r="E249" s="13"/>
      <c r="F249" s="13"/>
      <c r="G249" s="182"/>
    </row>
    <row r="250" spans="1:7" ht="13.5" customHeight="1" x14ac:dyDescent="0.2">
      <c r="A250" s="131"/>
      <c r="B250" s="70"/>
      <c r="C250" s="64"/>
      <c r="D250" s="50"/>
      <c r="E250" s="13"/>
      <c r="F250" s="13"/>
      <c r="G250" s="182"/>
    </row>
    <row r="251" spans="1:7" ht="13.5" customHeight="1" x14ac:dyDescent="0.2">
      <c r="A251" s="70"/>
      <c r="B251" s="70"/>
      <c r="C251" s="63"/>
      <c r="D251" s="50"/>
      <c r="E251" s="13"/>
      <c r="F251" s="13"/>
      <c r="G251" s="182"/>
    </row>
    <row r="252" spans="1:7" ht="13.5" customHeight="1" x14ac:dyDescent="0.2">
      <c r="A252" s="70"/>
      <c r="B252" s="70"/>
      <c r="C252" s="63"/>
      <c r="D252" s="50"/>
      <c r="E252" s="13"/>
      <c r="F252" s="13"/>
      <c r="G252" s="182"/>
    </row>
    <row r="253" spans="1:7" ht="13.5" customHeight="1" x14ac:dyDescent="0.2">
      <c r="A253" s="70"/>
      <c r="B253" s="70"/>
      <c r="C253" s="63"/>
      <c r="D253" s="50"/>
      <c r="E253" s="13"/>
      <c r="F253" s="13"/>
      <c r="G253" s="182"/>
    </row>
    <row r="254" spans="1:7" ht="13.5" customHeight="1" x14ac:dyDescent="0.2">
      <c r="A254" s="131"/>
      <c r="B254" s="70"/>
      <c r="C254" s="86"/>
      <c r="D254" s="50"/>
      <c r="E254" s="13"/>
      <c r="F254" s="13"/>
      <c r="G254" s="182"/>
    </row>
    <row r="255" spans="1:7" ht="13.5" customHeight="1" x14ac:dyDescent="0.2">
      <c r="A255" s="131"/>
      <c r="B255" s="70"/>
      <c r="C255" s="85"/>
      <c r="D255" s="50"/>
      <c r="E255" s="13"/>
      <c r="F255" s="13"/>
      <c r="G255" s="182"/>
    </row>
    <row r="256" spans="1:7" ht="13.5" customHeight="1" x14ac:dyDescent="0.2">
      <c r="A256" s="131"/>
      <c r="B256" s="70"/>
      <c r="C256" s="87"/>
      <c r="D256" s="50"/>
      <c r="E256" s="13"/>
      <c r="F256" s="13"/>
      <c r="G256" s="182"/>
    </row>
    <row r="257" spans="1:7" ht="13.5" customHeight="1" x14ac:dyDescent="0.2">
      <c r="A257" s="131"/>
      <c r="B257" s="70"/>
      <c r="C257" s="88"/>
      <c r="D257" s="50"/>
      <c r="E257" s="13"/>
      <c r="F257" s="13"/>
      <c r="G257" s="182"/>
    </row>
    <row r="258" spans="1:7" ht="13.5" customHeight="1" x14ac:dyDescent="0.2">
      <c r="A258" s="91"/>
      <c r="B258" s="9"/>
      <c r="C258" s="56"/>
      <c r="D258" s="11"/>
      <c r="E258" s="12"/>
      <c r="F258" s="12"/>
      <c r="G258" s="182"/>
    </row>
    <row r="259" spans="1:7" ht="13.5" customHeight="1" x14ac:dyDescent="0.2">
      <c r="A259" s="9"/>
      <c r="B259" s="9"/>
      <c r="C259" s="56"/>
      <c r="D259" s="11"/>
      <c r="E259" s="12"/>
      <c r="F259" s="12"/>
      <c r="G259" s="182"/>
    </row>
    <row r="260" spans="1:7" ht="13.5" customHeight="1" x14ac:dyDescent="0.2">
      <c r="A260" s="9"/>
      <c r="B260" s="9"/>
      <c r="C260" s="56"/>
      <c r="D260" s="11"/>
      <c r="E260" s="12"/>
      <c r="F260" s="12"/>
      <c r="G260" s="182"/>
    </row>
    <row r="261" spans="1:7" ht="13.5" customHeight="1" x14ac:dyDescent="0.2">
      <c r="A261" s="91"/>
      <c r="B261" s="9"/>
      <c r="D261" s="11"/>
      <c r="E261" s="12"/>
      <c r="F261" s="12"/>
      <c r="G261" s="182"/>
    </row>
    <row r="262" spans="1:7" ht="13.5" customHeight="1" x14ac:dyDescent="0.2">
      <c r="A262" s="9"/>
      <c r="B262" s="9"/>
      <c r="C262" s="56"/>
      <c r="D262" s="11"/>
      <c r="E262" s="12"/>
      <c r="F262" s="12"/>
      <c r="G262" s="182"/>
    </row>
    <row r="263" spans="1:7" ht="13.5" customHeight="1" x14ac:dyDescent="0.2">
      <c r="A263" s="9"/>
      <c r="B263" s="9"/>
      <c r="C263" s="56"/>
      <c r="D263" s="11"/>
      <c r="E263" s="12"/>
      <c r="F263" s="12"/>
      <c r="G263" s="182"/>
    </row>
    <row r="264" spans="1:7" ht="13.5" customHeight="1" x14ac:dyDescent="0.2">
      <c r="A264" s="9"/>
      <c r="B264" s="9"/>
      <c r="C264" s="56"/>
      <c r="D264" s="11"/>
      <c r="E264" s="12"/>
      <c r="F264" s="12"/>
      <c r="G264" s="182"/>
    </row>
    <row r="265" spans="1:7" ht="13.5" customHeight="1" x14ac:dyDescent="0.2">
      <c r="A265" s="91"/>
      <c r="B265" s="9"/>
      <c r="C265" s="27"/>
      <c r="D265" s="11"/>
      <c r="E265" s="12"/>
      <c r="F265" s="12"/>
      <c r="G265" s="182"/>
    </row>
    <row r="266" spans="1:7" ht="13.5" customHeight="1" x14ac:dyDescent="0.2">
      <c r="A266" s="91"/>
      <c r="B266" s="9"/>
      <c r="C266" s="27"/>
      <c r="D266" s="11"/>
      <c r="E266" s="12"/>
      <c r="F266" s="12"/>
      <c r="G266" s="182"/>
    </row>
    <row r="267" spans="1:7" ht="13.5" customHeight="1" x14ac:dyDescent="0.2">
      <c r="A267" s="91"/>
      <c r="B267" s="9"/>
      <c r="D267" s="11"/>
      <c r="E267" s="12"/>
      <c r="F267" s="12"/>
      <c r="G267" s="182"/>
    </row>
    <row r="268" spans="1:7" ht="13.5" customHeight="1" x14ac:dyDescent="0.2">
      <c r="A268" s="9"/>
      <c r="B268" s="9"/>
      <c r="C268" s="56"/>
      <c r="D268" s="11"/>
      <c r="E268" s="12"/>
      <c r="F268" s="12"/>
      <c r="G268" s="182"/>
    </row>
    <row r="269" spans="1:7" ht="13.5" customHeight="1" x14ac:dyDescent="0.2">
      <c r="A269" s="9"/>
      <c r="B269" s="9"/>
      <c r="C269" s="56"/>
      <c r="D269" s="11"/>
      <c r="E269" s="12"/>
      <c r="F269" s="12"/>
      <c r="G269" s="182"/>
    </row>
    <row r="270" spans="1:7" ht="13.5" customHeight="1" x14ac:dyDescent="0.2">
      <c r="A270" s="9"/>
      <c r="B270" s="9"/>
      <c r="C270" s="56"/>
      <c r="D270" s="11"/>
      <c r="E270" s="12"/>
      <c r="F270" s="12"/>
      <c r="G270" s="182"/>
    </row>
    <row r="271" spans="1:7" ht="13.5" customHeight="1" x14ac:dyDescent="0.2">
      <c r="A271" s="9"/>
      <c r="B271" s="9"/>
      <c r="C271" s="56"/>
      <c r="D271" s="11"/>
      <c r="E271" s="12"/>
      <c r="F271" s="12"/>
      <c r="G271" s="182"/>
    </row>
    <row r="272" spans="1:7" x14ac:dyDescent="0.2">
      <c r="A272" s="132"/>
      <c r="B272" s="93"/>
      <c r="C272" s="94"/>
      <c r="D272" s="27"/>
      <c r="E272" s="27"/>
      <c r="F272" s="27"/>
      <c r="G272" s="182"/>
    </row>
  </sheetData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K276"/>
  <sheetViews>
    <sheetView zoomScale="90" zoomScaleNormal="90" workbookViewId="0">
      <selection activeCell="F206" sqref="F206"/>
    </sheetView>
  </sheetViews>
  <sheetFormatPr defaultColWidth="9" defaultRowHeight="12.75" x14ac:dyDescent="0.2"/>
  <cols>
    <col min="1" max="1" width="11.5" style="1" bestFit="1" customWidth="1"/>
    <col min="2" max="2" width="105.625" style="1" bestFit="1" customWidth="1"/>
    <col min="3" max="3" width="11.75" style="1" customWidth="1"/>
    <col min="4" max="4" width="12.125" style="1" customWidth="1"/>
    <col min="5" max="5" width="9.875" style="1" bestFit="1" customWidth="1"/>
    <col min="6" max="6" width="11.875" style="1" bestFit="1" customWidth="1"/>
    <col min="7" max="7" width="11.25" style="1" bestFit="1" customWidth="1"/>
    <col min="8" max="9" width="7.625" style="1" bestFit="1" customWidth="1"/>
    <col min="10" max="10" width="10.5" style="1" bestFit="1" customWidth="1"/>
    <col min="11" max="16384" width="9" style="1"/>
  </cols>
  <sheetData>
    <row r="1" spans="1:10" x14ac:dyDescent="0.2">
      <c r="A1"/>
      <c r="F1" s="724" t="s">
        <v>218</v>
      </c>
      <c r="G1" s="97" t="s">
        <v>219</v>
      </c>
      <c r="H1" s="97" t="s">
        <v>220</v>
      </c>
      <c r="I1" s="97" t="s">
        <v>221</v>
      </c>
      <c r="J1" s="97" t="s">
        <v>222</v>
      </c>
    </row>
    <row r="2" spans="1:10" ht="13.5" customHeight="1" x14ac:dyDescent="0.2">
      <c r="A2" t="s">
        <v>3762</v>
      </c>
      <c r="B2" s="36" t="s">
        <v>3629</v>
      </c>
      <c r="C2" s="61"/>
      <c r="D2" s="30">
        <v>275</v>
      </c>
      <c r="F2" s="725">
        <v>275</v>
      </c>
      <c r="G2" s="402"/>
      <c r="H2" s="402"/>
      <c r="I2" s="402"/>
      <c r="J2" s="618">
        <f t="shared" ref="J2:J13" si="0">F2-G2-H2-I2</f>
        <v>275</v>
      </c>
    </row>
    <row r="3" spans="1:10" ht="13.5" customHeight="1" x14ac:dyDescent="0.2">
      <c r="A3" t="s">
        <v>3762</v>
      </c>
      <c r="B3" s="36" t="s">
        <v>3654</v>
      </c>
      <c r="C3" s="61"/>
      <c r="D3" s="30">
        <v>950</v>
      </c>
      <c r="F3" s="725">
        <v>1040</v>
      </c>
      <c r="G3" s="402">
        <v>90</v>
      </c>
      <c r="H3" s="402"/>
      <c r="I3" s="402"/>
      <c r="J3" s="618">
        <f t="shared" si="0"/>
        <v>950</v>
      </c>
    </row>
    <row r="4" spans="1:10" ht="13.5" customHeight="1" x14ac:dyDescent="0.2">
      <c r="A4" t="s">
        <v>3762</v>
      </c>
      <c r="B4" s="36" t="s">
        <v>3652</v>
      </c>
      <c r="C4" s="61"/>
      <c r="D4" s="30">
        <v>1050</v>
      </c>
      <c r="F4" s="725">
        <v>1140</v>
      </c>
      <c r="G4" s="402">
        <v>90</v>
      </c>
      <c r="H4" s="402"/>
      <c r="I4" s="402"/>
      <c r="J4" s="618">
        <f t="shared" si="0"/>
        <v>1050</v>
      </c>
    </row>
    <row r="5" spans="1:10" ht="13.5" customHeight="1" x14ac:dyDescent="0.2">
      <c r="A5" t="s">
        <v>3762</v>
      </c>
      <c r="B5" s="36" t="s">
        <v>3644</v>
      </c>
      <c r="C5" s="61"/>
      <c r="D5" s="30">
        <v>1010</v>
      </c>
      <c r="F5" s="725">
        <v>1100</v>
      </c>
      <c r="G5" s="402">
        <v>90</v>
      </c>
      <c r="H5" s="402"/>
      <c r="I5" s="402"/>
      <c r="J5" s="618">
        <f t="shared" si="0"/>
        <v>1010</v>
      </c>
    </row>
    <row r="6" spans="1:10" ht="13.5" customHeight="1" x14ac:dyDescent="0.2">
      <c r="A6" t="s">
        <v>3762</v>
      </c>
      <c r="B6" s="34" t="s">
        <v>3665</v>
      </c>
      <c r="C6" s="61"/>
      <c r="D6" s="30">
        <v>1020</v>
      </c>
      <c r="F6" s="725">
        <v>1110</v>
      </c>
      <c r="G6" s="402">
        <v>90</v>
      </c>
      <c r="H6" s="402"/>
      <c r="I6" s="402"/>
      <c r="J6" s="618">
        <f t="shared" si="0"/>
        <v>1020</v>
      </c>
    </row>
    <row r="7" spans="1:10" ht="13.5" customHeight="1" x14ac:dyDescent="0.2">
      <c r="A7" t="s">
        <v>3762</v>
      </c>
      <c r="B7" s="36" t="s">
        <v>3614</v>
      </c>
      <c r="C7" s="61"/>
      <c r="D7" s="30">
        <v>1122</v>
      </c>
      <c r="F7" s="726">
        <v>1232.72</v>
      </c>
      <c r="G7" s="402">
        <v>90</v>
      </c>
      <c r="H7" s="402">
        <v>20.72</v>
      </c>
      <c r="I7" s="402"/>
      <c r="J7" s="618">
        <f t="shared" si="0"/>
        <v>1122</v>
      </c>
    </row>
    <row r="8" spans="1:10" ht="13.5" customHeight="1" x14ac:dyDescent="0.2">
      <c r="A8" t="s">
        <v>3762</v>
      </c>
      <c r="B8" s="36" t="s">
        <v>3655</v>
      </c>
      <c r="C8" s="61"/>
      <c r="D8" s="30">
        <v>1550</v>
      </c>
      <c r="F8" s="725">
        <v>1640</v>
      </c>
      <c r="G8" s="402">
        <v>90</v>
      </c>
      <c r="H8" s="402"/>
      <c r="I8" s="402"/>
      <c r="J8" s="618">
        <f t="shared" si="0"/>
        <v>1550</v>
      </c>
    </row>
    <row r="9" spans="1:10" ht="13.5" customHeight="1" x14ac:dyDescent="0.2">
      <c r="A9" t="s">
        <v>3762</v>
      </c>
      <c r="B9" s="36" t="s">
        <v>3636</v>
      </c>
      <c r="C9" s="61"/>
      <c r="D9" s="30">
        <v>1399.85</v>
      </c>
      <c r="F9" s="725">
        <v>1507</v>
      </c>
      <c r="G9" s="402">
        <v>90</v>
      </c>
      <c r="H9" s="402"/>
      <c r="I9" s="402">
        <v>17.149999999999999</v>
      </c>
      <c r="J9" s="618">
        <f t="shared" si="0"/>
        <v>1399.85</v>
      </c>
    </row>
    <row r="10" spans="1:10" ht="13.5" customHeight="1" x14ac:dyDescent="0.2">
      <c r="A10" t="s">
        <v>3762</v>
      </c>
      <c r="B10" s="34" t="s">
        <v>3651</v>
      </c>
      <c r="C10" s="61"/>
      <c r="D10" s="30">
        <v>420</v>
      </c>
      <c r="F10" s="725">
        <v>420</v>
      </c>
      <c r="G10" s="402"/>
      <c r="H10" s="402"/>
      <c r="I10" s="402"/>
      <c r="J10" s="618">
        <f t="shared" si="0"/>
        <v>420</v>
      </c>
    </row>
    <row r="11" spans="1:10" ht="13.5" customHeight="1" x14ac:dyDescent="0.2">
      <c r="A11" t="s">
        <v>3762</v>
      </c>
      <c r="B11" s="34" t="s">
        <v>3619</v>
      </c>
      <c r="C11" s="61"/>
      <c r="D11" s="30">
        <v>550</v>
      </c>
      <c r="F11" s="725">
        <v>550</v>
      </c>
      <c r="G11" s="402"/>
      <c r="H11" s="402"/>
      <c r="I11" s="402"/>
      <c r="J11" s="618">
        <f t="shared" si="0"/>
        <v>550</v>
      </c>
    </row>
    <row r="12" spans="1:10" ht="13.5" customHeight="1" x14ac:dyDescent="0.2">
      <c r="A12" t="s">
        <v>3762</v>
      </c>
      <c r="B12" s="36" t="s">
        <v>3674</v>
      </c>
      <c r="C12" s="61"/>
      <c r="D12" s="30">
        <v>950</v>
      </c>
      <c r="F12" s="725">
        <v>950</v>
      </c>
      <c r="G12" s="402"/>
      <c r="H12" s="402"/>
      <c r="I12" s="402"/>
      <c r="J12" s="618">
        <f>F12-G12-H12-I12</f>
        <v>950</v>
      </c>
    </row>
    <row r="13" spans="1:10" ht="13.5" customHeight="1" x14ac:dyDescent="0.2">
      <c r="A13" t="s">
        <v>3762</v>
      </c>
      <c r="B13" s="36" t="s">
        <v>3615</v>
      </c>
      <c r="C13" s="61"/>
      <c r="D13" s="30">
        <v>1250</v>
      </c>
      <c r="F13" s="725">
        <v>1392.5</v>
      </c>
      <c r="G13" s="402">
        <v>90</v>
      </c>
      <c r="H13" s="402">
        <v>52.5</v>
      </c>
      <c r="I13" s="402"/>
      <c r="J13" s="618">
        <f t="shared" si="0"/>
        <v>1250</v>
      </c>
    </row>
    <row r="14" spans="1:10" ht="13.5" customHeight="1" x14ac:dyDescent="0.2">
      <c r="A14" t="s">
        <v>3762</v>
      </c>
      <c r="B14" s="34" t="s">
        <v>3765</v>
      </c>
      <c r="C14" s="61"/>
      <c r="D14" s="30">
        <v>900</v>
      </c>
      <c r="F14" s="725">
        <v>900</v>
      </c>
      <c r="G14" s="402"/>
      <c r="H14" s="402"/>
      <c r="I14" s="402"/>
      <c r="J14" s="618">
        <v>900</v>
      </c>
    </row>
    <row r="15" spans="1:10" ht="13.5" customHeight="1" x14ac:dyDescent="0.2">
      <c r="A15" t="s">
        <v>3762</v>
      </c>
      <c r="B15" s="34" t="s">
        <v>10</v>
      </c>
      <c r="C15" s="61"/>
      <c r="D15" s="30">
        <v>720</v>
      </c>
      <c r="F15" s="725">
        <v>720</v>
      </c>
      <c r="G15" s="402"/>
      <c r="H15" s="402"/>
      <c r="I15" s="402"/>
      <c r="J15" s="618">
        <v>720</v>
      </c>
    </row>
    <row r="16" spans="1:10" ht="13.5" customHeight="1" x14ac:dyDescent="0.2">
      <c r="A16" t="s">
        <v>3762</v>
      </c>
      <c r="B16" s="34" t="s">
        <v>3627</v>
      </c>
      <c r="C16" s="61"/>
      <c r="D16" s="30">
        <v>1000</v>
      </c>
      <c r="F16" s="725">
        <v>1000</v>
      </c>
      <c r="G16" s="402"/>
      <c r="H16" s="402"/>
      <c r="I16" s="402"/>
      <c r="J16" s="618">
        <f>F16-G16-H16-I16</f>
        <v>1000</v>
      </c>
    </row>
    <row r="17" spans="1:10" ht="13.5" customHeight="1" x14ac:dyDescent="0.2">
      <c r="A17" t="s">
        <v>3762</v>
      </c>
      <c r="B17" s="34" t="s">
        <v>3646</v>
      </c>
      <c r="C17" s="61"/>
      <c r="D17" s="30">
        <v>3765</v>
      </c>
      <c r="F17" s="725">
        <v>3765</v>
      </c>
      <c r="G17" s="402"/>
      <c r="H17" s="402"/>
      <c r="I17" s="402"/>
      <c r="J17" s="618">
        <f>F17-G17-H17-I17</f>
        <v>3765</v>
      </c>
    </row>
    <row r="18" spans="1:10" ht="13.5" customHeight="1" x14ac:dyDescent="0.2">
      <c r="A18" t="s">
        <v>3762</v>
      </c>
      <c r="B18" s="34" t="s">
        <v>3681</v>
      </c>
      <c r="C18" s="61"/>
      <c r="D18" s="30">
        <v>2205</v>
      </c>
      <c r="F18" s="725">
        <v>2205</v>
      </c>
      <c r="G18" s="402"/>
      <c r="H18" s="402"/>
      <c r="I18" s="402"/>
      <c r="J18" s="618">
        <f>F18-G18-H18-I18</f>
        <v>2205</v>
      </c>
    </row>
    <row r="19" spans="1:10" ht="13.5" customHeight="1" x14ac:dyDescent="0.2">
      <c r="A19" t="s">
        <v>3762</v>
      </c>
      <c r="B19" s="34" t="s">
        <v>3673</v>
      </c>
      <c r="C19" s="61"/>
      <c r="D19" s="30">
        <v>5200</v>
      </c>
      <c r="F19" s="725">
        <v>5200</v>
      </c>
      <c r="G19" s="402"/>
      <c r="H19" s="402"/>
      <c r="I19" s="402"/>
      <c r="J19" s="618">
        <f>F19-G19-H19-I19</f>
        <v>5200</v>
      </c>
    </row>
    <row r="20" spans="1:10" ht="13.5" customHeight="1" x14ac:dyDescent="0.2">
      <c r="A20" t="s">
        <v>3762</v>
      </c>
      <c r="B20" s="34" t="s">
        <v>3675</v>
      </c>
      <c r="C20" s="61"/>
      <c r="D20" s="30">
        <v>1464</v>
      </c>
      <c r="F20" s="725">
        <v>1464</v>
      </c>
      <c r="G20" s="402"/>
      <c r="H20" s="402"/>
      <c r="I20" s="402"/>
      <c r="J20" s="618">
        <f>F20-G20-H20-I20</f>
        <v>1464</v>
      </c>
    </row>
    <row r="21" spans="1:10" ht="13.5" customHeight="1" x14ac:dyDescent="0.2">
      <c r="A21" t="s">
        <v>3762</v>
      </c>
      <c r="B21" s="34" t="s">
        <v>3624</v>
      </c>
      <c r="C21" s="61"/>
      <c r="D21" s="727">
        <v>60</v>
      </c>
      <c r="F21" t="s">
        <v>3766</v>
      </c>
      <c r="G21" s="107">
        <f>SUM(G2:G20)</f>
        <v>720</v>
      </c>
      <c r="H21" s="107">
        <f>SUM(H2:H20)</f>
        <v>73.22</v>
      </c>
      <c r="I21" s="107">
        <f>SUM(I2:I20)</f>
        <v>17.149999999999999</v>
      </c>
    </row>
    <row r="22" spans="1:10" ht="13.5" customHeight="1" x14ac:dyDescent="0.2">
      <c r="A22" t="s">
        <v>3762</v>
      </c>
      <c r="B22" s="34" t="s">
        <v>3767</v>
      </c>
      <c r="C22" s="61"/>
      <c r="D22" s="727">
        <v>150</v>
      </c>
    </row>
    <row r="23" spans="1:10" ht="13.5" customHeight="1" x14ac:dyDescent="0.2">
      <c r="A23" t="s">
        <v>3762</v>
      </c>
      <c r="B23" s="34" t="s">
        <v>3622</v>
      </c>
      <c r="C23" s="61"/>
      <c r="D23" s="727">
        <v>220</v>
      </c>
    </row>
    <row r="24" spans="1:10" ht="13.5" customHeight="1" x14ac:dyDescent="0.2">
      <c r="A24" t="s">
        <v>3762</v>
      </c>
      <c r="B24" s="34" t="s">
        <v>3633</v>
      </c>
      <c r="C24" s="61"/>
      <c r="D24" s="727">
        <v>250</v>
      </c>
    </row>
    <row r="25" spans="1:10" ht="13.5" customHeight="1" x14ac:dyDescent="0.2">
      <c r="A25" t="s">
        <v>3762</v>
      </c>
      <c r="B25" s="34" t="s">
        <v>3641</v>
      </c>
      <c r="C25" s="61"/>
      <c r="D25" s="727">
        <v>200</v>
      </c>
    </row>
    <row r="26" spans="1:10" ht="13.5" customHeight="1" x14ac:dyDescent="0.2">
      <c r="A26" t="s">
        <v>3762</v>
      </c>
      <c r="B26" s="34" t="s">
        <v>3768</v>
      </c>
      <c r="C26" s="61"/>
      <c r="D26" s="727">
        <v>200</v>
      </c>
    </row>
    <row r="27" spans="1:10" ht="13.5" customHeight="1" x14ac:dyDescent="0.2">
      <c r="A27" t="s">
        <v>3762</v>
      </c>
      <c r="B27" s="34" t="s">
        <v>3769</v>
      </c>
      <c r="C27" s="61"/>
      <c r="D27" s="727">
        <v>220</v>
      </c>
    </row>
    <row r="28" spans="1:10" ht="13.5" customHeight="1" x14ac:dyDescent="0.2">
      <c r="A28" t="s">
        <v>3762</v>
      </c>
      <c r="B28" s="34" t="s">
        <v>3643</v>
      </c>
      <c r="C28" s="61"/>
      <c r="D28" s="727">
        <v>200</v>
      </c>
    </row>
    <row r="29" spans="1:10" ht="13.5" customHeight="1" x14ac:dyDescent="0.2">
      <c r="A29" t="s">
        <v>3762</v>
      </c>
      <c r="B29" s="34" t="s">
        <v>3679</v>
      </c>
      <c r="C29" s="61"/>
      <c r="D29" s="727">
        <v>200</v>
      </c>
    </row>
    <row r="30" spans="1:10" ht="13.5" customHeight="1" x14ac:dyDescent="0.2">
      <c r="A30" t="s">
        <v>3762</v>
      </c>
      <c r="B30" s="34" t="s">
        <v>3648</v>
      </c>
      <c r="C30" s="61"/>
      <c r="D30" s="727">
        <v>220</v>
      </c>
    </row>
    <row r="31" spans="1:10" ht="13.5" customHeight="1" x14ac:dyDescent="0.2">
      <c r="A31" t="s">
        <v>3762</v>
      </c>
      <c r="B31" s="34" t="s">
        <v>3649</v>
      </c>
      <c r="C31" s="61"/>
      <c r="D31" s="727">
        <v>200</v>
      </c>
    </row>
    <row r="32" spans="1:10" ht="13.5" customHeight="1" x14ac:dyDescent="0.2">
      <c r="A32" t="s">
        <v>3762</v>
      </c>
      <c r="B32" s="36" t="s">
        <v>3770</v>
      </c>
      <c r="C32" s="61"/>
      <c r="D32" s="727">
        <v>100</v>
      </c>
    </row>
    <row r="33" spans="1:10" ht="13.5" customHeight="1" x14ac:dyDescent="0.2">
      <c r="A33" t="s">
        <v>3762</v>
      </c>
      <c r="B33" s="34" t="s">
        <v>3625</v>
      </c>
      <c r="C33" s="61"/>
      <c r="D33" s="727">
        <v>250</v>
      </c>
    </row>
    <row r="34" spans="1:10" ht="13.5" customHeight="1" x14ac:dyDescent="0.2">
      <c r="A34" t="s">
        <v>3762</v>
      </c>
      <c r="B34" s="34" t="s">
        <v>3612</v>
      </c>
      <c r="C34" s="61"/>
      <c r="D34" s="727">
        <v>88</v>
      </c>
    </row>
    <row r="35" spans="1:10" ht="13.5" customHeight="1" x14ac:dyDescent="0.2">
      <c r="A35" t="s">
        <v>3762</v>
      </c>
      <c r="B35" s="34" t="s">
        <v>3613</v>
      </c>
      <c r="C35" s="61"/>
      <c r="D35" s="727">
        <v>80</v>
      </c>
      <c r="E35" s="124">
        <f>SUM(D21:D35)</f>
        <v>2638</v>
      </c>
    </row>
    <row r="36" spans="1:10" ht="13.5" customHeight="1" x14ac:dyDescent="0.2">
      <c r="A36" t="s">
        <v>3762</v>
      </c>
      <c r="B36" s="34" t="s">
        <v>1792</v>
      </c>
      <c r="C36" s="61"/>
      <c r="D36" s="727">
        <f>I21</f>
        <v>17.149999999999999</v>
      </c>
      <c r="E36" s="124"/>
    </row>
    <row r="37" spans="1:10" ht="13.5" customHeight="1" x14ac:dyDescent="0.2">
      <c r="A37"/>
      <c r="B37" s="34"/>
      <c r="C37" s="61"/>
      <c r="D37" s="758">
        <f>SUM(D2:D36)</f>
        <v>29456</v>
      </c>
      <c r="E37" s="124"/>
    </row>
    <row r="38" spans="1:10" ht="13.5" customHeight="1" x14ac:dyDescent="0.2">
      <c r="A38"/>
      <c r="B38" s="34"/>
      <c r="C38" s="61"/>
      <c r="D38" s="30"/>
      <c r="E38" s="124"/>
    </row>
    <row r="39" spans="1:10" ht="13.5" customHeight="1" x14ac:dyDescent="0.2">
      <c r="A39" t="s">
        <v>3762</v>
      </c>
      <c r="B39" s="36" t="s">
        <v>3725</v>
      </c>
      <c r="C39" s="61"/>
      <c r="D39" s="61">
        <v>300</v>
      </c>
      <c r="F39" s="725">
        <v>300</v>
      </c>
      <c r="G39" s="402"/>
      <c r="H39" s="402"/>
      <c r="I39" s="402"/>
      <c r="J39" s="618">
        <f>F39-G39-H39-I39</f>
        <v>300</v>
      </c>
    </row>
    <row r="40" spans="1:10" ht="13.5" customHeight="1" x14ac:dyDescent="0.2">
      <c r="A40" t="s">
        <v>3762</v>
      </c>
      <c r="B40" s="34" t="s">
        <v>3661</v>
      </c>
      <c r="C40" s="61"/>
      <c r="D40" s="61">
        <v>7750</v>
      </c>
      <c r="F40" s="725">
        <v>7750</v>
      </c>
      <c r="G40" s="402"/>
      <c r="H40" s="402"/>
      <c r="I40" s="402"/>
      <c r="J40" s="618">
        <f>F40-G40-H40-I40</f>
        <v>7750</v>
      </c>
    </row>
    <row r="41" spans="1:10" ht="13.5" customHeight="1" x14ac:dyDescent="0.2">
      <c r="A41" t="s">
        <v>3762</v>
      </c>
      <c r="B41" s="34" t="s">
        <v>3660</v>
      </c>
      <c r="C41" s="61"/>
      <c r="D41" s="61">
        <v>525</v>
      </c>
      <c r="F41" s="725">
        <v>525</v>
      </c>
      <c r="G41" s="725"/>
      <c r="H41" s="725"/>
      <c r="I41" s="725"/>
      <c r="J41" s="618">
        <f>F41-G41-H41-I41</f>
        <v>525</v>
      </c>
    </row>
    <row r="42" spans="1:10" ht="13.5" customHeight="1" x14ac:dyDescent="0.2">
      <c r="A42" t="s">
        <v>3762</v>
      </c>
      <c r="B42" s="34" t="s">
        <v>3738</v>
      </c>
      <c r="C42" s="61"/>
      <c r="D42" s="61">
        <v>4731.47</v>
      </c>
      <c r="F42" s="725">
        <v>4731.47</v>
      </c>
      <c r="G42" s="725"/>
      <c r="H42" s="725"/>
      <c r="I42" s="725"/>
      <c r="J42" s="618">
        <f>F42-G42-H42-I42</f>
        <v>4731.47</v>
      </c>
    </row>
    <row r="43" spans="1:10" ht="13.5" customHeight="1" x14ac:dyDescent="0.2">
      <c r="A43"/>
      <c r="B43" s="34"/>
      <c r="C43" s="61"/>
      <c r="D43" s="759">
        <f>SUM(D39:D42)</f>
        <v>13306.470000000001</v>
      </c>
      <c r="F43" t="s">
        <v>3766</v>
      </c>
      <c r="G43" s="107">
        <f>SUM(G41:G42)</f>
        <v>0</v>
      </c>
      <c r="H43" s="107">
        <f>SUM(H41:H42)</f>
        <v>0</v>
      </c>
      <c r="I43" s="107">
        <f>SUM(I41:I42)</f>
        <v>0</v>
      </c>
    </row>
    <row r="44" spans="1:10" ht="13.5" customHeight="1" x14ac:dyDescent="0.2">
      <c r="A44"/>
      <c r="B44" s="34"/>
      <c r="C44" s="61"/>
      <c r="D44" s="61"/>
    </row>
    <row r="45" spans="1:10" ht="13.5" customHeight="1" x14ac:dyDescent="0.2">
      <c r="A45" t="s">
        <v>223</v>
      </c>
      <c r="B45" s="36" t="s">
        <v>189</v>
      </c>
      <c r="C45" s="30">
        <v>7701.12</v>
      </c>
      <c r="D45" s="69"/>
    </row>
    <row r="46" spans="1:10" ht="13.5" customHeight="1" x14ac:dyDescent="0.2">
      <c r="A46" t="s">
        <v>223</v>
      </c>
      <c r="B46" s="36" t="s">
        <v>189</v>
      </c>
      <c r="C46" s="30">
        <v>4731.47</v>
      </c>
      <c r="D46" s="69"/>
    </row>
    <row r="47" spans="1:10" ht="13.5" customHeight="1" x14ac:dyDescent="0.2">
      <c r="A47" t="s">
        <v>223</v>
      </c>
      <c r="B47" s="36" t="s">
        <v>174</v>
      </c>
      <c r="C47" s="61">
        <v>-12.5</v>
      </c>
      <c r="D47" s="69"/>
    </row>
    <row r="48" spans="1:10" ht="13.5" customHeight="1" x14ac:dyDescent="0.2">
      <c r="A48" t="s">
        <v>223</v>
      </c>
      <c r="B48" s="36" t="s">
        <v>174</v>
      </c>
      <c r="C48" s="61">
        <v>-100.01</v>
      </c>
      <c r="D48" s="69"/>
    </row>
    <row r="49" spans="1:4" ht="13.5" customHeight="1" x14ac:dyDescent="0.2">
      <c r="A49" t="s">
        <v>223</v>
      </c>
      <c r="B49" s="36" t="s">
        <v>174</v>
      </c>
      <c r="C49" s="61">
        <v>-127.3</v>
      </c>
      <c r="D49" s="69"/>
    </row>
    <row r="50" spans="1:4" ht="13.5" customHeight="1" x14ac:dyDescent="0.2">
      <c r="A50" t="s">
        <v>223</v>
      </c>
      <c r="B50" s="36" t="s">
        <v>174</v>
      </c>
      <c r="C50" s="61">
        <v>-245.8</v>
      </c>
      <c r="D50" s="69"/>
    </row>
    <row r="51" spans="1:4" ht="13.5" customHeight="1" x14ac:dyDescent="0.2">
      <c r="A51" t="s">
        <v>223</v>
      </c>
      <c r="B51" s="36" t="s">
        <v>174</v>
      </c>
      <c r="C51" s="61">
        <v>-354.82</v>
      </c>
      <c r="D51" s="69"/>
    </row>
    <row r="52" spans="1:4" ht="13.5" customHeight="1" x14ac:dyDescent="0.2">
      <c r="A52" t="s">
        <v>223</v>
      </c>
      <c r="B52" s="36" t="s">
        <v>174</v>
      </c>
      <c r="C52" s="61">
        <v>-377.63</v>
      </c>
      <c r="D52" s="69"/>
    </row>
    <row r="53" spans="1:4" ht="13.5" customHeight="1" x14ac:dyDescent="0.2">
      <c r="A53" t="s">
        <v>223</v>
      </c>
      <c r="B53" s="36" t="s">
        <v>174</v>
      </c>
      <c r="C53" s="61">
        <v>-430.49</v>
      </c>
      <c r="D53" s="69"/>
    </row>
    <row r="54" spans="1:4" ht="13.5" customHeight="1" x14ac:dyDescent="0.2">
      <c r="A54" t="s">
        <v>223</v>
      </c>
      <c r="B54" s="36" t="s">
        <v>174</v>
      </c>
      <c r="C54" s="61">
        <v>-754</v>
      </c>
      <c r="D54" s="69"/>
    </row>
    <row r="55" spans="1:4" ht="13.5" customHeight="1" x14ac:dyDescent="0.2">
      <c r="A55" t="s">
        <v>223</v>
      </c>
      <c r="B55" s="36" t="s">
        <v>174</v>
      </c>
      <c r="C55" s="61">
        <v>-2000</v>
      </c>
      <c r="D55" s="69"/>
    </row>
    <row r="56" spans="1:4" ht="13.5" customHeight="1" x14ac:dyDescent="0.2">
      <c r="A56" t="s">
        <v>223</v>
      </c>
      <c r="B56" s="36" t="s">
        <v>174</v>
      </c>
      <c r="C56" s="61">
        <v>-2000</v>
      </c>
      <c r="D56" s="69"/>
    </row>
    <row r="57" spans="1:4" ht="13.5" customHeight="1" x14ac:dyDescent="0.2">
      <c r="A57" t="s">
        <v>223</v>
      </c>
      <c r="B57" s="36" t="s">
        <v>174</v>
      </c>
      <c r="C57" s="61">
        <v>-3515.54</v>
      </c>
      <c r="D57" s="69"/>
    </row>
    <row r="58" spans="1:4" ht="13.5" customHeight="1" x14ac:dyDescent="0.2">
      <c r="A58" t="s">
        <v>223</v>
      </c>
      <c r="B58" s="36" t="s">
        <v>174</v>
      </c>
      <c r="C58" s="61">
        <v>-3910.58</v>
      </c>
      <c r="D58" s="69"/>
    </row>
    <row r="59" spans="1:4" ht="13.5" customHeight="1" x14ac:dyDescent="0.2">
      <c r="A59"/>
      <c r="B59" s="36"/>
      <c r="C59" s="759">
        <f>SUM(C45:C58)</f>
        <v>-1396.0799999999972</v>
      </c>
      <c r="D59" s="69"/>
    </row>
    <row r="60" spans="1:4" ht="13.5" customHeight="1" x14ac:dyDescent="0.2">
      <c r="A60"/>
      <c r="B60" s="36"/>
      <c r="C60" s="61"/>
      <c r="D60" s="69"/>
    </row>
    <row r="61" spans="1:4" ht="13.5" customHeight="1" x14ac:dyDescent="0.2">
      <c r="A61" t="s">
        <v>224</v>
      </c>
      <c r="B61" s="36" t="s">
        <v>68</v>
      </c>
      <c r="C61" s="30">
        <v>129.9</v>
      </c>
      <c r="D61" s="69"/>
    </row>
    <row r="62" spans="1:4" ht="13.5" customHeight="1" x14ac:dyDescent="0.2">
      <c r="A62" t="s">
        <v>224</v>
      </c>
      <c r="B62" s="36" t="s">
        <v>1597</v>
      </c>
      <c r="C62" s="30">
        <v>0.49</v>
      </c>
      <c r="D62" s="69"/>
    </row>
    <row r="63" spans="1:4" ht="13.5" customHeight="1" x14ac:dyDescent="0.2">
      <c r="A63" t="s">
        <v>224</v>
      </c>
      <c r="B63" s="32" t="s">
        <v>199</v>
      </c>
      <c r="C63" s="30">
        <v>261.99</v>
      </c>
      <c r="D63" s="69"/>
    </row>
    <row r="64" spans="1:4" ht="13.5" customHeight="1" x14ac:dyDescent="0.2">
      <c r="A64" t="s">
        <v>224</v>
      </c>
      <c r="B64" s="36" t="s">
        <v>1598</v>
      </c>
      <c r="C64" s="30">
        <v>15.8</v>
      </c>
      <c r="D64" s="69"/>
    </row>
    <row r="65" spans="1:4" ht="13.5" customHeight="1" x14ac:dyDescent="0.2">
      <c r="A65" t="s">
        <v>224</v>
      </c>
      <c r="B65" s="36" t="s">
        <v>3537</v>
      </c>
      <c r="C65" s="30">
        <v>400</v>
      </c>
      <c r="D65" s="69"/>
    </row>
    <row r="66" spans="1:4" ht="13.5" customHeight="1" x14ac:dyDescent="0.2">
      <c r="A66"/>
      <c r="B66" s="36"/>
      <c r="C66" s="758">
        <f>SUM(C61:C65)</f>
        <v>808.18000000000006</v>
      </c>
      <c r="D66" s="69"/>
    </row>
    <row r="67" spans="1:4" ht="13.5" customHeight="1" x14ac:dyDescent="0.2">
      <c r="A67"/>
      <c r="B67" s="36"/>
      <c r="C67" s="30"/>
      <c r="D67" s="69"/>
    </row>
    <row r="68" spans="1:4" ht="13.5" customHeight="1" x14ac:dyDescent="0.2">
      <c r="A68" t="s">
        <v>224</v>
      </c>
      <c r="B68" s="36" t="s">
        <v>3634</v>
      </c>
      <c r="C68" s="30">
        <v>280</v>
      </c>
      <c r="D68" s="760">
        <f>SUM(C68:C69)-D69</f>
        <v>400</v>
      </c>
    </row>
    <row r="69" spans="1:4" ht="13.5" customHeight="1" x14ac:dyDescent="0.2">
      <c r="A69" t="s">
        <v>224</v>
      </c>
      <c r="B69" s="36" t="s">
        <v>3666</v>
      </c>
      <c r="C69" s="30">
        <v>320</v>
      </c>
      <c r="D69" s="760">
        <f t="array" ref="D69">SUM(C68:C69/3)</f>
        <v>200</v>
      </c>
    </row>
    <row r="70" spans="1:4" ht="13.5" customHeight="1" x14ac:dyDescent="0.2">
      <c r="A70"/>
      <c r="B70" s="32"/>
      <c r="C70" s="30"/>
      <c r="D70" s="69"/>
    </row>
    <row r="71" spans="1:4" ht="13.5" customHeight="1" x14ac:dyDescent="0.2">
      <c r="A71"/>
      <c r="B71" s="32"/>
      <c r="C71" s="30"/>
      <c r="D71" s="69"/>
    </row>
    <row r="72" spans="1:4" ht="13.5" customHeight="1" x14ac:dyDescent="0.2">
      <c r="A72" t="s">
        <v>225</v>
      </c>
      <c r="B72" s="32" t="s">
        <v>3745</v>
      </c>
      <c r="C72" s="758">
        <v>754</v>
      </c>
      <c r="D72" s="69"/>
    </row>
    <row r="73" spans="1:4" ht="13.5" customHeight="1" x14ac:dyDescent="0.2">
      <c r="A73"/>
      <c r="B73" s="32"/>
      <c r="C73" s="30"/>
      <c r="D73" s="69"/>
    </row>
    <row r="74" spans="1:4" ht="13.5" customHeight="1" x14ac:dyDescent="0.2">
      <c r="A74"/>
      <c r="B74" s="32"/>
      <c r="C74" s="30"/>
      <c r="D74" s="69"/>
    </row>
    <row r="75" spans="1:4" ht="13.5" customHeight="1" x14ac:dyDescent="0.2">
      <c r="A75" t="s">
        <v>3763</v>
      </c>
      <c r="B75" s="36" t="s">
        <v>196</v>
      </c>
      <c r="C75" s="30">
        <v>1130.93</v>
      </c>
      <c r="D75" s="69"/>
    </row>
    <row r="76" spans="1:4" ht="13.5" customHeight="1" x14ac:dyDescent="0.2">
      <c r="A76" t="s">
        <v>3763</v>
      </c>
      <c r="B76" s="36" t="s">
        <v>197</v>
      </c>
      <c r="C76" s="30">
        <v>1884.88</v>
      </c>
      <c r="D76" s="69"/>
    </row>
    <row r="77" spans="1:4" ht="13.5" customHeight="1" x14ac:dyDescent="0.2">
      <c r="B77" s="36"/>
      <c r="C77" s="758">
        <f>SUM(C75:C76)</f>
        <v>3015.8100000000004</v>
      </c>
      <c r="D77" s="69"/>
    </row>
    <row r="78" spans="1:4" ht="13.5" customHeight="1" x14ac:dyDescent="0.2">
      <c r="B78" s="36"/>
      <c r="C78" s="30"/>
      <c r="D78" s="69"/>
    </row>
    <row r="79" spans="1:4" ht="13.5" customHeight="1" x14ac:dyDescent="0.2">
      <c r="A79" s="1" t="s">
        <v>226</v>
      </c>
      <c r="B79" s="36" t="s">
        <v>5544</v>
      </c>
      <c r="C79" s="30">
        <v>-52.5</v>
      </c>
      <c r="D79" s="69"/>
    </row>
    <row r="80" spans="1:4" ht="13.5" customHeight="1" x14ac:dyDescent="0.2">
      <c r="A80" s="1" t="s">
        <v>226</v>
      </c>
      <c r="B80" s="36" t="s">
        <v>5543</v>
      </c>
      <c r="C80" s="30">
        <v>-20.72</v>
      </c>
      <c r="D80" s="69"/>
    </row>
    <row r="81" spans="1:11" ht="13.5" customHeight="1" x14ac:dyDescent="0.2">
      <c r="A81" s="1" t="s">
        <v>226</v>
      </c>
      <c r="B81" s="36" t="s">
        <v>3091</v>
      </c>
      <c r="C81" s="61">
        <v>-400</v>
      </c>
      <c r="D81" s="69"/>
    </row>
    <row r="82" spans="1:11" ht="13.5" customHeight="1" x14ac:dyDescent="0.2">
      <c r="A82" t="s">
        <v>226</v>
      </c>
      <c r="B82" s="36" t="s">
        <v>127</v>
      </c>
      <c r="C82" s="30">
        <v>47.74</v>
      </c>
      <c r="D82" s="69"/>
    </row>
    <row r="83" spans="1:11" ht="13.5" customHeight="1" x14ac:dyDescent="0.2">
      <c r="A83" t="s">
        <v>226</v>
      </c>
      <c r="B83" s="36" t="s">
        <v>3726</v>
      </c>
      <c r="C83" s="30">
        <v>421.79</v>
      </c>
      <c r="D83" s="69"/>
    </row>
    <row r="84" spans="1:11" ht="13.5" customHeight="1" x14ac:dyDescent="0.2">
      <c r="A84" t="s">
        <v>226</v>
      </c>
      <c r="B84" s="33" t="s">
        <v>736</v>
      </c>
      <c r="C84" s="30">
        <v>44.56</v>
      </c>
      <c r="D84" s="69"/>
    </row>
    <row r="85" spans="1:11" ht="13.5" customHeight="1" x14ac:dyDescent="0.2">
      <c r="A85" t="s">
        <v>226</v>
      </c>
      <c r="B85" s="36" t="s">
        <v>129</v>
      </c>
      <c r="C85" s="30">
        <v>47.74</v>
      </c>
      <c r="D85" s="69"/>
    </row>
    <row r="86" spans="1:11" ht="13.5" customHeight="1" x14ac:dyDescent="0.2">
      <c r="A86" t="s">
        <v>226</v>
      </c>
      <c r="B86" s="36" t="s">
        <v>87</v>
      </c>
      <c r="C86" s="30">
        <v>44.91</v>
      </c>
      <c r="D86" s="69"/>
    </row>
    <row r="87" spans="1:11" ht="13.5" customHeight="1" x14ac:dyDescent="0.2">
      <c r="A87" t="s">
        <v>226</v>
      </c>
      <c r="B87" s="36" t="s">
        <v>3700</v>
      </c>
      <c r="C87" s="30">
        <v>10</v>
      </c>
      <c r="D87" s="30"/>
    </row>
    <row r="88" spans="1:11" ht="13.5" customHeight="1" x14ac:dyDescent="0.2">
      <c r="A88" t="s">
        <v>226</v>
      </c>
      <c r="B88" s="36" t="s">
        <v>3626</v>
      </c>
      <c r="C88" s="30">
        <v>50</v>
      </c>
      <c r="D88" s="30"/>
    </row>
    <row r="89" spans="1:11" ht="13.5" customHeight="1" x14ac:dyDescent="0.2">
      <c r="A89" t="s">
        <v>226</v>
      </c>
      <c r="B89" s="36" t="s">
        <v>3695</v>
      </c>
      <c r="C89" s="30">
        <v>7</v>
      </c>
      <c r="D89" s="30"/>
      <c r="F89" t="s">
        <v>226</v>
      </c>
      <c r="G89" s="36" t="s">
        <v>3727</v>
      </c>
      <c r="H89" s="30">
        <v>370.65</v>
      </c>
      <c r="K89" s="64"/>
    </row>
    <row r="90" spans="1:11" ht="13.5" customHeight="1" x14ac:dyDescent="0.2">
      <c r="A90" t="s">
        <v>226</v>
      </c>
      <c r="B90" s="36" t="s">
        <v>3630</v>
      </c>
      <c r="C90" s="30">
        <v>15.3</v>
      </c>
      <c r="D90" s="30"/>
      <c r="F90" t="s">
        <v>226</v>
      </c>
      <c r="G90" s="32" t="s">
        <v>3688</v>
      </c>
      <c r="H90" s="30">
        <v>3.45</v>
      </c>
    </row>
    <row r="91" spans="1:11" ht="13.5" customHeight="1" x14ac:dyDescent="0.2">
      <c r="A91" t="s">
        <v>226</v>
      </c>
      <c r="B91" s="36" t="s">
        <v>422</v>
      </c>
      <c r="C91" s="30">
        <f t="array" ref="C91">SUM(H89:H91/2)</f>
        <v>199.54999999999998</v>
      </c>
      <c r="D91" s="30"/>
      <c r="F91" t="s">
        <v>226</v>
      </c>
      <c r="G91" s="32" t="s">
        <v>813</v>
      </c>
      <c r="H91" s="30">
        <v>25</v>
      </c>
    </row>
    <row r="92" spans="1:11" ht="13.5" customHeight="1" x14ac:dyDescent="0.2">
      <c r="A92"/>
      <c r="B92" s="36"/>
      <c r="C92" s="758">
        <f>SUM(C79:C91)</f>
        <v>415.37</v>
      </c>
      <c r="D92" s="30"/>
    </row>
    <row r="93" spans="1:11" ht="13.5" customHeight="1" x14ac:dyDescent="0.2">
      <c r="A93"/>
      <c r="B93" s="36"/>
      <c r="C93" s="30"/>
      <c r="D93" s="30"/>
    </row>
    <row r="94" spans="1:11" ht="13.5" customHeight="1" x14ac:dyDescent="0.2">
      <c r="A94" t="s">
        <v>226</v>
      </c>
      <c r="B94" s="36" t="s">
        <v>3682</v>
      </c>
      <c r="C94" s="30">
        <v>12</v>
      </c>
      <c r="D94" s="30"/>
    </row>
    <row r="95" spans="1:11" ht="13.5" customHeight="1" x14ac:dyDescent="0.2">
      <c r="A95" t="s">
        <v>226</v>
      </c>
      <c r="B95" s="36" t="s">
        <v>3620</v>
      </c>
      <c r="C95" s="30">
        <v>10</v>
      </c>
      <c r="D95" s="30"/>
    </row>
    <row r="96" spans="1:11" ht="13.5" customHeight="1" x14ac:dyDescent="0.2">
      <c r="A96" t="s">
        <v>226</v>
      </c>
      <c r="B96" s="36" t="s">
        <v>180</v>
      </c>
      <c r="C96" s="30">
        <v>217.13</v>
      </c>
      <c r="D96" s="69"/>
    </row>
    <row r="97" spans="1:4" ht="13.5" customHeight="1" x14ac:dyDescent="0.2">
      <c r="A97" t="s">
        <v>226</v>
      </c>
      <c r="B97" s="36" t="s">
        <v>3690</v>
      </c>
      <c r="C97" s="30">
        <v>7</v>
      </c>
      <c r="D97" s="30"/>
    </row>
    <row r="98" spans="1:4" ht="13.5" customHeight="1" x14ac:dyDescent="0.2">
      <c r="A98" t="s">
        <v>226</v>
      </c>
      <c r="B98" s="36" t="s">
        <v>625</v>
      </c>
      <c r="C98" s="30">
        <f>C91</f>
        <v>199.54999999999998</v>
      </c>
      <c r="D98" s="30"/>
    </row>
    <row r="99" spans="1:4" ht="13.5" customHeight="1" x14ac:dyDescent="0.2">
      <c r="A99"/>
      <c r="B99" s="36"/>
      <c r="C99" s="758">
        <f>SUM(C94:C98)</f>
        <v>445.67999999999995</v>
      </c>
      <c r="D99" s="30"/>
    </row>
    <row r="100" spans="1:4" ht="13.5" customHeight="1" x14ac:dyDescent="0.2">
      <c r="A100"/>
      <c r="B100" s="36"/>
      <c r="C100" s="30"/>
      <c r="D100" s="30"/>
    </row>
    <row r="101" spans="1:4" ht="13.5" customHeight="1" x14ac:dyDescent="0.2">
      <c r="A101" t="s">
        <v>243</v>
      </c>
      <c r="B101" s="36" t="s">
        <v>5545</v>
      </c>
      <c r="C101" s="30">
        <f>D69</f>
        <v>200</v>
      </c>
      <c r="D101" s="30"/>
    </row>
    <row r="102" spans="1:4" ht="13.5" customHeight="1" x14ac:dyDescent="0.2">
      <c r="A102" t="s">
        <v>243</v>
      </c>
      <c r="B102" s="36" t="s">
        <v>2332</v>
      </c>
      <c r="C102" s="30">
        <v>900</v>
      </c>
      <c r="D102" s="30"/>
    </row>
    <row r="103" spans="1:4" ht="13.5" customHeight="1" x14ac:dyDescent="0.2">
      <c r="A103" t="s">
        <v>243</v>
      </c>
      <c r="B103" s="36" t="s">
        <v>3680</v>
      </c>
      <c r="C103" s="30">
        <v>50.06</v>
      </c>
      <c r="D103" s="30"/>
    </row>
    <row r="104" spans="1:4" ht="13.5" customHeight="1" x14ac:dyDescent="0.2">
      <c r="A104" t="s">
        <v>243</v>
      </c>
      <c r="B104" s="36" t="s">
        <v>3617</v>
      </c>
      <c r="C104" s="30">
        <v>27.55</v>
      </c>
      <c r="D104" s="30"/>
    </row>
    <row r="105" spans="1:4" ht="13.5" customHeight="1" x14ac:dyDescent="0.2">
      <c r="A105" t="s">
        <v>243</v>
      </c>
      <c r="B105" s="36" t="s">
        <v>3771</v>
      </c>
      <c r="C105" s="30">
        <v>88.33</v>
      </c>
      <c r="D105" s="30"/>
    </row>
    <row r="106" spans="1:4" ht="13.5" customHeight="1" x14ac:dyDescent="0.2">
      <c r="A106" t="s">
        <v>243</v>
      </c>
      <c r="B106" s="32" t="s">
        <v>3699</v>
      </c>
      <c r="C106" s="30">
        <v>525</v>
      </c>
      <c r="D106" s="30"/>
    </row>
    <row r="107" spans="1:4" ht="13.5" customHeight="1" x14ac:dyDescent="0.2">
      <c r="A107" t="s">
        <v>243</v>
      </c>
      <c r="B107" s="36" t="s">
        <v>134</v>
      </c>
      <c r="C107" s="30">
        <v>109.9</v>
      </c>
      <c r="D107" s="69"/>
    </row>
    <row r="108" spans="1:4" ht="13.5" customHeight="1" x14ac:dyDescent="0.2">
      <c r="A108" t="s">
        <v>243</v>
      </c>
      <c r="B108" s="33" t="s">
        <v>81</v>
      </c>
      <c r="C108" s="30">
        <v>52.35</v>
      </c>
      <c r="D108" s="69"/>
    </row>
    <row r="109" spans="1:4" ht="13.5" customHeight="1" x14ac:dyDescent="0.2">
      <c r="A109" t="s">
        <v>243</v>
      </c>
      <c r="B109" s="36" t="s">
        <v>673</v>
      </c>
      <c r="C109" s="30">
        <v>99.98</v>
      </c>
      <c r="D109" s="69"/>
    </row>
    <row r="110" spans="1:4" ht="13.5" customHeight="1" x14ac:dyDescent="0.2">
      <c r="A110" t="s">
        <v>243</v>
      </c>
      <c r="B110" s="36" t="s">
        <v>3676</v>
      </c>
      <c r="C110" s="30">
        <v>40</v>
      </c>
      <c r="D110" s="30"/>
    </row>
    <row r="111" spans="1:4" ht="13.5" customHeight="1" x14ac:dyDescent="0.2">
      <c r="A111" t="s">
        <v>243</v>
      </c>
      <c r="B111" s="36" t="s">
        <v>3637</v>
      </c>
      <c r="C111" s="30">
        <v>19.899999999999999</v>
      </c>
      <c r="D111" s="30"/>
    </row>
    <row r="112" spans="1:4" ht="13.5" customHeight="1" x14ac:dyDescent="0.2">
      <c r="A112" t="s">
        <v>243</v>
      </c>
      <c r="B112" s="36" t="s">
        <v>3640</v>
      </c>
      <c r="C112" s="30">
        <v>2490</v>
      </c>
      <c r="D112" s="30"/>
    </row>
    <row r="113" spans="1:11" ht="13.5" customHeight="1" x14ac:dyDescent="0.2">
      <c r="A113" t="s">
        <v>243</v>
      </c>
      <c r="B113" s="34" t="s">
        <v>3667</v>
      </c>
      <c r="C113" s="30">
        <v>31.35</v>
      </c>
      <c r="D113" s="30"/>
    </row>
    <row r="114" spans="1:11" ht="13.5" customHeight="1" x14ac:dyDescent="0.2">
      <c r="A114"/>
      <c r="B114" s="34"/>
      <c r="C114" s="758">
        <f>SUM(C101:C113)</f>
        <v>4634.42</v>
      </c>
      <c r="D114" s="758">
        <f>SUM(C114/2)</f>
        <v>2317.21</v>
      </c>
    </row>
    <row r="115" spans="1:11" ht="13.5" customHeight="1" x14ac:dyDescent="0.2">
      <c r="A115"/>
      <c r="B115" s="34"/>
      <c r="C115" s="30"/>
      <c r="D115" s="30"/>
    </row>
    <row r="116" spans="1:11" ht="13.5" customHeight="1" x14ac:dyDescent="0.2">
      <c r="A116" t="s">
        <v>418</v>
      </c>
      <c r="B116" s="34" t="s">
        <v>177</v>
      </c>
      <c r="C116" s="758">
        <v>137.69</v>
      </c>
      <c r="D116" s="69"/>
    </row>
    <row r="117" spans="1:11" ht="13.5" customHeight="1" x14ac:dyDescent="0.2">
      <c r="A117"/>
      <c r="B117" s="34"/>
      <c r="C117" s="30"/>
      <c r="D117" s="69"/>
    </row>
    <row r="118" spans="1:11" ht="13.5" customHeight="1" x14ac:dyDescent="0.2">
      <c r="A118"/>
      <c r="B118" s="34"/>
      <c r="C118" s="30"/>
      <c r="D118" s="69"/>
    </row>
    <row r="119" spans="1:11" ht="13.5" customHeight="1" x14ac:dyDescent="0.2">
      <c r="A119" t="s">
        <v>231</v>
      </c>
      <c r="B119" s="34" t="s">
        <v>3376</v>
      </c>
      <c r="C119" s="758">
        <v>631.9</v>
      </c>
      <c r="D119" s="69"/>
    </row>
    <row r="120" spans="1:11" ht="13.5" customHeight="1" x14ac:dyDescent="0.2">
      <c r="A120"/>
      <c r="B120" s="34"/>
      <c r="C120" s="30"/>
      <c r="D120" s="69"/>
    </row>
    <row r="121" spans="1:11" ht="13.5" customHeight="1" x14ac:dyDescent="0.2">
      <c r="A121" t="s">
        <v>417</v>
      </c>
      <c r="B121" s="34" t="s">
        <v>422</v>
      </c>
      <c r="C121" s="758">
        <f>H125/2</f>
        <v>188.815</v>
      </c>
      <c r="D121" s="69"/>
    </row>
    <row r="122" spans="1:11" ht="13.5" customHeight="1" x14ac:dyDescent="0.2">
      <c r="A122"/>
      <c r="B122" s="34"/>
      <c r="C122" s="30"/>
      <c r="D122" s="69"/>
    </row>
    <row r="123" spans="1:11" ht="13.5" customHeight="1" x14ac:dyDescent="0.2">
      <c r="A123"/>
      <c r="B123" s="34"/>
      <c r="C123" s="30"/>
      <c r="D123" s="69"/>
    </row>
    <row r="124" spans="1:11" ht="13.5" customHeight="1" x14ac:dyDescent="0.2">
      <c r="A124"/>
      <c r="B124" s="34" t="s">
        <v>3621</v>
      </c>
      <c r="C124" s="30">
        <v>2</v>
      </c>
      <c r="D124" s="30"/>
    </row>
    <row r="125" spans="1:11" ht="13.5" customHeight="1" x14ac:dyDescent="0.2">
      <c r="A125" t="s">
        <v>417</v>
      </c>
      <c r="B125" s="34" t="s">
        <v>3273</v>
      </c>
      <c r="C125" s="30">
        <v>1.2</v>
      </c>
      <c r="D125" s="30"/>
      <c r="F125" t="s">
        <v>417</v>
      </c>
      <c r="G125" s="34" t="s">
        <v>3731</v>
      </c>
      <c r="H125" s="30">
        <v>377.63</v>
      </c>
    </row>
    <row r="126" spans="1:11" ht="13.5" customHeight="1" x14ac:dyDescent="0.2">
      <c r="A126" t="s">
        <v>417</v>
      </c>
      <c r="B126" s="34" t="s">
        <v>3656</v>
      </c>
      <c r="C126" s="30">
        <v>70</v>
      </c>
      <c r="D126" s="30"/>
    </row>
    <row r="127" spans="1:11" s="64" customFormat="1" ht="13.5" customHeight="1" x14ac:dyDescent="0.2">
      <c r="A127" t="s">
        <v>417</v>
      </c>
      <c r="B127" s="36" t="s">
        <v>3639</v>
      </c>
      <c r="C127" s="30">
        <v>525</v>
      </c>
      <c r="D127" s="30"/>
      <c r="E127" s="1"/>
      <c r="F127" s="1"/>
      <c r="G127" s="1"/>
      <c r="H127" s="1"/>
      <c r="I127" s="1"/>
      <c r="J127" s="1"/>
      <c r="K127" s="1"/>
    </row>
    <row r="128" spans="1:11" ht="13.5" customHeight="1" x14ac:dyDescent="0.2">
      <c r="A128" t="s">
        <v>417</v>
      </c>
      <c r="B128" s="36" t="s">
        <v>3658</v>
      </c>
      <c r="C128" s="30">
        <v>525</v>
      </c>
      <c r="D128" s="30"/>
    </row>
    <row r="129" spans="1:8" ht="13.5" customHeight="1" x14ac:dyDescent="0.2">
      <c r="A129" t="s">
        <v>417</v>
      </c>
      <c r="B129" s="34" t="s">
        <v>3616</v>
      </c>
      <c r="C129" s="30">
        <v>420</v>
      </c>
      <c r="D129" s="30"/>
    </row>
    <row r="130" spans="1:8" ht="13.5" customHeight="1" x14ac:dyDescent="0.2">
      <c r="A130" t="s">
        <v>417</v>
      </c>
      <c r="B130" s="36" t="s">
        <v>3672</v>
      </c>
      <c r="C130" s="30">
        <v>525</v>
      </c>
      <c r="D130" s="30"/>
    </row>
    <row r="131" spans="1:8" ht="13.5" customHeight="1" x14ac:dyDescent="0.2">
      <c r="A131" t="s">
        <v>417</v>
      </c>
      <c r="B131" s="34" t="s">
        <v>3684</v>
      </c>
      <c r="C131" s="30">
        <v>525</v>
      </c>
      <c r="D131" s="30"/>
    </row>
    <row r="132" spans="1:8" ht="13.5" customHeight="1" x14ac:dyDescent="0.2">
      <c r="A132" t="s">
        <v>417</v>
      </c>
      <c r="B132" s="34" t="s">
        <v>3683</v>
      </c>
      <c r="C132" s="30">
        <v>300</v>
      </c>
      <c r="D132" s="30"/>
    </row>
    <row r="133" spans="1:8" ht="13.5" customHeight="1" x14ac:dyDescent="0.2">
      <c r="A133" t="s">
        <v>417</v>
      </c>
      <c r="B133" s="34" t="s">
        <v>3638</v>
      </c>
      <c r="C133" s="30">
        <v>240</v>
      </c>
      <c r="D133" s="30"/>
    </row>
    <row r="134" spans="1:8" ht="13.5" customHeight="1" x14ac:dyDescent="0.2">
      <c r="A134" t="s">
        <v>417</v>
      </c>
      <c r="B134" s="34" t="s">
        <v>3657</v>
      </c>
      <c r="C134" s="30">
        <v>300</v>
      </c>
      <c r="D134" s="30"/>
    </row>
    <row r="135" spans="1:8" ht="13.5" customHeight="1" x14ac:dyDescent="0.2">
      <c r="A135" t="s">
        <v>417</v>
      </c>
      <c r="B135" s="36" t="s">
        <v>3671</v>
      </c>
      <c r="C135" s="30">
        <v>270</v>
      </c>
      <c r="D135" s="30"/>
    </row>
    <row r="136" spans="1:8" ht="13.5" customHeight="1" x14ac:dyDescent="0.2">
      <c r="A136" t="s">
        <v>417</v>
      </c>
      <c r="B136" s="34" t="s">
        <v>625</v>
      </c>
      <c r="C136" s="30">
        <f>C121</f>
        <v>188.815</v>
      </c>
      <c r="D136" s="30"/>
    </row>
    <row r="137" spans="1:8" ht="13.5" customHeight="1" x14ac:dyDescent="0.2">
      <c r="A137"/>
      <c r="B137" s="34"/>
      <c r="C137" s="758">
        <f>SUM(C124:C136)</f>
        <v>3892.0149999999999</v>
      </c>
      <c r="D137" s="30"/>
    </row>
    <row r="138" spans="1:8" ht="13.5" customHeight="1" x14ac:dyDescent="0.2">
      <c r="A138"/>
      <c r="B138" s="34"/>
      <c r="C138" s="30"/>
      <c r="D138" s="30"/>
    </row>
    <row r="139" spans="1:8" ht="13.5" customHeight="1" x14ac:dyDescent="0.2">
      <c r="A139" t="s">
        <v>234</v>
      </c>
      <c r="B139" s="722" t="s">
        <v>3743</v>
      </c>
      <c r="C139" s="30">
        <v>245.8</v>
      </c>
      <c r="D139" s="69"/>
    </row>
    <row r="140" spans="1:8" ht="13.5" customHeight="1" x14ac:dyDescent="0.2">
      <c r="A140" t="s">
        <v>234</v>
      </c>
      <c r="B140" s="722" t="s">
        <v>422</v>
      </c>
      <c r="C140" s="30">
        <f t="array" ref="C140">SUM(H143:H144/2)</f>
        <v>96.105000000000004</v>
      </c>
      <c r="D140" s="69"/>
    </row>
    <row r="141" spans="1:8" ht="13.5" customHeight="1" x14ac:dyDescent="0.2">
      <c r="A141"/>
      <c r="B141" s="722"/>
      <c r="C141" s="758">
        <f>SUM(C139:C140)</f>
        <v>341.90500000000003</v>
      </c>
      <c r="D141" s="69"/>
    </row>
    <row r="142" spans="1:8" ht="13.5" customHeight="1" x14ac:dyDescent="0.2">
      <c r="A142"/>
      <c r="B142" s="722"/>
      <c r="C142" s="30"/>
      <c r="D142" s="69"/>
    </row>
    <row r="143" spans="1:8" ht="13.5" customHeight="1" x14ac:dyDescent="0.2">
      <c r="A143" t="s">
        <v>234</v>
      </c>
      <c r="B143" s="34" t="s">
        <v>3691</v>
      </c>
      <c r="C143" s="30">
        <v>65</v>
      </c>
      <c r="D143" s="30"/>
      <c r="F143" t="s">
        <v>234</v>
      </c>
      <c r="G143" s="34" t="s">
        <v>3678</v>
      </c>
      <c r="H143" s="30">
        <v>40</v>
      </c>
    </row>
    <row r="144" spans="1:8" ht="13.5" customHeight="1" x14ac:dyDescent="0.2">
      <c r="A144" t="s">
        <v>234</v>
      </c>
      <c r="B144" s="34" t="s">
        <v>3692</v>
      </c>
      <c r="C144" s="30">
        <v>25</v>
      </c>
      <c r="D144" s="30"/>
      <c r="F144" t="s">
        <v>234</v>
      </c>
      <c r="G144" s="569" t="s">
        <v>3729</v>
      </c>
      <c r="H144" s="30">
        <v>152.21</v>
      </c>
    </row>
    <row r="145" spans="1:4" ht="13.5" customHeight="1" x14ac:dyDescent="0.2">
      <c r="A145" t="s">
        <v>234</v>
      </c>
      <c r="B145" s="34" t="s">
        <v>3685</v>
      </c>
      <c r="C145" s="30">
        <v>258</v>
      </c>
      <c r="D145" s="30"/>
    </row>
    <row r="146" spans="1:4" ht="13.5" customHeight="1" x14ac:dyDescent="0.2">
      <c r="A146" t="s">
        <v>234</v>
      </c>
      <c r="B146" s="34" t="s">
        <v>2772</v>
      </c>
      <c r="C146" s="30">
        <v>8.98</v>
      </c>
      <c r="D146" s="30"/>
    </row>
    <row r="147" spans="1:4" ht="13.5" customHeight="1" x14ac:dyDescent="0.2">
      <c r="A147" t="s">
        <v>234</v>
      </c>
      <c r="B147" s="34" t="s">
        <v>3668</v>
      </c>
      <c r="C147" s="30">
        <v>8.6</v>
      </c>
      <c r="D147" s="30"/>
    </row>
    <row r="148" spans="1:4" ht="13.5" customHeight="1" x14ac:dyDescent="0.2">
      <c r="A148" t="s">
        <v>234</v>
      </c>
      <c r="B148" s="569" t="s">
        <v>3757</v>
      </c>
      <c r="C148" s="30">
        <v>127.3</v>
      </c>
      <c r="D148" s="69"/>
    </row>
    <row r="149" spans="1:4" ht="13.5" customHeight="1" x14ac:dyDescent="0.2">
      <c r="A149" t="s">
        <v>234</v>
      </c>
      <c r="B149" s="36" t="s">
        <v>3631</v>
      </c>
      <c r="C149" s="30">
        <v>65.38</v>
      </c>
      <c r="D149" s="30"/>
    </row>
    <row r="150" spans="1:4" ht="13.5" customHeight="1" x14ac:dyDescent="0.2">
      <c r="A150" t="s">
        <v>234</v>
      </c>
      <c r="B150" s="36" t="s">
        <v>3669</v>
      </c>
      <c r="C150" s="30">
        <v>21.84</v>
      </c>
      <c r="D150" s="30"/>
    </row>
    <row r="151" spans="1:4" ht="13.5" customHeight="1" x14ac:dyDescent="0.2">
      <c r="A151" t="s">
        <v>234</v>
      </c>
      <c r="B151" s="36" t="s">
        <v>3618</v>
      </c>
      <c r="C151" s="30">
        <v>13</v>
      </c>
      <c r="D151" s="30"/>
    </row>
    <row r="152" spans="1:4" ht="13.5" customHeight="1" x14ac:dyDescent="0.2">
      <c r="A152" t="s">
        <v>234</v>
      </c>
      <c r="B152" s="34" t="s">
        <v>3632</v>
      </c>
      <c r="C152" s="30">
        <v>8.6</v>
      </c>
      <c r="D152" s="30"/>
    </row>
    <row r="153" spans="1:4" ht="13.5" customHeight="1" x14ac:dyDescent="0.2">
      <c r="A153" t="s">
        <v>234</v>
      </c>
      <c r="B153" s="34" t="s">
        <v>3677</v>
      </c>
      <c r="C153" s="30">
        <v>7</v>
      </c>
      <c r="D153" s="30"/>
    </row>
    <row r="154" spans="1:4" ht="13.5" customHeight="1" x14ac:dyDescent="0.2">
      <c r="A154" t="s">
        <v>234</v>
      </c>
      <c r="B154" s="36" t="s">
        <v>3696</v>
      </c>
      <c r="C154" s="30">
        <v>29.94</v>
      </c>
      <c r="D154" s="30"/>
    </row>
    <row r="155" spans="1:4" ht="13.5" customHeight="1" x14ac:dyDescent="0.2">
      <c r="A155" t="s">
        <v>234</v>
      </c>
      <c r="B155" s="34" t="s">
        <v>3750</v>
      </c>
      <c r="C155" s="30">
        <v>3760.06</v>
      </c>
      <c r="D155" s="69"/>
    </row>
    <row r="156" spans="1:4" ht="13.5" customHeight="1" x14ac:dyDescent="0.2">
      <c r="A156" t="s">
        <v>234</v>
      </c>
      <c r="B156" s="569" t="s">
        <v>3734</v>
      </c>
      <c r="C156" s="30">
        <v>64</v>
      </c>
      <c r="D156" s="69"/>
    </row>
    <row r="157" spans="1:4" ht="13.5" customHeight="1" x14ac:dyDescent="0.2">
      <c r="A157" t="s">
        <v>234</v>
      </c>
      <c r="B157" s="36" t="s">
        <v>3689</v>
      </c>
      <c r="C157" s="30">
        <v>8.85</v>
      </c>
      <c r="D157" s="30"/>
    </row>
    <row r="158" spans="1:4" ht="13.5" customHeight="1" x14ac:dyDescent="0.2">
      <c r="A158" t="s">
        <v>234</v>
      </c>
      <c r="B158" s="34" t="s">
        <v>3689</v>
      </c>
      <c r="C158" s="30">
        <v>13.8</v>
      </c>
      <c r="D158" s="30"/>
    </row>
    <row r="159" spans="1:4" ht="13.5" customHeight="1" x14ac:dyDescent="0.2">
      <c r="A159" t="s">
        <v>234</v>
      </c>
      <c r="B159" s="34" t="s">
        <v>3687</v>
      </c>
      <c r="C159" s="30">
        <v>10.6</v>
      </c>
      <c r="D159" s="30"/>
    </row>
    <row r="160" spans="1:4" ht="13.5" customHeight="1" x14ac:dyDescent="0.2">
      <c r="A160" t="s">
        <v>234</v>
      </c>
      <c r="B160" s="34" t="s">
        <v>3687</v>
      </c>
      <c r="C160" s="30">
        <v>14.7</v>
      </c>
      <c r="D160" s="30"/>
    </row>
    <row r="161" spans="1:4" ht="13.5" customHeight="1" x14ac:dyDescent="0.2">
      <c r="A161" t="s">
        <v>234</v>
      </c>
      <c r="B161" s="36" t="s">
        <v>3650</v>
      </c>
      <c r="C161" s="30">
        <v>366.45</v>
      </c>
      <c r="D161" s="30"/>
    </row>
    <row r="162" spans="1:4" ht="13.5" customHeight="1" x14ac:dyDescent="0.2">
      <c r="A162" t="s">
        <v>234</v>
      </c>
      <c r="B162" s="34" t="s">
        <v>625</v>
      </c>
      <c r="C162" s="30">
        <f>C140</f>
        <v>96.105000000000004</v>
      </c>
      <c r="D162" s="30"/>
    </row>
    <row r="163" spans="1:4" ht="13.5" customHeight="1" x14ac:dyDescent="0.2">
      <c r="A163"/>
      <c r="B163" s="34"/>
      <c r="C163" s="758">
        <f>SUM(C143:C162)</f>
        <v>4973.2049999999999</v>
      </c>
      <c r="D163" s="30"/>
    </row>
    <row r="164" spans="1:4" ht="13.5" customHeight="1" x14ac:dyDescent="0.2">
      <c r="A164"/>
      <c r="B164" s="34"/>
      <c r="C164" s="30"/>
      <c r="D164" s="30"/>
    </row>
    <row r="165" spans="1:4" ht="13.5" customHeight="1" x14ac:dyDescent="0.2">
      <c r="A165" t="s">
        <v>235</v>
      </c>
      <c r="B165" s="138" t="s">
        <v>195</v>
      </c>
      <c r="C165" s="30">
        <v>390.19</v>
      </c>
      <c r="D165" s="69"/>
    </row>
    <row r="166" spans="1:4" ht="13.5" customHeight="1" x14ac:dyDescent="0.2">
      <c r="A166" t="s">
        <v>235</v>
      </c>
      <c r="B166" s="32" t="s">
        <v>194</v>
      </c>
      <c r="C166" s="30">
        <v>84.54</v>
      </c>
      <c r="D166" s="69"/>
    </row>
    <row r="167" spans="1:4" ht="13.5" customHeight="1" x14ac:dyDescent="0.2">
      <c r="A167"/>
      <c r="B167" s="138"/>
      <c r="C167" s="758">
        <f>SUM(C165:C166)</f>
        <v>474.73</v>
      </c>
      <c r="D167" s="69"/>
    </row>
    <row r="168" spans="1:4" ht="13.5" customHeight="1" x14ac:dyDescent="0.2">
      <c r="A168"/>
      <c r="B168" s="138"/>
      <c r="C168" s="30"/>
      <c r="D168" s="69"/>
    </row>
    <row r="169" spans="1:4" ht="13.5" customHeight="1" x14ac:dyDescent="0.2">
      <c r="A169" t="s">
        <v>3764</v>
      </c>
      <c r="B169" s="34" t="s">
        <v>3693</v>
      </c>
      <c r="C169" s="758">
        <v>26</v>
      </c>
      <c r="D169" s="30"/>
    </row>
    <row r="170" spans="1:4" ht="13.5" customHeight="1" x14ac:dyDescent="0.2">
      <c r="A170"/>
      <c r="B170" s="34"/>
      <c r="C170" s="30"/>
      <c r="D170" s="30"/>
    </row>
    <row r="171" spans="1:4" ht="13.5" customHeight="1" x14ac:dyDescent="0.2">
      <c r="A171"/>
      <c r="B171" s="34"/>
      <c r="C171" s="30"/>
      <c r="D171" s="30"/>
    </row>
    <row r="172" spans="1:4" ht="13.5" customHeight="1" x14ac:dyDescent="0.2">
      <c r="A172" t="s">
        <v>236</v>
      </c>
      <c r="B172" s="36" t="s">
        <v>132</v>
      </c>
      <c r="C172" s="30">
        <v>2405.9699999999998</v>
      </c>
      <c r="D172" s="69"/>
    </row>
    <row r="173" spans="1:4" ht="13.5" customHeight="1" x14ac:dyDescent="0.2">
      <c r="A173" t="s">
        <v>236</v>
      </c>
      <c r="B173" s="36" t="s">
        <v>130</v>
      </c>
      <c r="C173" s="30">
        <v>186.78</v>
      </c>
      <c r="D173" s="69"/>
    </row>
    <row r="174" spans="1:4" ht="13.5" customHeight="1" x14ac:dyDescent="0.2">
      <c r="A174" t="s">
        <v>236</v>
      </c>
      <c r="B174" s="36" t="s">
        <v>55</v>
      </c>
      <c r="C174" s="30">
        <v>400</v>
      </c>
      <c r="D174" s="69"/>
    </row>
    <row r="175" spans="1:4" ht="13.5" customHeight="1" x14ac:dyDescent="0.2">
      <c r="A175" t="s">
        <v>236</v>
      </c>
      <c r="B175" s="36" t="s">
        <v>3718</v>
      </c>
      <c r="C175" s="30">
        <v>1373.34</v>
      </c>
      <c r="D175" s="69"/>
    </row>
    <row r="176" spans="1:4" ht="13.5" customHeight="1" x14ac:dyDescent="0.2">
      <c r="A176" t="s">
        <v>236</v>
      </c>
      <c r="B176" s="36" t="s">
        <v>3715</v>
      </c>
      <c r="C176" s="30">
        <v>321</v>
      </c>
      <c r="D176" s="69"/>
    </row>
    <row r="177" spans="1:10" ht="13.5" customHeight="1" x14ac:dyDescent="0.2">
      <c r="A177" t="s">
        <v>236</v>
      </c>
      <c r="B177" s="36" t="s">
        <v>3710</v>
      </c>
      <c r="C177" s="30">
        <v>945.4</v>
      </c>
      <c r="D177" s="69"/>
    </row>
    <row r="178" spans="1:10" ht="13.5" customHeight="1" x14ac:dyDescent="0.2">
      <c r="A178" t="s">
        <v>236</v>
      </c>
      <c r="B178" s="36" t="s">
        <v>3705</v>
      </c>
      <c r="C178" s="30">
        <v>420</v>
      </c>
      <c r="D178" s="69"/>
    </row>
    <row r="179" spans="1:10" ht="13.5" customHeight="1" x14ac:dyDescent="0.2">
      <c r="A179" t="s">
        <v>236</v>
      </c>
      <c r="B179" s="36" t="s">
        <v>136</v>
      </c>
      <c r="C179" s="30">
        <v>45.9</v>
      </c>
      <c r="D179" s="69"/>
    </row>
    <row r="180" spans="1:10" ht="13.5" customHeight="1" x14ac:dyDescent="0.2">
      <c r="A180" t="s">
        <v>236</v>
      </c>
      <c r="B180" s="36" t="s">
        <v>3670</v>
      </c>
      <c r="C180" s="30">
        <v>300</v>
      </c>
      <c r="D180" s="30"/>
    </row>
    <row r="181" spans="1:10" ht="13.5" customHeight="1" x14ac:dyDescent="0.2">
      <c r="A181" t="s">
        <v>236</v>
      </c>
      <c r="B181" s="36" t="s">
        <v>3642</v>
      </c>
      <c r="C181" s="30">
        <v>500</v>
      </c>
      <c r="D181" s="30"/>
    </row>
    <row r="182" spans="1:10" ht="13.5" customHeight="1" x14ac:dyDescent="0.2">
      <c r="A182" t="s">
        <v>236</v>
      </c>
      <c r="B182" s="36" t="s">
        <v>3642</v>
      </c>
      <c r="C182" s="30">
        <v>500</v>
      </c>
      <c r="D182" s="30"/>
    </row>
    <row r="183" spans="1:10" ht="13.5" customHeight="1" x14ac:dyDescent="0.2">
      <c r="A183" t="s">
        <v>236</v>
      </c>
      <c r="B183" s="34" t="s">
        <v>3659</v>
      </c>
      <c r="C183" s="30">
        <v>1500</v>
      </c>
      <c r="D183" s="30"/>
    </row>
    <row r="184" spans="1:10" ht="13.5" customHeight="1" x14ac:dyDescent="0.2">
      <c r="A184" t="s">
        <v>236</v>
      </c>
      <c r="B184" s="34" t="s">
        <v>3702</v>
      </c>
      <c r="C184" s="30">
        <v>884.72</v>
      </c>
      <c r="D184" s="69"/>
    </row>
    <row r="185" spans="1:10" ht="13.5" customHeight="1" x14ac:dyDescent="0.2">
      <c r="A185" t="s">
        <v>236</v>
      </c>
      <c r="B185" s="36" t="s">
        <v>3707</v>
      </c>
      <c r="C185" s="30">
        <v>904.57</v>
      </c>
      <c r="D185" s="69"/>
    </row>
    <row r="186" spans="1:10" ht="13.5" customHeight="1" x14ac:dyDescent="0.2">
      <c r="A186" t="s">
        <v>236</v>
      </c>
      <c r="B186" s="34" t="s">
        <v>18</v>
      </c>
      <c r="C186" s="30">
        <v>425.07</v>
      </c>
      <c r="D186" s="69"/>
    </row>
    <row r="187" spans="1:10" ht="13.5" customHeight="1" x14ac:dyDescent="0.2">
      <c r="A187"/>
      <c r="B187" s="34"/>
      <c r="C187" s="758">
        <f>SUM(C172:C186)</f>
        <v>11112.749999999998</v>
      </c>
      <c r="D187" s="69"/>
      <c r="H187" s="64"/>
    </row>
    <row r="188" spans="1:10" ht="13.5" customHeight="1" x14ac:dyDescent="0.2">
      <c r="A188"/>
      <c r="B188" s="34"/>
      <c r="C188" s="30"/>
      <c r="D188" s="69"/>
    </row>
    <row r="189" spans="1:10" ht="13.5" customHeight="1" x14ac:dyDescent="0.2">
      <c r="A189" t="s">
        <v>236</v>
      </c>
      <c r="B189" s="36" t="s">
        <v>3628</v>
      </c>
      <c r="C189" s="30">
        <v>6000</v>
      </c>
      <c r="D189" s="30"/>
    </row>
    <row r="190" spans="1:10" ht="13.5" customHeight="1" x14ac:dyDescent="0.2">
      <c r="A190" t="s">
        <v>236</v>
      </c>
      <c r="B190" s="36" t="s">
        <v>3697</v>
      </c>
      <c r="C190" s="30">
        <v>480</v>
      </c>
      <c r="D190" s="30"/>
      <c r="I190" s="64"/>
      <c r="J190" s="64"/>
    </row>
    <row r="191" spans="1:10" ht="13.5" customHeight="1" x14ac:dyDescent="0.2">
      <c r="A191"/>
      <c r="B191" s="36"/>
      <c r="C191" s="758">
        <f>SUM(C189:C190)</f>
        <v>6480</v>
      </c>
      <c r="D191" s="30"/>
    </row>
    <row r="192" spans="1:10" ht="13.5" customHeight="1" x14ac:dyDescent="0.2">
      <c r="A192"/>
      <c r="B192" s="36"/>
      <c r="C192" s="30"/>
      <c r="D192" s="30"/>
    </row>
    <row r="193" spans="1:6" ht="13.5" customHeight="1" x14ac:dyDescent="0.2">
      <c r="A193" t="s">
        <v>237</v>
      </c>
      <c r="B193" s="36" t="s">
        <v>3694</v>
      </c>
      <c r="C193" s="758">
        <v>200</v>
      </c>
      <c r="D193" s="30"/>
    </row>
    <row r="194" spans="1:6" ht="13.5" customHeight="1" x14ac:dyDescent="0.2">
      <c r="A194"/>
      <c r="B194" s="36"/>
      <c r="C194" s="30"/>
      <c r="D194" s="30"/>
    </row>
    <row r="195" spans="1:6" ht="13.5" customHeight="1" x14ac:dyDescent="0.2">
      <c r="A195"/>
      <c r="B195" s="36"/>
      <c r="C195" s="30"/>
      <c r="D195" s="30"/>
    </row>
    <row r="196" spans="1:6" ht="13.5" customHeight="1" x14ac:dyDescent="0.2">
      <c r="A196" t="s">
        <v>238</v>
      </c>
      <c r="B196" s="36" t="s">
        <v>20</v>
      </c>
      <c r="C196" s="30">
        <v>36.01</v>
      </c>
      <c r="D196" s="69"/>
    </row>
    <row r="197" spans="1:6" ht="13.5" customHeight="1" x14ac:dyDescent="0.2">
      <c r="A197" t="s">
        <v>238</v>
      </c>
      <c r="B197" s="36" t="s">
        <v>20</v>
      </c>
      <c r="C197" s="61">
        <v>-0.01</v>
      </c>
      <c r="D197" s="61"/>
    </row>
    <row r="198" spans="1:6" ht="13.5" customHeight="1" x14ac:dyDescent="0.2">
      <c r="A198" t="s">
        <v>238</v>
      </c>
      <c r="B198" s="34" t="s">
        <v>20</v>
      </c>
      <c r="C198" s="61">
        <v>-0.03</v>
      </c>
      <c r="D198" s="69"/>
    </row>
    <row r="199" spans="1:6" ht="13.5" customHeight="1" x14ac:dyDescent="0.2">
      <c r="A199" t="s">
        <v>238</v>
      </c>
      <c r="B199" s="34" t="s">
        <v>20</v>
      </c>
      <c r="C199" s="61">
        <v>-0.01</v>
      </c>
      <c r="D199" s="69"/>
    </row>
    <row r="200" spans="1:6" ht="13.5" customHeight="1" x14ac:dyDescent="0.2">
      <c r="A200" t="s">
        <v>238</v>
      </c>
      <c r="B200" s="36" t="s">
        <v>20</v>
      </c>
      <c r="C200" s="61">
        <v>-0.1</v>
      </c>
      <c r="D200" s="61"/>
    </row>
    <row r="201" spans="1:6" ht="13.5" customHeight="1" x14ac:dyDescent="0.2">
      <c r="A201" t="s">
        <v>238</v>
      </c>
      <c r="B201" s="36" t="s">
        <v>86</v>
      </c>
      <c r="C201" s="30">
        <v>92.5</v>
      </c>
      <c r="D201" s="69"/>
      <c r="F201" s="365"/>
    </row>
    <row r="202" spans="1:6" ht="13.5" customHeight="1" x14ac:dyDescent="0.2">
      <c r="A202" t="s">
        <v>238</v>
      </c>
      <c r="B202" s="34" t="s">
        <v>86</v>
      </c>
      <c r="C202" s="30">
        <v>75.900000000000006</v>
      </c>
      <c r="D202" s="69"/>
    </row>
    <row r="203" spans="1:6" ht="13.5" customHeight="1" x14ac:dyDescent="0.2">
      <c r="A203" t="s">
        <v>238</v>
      </c>
      <c r="B203" s="36" t="s">
        <v>86</v>
      </c>
      <c r="C203" s="30">
        <v>12.5</v>
      </c>
      <c r="D203" s="69"/>
    </row>
    <row r="204" spans="1:6" ht="13.5" customHeight="1" x14ac:dyDescent="0.2">
      <c r="A204"/>
      <c r="B204" s="36"/>
      <c r="C204" s="758">
        <f>SUM(C196:C203)</f>
        <v>216.76000000000002</v>
      </c>
      <c r="D204" s="69">
        <f>SUM(C204/2)</f>
        <v>108.38000000000001</v>
      </c>
    </row>
    <row r="205" spans="1:6" ht="13.5" customHeight="1" x14ac:dyDescent="0.2">
      <c r="A205"/>
      <c r="B205" s="36"/>
      <c r="C205" s="30"/>
      <c r="D205" s="69"/>
      <c r="F205" s="40"/>
    </row>
    <row r="206" spans="1:6" ht="13.5" customHeight="1" x14ac:dyDescent="0.2">
      <c r="A206" t="s">
        <v>421</v>
      </c>
      <c r="B206" s="36" t="s">
        <v>3686</v>
      </c>
      <c r="C206" s="758">
        <v>170</v>
      </c>
      <c r="D206" s="30"/>
      <c r="F206" s="124">
        <f>SUM(C206,C204,C193,C191,C187,C169,C167,C163,C141,C137,C121,C119,C116,C114,C99,C92,C77,C72,C66,C59)-SUM(D43,D37)</f>
        <v>-5239.32</v>
      </c>
    </row>
    <row r="207" spans="1:6" ht="13.5" customHeight="1" x14ac:dyDescent="0.2">
      <c r="B207" s="34"/>
      <c r="C207" s="69"/>
      <c r="D207" s="69"/>
    </row>
    <row r="208" spans="1:6" ht="13.5" customHeight="1" x14ac:dyDescent="0.2">
      <c r="B208" s="78"/>
      <c r="C208" s="78"/>
      <c r="D208" s="78"/>
    </row>
    <row r="209" spans="2:4" ht="13.5" customHeight="1" x14ac:dyDescent="0.2">
      <c r="B209" s="63"/>
      <c r="C209" s="13"/>
      <c r="D209" s="13"/>
    </row>
    <row r="210" spans="2:4" ht="13.5" customHeight="1" x14ac:dyDescent="0.2">
      <c r="B210" s="63"/>
      <c r="C210" s="13"/>
      <c r="D210" s="13"/>
    </row>
    <row r="211" spans="2:4" ht="13.5" customHeight="1" x14ac:dyDescent="0.2">
      <c r="B211" s="63"/>
      <c r="C211" s="13"/>
      <c r="D211" s="13"/>
    </row>
    <row r="212" spans="2:4" ht="13.5" customHeight="1" x14ac:dyDescent="0.2">
      <c r="B212" s="63"/>
      <c r="C212" s="13"/>
      <c r="D212" s="13"/>
    </row>
    <row r="213" spans="2:4" ht="13.5" customHeight="1" x14ac:dyDescent="0.2">
      <c r="B213" s="63"/>
      <c r="C213" s="13"/>
      <c r="D213" s="13"/>
    </row>
    <row r="214" spans="2:4" ht="13.5" customHeight="1" x14ac:dyDescent="0.2">
      <c r="B214" s="63"/>
      <c r="C214" s="13"/>
      <c r="D214" s="13"/>
    </row>
    <row r="215" spans="2:4" ht="13.5" customHeight="1" x14ac:dyDescent="0.2">
      <c r="B215" s="63"/>
      <c r="C215" s="13"/>
      <c r="D215" s="13"/>
    </row>
    <row r="216" spans="2:4" ht="13.5" customHeight="1" x14ac:dyDescent="0.2">
      <c r="B216" s="63"/>
      <c r="C216" s="13"/>
      <c r="D216" s="13"/>
    </row>
    <row r="217" spans="2:4" ht="13.5" customHeight="1" x14ac:dyDescent="0.2">
      <c r="B217" s="63"/>
      <c r="C217" s="13"/>
      <c r="D217" s="13"/>
    </row>
    <row r="218" spans="2:4" ht="13.5" customHeight="1" x14ac:dyDescent="0.2">
      <c r="B218" s="63"/>
      <c r="C218" s="13"/>
      <c r="D218" s="13"/>
    </row>
    <row r="219" spans="2:4" ht="13.5" customHeight="1" x14ac:dyDescent="0.2">
      <c r="B219" s="63"/>
      <c r="C219" s="13"/>
      <c r="D219" s="13"/>
    </row>
    <row r="220" spans="2:4" ht="13.5" customHeight="1" x14ac:dyDescent="0.2">
      <c r="B220" s="63"/>
      <c r="C220" s="13"/>
      <c r="D220" s="13"/>
    </row>
    <row r="221" spans="2:4" ht="13.5" customHeight="1" x14ac:dyDescent="0.2">
      <c r="B221" s="63"/>
      <c r="C221" s="13"/>
      <c r="D221" s="13"/>
    </row>
    <row r="222" spans="2:4" ht="13.5" customHeight="1" x14ac:dyDescent="0.2">
      <c r="B222" s="63"/>
      <c r="C222" s="13"/>
      <c r="D222" s="13"/>
    </row>
    <row r="223" spans="2:4" ht="13.5" customHeight="1" x14ac:dyDescent="0.2">
      <c r="B223" s="63"/>
      <c r="C223" s="13"/>
      <c r="D223" s="13"/>
    </row>
    <row r="224" spans="2:4" ht="13.5" customHeight="1" x14ac:dyDescent="0.2">
      <c r="B224" s="63"/>
      <c r="C224" s="13"/>
      <c r="D224" s="13"/>
    </row>
    <row r="225" spans="2:4" ht="13.5" customHeight="1" x14ac:dyDescent="0.2">
      <c r="B225" s="63"/>
      <c r="C225" s="13"/>
      <c r="D225" s="13"/>
    </row>
    <row r="226" spans="2:4" ht="13.5" customHeight="1" x14ac:dyDescent="0.2">
      <c r="B226" s="63"/>
      <c r="C226" s="13"/>
      <c r="D226" s="13"/>
    </row>
    <row r="227" spans="2:4" ht="13.5" customHeight="1" x14ac:dyDescent="0.2">
      <c r="B227" s="63"/>
      <c r="C227" s="13"/>
      <c r="D227" s="13"/>
    </row>
    <row r="228" spans="2:4" ht="13.5" customHeight="1" x14ac:dyDescent="0.2">
      <c r="B228" s="63"/>
      <c r="C228" s="13"/>
      <c r="D228" s="13"/>
    </row>
    <row r="229" spans="2:4" ht="13.5" customHeight="1" x14ac:dyDescent="0.2">
      <c r="B229" s="63"/>
      <c r="C229" s="13"/>
      <c r="D229" s="13"/>
    </row>
    <row r="230" spans="2:4" ht="13.5" customHeight="1" x14ac:dyDescent="0.2">
      <c r="B230" s="63"/>
      <c r="C230" s="13"/>
      <c r="D230" s="13"/>
    </row>
    <row r="231" spans="2:4" ht="13.5" customHeight="1" x14ac:dyDescent="0.2">
      <c r="B231" s="63"/>
      <c r="C231" s="13"/>
      <c r="D231" s="13"/>
    </row>
    <row r="232" spans="2:4" ht="13.5" customHeight="1" x14ac:dyDescent="0.2">
      <c r="B232" s="63"/>
      <c r="C232" s="13"/>
      <c r="D232" s="13"/>
    </row>
    <row r="233" spans="2:4" ht="13.5" customHeight="1" x14ac:dyDescent="0.2">
      <c r="B233" s="63"/>
      <c r="C233" s="13"/>
      <c r="D233" s="13"/>
    </row>
    <row r="234" spans="2:4" ht="13.5" customHeight="1" x14ac:dyDescent="0.2">
      <c r="B234" s="63"/>
      <c r="C234" s="13"/>
      <c r="D234" s="13"/>
    </row>
    <row r="235" spans="2:4" ht="13.5" customHeight="1" x14ac:dyDescent="0.2">
      <c r="B235" s="63"/>
      <c r="C235" s="13"/>
      <c r="D235" s="13"/>
    </row>
    <row r="236" spans="2:4" ht="13.5" customHeight="1" x14ac:dyDescent="0.2">
      <c r="B236" s="63"/>
      <c r="C236" s="13"/>
      <c r="D236" s="13"/>
    </row>
    <row r="237" spans="2:4" ht="13.5" customHeight="1" x14ac:dyDescent="0.2">
      <c r="B237" s="64"/>
      <c r="C237" s="13"/>
      <c r="D237" s="13"/>
    </row>
    <row r="238" spans="2:4" ht="13.5" customHeight="1" x14ac:dyDescent="0.2">
      <c r="B238" s="63"/>
      <c r="C238" s="13"/>
      <c r="D238" s="13"/>
    </row>
    <row r="239" spans="2:4" ht="13.5" customHeight="1" x14ac:dyDescent="0.2">
      <c r="B239" s="63"/>
      <c r="C239" s="13"/>
      <c r="D239" s="13"/>
    </row>
    <row r="240" spans="2:4" ht="13.5" customHeight="1" x14ac:dyDescent="0.2">
      <c r="B240" s="85"/>
      <c r="C240" s="13"/>
      <c r="D240" s="13"/>
    </row>
    <row r="241" spans="2:4" ht="13.5" customHeight="1" x14ac:dyDescent="0.2">
      <c r="B241" s="63"/>
      <c r="C241" s="13"/>
      <c r="D241" s="13"/>
    </row>
    <row r="242" spans="2:4" ht="13.5" customHeight="1" x14ac:dyDescent="0.2">
      <c r="B242" s="63"/>
      <c r="C242" s="13"/>
      <c r="D242" s="13"/>
    </row>
    <row r="243" spans="2:4" ht="13.5" customHeight="1" x14ac:dyDescent="0.2">
      <c r="B243" s="64"/>
      <c r="C243" s="13"/>
      <c r="D243" s="13"/>
    </row>
    <row r="244" spans="2:4" ht="13.5" customHeight="1" x14ac:dyDescent="0.2">
      <c r="B244" s="63"/>
      <c r="C244" s="13"/>
      <c r="D244" s="13"/>
    </row>
    <row r="245" spans="2:4" ht="13.5" customHeight="1" x14ac:dyDescent="0.2">
      <c r="B245" s="63"/>
      <c r="C245" s="13"/>
      <c r="D245" s="13"/>
    </row>
    <row r="246" spans="2:4" ht="13.5" customHeight="1" x14ac:dyDescent="0.2">
      <c r="B246" s="64"/>
      <c r="C246" s="13"/>
      <c r="D246" s="13"/>
    </row>
    <row r="247" spans="2:4" ht="13.5" customHeight="1" x14ac:dyDescent="0.2">
      <c r="B247" s="63"/>
      <c r="C247" s="13"/>
      <c r="D247" s="13"/>
    </row>
    <row r="248" spans="2:4" ht="13.5" customHeight="1" x14ac:dyDescent="0.2">
      <c r="B248" s="63"/>
      <c r="C248" s="13"/>
      <c r="D248" s="13"/>
    </row>
    <row r="249" spans="2:4" ht="13.5" customHeight="1" x14ac:dyDescent="0.2">
      <c r="B249" s="64"/>
      <c r="C249" s="13"/>
      <c r="D249" s="13"/>
    </row>
    <row r="250" spans="2:4" ht="13.5" customHeight="1" x14ac:dyDescent="0.2">
      <c r="B250" s="63"/>
      <c r="C250" s="13"/>
      <c r="D250" s="13"/>
    </row>
    <row r="251" spans="2:4" ht="13.5" customHeight="1" x14ac:dyDescent="0.2">
      <c r="B251" s="63"/>
      <c r="C251" s="13"/>
      <c r="D251" s="13"/>
    </row>
    <row r="252" spans="2:4" ht="13.5" customHeight="1" x14ac:dyDescent="0.2">
      <c r="B252" s="63"/>
      <c r="C252" s="13"/>
      <c r="D252" s="13"/>
    </row>
    <row r="253" spans="2:4" ht="13.5" customHeight="1" x14ac:dyDescent="0.2">
      <c r="B253" s="86"/>
      <c r="C253" s="13"/>
      <c r="D253" s="13"/>
    </row>
    <row r="254" spans="2:4" ht="13.5" customHeight="1" x14ac:dyDescent="0.2">
      <c r="B254" s="85"/>
      <c r="C254" s="13"/>
      <c r="D254" s="13"/>
    </row>
    <row r="255" spans="2:4" ht="13.5" customHeight="1" x14ac:dyDescent="0.2">
      <c r="B255" s="87"/>
      <c r="C255" s="13"/>
      <c r="D255" s="13"/>
    </row>
    <row r="256" spans="2:4" ht="13.5" customHeight="1" x14ac:dyDescent="0.2">
      <c r="B256" s="88"/>
      <c r="C256" s="13"/>
      <c r="D256" s="13"/>
    </row>
    <row r="257" spans="2:4" ht="13.5" customHeight="1" x14ac:dyDescent="0.2">
      <c r="B257" s="56"/>
      <c r="C257" s="12"/>
      <c r="D257" s="12"/>
    </row>
    <row r="258" spans="2:4" ht="13.5" customHeight="1" x14ac:dyDescent="0.2">
      <c r="B258" s="56"/>
      <c r="C258" s="12"/>
      <c r="D258" s="12"/>
    </row>
    <row r="259" spans="2:4" ht="13.5" customHeight="1" x14ac:dyDescent="0.2">
      <c r="B259" s="56"/>
      <c r="C259" s="12"/>
      <c r="D259" s="12"/>
    </row>
    <row r="260" spans="2:4" ht="13.5" customHeight="1" x14ac:dyDescent="0.2">
      <c r="C260" s="12"/>
      <c r="D260" s="12"/>
    </row>
    <row r="261" spans="2:4" ht="13.5" customHeight="1" x14ac:dyDescent="0.2">
      <c r="B261" s="56"/>
      <c r="C261" s="12"/>
      <c r="D261" s="12"/>
    </row>
    <row r="262" spans="2:4" ht="13.5" customHeight="1" x14ac:dyDescent="0.2">
      <c r="B262" s="56"/>
      <c r="C262" s="12"/>
      <c r="D262" s="12"/>
    </row>
    <row r="263" spans="2:4" ht="13.5" customHeight="1" x14ac:dyDescent="0.2">
      <c r="B263" s="56"/>
      <c r="C263" s="12"/>
      <c r="D263" s="12"/>
    </row>
    <row r="264" spans="2:4" ht="13.5" customHeight="1" x14ac:dyDescent="0.2">
      <c r="B264" s="27"/>
      <c r="C264" s="12"/>
      <c r="D264" s="12"/>
    </row>
    <row r="265" spans="2:4" ht="13.5" customHeight="1" x14ac:dyDescent="0.2">
      <c r="B265" s="27"/>
      <c r="C265" s="12"/>
      <c r="D265" s="12"/>
    </row>
    <row r="266" spans="2:4" ht="13.5" customHeight="1" x14ac:dyDescent="0.2">
      <c r="C266" s="12"/>
      <c r="D266" s="12"/>
    </row>
    <row r="267" spans="2:4" ht="13.5" customHeight="1" x14ac:dyDescent="0.2">
      <c r="B267" s="56"/>
      <c r="C267" s="12"/>
      <c r="D267" s="12"/>
    </row>
    <row r="268" spans="2:4" ht="13.5" customHeight="1" x14ac:dyDescent="0.2">
      <c r="B268" s="56"/>
      <c r="C268" s="12"/>
      <c r="D268" s="12"/>
    </row>
    <row r="269" spans="2:4" ht="13.5" customHeight="1" x14ac:dyDescent="0.2">
      <c r="B269" s="56"/>
      <c r="C269" s="12"/>
      <c r="D269" s="12"/>
    </row>
    <row r="270" spans="2:4" ht="13.5" customHeight="1" x14ac:dyDescent="0.2">
      <c r="B270" s="56"/>
      <c r="C270" s="12"/>
      <c r="D270" s="12"/>
    </row>
    <row r="271" spans="2:4" ht="13.5" customHeight="1" x14ac:dyDescent="0.2">
      <c r="B271" s="94"/>
      <c r="C271" s="27"/>
      <c r="D271" s="27"/>
    </row>
    <row r="272" spans="2:4" ht="13.5" customHeight="1" x14ac:dyDescent="0.2"/>
    <row r="273" ht="13.5" customHeight="1" x14ac:dyDescent="0.2"/>
    <row r="274" ht="13.5" customHeight="1" x14ac:dyDescent="0.2"/>
    <row r="275" ht="13.5" customHeight="1" x14ac:dyDescent="0.2"/>
    <row r="276" ht="13.5" customHeight="1" x14ac:dyDescent="0.2"/>
  </sheetData>
  <sortState xmlns:xlrd2="http://schemas.microsoft.com/office/spreadsheetml/2017/richdata2" ref="A45:K212">
    <sortCondition ref="A45:A212"/>
    <sortCondition ref="B45:B212"/>
  </sortState>
  <phoneticPr fontId="25" type="noConversion"/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AA279"/>
  <sheetViews>
    <sheetView topLeftCell="A181" zoomScale="80" zoomScaleNormal="80" workbookViewId="0">
      <selection activeCell="I196" sqref="I196:J204"/>
    </sheetView>
  </sheetViews>
  <sheetFormatPr defaultColWidth="9" defaultRowHeight="12.75" x14ac:dyDescent="0.2"/>
  <cols>
    <col min="1" max="1" width="14" style="1" customWidth="1"/>
    <col min="2" max="2" width="1.875" style="1" customWidth="1"/>
    <col min="3" max="3" width="99.25" style="1" customWidth="1"/>
    <col min="4" max="4" width="12" style="1" customWidth="1"/>
    <col min="5" max="5" width="12.375" style="1" customWidth="1"/>
    <col min="6" max="6" width="10.75" style="1" customWidth="1"/>
    <col min="7" max="7" width="11.875" style="1" customWidth="1"/>
    <col min="8" max="8" width="13.625" style="1" customWidth="1"/>
    <col min="9" max="9" width="12.125" style="1" customWidth="1"/>
    <col min="10" max="10" width="13.875" style="1" customWidth="1"/>
    <col min="11" max="11" width="9" style="1"/>
    <col min="12" max="12" width="9.375" style="1" bestFit="1" customWidth="1"/>
    <col min="13" max="16384" width="9" style="1"/>
  </cols>
  <sheetData>
    <row r="1" spans="1:8" ht="13.5" customHeight="1" thickBot="1" x14ac:dyDescent="0.25">
      <c r="A1" s="1407" t="s">
        <v>3772</v>
      </c>
      <c r="B1" s="1407"/>
      <c r="C1" s="1408"/>
      <c r="D1" s="1409" t="s">
        <v>0</v>
      </c>
      <c r="E1" s="1410"/>
      <c r="F1" s="1410"/>
      <c r="G1" s="1411"/>
    </row>
    <row r="2" spans="1:8" ht="13.5" customHeight="1" thickBot="1" x14ac:dyDescent="0.25">
      <c r="A2" s="2" t="s">
        <v>2</v>
      </c>
      <c r="B2" s="3"/>
      <c r="C2" s="3" t="s">
        <v>2335</v>
      </c>
      <c r="D2" s="3" t="s">
        <v>4</v>
      </c>
      <c r="E2" s="3" t="s">
        <v>5</v>
      </c>
      <c r="F2" s="3" t="s">
        <v>6</v>
      </c>
      <c r="G2" s="5" t="s">
        <v>7</v>
      </c>
    </row>
    <row r="3" spans="1:8" ht="13.5" customHeight="1" x14ac:dyDescent="0.2">
      <c r="A3" s="8">
        <v>43862</v>
      </c>
      <c r="B3" s="56"/>
      <c r="C3" s="10" t="s">
        <v>8</v>
      </c>
      <c r="D3" s="11">
        <v>0</v>
      </c>
      <c r="E3" s="51"/>
      <c r="F3" s="12"/>
      <c r="G3" s="178">
        <v>5487.5300000000216</v>
      </c>
      <c r="H3" s="18">
        <v>5487.5300000000216</v>
      </c>
    </row>
    <row r="4" spans="1:8" ht="13.5" customHeight="1" x14ac:dyDescent="0.2">
      <c r="A4" s="180">
        <v>43864</v>
      </c>
      <c r="B4" s="56"/>
      <c r="C4" s="36" t="s">
        <v>3773</v>
      </c>
      <c r="D4" s="11"/>
      <c r="E4" s="30">
        <v>400</v>
      </c>
      <c r="F4" s="12"/>
      <c r="G4" s="182"/>
      <c r="H4" s="18">
        <v>5087.5300000000216</v>
      </c>
    </row>
    <row r="5" spans="1:8" ht="13.5" customHeight="1" x14ac:dyDescent="0.2">
      <c r="A5" s="180"/>
      <c r="B5" s="56"/>
      <c r="C5" s="36" t="s">
        <v>3774</v>
      </c>
      <c r="D5" s="11"/>
      <c r="E5" s="30"/>
      <c r="F5" s="12">
        <v>900</v>
      </c>
      <c r="G5" s="182"/>
      <c r="H5" s="18">
        <v>5987.5300000000216</v>
      </c>
    </row>
    <row r="6" spans="1:8" ht="13.5" customHeight="1" x14ac:dyDescent="0.2">
      <c r="A6" s="180"/>
      <c r="B6" s="56"/>
      <c r="C6" s="36" t="s">
        <v>3775</v>
      </c>
      <c r="D6" s="11"/>
      <c r="E6" s="30"/>
      <c r="F6" s="12">
        <v>250</v>
      </c>
      <c r="G6" s="182"/>
      <c r="H6" s="18">
        <v>6237.5300000000216</v>
      </c>
    </row>
    <row r="7" spans="1:8" ht="13.5" customHeight="1" x14ac:dyDescent="0.2">
      <c r="A7" s="180"/>
      <c r="B7" s="56"/>
      <c r="C7" s="36" t="s">
        <v>3776</v>
      </c>
      <c r="D7" s="11"/>
      <c r="E7" s="30"/>
      <c r="F7" s="12">
        <v>420</v>
      </c>
      <c r="G7" s="182"/>
      <c r="H7" s="18">
        <v>6657.5300000000216</v>
      </c>
    </row>
    <row r="8" spans="1:8" ht="13.5" customHeight="1" x14ac:dyDescent="0.2">
      <c r="A8" s="180"/>
      <c r="B8" s="56"/>
      <c r="C8" s="36" t="s">
        <v>3777</v>
      </c>
      <c r="D8" s="11"/>
      <c r="E8" s="30">
        <v>8.6</v>
      </c>
      <c r="F8" s="12"/>
      <c r="G8" s="182"/>
      <c r="H8" s="18">
        <v>6648.9300000000212</v>
      </c>
    </row>
    <row r="9" spans="1:8" ht="13.5" customHeight="1" x14ac:dyDescent="0.2">
      <c r="A9" s="180"/>
      <c r="B9" s="56"/>
      <c r="C9" s="34" t="s">
        <v>3778</v>
      </c>
      <c r="D9" s="11"/>
      <c r="E9" s="30">
        <v>16</v>
      </c>
      <c r="F9" s="12"/>
      <c r="G9" s="182"/>
      <c r="H9" s="18">
        <v>6632.9300000000212</v>
      </c>
    </row>
    <row r="10" spans="1:8" ht="13.5" customHeight="1" x14ac:dyDescent="0.2">
      <c r="A10" s="180"/>
      <c r="B10" s="56"/>
      <c r="C10" s="36" t="s">
        <v>3779</v>
      </c>
      <c r="D10" s="11"/>
      <c r="E10" s="30">
        <v>28.52</v>
      </c>
      <c r="F10" s="12"/>
      <c r="G10" s="182"/>
      <c r="H10" s="18">
        <v>6604.4100000000208</v>
      </c>
    </row>
    <row r="11" spans="1:8" ht="13.5" customHeight="1" x14ac:dyDescent="0.2">
      <c r="A11" s="180"/>
      <c r="B11" s="56"/>
      <c r="C11" s="36" t="s">
        <v>3780</v>
      </c>
      <c r="D11" s="11"/>
      <c r="E11" s="30">
        <v>1</v>
      </c>
      <c r="F11" s="30"/>
      <c r="G11" s="182"/>
      <c r="H11" s="18">
        <v>6603.4100000000208</v>
      </c>
    </row>
    <row r="12" spans="1:8" ht="13.5" customHeight="1" x14ac:dyDescent="0.2">
      <c r="A12" s="180"/>
      <c r="B12" s="56"/>
      <c r="C12" s="36" t="s">
        <v>3781</v>
      </c>
      <c r="D12" s="11"/>
      <c r="E12" s="30">
        <v>2</v>
      </c>
      <c r="F12" s="30"/>
      <c r="G12" s="182"/>
      <c r="H12" s="18">
        <v>6601.4100000000208</v>
      </c>
    </row>
    <row r="13" spans="1:8" ht="13.5" customHeight="1" x14ac:dyDescent="0.2">
      <c r="A13" s="180"/>
      <c r="B13" s="56"/>
      <c r="C13" s="36" t="s">
        <v>3782</v>
      </c>
      <c r="D13" s="11"/>
      <c r="E13" s="30">
        <v>5</v>
      </c>
      <c r="F13" s="30"/>
      <c r="G13" s="182">
        <v>6596.4100000000208</v>
      </c>
      <c r="H13" s="18">
        <v>6596.4100000000208</v>
      </c>
    </row>
    <row r="14" spans="1:8" ht="13.5" customHeight="1" x14ac:dyDescent="0.2">
      <c r="A14" s="180">
        <v>43866</v>
      </c>
      <c r="B14" s="56"/>
      <c r="C14" s="36" t="s">
        <v>3783</v>
      </c>
      <c r="D14" s="11"/>
      <c r="E14" s="30"/>
      <c r="F14" s="30">
        <v>220</v>
      </c>
      <c r="G14" s="182"/>
      <c r="H14" s="18">
        <v>6816.4100000000208</v>
      </c>
    </row>
    <row r="15" spans="1:8" ht="13.5" customHeight="1" x14ac:dyDescent="0.2">
      <c r="A15" s="180"/>
      <c r="B15" s="56"/>
      <c r="C15" s="34" t="s">
        <v>3784</v>
      </c>
      <c r="D15" s="11"/>
      <c r="E15" s="30"/>
      <c r="F15" s="30">
        <v>352</v>
      </c>
      <c r="G15" s="182"/>
      <c r="H15" s="18">
        <v>7168.4100000000208</v>
      </c>
    </row>
    <row r="16" spans="1:8" ht="13.5" customHeight="1" x14ac:dyDescent="0.2">
      <c r="A16" s="180"/>
      <c r="B16" s="56"/>
      <c r="C16" s="34" t="s">
        <v>3785</v>
      </c>
      <c r="D16" s="11"/>
      <c r="E16" s="30"/>
      <c r="F16" s="30">
        <v>1650</v>
      </c>
      <c r="G16" s="182"/>
      <c r="H16" s="18">
        <v>8818.4100000000217</v>
      </c>
    </row>
    <row r="17" spans="1:8" ht="13.5" customHeight="1" x14ac:dyDescent="0.2">
      <c r="A17" s="180"/>
      <c r="B17" s="56"/>
      <c r="C17" s="34" t="s">
        <v>2345</v>
      </c>
      <c r="D17" s="11"/>
      <c r="E17" s="30">
        <v>2490</v>
      </c>
      <c r="F17" s="30"/>
      <c r="G17" s="182">
        <v>6328.4100000000217</v>
      </c>
      <c r="H17" s="18">
        <v>6328.4100000000217</v>
      </c>
    </row>
    <row r="18" spans="1:8" ht="13.5" customHeight="1" x14ac:dyDescent="0.2">
      <c r="A18" s="180">
        <v>43867</v>
      </c>
      <c r="B18" s="56"/>
      <c r="C18" s="36" t="s">
        <v>3786</v>
      </c>
      <c r="D18" s="11"/>
      <c r="E18" s="30">
        <v>9.15</v>
      </c>
      <c r="F18" s="30"/>
      <c r="G18" s="182"/>
      <c r="H18" s="18">
        <v>6319.260000000022</v>
      </c>
    </row>
    <row r="19" spans="1:8" ht="13.5" customHeight="1" x14ac:dyDescent="0.2">
      <c r="A19" s="180"/>
      <c r="B19" s="56"/>
      <c r="C19" s="36" t="s">
        <v>3787</v>
      </c>
      <c r="D19" s="11"/>
      <c r="E19" s="30">
        <v>8.1999999999999993</v>
      </c>
      <c r="F19" s="30"/>
      <c r="G19" s="182"/>
      <c r="H19" s="18">
        <v>6311.0600000000222</v>
      </c>
    </row>
    <row r="20" spans="1:8" ht="13.5" customHeight="1" x14ac:dyDescent="0.2">
      <c r="A20" s="180"/>
      <c r="B20" s="56"/>
      <c r="C20" s="36" t="s">
        <v>3788</v>
      </c>
      <c r="D20" s="11"/>
      <c r="E20" s="30"/>
      <c r="F20" s="30">
        <v>1340</v>
      </c>
      <c r="G20" s="182"/>
      <c r="H20" s="18">
        <v>7651.0600000000222</v>
      </c>
    </row>
    <row r="21" spans="1:8" ht="13.5" customHeight="1" x14ac:dyDescent="0.2">
      <c r="A21" s="180"/>
      <c r="B21" s="56"/>
      <c r="C21" s="36" t="s">
        <v>3789</v>
      </c>
      <c r="D21" s="11"/>
      <c r="E21" s="30">
        <v>320</v>
      </c>
      <c r="F21" s="30"/>
      <c r="G21" s="182">
        <v>7331.0600000000222</v>
      </c>
      <c r="H21" s="18">
        <v>7331.0600000000222</v>
      </c>
    </row>
    <row r="22" spans="1:8" ht="13.5" customHeight="1" x14ac:dyDescent="0.2">
      <c r="A22" s="180">
        <v>43868</v>
      </c>
      <c r="B22" s="56"/>
      <c r="C22" s="36" t="s">
        <v>3790</v>
      </c>
      <c r="D22" s="11"/>
      <c r="E22" s="30"/>
      <c r="F22" s="30">
        <v>1140</v>
      </c>
      <c r="G22" s="182"/>
      <c r="H22" s="18">
        <v>8471.0600000000231</v>
      </c>
    </row>
    <row r="23" spans="1:8" ht="13.5" customHeight="1" x14ac:dyDescent="0.2">
      <c r="A23" s="180"/>
      <c r="B23" s="56"/>
      <c r="C23" s="36" t="s">
        <v>3791</v>
      </c>
      <c r="D23" s="11"/>
      <c r="E23" s="30"/>
      <c r="F23" s="30">
        <v>150</v>
      </c>
      <c r="G23" s="182"/>
      <c r="H23" s="18">
        <v>8621.0600000000231</v>
      </c>
    </row>
    <row r="24" spans="1:8" ht="13.5" customHeight="1" x14ac:dyDescent="0.2">
      <c r="A24" s="180"/>
      <c r="B24" s="56"/>
      <c r="C24" s="36" t="s">
        <v>3792</v>
      </c>
      <c r="D24" s="11"/>
      <c r="E24" s="30">
        <v>42</v>
      </c>
      <c r="F24" s="30"/>
      <c r="G24" s="182"/>
      <c r="H24" s="18">
        <v>8579.0600000000231</v>
      </c>
    </row>
    <row r="25" spans="1:8" ht="13.5" customHeight="1" x14ac:dyDescent="0.2">
      <c r="A25" s="180"/>
      <c r="B25" s="56"/>
      <c r="C25" s="36" t="s">
        <v>3793</v>
      </c>
      <c r="D25" s="11"/>
      <c r="E25" s="30">
        <v>21</v>
      </c>
      <c r="F25" s="30"/>
      <c r="G25" s="182"/>
      <c r="H25" s="18">
        <v>8558.0600000000231</v>
      </c>
    </row>
    <row r="26" spans="1:8" ht="13.5" customHeight="1" x14ac:dyDescent="0.2">
      <c r="A26" s="180"/>
      <c r="B26" s="56"/>
      <c r="C26" s="36" t="s">
        <v>3794</v>
      </c>
      <c r="D26" s="11"/>
      <c r="E26" s="30">
        <v>100</v>
      </c>
      <c r="F26" s="30"/>
      <c r="G26" s="182"/>
      <c r="H26" s="18">
        <v>8458.0600000000231</v>
      </c>
    </row>
    <row r="27" spans="1:8" ht="13.5" customHeight="1" x14ac:dyDescent="0.2">
      <c r="A27" s="180"/>
      <c r="B27" s="56"/>
      <c r="C27" s="36" t="s">
        <v>3795</v>
      </c>
      <c r="D27" s="11"/>
      <c r="E27" s="30">
        <v>100</v>
      </c>
      <c r="F27" s="30"/>
      <c r="G27" s="182"/>
      <c r="H27" s="18">
        <v>8358.0600000000231</v>
      </c>
    </row>
    <row r="28" spans="1:8" ht="13.5" customHeight="1" x14ac:dyDescent="0.2">
      <c r="A28" s="180"/>
      <c r="B28" s="56"/>
      <c r="C28" s="36" t="s">
        <v>3796</v>
      </c>
      <c r="D28" s="11"/>
      <c r="E28" s="30">
        <v>320</v>
      </c>
      <c r="F28" s="30"/>
      <c r="G28" s="182"/>
      <c r="H28" s="18">
        <v>8038.0600000000231</v>
      </c>
    </row>
    <row r="29" spans="1:8" ht="13.5" customHeight="1" x14ac:dyDescent="0.2">
      <c r="A29" s="180"/>
      <c r="B29" s="56"/>
      <c r="C29" s="36" t="s">
        <v>3684</v>
      </c>
      <c r="D29" s="11"/>
      <c r="E29" s="30">
        <v>572</v>
      </c>
      <c r="F29" s="30"/>
      <c r="G29" s="182"/>
      <c r="H29" s="18">
        <v>7466.0600000000231</v>
      </c>
    </row>
    <row r="30" spans="1:8" ht="13.5" customHeight="1" x14ac:dyDescent="0.2">
      <c r="A30" s="180"/>
      <c r="B30" s="56"/>
      <c r="C30" s="36" t="s">
        <v>3797</v>
      </c>
      <c r="D30" s="11"/>
      <c r="E30" s="30">
        <v>36.299999999999997</v>
      </c>
      <c r="F30" s="30"/>
      <c r="G30" s="182"/>
      <c r="H30" s="18">
        <v>7429.760000000023</v>
      </c>
    </row>
    <row r="31" spans="1:8" ht="13.5" customHeight="1" x14ac:dyDescent="0.2">
      <c r="A31" s="180"/>
      <c r="B31" s="56"/>
      <c r="C31" s="36" t="s">
        <v>3798</v>
      </c>
      <c r="D31" s="11"/>
      <c r="E31" s="30">
        <v>70</v>
      </c>
      <c r="F31" s="30"/>
      <c r="G31" s="182"/>
      <c r="H31" s="18">
        <v>7359.760000000023</v>
      </c>
    </row>
    <row r="32" spans="1:8" ht="13.5" customHeight="1" x14ac:dyDescent="0.2">
      <c r="A32" s="180"/>
      <c r="B32" s="56"/>
      <c r="C32" s="36" t="s">
        <v>1553</v>
      </c>
      <c r="D32" s="11"/>
      <c r="E32" s="30">
        <v>6000</v>
      </c>
      <c r="F32" s="30"/>
      <c r="G32" s="182">
        <v>1359.760000000023</v>
      </c>
      <c r="H32" s="18">
        <v>1359.760000000023</v>
      </c>
    </row>
    <row r="33" spans="1:8" ht="13.5" customHeight="1" x14ac:dyDescent="0.2">
      <c r="A33" s="180">
        <v>43871</v>
      </c>
      <c r="B33" s="56"/>
      <c r="C33" s="36" t="s">
        <v>3799</v>
      </c>
      <c r="D33" s="11"/>
      <c r="E33" s="30"/>
      <c r="F33" s="30">
        <v>140</v>
      </c>
      <c r="G33" s="182"/>
      <c r="H33" s="18">
        <v>1499.760000000023</v>
      </c>
    </row>
    <row r="34" spans="1:8" ht="13.5" customHeight="1" x14ac:dyDescent="0.2">
      <c r="A34" s="180"/>
      <c r="B34" s="56"/>
      <c r="C34" s="36" t="s">
        <v>3800</v>
      </c>
      <c r="D34" s="11"/>
      <c r="E34" s="30"/>
      <c r="F34" s="30">
        <v>250</v>
      </c>
      <c r="G34" s="182"/>
      <c r="H34" s="18">
        <v>1749.760000000023</v>
      </c>
    </row>
    <row r="35" spans="1:8" ht="13.5" customHeight="1" x14ac:dyDescent="0.2">
      <c r="A35" s="180"/>
      <c r="B35" s="56"/>
      <c r="C35" s="36" t="s">
        <v>3801</v>
      </c>
      <c r="D35" s="11"/>
      <c r="E35" s="30"/>
      <c r="F35" s="30">
        <v>60</v>
      </c>
      <c r="G35" s="182"/>
      <c r="H35" s="18">
        <v>1809.760000000023</v>
      </c>
    </row>
    <row r="36" spans="1:8" ht="13.5" customHeight="1" x14ac:dyDescent="0.2">
      <c r="A36" s="180"/>
      <c r="B36" s="56"/>
      <c r="C36" s="36" t="s">
        <v>3802</v>
      </c>
      <c r="D36" s="11"/>
      <c r="E36" s="30"/>
      <c r="F36" s="30">
        <v>250</v>
      </c>
      <c r="G36" s="182"/>
      <c r="H36" s="18">
        <v>2059.760000000023</v>
      </c>
    </row>
    <row r="37" spans="1:8" ht="13.5" customHeight="1" x14ac:dyDescent="0.2">
      <c r="A37" s="180"/>
      <c r="B37" s="56"/>
      <c r="C37" s="36" t="s">
        <v>3803</v>
      </c>
      <c r="D37" s="11"/>
      <c r="E37" s="30"/>
      <c r="F37" s="30">
        <v>60</v>
      </c>
      <c r="G37" s="182"/>
      <c r="H37" s="18">
        <v>2119.760000000023</v>
      </c>
    </row>
    <row r="38" spans="1:8" ht="13.5" customHeight="1" x14ac:dyDescent="0.2">
      <c r="A38" s="180"/>
      <c r="B38" s="56"/>
      <c r="C38" s="36" t="s">
        <v>3804</v>
      </c>
      <c r="D38" s="11"/>
      <c r="E38" s="30"/>
      <c r="F38" s="30">
        <v>260</v>
      </c>
      <c r="G38" s="182"/>
      <c r="H38" s="18">
        <v>2379.760000000023</v>
      </c>
    </row>
    <row r="39" spans="1:8" ht="13.5" customHeight="1" x14ac:dyDescent="0.2">
      <c r="A39" s="180"/>
      <c r="B39" s="56"/>
      <c r="C39" s="36" t="s">
        <v>3805</v>
      </c>
      <c r="D39" s="11"/>
      <c r="E39" s="30"/>
      <c r="F39" s="30">
        <v>200</v>
      </c>
      <c r="G39" s="182"/>
      <c r="H39" s="18">
        <v>2579.760000000023</v>
      </c>
    </row>
    <row r="40" spans="1:8" ht="13.5" customHeight="1" x14ac:dyDescent="0.2">
      <c r="A40" s="180"/>
      <c r="B40" s="56"/>
      <c r="C40" s="36" t="s">
        <v>3806</v>
      </c>
      <c r="D40" s="11"/>
      <c r="E40" s="30"/>
      <c r="F40" s="30">
        <v>300</v>
      </c>
      <c r="G40" s="182"/>
      <c r="H40" s="18">
        <v>2879.760000000023</v>
      </c>
    </row>
    <row r="41" spans="1:8" ht="13.5" customHeight="1" x14ac:dyDescent="0.2">
      <c r="A41" s="180"/>
      <c r="B41" s="56"/>
      <c r="C41" s="36" t="s">
        <v>3807</v>
      </c>
      <c r="D41" s="11"/>
      <c r="E41" s="30">
        <v>210</v>
      </c>
      <c r="F41" s="30"/>
      <c r="G41" s="182"/>
      <c r="H41" s="18">
        <v>2669.760000000023</v>
      </c>
    </row>
    <row r="42" spans="1:8" ht="13.5" customHeight="1" x14ac:dyDescent="0.2">
      <c r="A42" s="180"/>
      <c r="B42" s="56"/>
      <c r="C42" s="36" t="s">
        <v>3808</v>
      </c>
      <c r="D42" s="11"/>
      <c r="E42" s="30">
        <v>300</v>
      </c>
      <c r="F42" s="30"/>
      <c r="G42" s="182"/>
      <c r="H42" s="18">
        <v>2369.760000000023</v>
      </c>
    </row>
    <row r="43" spans="1:8" ht="13.5" customHeight="1" x14ac:dyDescent="0.2">
      <c r="A43" s="180"/>
      <c r="B43" s="56"/>
      <c r="C43" s="36" t="s">
        <v>3809</v>
      </c>
      <c r="D43" s="11"/>
      <c r="E43" s="30">
        <v>95</v>
      </c>
      <c r="F43" s="30"/>
      <c r="G43" s="182">
        <v>2274.760000000023</v>
      </c>
      <c r="H43" s="18">
        <v>2274.760000000023</v>
      </c>
    </row>
    <row r="44" spans="1:8" ht="13.5" customHeight="1" x14ac:dyDescent="0.2">
      <c r="A44" s="180">
        <v>43872</v>
      </c>
      <c r="B44" s="56"/>
      <c r="C44" s="36" t="s">
        <v>3810</v>
      </c>
      <c r="D44" s="11"/>
      <c r="E44" s="165">
        <v>1050</v>
      </c>
      <c r="F44" s="30"/>
      <c r="G44" s="182"/>
      <c r="H44" s="18">
        <v>1224.760000000023</v>
      </c>
    </row>
    <row r="45" spans="1:8" ht="13.5" customHeight="1" x14ac:dyDescent="0.2">
      <c r="A45" s="180"/>
      <c r="B45" s="56"/>
      <c r="C45" s="36" t="s">
        <v>3811</v>
      </c>
      <c r="D45" s="11"/>
      <c r="E45" s="30">
        <v>18.52</v>
      </c>
      <c r="F45" s="30"/>
      <c r="G45" s="182"/>
      <c r="H45" s="18">
        <v>1206.240000000023</v>
      </c>
    </row>
    <row r="46" spans="1:8" ht="13.5" customHeight="1" x14ac:dyDescent="0.2">
      <c r="A46" s="180"/>
      <c r="B46" s="56"/>
      <c r="C46" s="36" t="s">
        <v>3812</v>
      </c>
      <c r="D46" s="11"/>
      <c r="E46" s="30">
        <v>4.28</v>
      </c>
      <c r="F46" s="30"/>
      <c r="G46" s="182"/>
      <c r="H46" s="18">
        <v>1201.960000000023</v>
      </c>
    </row>
    <row r="47" spans="1:8" ht="13.5" customHeight="1" x14ac:dyDescent="0.2">
      <c r="A47" s="180"/>
      <c r="B47" s="56"/>
      <c r="C47" s="36" t="s">
        <v>3813</v>
      </c>
      <c r="D47" s="11"/>
      <c r="E47" s="30">
        <v>200</v>
      </c>
      <c r="F47" s="30"/>
      <c r="G47" s="182"/>
      <c r="H47" s="18">
        <v>1001.960000000023</v>
      </c>
    </row>
    <row r="48" spans="1:8" ht="13.5" customHeight="1" x14ac:dyDescent="0.2">
      <c r="A48" s="180"/>
      <c r="B48" s="56"/>
      <c r="C48" s="36" t="s">
        <v>3814</v>
      </c>
      <c r="D48" s="11"/>
      <c r="E48" s="30">
        <v>30</v>
      </c>
      <c r="F48" s="30"/>
      <c r="G48" s="182"/>
      <c r="H48" s="18">
        <v>971.960000000023</v>
      </c>
    </row>
    <row r="49" spans="1:8" ht="13.5" customHeight="1" x14ac:dyDescent="0.2">
      <c r="A49" s="180"/>
      <c r="B49" s="56"/>
      <c r="C49" s="36" t="s">
        <v>3815</v>
      </c>
      <c r="D49" s="11"/>
      <c r="E49" s="30"/>
      <c r="F49" s="30">
        <v>200</v>
      </c>
      <c r="G49" s="182"/>
      <c r="H49" s="18">
        <v>1171.960000000023</v>
      </c>
    </row>
    <row r="50" spans="1:8" ht="13.5" customHeight="1" x14ac:dyDescent="0.2">
      <c r="A50" s="180"/>
      <c r="B50" s="56"/>
      <c r="C50" s="36" t="s">
        <v>3816</v>
      </c>
      <c r="D50" s="11"/>
      <c r="E50" s="30"/>
      <c r="F50" s="30">
        <v>4000</v>
      </c>
      <c r="G50" s="182"/>
      <c r="H50" s="18">
        <v>5171.9600000000228</v>
      </c>
    </row>
    <row r="51" spans="1:8" ht="13.5" customHeight="1" x14ac:dyDescent="0.2">
      <c r="A51" s="180"/>
      <c r="B51" s="56"/>
      <c r="C51" s="36" t="s">
        <v>2776</v>
      </c>
      <c r="D51" s="11"/>
      <c r="E51" s="552">
        <v>500</v>
      </c>
      <c r="F51" s="30"/>
      <c r="G51" s="182">
        <v>4671.9600000000228</v>
      </c>
      <c r="H51" s="18">
        <v>4671.9600000000228</v>
      </c>
    </row>
    <row r="52" spans="1:8" ht="13.5" customHeight="1" x14ac:dyDescent="0.2">
      <c r="A52" s="180">
        <v>43874</v>
      </c>
      <c r="B52" s="56"/>
      <c r="C52" s="36" t="s">
        <v>3817</v>
      </c>
      <c r="D52" s="11"/>
      <c r="E52" s="30"/>
      <c r="F52" s="30">
        <v>700</v>
      </c>
      <c r="G52" s="182"/>
      <c r="H52" s="18">
        <v>5371.9600000000228</v>
      </c>
    </row>
    <row r="53" spans="1:8" ht="13.5" customHeight="1" x14ac:dyDescent="0.2">
      <c r="A53" s="180"/>
      <c r="B53" s="56"/>
      <c r="C53" s="36" t="s">
        <v>3818</v>
      </c>
      <c r="D53" s="11"/>
      <c r="E53" s="30"/>
      <c r="F53" s="30">
        <v>4650</v>
      </c>
      <c r="G53" s="182"/>
      <c r="H53" s="18">
        <v>10021.960000000023</v>
      </c>
    </row>
    <row r="54" spans="1:8" ht="13.5" customHeight="1" x14ac:dyDescent="0.2">
      <c r="A54" s="180"/>
      <c r="B54" s="56"/>
      <c r="C54" s="36" t="s">
        <v>3819</v>
      </c>
      <c r="D54" s="11"/>
      <c r="E54" s="165">
        <v>4650</v>
      </c>
      <c r="F54" s="30"/>
      <c r="G54" s="182">
        <v>5371.9600000000228</v>
      </c>
      <c r="H54" s="18">
        <v>5371.9600000000228</v>
      </c>
    </row>
    <row r="55" spans="1:8" ht="13.5" customHeight="1" x14ac:dyDescent="0.2">
      <c r="A55" s="180">
        <v>43875</v>
      </c>
      <c r="B55" s="56"/>
      <c r="C55" s="36" t="s">
        <v>3820</v>
      </c>
      <c r="D55" s="11"/>
      <c r="E55" s="30">
        <v>10</v>
      </c>
      <c r="F55" s="30"/>
      <c r="G55" s="182"/>
      <c r="H55" s="18">
        <v>5361.9600000000228</v>
      </c>
    </row>
    <row r="56" spans="1:8" ht="13.5" customHeight="1" x14ac:dyDescent="0.2">
      <c r="A56" s="180"/>
      <c r="B56" s="56"/>
      <c r="C56" s="36" t="s">
        <v>3821</v>
      </c>
      <c r="D56" s="11"/>
      <c r="E56" s="30"/>
      <c r="F56" s="30">
        <v>1040</v>
      </c>
      <c r="G56" s="182"/>
      <c r="H56" s="18">
        <v>6401.9600000000228</v>
      </c>
    </row>
    <row r="57" spans="1:8" ht="13.5" customHeight="1" x14ac:dyDescent="0.2">
      <c r="A57" s="180"/>
      <c r="B57" s="56"/>
      <c r="C57" s="36" t="s">
        <v>3822</v>
      </c>
      <c r="D57" s="11"/>
      <c r="E57" s="30">
        <v>180</v>
      </c>
      <c r="F57" s="30"/>
      <c r="G57" s="182"/>
      <c r="H57" s="18">
        <v>6221.9600000000228</v>
      </c>
    </row>
    <row r="58" spans="1:8" ht="13.5" customHeight="1" x14ac:dyDescent="0.2">
      <c r="A58" s="180"/>
      <c r="B58" s="56"/>
      <c r="C58" s="36" t="s">
        <v>3823</v>
      </c>
      <c r="D58" s="11"/>
      <c r="E58" s="30">
        <v>892.44</v>
      </c>
      <c r="F58" s="30"/>
      <c r="G58" s="182"/>
      <c r="H58" s="18">
        <v>5329.5200000000223</v>
      </c>
    </row>
    <row r="59" spans="1:8" ht="13.5" customHeight="1" x14ac:dyDescent="0.2">
      <c r="A59" s="180"/>
      <c r="B59" s="56"/>
      <c r="C59" s="36" t="s">
        <v>3824</v>
      </c>
      <c r="D59" s="11"/>
      <c r="E59" s="30">
        <v>236.25</v>
      </c>
      <c r="F59" s="30"/>
      <c r="G59" s="182"/>
      <c r="H59" s="18">
        <v>5093.2700000000223</v>
      </c>
    </row>
    <row r="60" spans="1:8" ht="13.5" customHeight="1" x14ac:dyDescent="0.2">
      <c r="A60" s="180"/>
      <c r="B60" s="56"/>
      <c r="C60" s="36" t="s">
        <v>3825</v>
      </c>
      <c r="D60" s="11"/>
      <c r="E60" s="30"/>
      <c r="F60" s="30">
        <v>1650</v>
      </c>
      <c r="G60" s="182">
        <v>6743.2700000000223</v>
      </c>
      <c r="H60" s="18">
        <v>6743.2700000000223</v>
      </c>
    </row>
    <row r="61" spans="1:8" ht="13.5" customHeight="1" x14ac:dyDescent="0.2">
      <c r="A61" s="180">
        <v>43878</v>
      </c>
      <c r="B61" s="56"/>
      <c r="C61" s="36" t="s">
        <v>3826</v>
      </c>
      <c r="D61" s="11"/>
      <c r="E61" s="30">
        <v>25</v>
      </c>
      <c r="F61" s="30"/>
      <c r="G61" s="182"/>
      <c r="H61" s="18">
        <v>6718.2700000000223</v>
      </c>
    </row>
    <row r="62" spans="1:8" ht="13.5" customHeight="1" x14ac:dyDescent="0.2">
      <c r="A62" s="180"/>
      <c r="B62" s="56"/>
      <c r="C62" s="36" t="s">
        <v>3827</v>
      </c>
      <c r="D62" s="11"/>
      <c r="E62" s="30"/>
      <c r="F62" s="30">
        <v>88</v>
      </c>
      <c r="G62" s="182"/>
      <c r="H62" s="18">
        <v>6806.2700000000223</v>
      </c>
    </row>
    <row r="63" spans="1:8" ht="13.5" customHeight="1" x14ac:dyDescent="0.2">
      <c r="A63" s="180"/>
      <c r="B63" s="56"/>
      <c r="C63" s="36" t="s">
        <v>3828</v>
      </c>
      <c r="D63" s="11"/>
      <c r="E63" s="30"/>
      <c r="F63" s="30">
        <v>1590</v>
      </c>
      <c r="G63" s="182"/>
      <c r="H63" s="18">
        <v>8396.2700000000223</v>
      </c>
    </row>
    <row r="64" spans="1:8" ht="13.5" customHeight="1" x14ac:dyDescent="0.2">
      <c r="A64" s="180"/>
      <c r="B64" s="56"/>
      <c r="C64" s="36" t="s">
        <v>3829</v>
      </c>
      <c r="D64" s="11"/>
      <c r="E64" s="30"/>
      <c r="F64" s="30">
        <v>50</v>
      </c>
      <c r="G64" s="182"/>
      <c r="H64" s="18">
        <v>8446.2700000000223</v>
      </c>
    </row>
    <row r="65" spans="1:8" ht="13.5" customHeight="1" x14ac:dyDescent="0.2">
      <c r="A65" s="180"/>
      <c r="B65" s="56"/>
      <c r="C65" s="36" t="s">
        <v>3830</v>
      </c>
      <c r="D65" s="11"/>
      <c r="E65" s="30"/>
      <c r="F65" s="30">
        <v>525</v>
      </c>
      <c r="G65" s="182"/>
      <c r="H65" s="18">
        <v>8971.2700000000223</v>
      </c>
    </row>
    <row r="66" spans="1:8" ht="13.5" customHeight="1" x14ac:dyDescent="0.2">
      <c r="A66" s="180"/>
      <c r="B66" s="56"/>
      <c r="C66" s="36" t="s">
        <v>3831</v>
      </c>
      <c r="D66" s="11"/>
      <c r="E66" s="30"/>
      <c r="F66" s="30">
        <v>7750</v>
      </c>
      <c r="G66" s="182"/>
      <c r="H66" s="18">
        <v>16721.270000000022</v>
      </c>
    </row>
    <row r="67" spans="1:8" ht="13.5" customHeight="1" x14ac:dyDescent="0.2">
      <c r="A67" s="180"/>
      <c r="B67" s="56"/>
      <c r="C67" s="36" t="s">
        <v>3832</v>
      </c>
      <c r="D67" s="11"/>
      <c r="E67" s="30"/>
      <c r="F67" s="30">
        <v>471</v>
      </c>
      <c r="G67" s="182">
        <v>17192.270000000022</v>
      </c>
      <c r="H67" s="18">
        <v>17192.270000000022</v>
      </c>
    </row>
    <row r="68" spans="1:8" ht="13.5" customHeight="1" x14ac:dyDescent="0.2">
      <c r="A68" s="180">
        <v>43879</v>
      </c>
      <c r="B68" s="56"/>
      <c r="C68" s="36" t="s">
        <v>3833</v>
      </c>
      <c r="D68" s="11"/>
      <c r="E68" s="165">
        <v>8275</v>
      </c>
      <c r="F68" s="30"/>
      <c r="G68" s="182"/>
      <c r="H68" s="18">
        <v>8917.2700000000223</v>
      </c>
    </row>
    <row r="69" spans="1:8" ht="13.5" customHeight="1" x14ac:dyDescent="0.2">
      <c r="A69" s="180"/>
      <c r="B69" s="56"/>
      <c r="C69" s="36" t="s">
        <v>3834</v>
      </c>
      <c r="D69" s="11"/>
      <c r="E69" s="30">
        <v>7.8</v>
      </c>
      <c r="F69" s="30"/>
      <c r="G69" s="182"/>
      <c r="H69" s="18">
        <v>8909.470000000023</v>
      </c>
    </row>
    <row r="70" spans="1:8" ht="13.5" customHeight="1" x14ac:dyDescent="0.2">
      <c r="A70" s="180"/>
      <c r="B70" s="56"/>
      <c r="C70" s="36" t="s">
        <v>3835</v>
      </c>
      <c r="D70" s="11"/>
      <c r="E70" s="30">
        <v>7</v>
      </c>
      <c r="F70" s="30"/>
      <c r="G70" s="182"/>
      <c r="H70" s="18">
        <v>8902.470000000023</v>
      </c>
    </row>
    <row r="71" spans="1:8" ht="13.5" customHeight="1" x14ac:dyDescent="0.2">
      <c r="A71" s="180"/>
      <c r="B71" s="56"/>
      <c r="C71" s="36" t="s">
        <v>3836</v>
      </c>
      <c r="D71" s="11"/>
      <c r="E71" s="552">
        <v>7000</v>
      </c>
      <c r="F71" s="30"/>
      <c r="G71" s="182"/>
      <c r="H71" s="18">
        <v>1902.470000000023</v>
      </c>
    </row>
    <row r="72" spans="1:8" ht="13.5" customHeight="1" x14ac:dyDescent="0.2">
      <c r="A72" s="180"/>
      <c r="B72" s="56"/>
      <c r="C72" s="36" t="s">
        <v>3837</v>
      </c>
      <c r="D72" s="11"/>
      <c r="E72" s="30">
        <v>200</v>
      </c>
      <c r="F72" s="12"/>
      <c r="G72" s="182"/>
      <c r="H72" s="18">
        <v>1702.470000000023</v>
      </c>
    </row>
    <row r="73" spans="1:8" ht="13.5" customHeight="1" x14ac:dyDescent="0.2">
      <c r="A73" s="180"/>
      <c r="B73" s="56"/>
      <c r="C73" s="36" t="s">
        <v>3838</v>
      </c>
      <c r="D73" s="11"/>
      <c r="E73" s="30">
        <v>2.5</v>
      </c>
      <c r="F73" s="12"/>
      <c r="G73" s="182"/>
      <c r="H73" s="18">
        <v>1699.970000000023</v>
      </c>
    </row>
    <row r="74" spans="1:8" ht="13.5" customHeight="1" x14ac:dyDescent="0.2">
      <c r="A74" s="180"/>
      <c r="B74" s="56"/>
      <c r="C74" s="36" t="s">
        <v>3839</v>
      </c>
      <c r="D74" s="11"/>
      <c r="E74" s="30"/>
      <c r="F74" s="12">
        <v>1100</v>
      </c>
      <c r="G74" s="182"/>
      <c r="H74" s="18">
        <v>2799.970000000023</v>
      </c>
    </row>
    <row r="75" spans="1:8" ht="13.5" customHeight="1" x14ac:dyDescent="0.2">
      <c r="A75" s="180"/>
      <c r="B75" s="56"/>
      <c r="C75" s="36" t="s">
        <v>3840</v>
      </c>
      <c r="D75" s="11"/>
      <c r="E75" s="30">
        <v>7.34</v>
      </c>
      <c r="F75" s="12"/>
      <c r="G75" s="182">
        <v>2792.6300000000228</v>
      </c>
      <c r="H75" s="18">
        <v>2792.6300000000228</v>
      </c>
    </row>
    <row r="76" spans="1:8" ht="13.5" customHeight="1" x14ac:dyDescent="0.2">
      <c r="A76" s="180">
        <v>43880</v>
      </c>
      <c r="B76" s="56"/>
      <c r="C76" s="36" t="s">
        <v>3841</v>
      </c>
      <c r="D76" s="11"/>
      <c r="E76" s="30">
        <v>7.98</v>
      </c>
      <c r="F76" s="12"/>
      <c r="G76" s="182">
        <v>2784.6500000000228</v>
      </c>
      <c r="H76" s="18">
        <v>2784.6500000000228</v>
      </c>
    </row>
    <row r="77" spans="1:8" ht="13.5" customHeight="1" x14ac:dyDescent="0.2">
      <c r="A77" s="180">
        <v>43881</v>
      </c>
      <c r="B77" s="56"/>
      <c r="C77" s="36" t="s">
        <v>3842</v>
      </c>
      <c r="D77" s="11"/>
      <c r="E77" s="30">
        <v>44</v>
      </c>
      <c r="F77" s="12"/>
      <c r="G77" s="182"/>
      <c r="H77" s="18">
        <v>2740.6500000000228</v>
      </c>
    </row>
    <row r="78" spans="1:8" ht="13.5" customHeight="1" x14ac:dyDescent="0.2">
      <c r="A78" s="180"/>
      <c r="B78" s="56"/>
      <c r="C78" s="36" t="s">
        <v>3843</v>
      </c>
      <c r="D78" s="11"/>
      <c r="E78" s="30">
        <v>8</v>
      </c>
      <c r="F78" s="12"/>
      <c r="G78" s="182"/>
      <c r="H78" s="18">
        <v>2732.6500000000228</v>
      </c>
    </row>
    <row r="79" spans="1:8" ht="13.5" customHeight="1" x14ac:dyDescent="0.2">
      <c r="A79" s="180"/>
      <c r="B79" s="56"/>
      <c r="C79" s="36" t="s">
        <v>3844</v>
      </c>
      <c r="D79" s="11"/>
      <c r="E79" s="30">
        <v>83.75</v>
      </c>
      <c r="F79" s="12"/>
      <c r="G79" s="182"/>
      <c r="H79" s="18">
        <v>2648.9000000000228</v>
      </c>
    </row>
    <row r="80" spans="1:8" ht="13.5" customHeight="1" x14ac:dyDescent="0.2">
      <c r="A80" s="180"/>
      <c r="B80" s="56"/>
      <c r="C80" s="36" t="s">
        <v>3845</v>
      </c>
      <c r="D80" s="11"/>
      <c r="E80" s="30">
        <v>1.6</v>
      </c>
      <c r="F80" s="12"/>
      <c r="G80" s="182"/>
      <c r="H80" s="18">
        <v>2647.3000000000229</v>
      </c>
    </row>
    <row r="81" spans="1:9" ht="13.5" customHeight="1" x14ac:dyDescent="0.2">
      <c r="A81" s="180"/>
      <c r="B81" s="56"/>
      <c r="C81" s="36" t="s">
        <v>3846</v>
      </c>
      <c r="D81" s="11"/>
      <c r="E81" s="30">
        <v>83.5</v>
      </c>
      <c r="F81" s="12"/>
      <c r="G81" s="182"/>
      <c r="H81" s="18">
        <v>2563.8000000000229</v>
      </c>
    </row>
    <row r="82" spans="1:9" ht="13.5" customHeight="1" x14ac:dyDescent="0.2">
      <c r="A82" s="180"/>
      <c r="B82" s="56"/>
      <c r="C82" s="36" t="s">
        <v>3847</v>
      </c>
      <c r="D82" s="11"/>
      <c r="E82" s="30">
        <v>360</v>
      </c>
      <c r="F82" s="12"/>
      <c r="G82" s="182">
        <v>2203.8000000000229</v>
      </c>
      <c r="H82" s="18">
        <v>2203.8000000000229</v>
      </c>
      <c r="I82" s="18"/>
    </row>
    <row r="83" spans="1:9" ht="13.5" customHeight="1" x14ac:dyDescent="0.2">
      <c r="A83" s="180">
        <v>43882</v>
      </c>
      <c r="B83" s="56"/>
      <c r="C83" s="36" t="s">
        <v>3848</v>
      </c>
      <c r="D83" s="11"/>
      <c r="E83" s="30">
        <v>44.15</v>
      </c>
      <c r="F83" s="12"/>
      <c r="G83" s="182"/>
      <c r="H83" s="18">
        <v>2159.6500000000228</v>
      </c>
      <c r="I83" s="18"/>
    </row>
    <row r="84" spans="1:9" ht="13.5" customHeight="1" x14ac:dyDescent="0.2">
      <c r="A84" s="180"/>
      <c r="B84" s="56"/>
      <c r="C84" s="36" t="s">
        <v>3849</v>
      </c>
      <c r="D84" s="11"/>
      <c r="E84" s="30"/>
      <c r="F84" s="12">
        <v>1140</v>
      </c>
      <c r="G84" s="182"/>
      <c r="H84" s="18">
        <v>3299.6500000000228</v>
      </c>
      <c r="I84" s="18"/>
    </row>
    <row r="85" spans="1:9" ht="13.5" customHeight="1" x14ac:dyDescent="0.2">
      <c r="A85" s="180"/>
      <c r="B85" s="56"/>
      <c r="C85" s="36" t="s">
        <v>3850</v>
      </c>
      <c r="D85" s="11"/>
      <c r="E85" s="30"/>
      <c r="F85" s="12">
        <v>150</v>
      </c>
      <c r="G85" s="182"/>
      <c r="H85" s="18">
        <v>3449.6500000000228</v>
      </c>
      <c r="I85" s="18"/>
    </row>
    <row r="86" spans="1:9" ht="13.5" customHeight="1" x14ac:dyDescent="0.2">
      <c r="A86" s="180"/>
      <c r="B86" s="56"/>
      <c r="C86" s="36" t="s">
        <v>3851</v>
      </c>
      <c r="D86" s="11"/>
      <c r="E86" s="30"/>
      <c r="F86" s="12">
        <v>1464</v>
      </c>
      <c r="G86" s="182"/>
      <c r="H86" s="18">
        <v>4913.6500000000233</v>
      </c>
      <c r="I86" s="18"/>
    </row>
    <row r="87" spans="1:9" ht="13.5" customHeight="1" x14ac:dyDescent="0.2">
      <c r="A87" s="180"/>
      <c r="B87" s="56"/>
      <c r="C87" s="36" t="s">
        <v>3852</v>
      </c>
      <c r="D87" s="11"/>
      <c r="E87" s="30">
        <v>300</v>
      </c>
      <c r="F87" s="12"/>
      <c r="G87" s="182"/>
      <c r="H87" s="18">
        <v>4613.6500000000233</v>
      </c>
      <c r="I87" s="18"/>
    </row>
    <row r="88" spans="1:9" ht="13.5" customHeight="1" x14ac:dyDescent="0.2">
      <c r="A88" s="180"/>
      <c r="B88" s="56"/>
      <c r="C88" s="36" t="s">
        <v>3853</v>
      </c>
      <c r="D88" s="11"/>
      <c r="E88" s="30">
        <v>472.5</v>
      </c>
      <c r="F88" s="12"/>
      <c r="G88" s="182"/>
      <c r="H88" s="18">
        <v>4141.1500000000233</v>
      </c>
      <c r="I88" s="18"/>
    </row>
    <row r="89" spans="1:9" ht="13.5" customHeight="1" x14ac:dyDescent="0.2">
      <c r="A89" s="180"/>
      <c r="B89" s="56"/>
      <c r="C89" s="36" t="s">
        <v>3854</v>
      </c>
      <c r="D89" s="11"/>
      <c r="E89" s="30"/>
      <c r="F89" s="12">
        <v>409.1</v>
      </c>
      <c r="G89" s="182"/>
      <c r="H89" s="18">
        <v>4550.2500000000236</v>
      </c>
      <c r="I89" s="18"/>
    </row>
    <row r="90" spans="1:9" ht="13.5" customHeight="1" x14ac:dyDescent="0.2">
      <c r="A90" s="180"/>
      <c r="B90" s="56"/>
      <c r="C90" s="33" t="s">
        <v>3855</v>
      </c>
      <c r="D90" s="27"/>
      <c r="E90" s="728">
        <v>4000</v>
      </c>
      <c r="F90" s="729"/>
      <c r="G90" s="182">
        <v>550.25</v>
      </c>
      <c r="H90" s="18">
        <v>550.25000000002365</v>
      </c>
      <c r="I90" s="18"/>
    </row>
    <row r="91" spans="1:9" ht="13.5" customHeight="1" x14ac:dyDescent="0.2">
      <c r="A91" s="180">
        <v>43888</v>
      </c>
      <c r="B91" s="56"/>
      <c r="C91" s="36" t="s">
        <v>3856</v>
      </c>
      <c r="D91" s="11"/>
      <c r="E91" s="30"/>
      <c r="F91" s="12">
        <v>712.75</v>
      </c>
      <c r="G91" s="182">
        <v>1263</v>
      </c>
      <c r="H91" s="18">
        <v>1263.0000000000236</v>
      </c>
      <c r="I91" s="18"/>
    </row>
    <row r="92" spans="1:9" ht="13.5" customHeight="1" x14ac:dyDescent="0.2">
      <c r="A92" s="180">
        <v>43889</v>
      </c>
      <c r="B92" s="56"/>
      <c r="C92" s="36" t="s">
        <v>3857</v>
      </c>
      <c r="D92" s="11"/>
      <c r="E92" s="30"/>
      <c r="F92" s="12">
        <v>241</v>
      </c>
      <c r="G92" s="182"/>
      <c r="H92" s="18">
        <v>1504.0000000000236</v>
      </c>
      <c r="I92" s="18"/>
    </row>
    <row r="93" spans="1:9" ht="13.5" customHeight="1" x14ac:dyDescent="0.2">
      <c r="A93" s="180"/>
      <c r="B93" s="56"/>
      <c r="C93" s="36" t="s">
        <v>3858</v>
      </c>
      <c r="D93" s="11"/>
      <c r="E93" s="30"/>
      <c r="F93" s="12">
        <v>5200</v>
      </c>
      <c r="G93" s="182"/>
      <c r="H93" s="18">
        <v>6704.0000000000236</v>
      </c>
      <c r="I93" s="18"/>
    </row>
    <row r="94" spans="1:9" ht="13.5" customHeight="1" x14ac:dyDescent="0.2">
      <c r="A94" s="180"/>
      <c r="B94" s="56"/>
      <c r="C94" s="36" t="s">
        <v>3859</v>
      </c>
      <c r="D94" s="11"/>
      <c r="E94" s="30"/>
      <c r="F94" s="12">
        <v>2205</v>
      </c>
      <c r="G94" s="182"/>
      <c r="H94" s="18">
        <v>8909.0000000000236</v>
      </c>
      <c r="I94" s="18"/>
    </row>
    <row r="95" spans="1:9" ht="13.5" customHeight="1" x14ac:dyDescent="0.2">
      <c r="A95" s="180"/>
      <c r="B95" s="56"/>
      <c r="C95" s="36" t="s">
        <v>3860</v>
      </c>
      <c r="D95" s="11"/>
      <c r="E95" s="30">
        <v>6000</v>
      </c>
      <c r="F95" s="12"/>
      <c r="G95" s="182"/>
      <c r="H95" s="18">
        <v>2909.0000000000236</v>
      </c>
      <c r="I95" s="18"/>
    </row>
    <row r="96" spans="1:9" ht="13.5" customHeight="1" x14ac:dyDescent="0.2">
      <c r="A96" s="180"/>
      <c r="B96" s="56"/>
      <c r="C96" s="36" t="s">
        <v>3861</v>
      </c>
      <c r="D96" s="11"/>
      <c r="E96" s="30">
        <v>120</v>
      </c>
      <c r="F96" s="12"/>
      <c r="G96" s="182"/>
      <c r="H96" s="18">
        <v>2789.0000000000236</v>
      </c>
      <c r="I96" s="18"/>
    </row>
    <row r="97" spans="1:27" ht="13.5" customHeight="1" x14ac:dyDescent="0.2">
      <c r="A97" s="180"/>
      <c r="B97" s="56"/>
      <c r="C97" s="36" t="s">
        <v>3862</v>
      </c>
      <c r="D97" s="11"/>
      <c r="E97" s="30">
        <v>315</v>
      </c>
      <c r="F97" s="12"/>
      <c r="G97" s="182"/>
      <c r="H97" s="18">
        <v>2474.0000000000236</v>
      </c>
      <c r="I97" s="18"/>
    </row>
    <row r="98" spans="1:27" ht="13.5" customHeight="1" x14ac:dyDescent="0.2">
      <c r="A98" s="180"/>
      <c r="B98" s="56"/>
      <c r="C98" s="36" t="s">
        <v>3863</v>
      </c>
      <c r="D98" s="11"/>
      <c r="E98" s="30">
        <v>70</v>
      </c>
      <c r="F98" s="12"/>
      <c r="G98" s="205">
        <v>2404</v>
      </c>
      <c r="H98" s="18">
        <v>2404.0000000000236</v>
      </c>
      <c r="I98" s="18"/>
    </row>
    <row r="99" spans="1:27" s="64" customFormat="1" ht="13.5" customHeight="1" thickBot="1" x14ac:dyDescent="0.25">
      <c r="A99" s="184"/>
      <c r="B99" s="63"/>
      <c r="C99" s="63"/>
      <c r="D99" s="50"/>
      <c r="E99" s="650">
        <f>-SUM(E4:E98)</f>
        <v>-46361.38</v>
      </c>
      <c r="F99" s="650">
        <f>SUM(F4:F98)</f>
        <v>43277.85</v>
      </c>
      <c r="G99" s="53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3.5" customHeight="1" thickBot="1" x14ac:dyDescent="0.25">
      <c r="A100" s="2" t="s">
        <v>2</v>
      </c>
      <c r="B100" s="3"/>
      <c r="C100" s="3" t="s">
        <v>536</v>
      </c>
      <c r="D100" s="3" t="s">
        <v>4</v>
      </c>
      <c r="E100" s="3" t="s">
        <v>5</v>
      </c>
      <c r="F100" s="3" t="s">
        <v>6</v>
      </c>
      <c r="G100" s="5" t="s">
        <v>7</v>
      </c>
    </row>
    <row r="101" spans="1:27" ht="13.5" customHeight="1" x14ac:dyDescent="0.2">
      <c r="A101" s="8">
        <v>43862</v>
      </c>
      <c r="B101" s="56"/>
      <c r="C101" s="10" t="s">
        <v>8</v>
      </c>
      <c r="D101" s="11"/>
      <c r="E101" s="51"/>
      <c r="F101" s="12"/>
      <c r="G101" s="205">
        <v>9403.6600000000071</v>
      </c>
      <c r="H101" s="18">
        <v>9403.6600000000071</v>
      </c>
    </row>
    <row r="102" spans="1:27" customFormat="1" ht="13.5" customHeight="1" x14ac:dyDescent="0.2">
      <c r="A102" s="180">
        <v>43867</v>
      </c>
      <c r="B102" s="36"/>
      <c r="C102" s="36" t="s">
        <v>3864</v>
      </c>
      <c r="D102" s="42"/>
      <c r="E102" s="196">
        <v>7.66</v>
      </c>
      <c r="F102" s="43"/>
      <c r="G102" s="203">
        <v>9396.0000000000073</v>
      </c>
      <c r="H102" s="72">
        <v>9396.0000000000073</v>
      </c>
    </row>
    <row r="103" spans="1:27" ht="13.5" customHeight="1" x14ac:dyDescent="0.2">
      <c r="A103" s="171">
        <v>43868</v>
      </c>
      <c r="B103" s="46"/>
      <c r="C103" s="36" t="s">
        <v>3865</v>
      </c>
      <c r="D103" s="11"/>
      <c r="E103" s="30"/>
      <c r="F103" s="12">
        <v>44.7</v>
      </c>
      <c r="G103" s="203">
        <v>9440.700000000008</v>
      </c>
      <c r="H103" s="72">
        <v>9440.700000000008</v>
      </c>
    </row>
    <row r="104" spans="1:27" ht="13.5" customHeight="1" x14ac:dyDescent="0.2">
      <c r="A104" s="180"/>
      <c r="B104" s="56"/>
      <c r="C104" s="36" t="s">
        <v>3866</v>
      </c>
      <c r="D104" s="11"/>
      <c r="E104" s="30">
        <v>100</v>
      </c>
      <c r="F104" s="12"/>
      <c r="G104" s="203">
        <v>9340.700000000008</v>
      </c>
      <c r="H104" s="72">
        <v>9340.700000000008</v>
      </c>
    </row>
    <row r="105" spans="1:27" ht="13.5" customHeight="1" x14ac:dyDescent="0.2">
      <c r="A105" s="180">
        <v>43869</v>
      </c>
      <c r="B105" s="56"/>
      <c r="C105" s="36" t="s">
        <v>3867</v>
      </c>
      <c r="D105" s="11"/>
      <c r="E105" s="30">
        <v>25</v>
      </c>
      <c r="F105" s="12"/>
      <c r="G105" s="203">
        <v>9315.700000000008</v>
      </c>
      <c r="H105" s="72">
        <v>9315.700000000008</v>
      </c>
    </row>
    <row r="106" spans="1:27" ht="13.5" customHeight="1" x14ac:dyDescent="0.2">
      <c r="A106" s="180">
        <v>43870</v>
      </c>
      <c r="B106" s="56"/>
      <c r="C106" s="36" t="s">
        <v>3868</v>
      </c>
      <c r="D106" s="11"/>
      <c r="E106" s="30">
        <v>25</v>
      </c>
      <c r="F106" s="12"/>
      <c r="G106" s="203">
        <v>9290.700000000008</v>
      </c>
      <c r="H106" s="72">
        <v>9290.700000000008</v>
      </c>
    </row>
    <row r="107" spans="1:27" ht="13.5" customHeight="1" x14ac:dyDescent="0.2">
      <c r="A107" s="180"/>
      <c r="B107" s="56"/>
      <c r="C107" s="36" t="s">
        <v>3869</v>
      </c>
      <c r="D107" s="11"/>
      <c r="E107" s="30"/>
      <c r="F107" s="12">
        <v>44.7</v>
      </c>
      <c r="G107" s="203">
        <v>9335.4000000000087</v>
      </c>
      <c r="H107" s="72">
        <v>9335.4000000000087</v>
      </c>
    </row>
    <row r="108" spans="1:27" ht="13.5" customHeight="1" x14ac:dyDescent="0.2">
      <c r="A108" s="180">
        <v>43872</v>
      </c>
      <c r="B108" s="56"/>
      <c r="C108" s="36" t="s">
        <v>3870</v>
      </c>
      <c r="D108" s="11"/>
      <c r="E108" s="30">
        <v>10.35</v>
      </c>
      <c r="F108" s="12"/>
      <c r="G108" s="203">
        <v>9325.0500000000084</v>
      </c>
      <c r="H108" s="72">
        <v>9325.0500000000084</v>
      </c>
    </row>
    <row r="109" spans="1:27" ht="13.5" customHeight="1" x14ac:dyDescent="0.2">
      <c r="A109" s="180">
        <v>43872</v>
      </c>
      <c r="B109" s="56"/>
      <c r="C109" s="36" t="s">
        <v>2776</v>
      </c>
      <c r="D109" s="11"/>
      <c r="E109" s="30"/>
      <c r="F109" s="277">
        <v>500</v>
      </c>
      <c r="G109" s="203">
        <v>9825.0500000000084</v>
      </c>
      <c r="H109" s="72">
        <v>9825.0500000000084</v>
      </c>
    </row>
    <row r="110" spans="1:27" ht="13.5" customHeight="1" x14ac:dyDescent="0.2">
      <c r="A110" s="180">
        <v>43879</v>
      </c>
      <c r="B110" s="56"/>
      <c r="C110" s="36" t="s">
        <v>3836</v>
      </c>
      <c r="D110" s="11"/>
      <c r="E110" s="30"/>
      <c r="F110" s="277">
        <v>7000</v>
      </c>
      <c r="G110" s="203">
        <v>16825.05000000001</v>
      </c>
      <c r="H110" s="72">
        <v>16825.05000000001</v>
      </c>
    </row>
    <row r="111" spans="1:27" ht="13.5" customHeight="1" x14ac:dyDescent="0.2">
      <c r="A111" s="180"/>
      <c r="B111" s="56"/>
      <c r="C111" s="36" t="s">
        <v>3871</v>
      </c>
      <c r="D111" s="11"/>
      <c r="E111" s="30">
        <v>1000</v>
      </c>
      <c r="F111" s="12"/>
      <c r="G111" s="203">
        <v>15825.05000000001</v>
      </c>
      <c r="H111" s="72">
        <v>15825.05000000001</v>
      </c>
    </row>
    <row r="112" spans="1:27" ht="13.5" customHeight="1" x14ac:dyDescent="0.2">
      <c r="A112" s="180"/>
      <c r="B112" s="56"/>
      <c r="C112" s="34" t="s">
        <v>3872</v>
      </c>
      <c r="D112" s="50"/>
      <c r="E112" s="51">
        <v>100</v>
      </c>
      <c r="F112" s="12"/>
      <c r="G112" s="203">
        <v>15725.05000000001</v>
      </c>
      <c r="H112" s="72">
        <v>15725.05000000001</v>
      </c>
    </row>
    <row r="113" spans="1:8" ht="13.5" customHeight="1" x14ac:dyDescent="0.2">
      <c r="A113" s="180"/>
      <c r="B113" s="56"/>
      <c r="C113" s="36" t="s">
        <v>3873</v>
      </c>
      <c r="D113" s="11"/>
      <c r="E113" s="30">
        <v>19.98</v>
      </c>
      <c r="F113" s="12"/>
      <c r="G113" s="203">
        <v>15705.070000000011</v>
      </c>
      <c r="H113" s="72">
        <v>15705.070000000011</v>
      </c>
    </row>
    <row r="114" spans="1:8" ht="13.5" customHeight="1" x14ac:dyDescent="0.2">
      <c r="A114" s="180">
        <v>43880</v>
      </c>
      <c r="B114" s="56"/>
      <c r="C114" s="32" t="s">
        <v>3699</v>
      </c>
      <c r="D114" s="11"/>
      <c r="E114" s="30">
        <v>730</v>
      </c>
      <c r="F114" s="12"/>
      <c r="G114" s="203">
        <v>14975.070000000011</v>
      </c>
      <c r="H114" s="72">
        <v>14975.070000000011</v>
      </c>
    </row>
    <row r="115" spans="1:8" ht="13.5" customHeight="1" x14ac:dyDescent="0.2">
      <c r="A115" s="180"/>
      <c r="B115" s="56"/>
      <c r="C115" s="36" t="s">
        <v>1002</v>
      </c>
      <c r="D115" s="11"/>
      <c r="E115" s="30">
        <v>1971.92</v>
      </c>
      <c r="F115" s="12"/>
      <c r="G115" s="203">
        <v>13003.150000000011</v>
      </c>
      <c r="H115" s="72">
        <v>13003.150000000011</v>
      </c>
    </row>
    <row r="116" spans="1:8" ht="13.5" customHeight="1" x14ac:dyDescent="0.2">
      <c r="A116" s="180">
        <v>43882</v>
      </c>
      <c r="B116" s="56"/>
      <c r="C116" s="33" t="s">
        <v>3855</v>
      </c>
      <c r="D116" s="11"/>
      <c r="E116" s="30"/>
      <c r="F116" s="277">
        <v>4000</v>
      </c>
      <c r="G116" s="203">
        <v>17003.150000000009</v>
      </c>
      <c r="H116" s="72">
        <v>17003.150000000009</v>
      </c>
    </row>
    <row r="117" spans="1:8" ht="13.5" customHeight="1" x14ac:dyDescent="0.2">
      <c r="A117" s="180">
        <v>43884</v>
      </c>
      <c r="B117" s="56"/>
      <c r="C117" s="36" t="s">
        <v>3874</v>
      </c>
      <c r="D117" s="11"/>
      <c r="E117" s="30">
        <v>3.15</v>
      </c>
      <c r="F117" s="12"/>
      <c r="G117" s="205">
        <v>17000.000000000007</v>
      </c>
      <c r="H117" s="72">
        <v>17000.000000000007</v>
      </c>
    </row>
    <row r="118" spans="1:8" ht="13.5" customHeight="1" thickBot="1" x14ac:dyDescent="0.25">
      <c r="A118" s="180"/>
      <c r="B118" s="56"/>
      <c r="C118" s="56"/>
      <c r="D118" s="11"/>
      <c r="E118" s="653">
        <f>-SUM(E102:E117)</f>
        <v>-3993.06</v>
      </c>
      <c r="F118" s="653">
        <f>SUM(F102:F117)</f>
        <v>11589.4</v>
      </c>
      <c r="G118" s="182"/>
    </row>
    <row r="119" spans="1:8" ht="13.5" customHeight="1" thickBot="1" x14ac:dyDescent="0.25">
      <c r="A119" s="2" t="s">
        <v>2</v>
      </c>
      <c r="B119" s="3"/>
      <c r="C119" s="3" t="s">
        <v>3</v>
      </c>
      <c r="D119" s="3"/>
      <c r="E119" s="3"/>
      <c r="F119" s="3"/>
      <c r="G119" s="5" t="s">
        <v>7</v>
      </c>
    </row>
    <row r="120" spans="1:8" ht="13.5" customHeight="1" x14ac:dyDescent="0.2">
      <c r="A120" s="8">
        <v>43862</v>
      </c>
      <c r="B120" s="70"/>
      <c r="C120" s="10" t="s">
        <v>537</v>
      </c>
      <c r="D120" s="46"/>
      <c r="E120" s="67"/>
      <c r="F120" s="67"/>
      <c r="G120" s="205">
        <v>574.42999999999995</v>
      </c>
      <c r="H120" s="18">
        <v>574.42999999999995</v>
      </c>
    </row>
    <row r="121" spans="1:8" ht="13.5" customHeight="1" x14ac:dyDescent="0.2">
      <c r="A121" s="171" t="s">
        <v>3875</v>
      </c>
      <c r="B121" s="46"/>
      <c r="C121" s="34" t="s">
        <v>3876</v>
      </c>
      <c r="D121" s="46" t="s">
        <v>19</v>
      </c>
      <c r="E121" s="69" t="s">
        <v>549</v>
      </c>
      <c r="F121" s="69">
        <v>582</v>
      </c>
      <c r="G121" s="182"/>
      <c r="H121" s="18">
        <v>1156.4299999999998</v>
      </c>
    </row>
    <row r="122" spans="1:8" ht="13.5" customHeight="1" x14ac:dyDescent="0.2">
      <c r="A122" s="171"/>
      <c r="B122" s="46"/>
      <c r="C122" s="34" t="s">
        <v>1597</v>
      </c>
      <c r="D122" s="46" t="s">
        <v>19</v>
      </c>
      <c r="E122" s="69">
        <v>-0.99</v>
      </c>
      <c r="F122" s="69" t="s">
        <v>549</v>
      </c>
      <c r="G122" s="182"/>
      <c r="H122" s="18">
        <v>1155.4399999999998</v>
      </c>
    </row>
    <row r="123" spans="1:8" ht="13.5" customHeight="1" x14ac:dyDescent="0.2">
      <c r="A123" s="171"/>
      <c r="B123" s="46"/>
      <c r="C123" s="34" t="s">
        <v>1598</v>
      </c>
      <c r="D123" s="46" t="s">
        <v>19</v>
      </c>
      <c r="E123" s="69">
        <v>-15.66</v>
      </c>
      <c r="F123" s="69" t="s">
        <v>549</v>
      </c>
      <c r="G123" s="182">
        <v>1139.78</v>
      </c>
      <c r="H123" s="18">
        <v>1139.7799999999997</v>
      </c>
    </row>
    <row r="124" spans="1:8" ht="13.5" customHeight="1" x14ac:dyDescent="0.2">
      <c r="A124" s="180" t="s">
        <v>3877</v>
      </c>
      <c r="B124" s="46"/>
      <c r="C124" s="34" t="s">
        <v>2462</v>
      </c>
      <c r="D124" s="46" t="s">
        <v>3147</v>
      </c>
      <c r="E124" s="69">
        <v>-55.02</v>
      </c>
      <c r="F124" s="69" t="s">
        <v>549</v>
      </c>
      <c r="G124" s="182"/>
      <c r="H124" s="18">
        <v>1084.7599999999998</v>
      </c>
    </row>
    <row r="125" spans="1:8" ht="13.5" customHeight="1" x14ac:dyDescent="0.2">
      <c r="A125" s="180"/>
      <c r="B125" s="46"/>
      <c r="C125" s="34" t="s">
        <v>55</v>
      </c>
      <c r="D125" s="46" t="s">
        <v>19</v>
      </c>
      <c r="E125" s="61">
        <v>-400</v>
      </c>
      <c r="F125" s="61" t="s">
        <v>549</v>
      </c>
      <c r="G125" s="182">
        <v>684.76</v>
      </c>
      <c r="H125" s="18">
        <v>684.75999999999976</v>
      </c>
    </row>
    <row r="126" spans="1:8" ht="13.5" customHeight="1" x14ac:dyDescent="0.2">
      <c r="A126" s="180" t="s">
        <v>3878</v>
      </c>
      <c r="B126" s="46"/>
      <c r="C126" s="34" t="s">
        <v>68</v>
      </c>
      <c r="D126" s="46" t="s">
        <v>884</v>
      </c>
      <c r="E126" s="69">
        <v>-129.9</v>
      </c>
      <c r="F126" s="69" t="s">
        <v>549</v>
      </c>
      <c r="G126" s="182"/>
      <c r="H126" s="18">
        <v>554.85999999999979</v>
      </c>
    </row>
    <row r="127" spans="1:8" ht="13.5" customHeight="1" x14ac:dyDescent="0.2">
      <c r="A127" s="180"/>
      <c r="B127" s="9"/>
      <c r="C127" s="34" t="s">
        <v>3707</v>
      </c>
      <c r="D127" s="46" t="s">
        <v>1896</v>
      </c>
      <c r="E127" s="61">
        <v>-934.93</v>
      </c>
      <c r="F127" s="61" t="s">
        <v>549</v>
      </c>
      <c r="G127" s="182"/>
      <c r="H127" s="18">
        <v>-380.07000000000016</v>
      </c>
    </row>
    <row r="128" spans="1:8" ht="13.5" customHeight="1" x14ac:dyDescent="0.2">
      <c r="A128" s="180"/>
      <c r="B128" s="9"/>
      <c r="C128" s="36" t="s">
        <v>20</v>
      </c>
      <c r="D128" s="46"/>
      <c r="E128" s="61"/>
      <c r="F128" s="61">
        <v>0.03</v>
      </c>
      <c r="G128" s="182">
        <v>-380.04</v>
      </c>
      <c r="H128" s="18">
        <v>-380.04000000000019</v>
      </c>
    </row>
    <row r="129" spans="1:8" ht="13.5" customHeight="1" x14ac:dyDescent="0.2">
      <c r="A129" s="180" t="s">
        <v>3879</v>
      </c>
      <c r="B129" s="9"/>
      <c r="C129" s="36" t="s">
        <v>3726</v>
      </c>
      <c r="D129" s="46" t="s">
        <v>19</v>
      </c>
      <c r="E129" s="61">
        <v>-448.36</v>
      </c>
      <c r="F129" s="61" t="s">
        <v>549</v>
      </c>
      <c r="G129" s="182"/>
      <c r="H129" s="18">
        <v>-828.4000000000002</v>
      </c>
    </row>
    <row r="130" spans="1:8" ht="13.5" customHeight="1" x14ac:dyDescent="0.2">
      <c r="A130" s="180"/>
      <c r="B130" s="9"/>
      <c r="C130" s="34" t="s">
        <v>1625</v>
      </c>
      <c r="D130" s="46" t="s">
        <v>3880</v>
      </c>
      <c r="E130" s="61" t="s">
        <v>549</v>
      </c>
      <c r="F130" s="600">
        <v>1000</v>
      </c>
      <c r="G130" s="182"/>
      <c r="H130" s="18">
        <v>171.5999999999998</v>
      </c>
    </row>
    <row r="131" spans="1:8" ht="13.5" customHeight="1" x14ac:dyDescent="0.2">
      <c r="A131" s="180"/>
      <c r="B131" s="9"/>
      <c r="C131" s="36" t="s">
        <v>3810</v>
      </c>
      <c r="D131" s="46" t="s">
        <v>3881</v>
      </c>
      <c r="E131" s="61" t="s">
        <v>549</v>
      </c>
      <c r="F131" s="600">
        <v>1050</v>
      </c>
      <c r="G131" s="182">
        <v>1221.5999999999999</v>
      </c>
      <c r="H131" s="18">
        <v>1221.5999999999999</v>
      </c>
    </row>
    <row r="132" spans="1:8" ht="13.5" customHeight="1" x14ac:dyDescent="0.2">
      <c r="A132" s="180" t="s">
        <v>3882</v>
      </c>
      <c r="B132" s="9"/>
      <c r="C132" s="34" t="s">
        <v>87</v>
      </c>
      <c r="D132" s="46" t="s">
        <v>19</v>
      </c>
      <c r="E132" s="61">
        <v>-77.11</v>
      </c>
      <c r="F132" s="61" t="s">
        <v>549</v>
      </c>
      <c r="G132" s="182">
        <v>1144.49</v>
      </c>
      <c r="H132" s="18">
        <v>1144.49</v>
      </c>
    </row>
    <row r="133" spans="1:8" ht="13.5" customHeight="1" x14ac:dyDescent="0.2">
      <c r="A133" s="180" t="s">
        <v>3883</v>
      </c>
      <c r="B133" s="46"/>
      <c r="C133" s="36" t="s">
        <v>3819</v>
      </c>
      <c r="D133" s="46" t="s">
        <v>3884</v>
      </c>
      <c r="E133" s="69" t="s">
        <v>549</v>
      </c>
      <c r="F133" s="322">
        <v>4650</v>
      </c>
      <c r="G133" s="182"/>
      <c r="H133" s="18">
        <v>5794.49</v>
      </c>
    </row>
    <row r="134" spans="1:8" ht="13.5" customHeight="1" x14ac:dyDescent="0.2">
      <c r="A134" s="180"/>
      <c r="B134" s="46"/>
      <c r="C134" s="34" t="s">
        <v>673</v>
      </c>
      <c r="D134" s="46" t="s">
        <v>19</v>
      </c>
      <c r="E134" s="69">
        <v>-101.53</v>
      </c>
      <c r="F134" s="69" t="s">
        <v>549</v>
      </c>
      <c r="G134" s="182"/>
      <c r="H134" s="18">
        <v>5692.96</v>
      </c>
    </row>
    <row r="135" spans="1:8" ht="13.5" customHeight="1" x14ac:dyDescent="0.2">
      <c r="A135" s="180"/>
      <c r="B135" s="46"/>
      <c r="C135" s="33" t="s">
        <v>81</v>
      </c>
      <c r="D135" s="46" t="s">
        <v>19</v>
      </c>
      <c r="E135" s="69">
        <v>-53.56</v>
      </c>
      <c r="F135" s="69" t="s">
        <v>549</v>
      </c>
      <c r="G135" s="182">
        <v>5639.4</v>
      </c>
      <c r="H135" s="18">
        <v>5639.4</v>
      </c>
    </row>
    <row r="136" spans="1:8" ht="13.5" customHeight="1" x14ac:dyDescent="0.2">
      <c r="A136" s="171" t="s">
        <v>3885</v>
      </c>
      <c r="B136" s="46"/>
      <c r="C136" s="34" t="s">
        <v>86</v>
      </c>
      <c r="D136" s="46" t="s">
        <v>19</v>
      </c>
      <c r="E136" s="69">
        <v>-75.900000000000006</v>
      </c>
      <c r="F136" s="69" t="s">
        <v>549</v>
      </c>
      <c r="G136" s="182">
        <v>5563.5</v>
      </c>
      <c r="H136" s="18">
        <v>5563.5</v>
      </c>
    </row>
    <row r="137" spans="1:8" ht="13.5" customHeight="1" x14ac:dyDescent="0.2">
      <c r="A137" s="171" t="s">
        <v>3886</v>
      </c>
      <c r="B137" s="46"/>
      <c r="C137" s="34" t="s">
        <v>2486</v>
      </c>
      <c r="D137" s="46" t="s">
        <v>19</v>
      </c>
      <c r="E137" s="69">
        <v>-67.08</v>
      </c>
      <c r="F137" s="69" t="s">
        <v>549</v>
      </c>
      <c r="G137" s="182"/>
      <c r="H137" s="18">
        <v>5496.42</v>
      </c>
    </row>
    <row r="138" spans="1:8" ht="13.5" customHeight="1" x14ac:dyDescent="0.2">
      <c r="A138" s="171"/>
      <c r="B138" s="46"/>
      <c r="C138" s="34" t="s">
        <v>18</v>
      </c>
      <c r="D138" s="46" t="s">
        <v>19</v>
      </c>
      <c r="E138" s="69">
        <v>-423.84</v>
      </c>
      <c r="F138" s="69" t="s">
        <v>549</v>
      </c>
      <c r="G138" s="182">
        <v>5072.58</v>
      </c>
      <c r="H138" s="18">
        <v>5072.58</v>
      </c>
    </row>
    <row r="139" spans="1:8" ht="13.5" customHeight="1" x14ac:dyDescent="0.2">
      <c r="A139" s="171" t="s">
        <v>3887</v>
      </c>
      <c r="B139" s="46"/>
      <c r="C139" s="34" t="s">
        <v>3725</v>
      </c>
      <c r="D139" s="46" t="s">
        <v>3888</v>
      </c>
      <c r="E139" s="69"/>
      <c r="F139" s="43">
        <v>300</v>
      </c>
      <c r="G139" s="23">
        <v>5372.58</v>
      </c>
      <c r="H139" s="18">
        <v>5372.58</v>
      </c>
    </row>
    <row r="140" spans="1:8" ht="13.5" customHeight="1" x14ac:dyDescent="0.2">
      <c r="A140" s="171" t="s">
        <v>3889</v>
      </c>
      <c r="B140" s="46"/>
      <c r="C140" s="34" t="s">
        <v>134</v>
      </c>
      <c r="D140" s="46" t="s">
        <v>1353</v>
      </c>
      <c r="E140" s="43">
        <v>-109.9</v>
      </c>
      <c r="F140" s="43"/>
      <c r="G140" s="23"/>
      <c r="H140" s="18">
        <v>5262.68</v>
      </c>
    </row>
    <row r="141" spans="1:8" ht="13.5" customHeight="1" x14ac:dyDescent="0.2">
      <c r="A141" s="171"/>
      <c r="B141" s="46"/>
      <c r="C141" s="34" t="s">
        <v>3890</v>
      </c>
      <c r="D141" s="46" t="s">
        <v>3891</v>
      </c>
      <c r="E141" s="43">
        <v>-2701.4</v>
      </c>
      <c r="F141" s="43"/>
      <c r="G141" s="23"/>
      <c r="H141" s="18">
        <v>2561.2800000000002</v>
      </c>
    </row>
    <row r="142" spans="1:8" ht="13.5" customHeight="1" x14ac:dyDescent="0.2">
      <c r="A142" s="171"/>
      <c r="B142" s="46"/>
      <c r="C142" s="34" t="s">
        <v>132</v>
      </c>
      <c r="D142" s="46" t="s">
        <v>2530</v>
      </c>
      <c r="E142" s="43">
        <v>-893.6</v>
      </c>
      <c r="F142" s="43"/>
      <c r="G142" s="23"/>
      <c r="H142" s="18">
        <v>1667.6800000000003</v>
      </c>
    </row>
    <row r="143" spans="1:8" ht="13.5" customHeight="1" x14ac:dyDescent="0.2">
      <c r="A143" s="171"/>
      <c r="B143" s="46"/>
      <c r="C143" s="34" t="s">
        <v>62</v>
      </c>
      <c r="D143" s="46" t="s">
        <v>488</v>
      </c>
      <c r="E143" s="43">
        <v>-640.05999999999995</v>
      </c>
      <c r="F143" s="43"/>
      <c r="G143" s="23"/>
      <c r="H143" s="18">
        <v>1027.6200000000003</v>
      </c>
    </row>
    <row r="144" spans="1:8" ht="13.5" customHeight="1" x14ac:dyDescent="0.2">
      <c r="A144" s="171"/>
      <c r="B144" s="46"/>
      <c r="C144" s="36" t="s">
        <v>20</v>
      </c>
      <c r="D144" s="46" t="s">
        <v>488</v>
      </c>
      <c r="E144" s="43"/>
      <c r="F144" s="43">
        <v>0.03</v>
      </c>
      <c r="G144" s="23">
        <v>1027.6500000000001</v>
      </c>
      <c r="H144" s="18">
        <v>1027.6500000000003</v>
      </c>
    </row>
    <row r="145" spans="1:12" ht="13.5" customHeight="1" x14ac:dyDescent="0.2">
      <c r="A145" s="171" t="s">
        <v>3892</v>
      </c>
      <c r="B145" s="46"/>
      <c r="C145" s="33" t="s">
        <v>736</v>
      </c>
      <c r="D145" s="46" t="s">
        <v>488</v>
      </c>
      <c r="E145" s="43">
        <v>-44.48</v>
      </c>
      <c r="F145" s="43"/>
      <c r="G145" s="23"/>
      <c r="H145" s="18">
        <v>983.1700000000003</v>
      </c>
    </row>
    <row r="146" spans="1:12" ht="13.5" customHeight="1" x14ac:dyDescent="0.2">
      <c r="A146" s="171"/>
      <c r="B146" s="46"/>
      <c r="C146" s="36" t="s">
        <v>129</v>
      </c>
      <c r="D146" s="46" t="s">
        <v>488</v>
      </c>
      <c r="E146" s="43">
        <v>-47.65</v>
      </c>
      <c r="F146" s="43"/>
      <c r="G146" s="23"/>
      <c r="H146" s="18">
        <v>935.52000000000032</v>
      </c>
    </row>
    <row r="147" spans="1:12" ht="13.5" customHeight="1" x14ac:dyDescent="0.2">
      <c r="A147" s="171"/>
      <c r="B147" s="46"/>
      <c r="C147" s="36" t="s">
        <v>130</v>
      </c>
      <c r="D147" s="46" t="s">
        <v>488</v>
      </c>
      <c r="E147" s="43">
        <v>-181.84</v>
      </c>
      <c r="F147" s="43"/>
      <c r="G147" s="23"/>
      <c r="H147" s="18">
        <v>753.68000000000029</v>
      </c>
    </row>
    <row r="148" spans="1:12" ht="13.5" customHeight="1" x14ac:dyDescent="0.2">
      <c r="A148" s="171"/>
      <c r="B148" s="46"/>
      <c r="C148" s="36" t="s">
        <v>127</v>
      </c>
      <c r="D148" s="46" t="s">
        <v>488</v>
      </c>
      <c r="E148" s="43">
        <v>-339.62</v>
      </c>
      <c r="F148" s="43"/>
      <c r="G148" s="23"/>
      <c r="H148" s="18">
        <v>414.06000000000029</v>
      </c>
    </row>
    <row r="149" spans="1:12" ht="13.5" customHeight="1" x14ac:dyDescent="0.2">
      <c r="A149" s="171"/>
      <c r="B149" s="46" t="s">
        <v>549</v>
      </c>
      <c r="C149" s="36" t="s">
        <v>20</v>
      </c>
      <c r="D149" s="46" t="s">
        <v>488</v>
      </c>
      <c r="E149" s="69"/>
      <c r="F149" s="43">
        <v>0.01</v>
      </c>
      <c r="G149" s="23">
        <v>414.07</v>
      </c>
      <c r="H149" s="18">
        <v>414.07000000000028</v>
      </c>
    </row>
    <row r="150" spans="1:12" ht="13.5" customHeight="1" x14ac:dyDescent="0.2">
      <c r="A150" s="171" t="s">
        <v>3893</v>
      </c>
      <c r="B150" s="46" t="s">
        <v>549</v>
      </c>
      <c r="C150" s="34" t="s">
        <v>136</v>
      </c>
      <c r="D150" s="46" t="s">
        <v>488</v>
      </c>
      <c r="E150" s="43">
        <v>-45.9</v>
      </c>
      <c r="F150" s="43"/>
      <c r="G150" s="275">
        <v>368.17</v>
      </c>
      <c r="H150" s="18">
        <v>368.1700000000003</v>
      </c>
    </row>
    <row r="151" spans="1:12" ht="13.5" customHeight="1" thickBot="1" x14ac:dyDescent="0.25">
      <c r="A151" s="171"/>
      <c r="B151" s="46"/>
      <c r="C151" s="34"/>
      <c r="D151" s="46"/>
      <c r="E151" s="654">
        <f>SUM(E120:E150)</f>
        <v>-7788.329999999999</v>
      </c>
      <c r="F151" s="654">
        <f>SUM(F120:F150)</f>
        <v>7582.07</v>
      </c>
      <c r="G151" s="182"/>
    </row>
    <row r="152" spans="1:12" ht="13.5" customHeight="1" thickBot="1" x14ac:dyDescent="0.25">
      <c r="A152" s="2" t="s">
        <v>2</v>
      </c>
      <c r="B152" s="3"/>
      <c r="C152" s="3" t="s">
        <v>481</v>
      </c>
      <c r="D152" s="3"/>
      <c r="E152" s="3"/>
      <c r="F152" s="3"/>
      <c r="G152" s="5" t="s">
        <v>7</v>
      </c>
      <c r="H152" s="1415" t="s">
        <v>482</v>
      </c>
      <c r="I152" s="1416"/>
      <c r="J152" s="1417"/>
    </row>
    <row r="153" spans="1:12" ht="13.5" customHeight="1" x14ac:dyDescent="0.2">
      <c r="A153" s="8">
        <v>43862</v>
      </c>
      <c r="B153" s="70"/>
      <c r="C153" s="10" t="s">
        <v>537</v>
      </c>
      <c r="D153" s="602"/>
      <c r="E153" s="67"/>
      <c r="F153" s="67"/>
      <c r="G153" s="205">
        <v>0</v>
      </c>
      <c r="H153" s="179"/>
      <c r="I153" s="57"/>
      <c r="J153" s="58">
        <v>4045.85</v>
      </c>
      <c r="K153" s="18">
        <v>0</v>
      </c>
      <c r="L153" s="18">
        <v>4045.85</v>
      </c>
    </row>
    <row r="154" spans="1:12" ht="13.5" customHeight="1" x14ac:dyDescent="0.2">
      <c r="A154" s="171" t="s">
        <v>3894</v>
      </c>
      <c r="B154" s="46" t="s">
        <v>483</v>
      </c>
      <c r="C154" s="34" t="s">
        <v>199</v>
      </c>
      <c r="D154" s="46" t="s">
        <v>488</v>
      </c>
      <c r="E154" s="557">
        <v>-253.43</v>
      </c>
      <c r="F154" s="69"/>
      <c r="G154" s="182"/>
      <c r="H154" s="59"/>
      <c r="I154" s="60"/>
      <c r="J154" s="61">
        <v>4045.85</v>
      </c>
      <c r="K154" s="18">
        <v>-253.43</v>
      </c>
      <c r="L154" s="18">
        <v>4045.85</v>
      </c>
    </row>
    <row r="155" spans="1:12" ht="13.5" customHeight="1" x14ac:dyDescent="0.2">
      <c r="A155" s="171"/>
      <c r="B155" s="46" t="s">
        <v>483</v>
      </c>
      <c r="C155" s="34" t="s">
        <v>1597</v>
      </c>
      <c r="D155" s="46" t="s">
        <v>488</v>
      </c>
      <c r="E155" s="557">
        <v>-0.04</v>
      </c>
      <c r="F155" s="69"/>
      <c r="G155" s="182" t="s">
        <v>483</v>
      </c>
      <c r="H155" s="59"/>
      <c r="I155" s="60"/>
      <c r="J155" s="61">
        <v>4045.85</v>
      </c>
      <c r="K155" s="18">
        <v>-253.47</v>
      </c>
      <c r="L155" s="18">
        <v>4045.85</v>
      </c>
    </row>
    <row r="156" spans="1:12" ht="13.5" customHeight="1" x14ac:dyDescent="0.2">
      <c r="A156" s="171"/>
      <c r="B156" s="46" t="s">
        <v>483</v>
      </c>
      <c r="C156" s="34" t="s">
        <v>1598</v>
      </c>
      <c r="D156" s="46" t="s">
        <v>488</v>
      </c>
      <c r="E156" s="557">
        <v>-2.17</v>
      </c>
      <c r="F156" s="69"/>
      <c r="G156" s="182" t="s">
        <v>483</v>
      </c>
      <c r="H156" s="59"/>
      <c r="I156" s="60"/>
      <c r="J156" s="61">
        <v>4045.85</v>
      </c>
      <c r="K156" s="18">
        <v>-255.64</v>
      </c>
      <c r="L156" s="18">
        <v>4045.85</v>
      </c>
    </row>
    <row r="157" spans="1:12" ht="13.5" customHeight="1" x14ac:dyDescent="0.2">
      <c r="A157" s="171"/>
      <c r="B157" s="46" t="s">
        <v>483</v>
      </c>
      <c r="C157" s="36" t="s">
        <v>174</v>
      </c>
      <c r="D157" s="46" t="s">
        <v>488</v>
      </c>
      <c r="E157" s="69"/>
      <c r="F157" s="557">
        <v>255.64</v>
      </c>
      <c r="G157" s="182">
        <v>0</v>
      </c>
      <c r="H157" s="59">
        <v>255.64</v>
      </c>
      <c r="I157" s="60"/>
      <c r="J157" s="61">
        <v>3790.21</v>
      </c>
      <c r="K157" s="18">
        <v>0</v>
      </c>
      <c r="L157" s="18">
        <v>3790.21</v>
      </c>
    </row>
    <row r="158" spans="1:12" ht="13.5" customHeight="1" x14ac:dyDescent="0.2">
      <c r="A158" s="171" t="s">
        <v>3895</v>
      </c>
      <c r="B158" s="46" t="s">
        <v>483</v>
      </c>
      <c r="C158" s="36" t="s">
        <v>180</v>
      </c>
      <c r="D158" s="46" t="s">
        <v>488</v>
      </c>
      <c r="E158" s="557">
        <v>-252.37</v>
      </c>
      <c r="F158" s="69"/>
      <c r="G158" s="182" t="s">
        <v>483</v>
      </c>
      <c r="H158" s="59"/>
      <c r="I158" s="60"/>
      <c r="J158" s="61">
        <v>3790.21</v>
      </c>
      <c r="K158" s="18">
        <v>-252.37</v>
      </c>
      <c r="L158" s="18">
        <v>3790.21</v>
      </c>
    </row>
    <row r="159" spans="1:12" ht="13.5" customHeight="1" x14ac:dyDescent="0.2">
      <c r="A159" s="171"/>
      <c r="B159" s="46" t="s">
        <v>483</v>
      </c>
      <c r="C159" s="36" t="s">
        <v>174</v>
      </c>
      <c r="D159" s="46" t="s">
        <v>488</v>
      </c>
      <c r="E159" s="69"/>
      <c r="F159" s="557">
        <v>252.37</v>
      </c>
      <c r="G159" s="182">
        <v>0</v>
      </c>
      <c r="H159" s="59">
        <v>252.37</v>
      </c>
      <c r="I159" s="60"/>
      <c r="J159" s="61">
        <v>3537.84</v>
      </c>
      <c r="K159" s="18">
        <v>0</v>
      </c>
      <c r="L159" s="18">
        <v>3537.84</v>
      </c>
    </row>
    <row r="160" spans="1:12" ht="13.5" customHeight="1" x14ac:dyDescent="0.2">
      <c r="A160" s="171" t="s">
        <v>3896</v>
      </c>
      <c r="B160" s="46" t="s">
        <v>483</v>
      </c>
      <c r="C160" s="34" t="s">
        <v>3897</v>
      </c>
      <c r="D160" s="46" t="s">
        <v>3898</v>
      </c>
      <c r="E160" s="557">
        <v>-1146.24</v>
      </c>
      <c r="F160" s="69"/>
      <c r="G160" s="182" t="s">
        <v>483</v>
      </c>
      <c r="H160" s="59"/>
      <c r="I160" s="60"/>
      <c r="J160" s="61">
        <v>3537.84</v>
      </c>
      <c r="K160" s="18">
        <v>-1146.24</v>
      </c>
      <c r="L160" s="18">
        <v>3537.84</v>
      </c>
    </row>
    <row r="161" spans="1:12" ht="13.5" customHeight="1" x14ac:dyDescent="0.2">
      <c r="A161" s="171"/>
      <c r="B161" s="46" t="s">
        <v>483</v>
      </c>
      <c r="C161" s="36" t="s">
        <v>174</v>
      </c>
      <c r="D161" s="46" t="s">
        <v>488</v>
      </c>
      <c r="E161" s="69"/>
      <c r="F161" s="557">
        <v>1146.24</v>
      </c>
      <c r="G161" s="182">
        <v>0</v>
      </c>
      <c r="H161" s="59">
        <v>1146.24</v>
      </c>
      <c r="I161" s="60"/>
      <c r="J161" s="61">
        <v>2391.6000000000004</v>
      </c>
      <c r="K161" s="18">
        <v>0</v>
      </c>
      <c r="L161" s="18">
        <v>2391.6000000000004</v>
      </c>
    </row>
    <row r="162" spans="1:12" ht="13.5" customHeight="1" x14ac:dyDescent="0.2">
      <c r="A162" s="171" t="s">
        <v>3899</v>
      </c>
      <c r="B162" s="46" t="s">
        <v>483</v>
      </c>
      <c r="C162" s="36" t="s">
        <v>177</v>
      </c>
      <c r="D162" s="46" t="s">
        <v>488</v>
      </c>
      <c r="E162" s="557">
        <v>-97.37</v>
      </c>
      <c r="F162" s="69"/>
      <c r="G162" s="182"/>
      <c r="H162" s="59"/>
      <c r="I162" s="60"/>
      <c r="J162" s="61">
        <v>2391.6000000000004</v>
      </c>
      <c r="K162" s="18">
        <v>-97.37</v>
      </c>
      <c r="L162" s="18">
        <v>2391.6000000000004</v>
      </c>
    </row>
    <row r="163" spans="1:12" ht="13.5" customHeight="1" x14ac:dyDescent="0.2">
      <c r="A163" s="171"/>
      <c r="B163" s="46" t="s">
        <v>483</v>
      </c>
      <c r="C163" s="36" t="s">
        <v>174</v>
      </c>
      <c r="D163" s="46" t="s">
        <v>488</v>
      </c>
      <c r="E163" s="69"/>
      <c r="F163" s="557">
        <v>97.37</v>
      </c>
      <c r="G163" s="182">
        <v>0</v>
      </c>
      <c r="H163" s="59">
        <v>97.37</v>
      </c>
      <c r="I163" s="60"/>
      <c r="J163" s="61">
        <v>2294.2300000000005</v>
      </c>
      <c r="K163" s="18">
        <v>0</v>
      </c>
      <c r="L163" s="18">
        <v>2294.2300000000005</v>
      </c>
    </row>
    <row r="164" spans="1:12" ht="13.5" customHeight="1" x14ac:dyDescent="0.2">
      <c r="A164" s="171" t="s">
        <v>3900</v>
      </c>
      <c r="B164" s="46" t="s">
        <v>483</v>
      </c>
      <c r="C164" s="722" t="s">
        <v>3901</v>
      </c>
      <c r="D164" s="46" t="s">
        <v>3902</v>
      </c>
      <c r="E164" s="557">
        <v>-57.7</v>
      </c>
      <c r="F164" s="69"/>
      <c r="G164" s="182" t="s">
        <v>483</v>
      </c>
      <c r="H164" s="59"/>
      <c r="I164" s="60"/>
      <c r="J164" s="61">
        <v>2294.2300000000005</v>
      </c>
      <c r="K164" s="18">
        <v>-57.7</v>
      </c>
      <c r="L164" s="18">
        <v>2294.2300000000005</v>
      </c>
    </row>
    <row r="165" spans="1:12" ht="13.5" customHeight="1" x14ac:dyDescent="0.2">
      <c r="A165" s="171"/>
      <c r="B165" s="46" t="s">
        <v>483</v>
      </c>
      <c r="C165" s="36" t="s">
        <v>174</v>
      </c>
      <c r="D165" s="46" t="s">
        <v>488</v>
      </c>
      <c r="E165" s="69"/>
      <c r="F165" s="557">
        <v>57.7</v>
      </c>
      <c r="G165" s="182">
        <v>0</v>
      </c>
      <c r="H165" s="59">
        <v>57.7</v>
      </c>
      <c r="I165" s="60"/>
      <c r="J165" s="61">
        <v>2236.5300000000007</v>
      </c>
      <c r="K165" s="18">
        <v>0</v>
      </c>
      <c r="L165" s="18">
        <v>2236.5300000000007</v>
      </c>
    </row>
    <row r="166" spans="1:12" ht="13.5" customHeight="1" x14ac:dyDescent="0.2">
      <c r="A166" s="171" t="s">
        <v>3903</v>
      </c>
      <c r="B166" s="46" t="s">
        <v>483</v>
      </c>
      <c r="C166" s="34" t="s">
        <v>1625</v>
      </c>
      <c r="D166" s="46" t="s">
        <v>3904</v>
      </c>
      <c r="E166" s="322">
        <v>-1000</v>
      </c>
      <c r="F166" s="557"/>
      <c r="G166" s="182"/>
      <c r="H166" s="59"/>
      <c r="I166" s="60"/>
      <c r="J166" s="61">
        <v>2236.5300000000007</v>
      </c>
      <c r="K166" s="18">
        <v>-1000</v>
      </c>
      <c r="L166" s="18">
        <v>2236.5300000000007</v>
      </c>
    </row>
    <row r="167" spans="1:12" ht="13.5" customHeight="1" x14ac:dyDescent="0.2">
      <c r="A167" s="171"/>
      <c r="B167" s="46" t="s">
        <v>591</v>
      </c>
      <c r="C167" s="36" t="s">
        <v>3905</v>
      </c>
      <c r="D167" s="46" t="s">
        <v>3906</v>
      </c>
      <c r="E167" s="69"/>
      <c r="F167" s="557">
        <v>4731.47</v>
      </c>
      <c r="G167" s="182" t="s">
        <v>483</v>
      </c>
      <c r="H167" s="59"/>
      <c r="I167" s="60"/>
      <c r="J167" s="61">
        <v>2236.5300000000007</v>
      </c>
      <c r="K167" s="18">
        <v>3731.4700000000003</v>
      </c>
      <c r="L167" s="18">
        <v>2236.5300000000007</v>
      </c>
    </row>
    <row r="168" spans="1:12" ht="13.5" customHeight="1" x14ac:dyDescent="0.2">
      <c r="A168" s="171"/>
      <c r="B168" s="46" t="s">
        <v>483</v>
      </c>
      <c r="C168" s="36" t="s">
        <v>174</v>
      </c>
      <c r="D168" s="46" t="s">
        <v>488</v>
      </c>
      <c r="E168" s="69"/>
      <c r="F168" s="557">
        <v>1000</v>
      </c>
      <c r="G168" s="182">
        <v>4731.47</v>
      </c>
      <c r="H168" s="59">
        <v>1000</v>
      </c>
      <c r="I168" s="60"/>
      <c r="J168" s="61">
        <v>1236.5300000000007</v>
      </c>
      <c r="K168" s="18">
        <v>4731.47</v>
      </c>
      <c r="L168" s="18">
        <v>1236.5300000000007</v>
      </c>
    </row>
    <row r="169" spans="1:12" ht="13.5" customHeight="1" x14ac:dyDescent="0.2">
      <c r="A169" s="171" t="s">
        <v>3907</v>
      </c>
      <c r="B169" s="46" t="s">
        <v>483</v>
      </c>
      <c r="C169" s="36" t="s">
        <v>189</v>
      </c>
      <c r="D169" s="46" t="s">
        <v>488</v>
      </c>
      <c r="E169" s="557">
        <v>-4731.47</v>
      </c>
      <c r="F169" s="69"/>
      <c r="G169" s="182">
        <v>0</v>
      </c>
      <c r="H169" s="59"/>
      <c r="I169" s="60">
        <v>4731.47</v>
      </c>
      <c r="J169" s="61">
        <v>5968.0000000000009</v>
      </c>
      <c r="K169" s="18">
        <v>0</v>
      </c>
      <c r="L169" s="18">
        <v>5968.0000000000009</v>
      </c>
    </row>
    <row r="170" spans="1:12" ht="13.5" customHeight="1" x14ac:dyDescent="0.2">
      <c r="A170" s="171" t="s">
        <v>3908</v>
      </c>
      <c r="B170" s="46" t="s">
        <v>483</v>
      </c>
      <c r="C170" s="32" t="s">
        <v>3909</v>
      </c>
      <c r="D170" s="46" t="s">
        <v>3910</v>
      </c>
      <c r="E170" s="557">
        <v>-785</v>
      </c>
      <c r="F170" s="69"/>
      <c r="G170" s="182" t="s">
        <v>483</v>
      </c>
      <c r="H170" s="59"/>
      <c r="I170" s="60"/>
      <c r="J170" s="61">
        <v>5968.0000000000009</v>
      </c>
      <c r="K170" s="18">
        <v>-785</v>
      </c>
      <c r="L170" s="18">
        <v>5968.0000000000009</v>
      </c>
    </row>
    <row r="171" spans="1:12" ht="13.5" customHeight="1" x14ac:dyDescent="0.2">
      <c r="A171" s="171"/>
      <c r="B171" s="46" t="s">
        <v>483</v>
      </c>
      <c r="C171" s="34" t="s">
        <v>3911</v>
      </c>
      <c r="D171" s="46" t="s">
        <v>3912</v>
      </c>
      <c r="E171" s="557">
        <v>-100</v>
      </c>
      <c r="F171" s="69"/>
      <c r="G171" s="182" t="s">
        <v>483</v>
      </c>
      <c r="H171" s="59"/>
      <c r="I171" s="60"/>
      <c r="J171" s="61">
        <v>5968.0000000000009</v>
      </c>
      <c r="K171" s="18">
        <v>-885</v>
      </c>
      <c r="L171" s="18">
        <v>5968.0000000000009</v>
      </c>
    </row>
    <row r="172" spans="1:12" ht="13.5" customHeight="1" x14ac:dyDescent="0.2">
      <c r="A172" s="171"/>
      <c r="B172" s="46" t="s">
        <v>483</v>
      </c>
      <c r="C172" s="34" t="s">
        <v>3913</v>
      </c>
      <c r="D172" s="46" t="s">
        <v>1937</v>
      </c>
      <c r="E172" s="557">
        <v>-157.85</v>
      </c>
      <c r="F172" s="69"/>
      <c r="G172" s="182" t="s">
        <v>483</v>
      </c>
      <c r="H172" s="59"/>
      <c r="I172" s="60"/>
      <c r="J172" s="61">
        <v>5968.0000000000009</v>
      </c>
      <c r="K172" s="18">
        <v>-1042.8499999999999</v>
      </c>
      <c r="L172" s="18">
        <v>5968.0000000000009</v>
      </c>
    </row>
    <row r="173" spans="1:12" ht="13.5" customHeight="1" x14ac:dyDescent="0.2">
      <c r="A173" s="171"/>
      <c r="B173" s="46" t="s">
        <v>483</v>
      </c>
      <c r="C173" s="36" t="s">
        <v>174</v>
      </c>
      <c r="D173" s="46" t="s">
        <v>488</v>
      </c>
      <c r="E173" s="69"/>
      <c r="F173" s="557">
        <v>1042.8499999999999</v>
      </c>
      <c r="G173" s="182">
        <v>0</v>
      </c>
      <c r="H173" s="59">
        <v>1042.8499999999999</v>
      </c>
      <c r="I173" s="60"/>
      <c r="J173" s="61">
        <v>4925.1500000000015</v>
      </c>
      <c r="K173" s="18">
        <v>0</v>
      </c>
      <c r="L173" s="18">
        <v>4925.1500000000015</v>
      </c>
    </row>
    <row r="174" spans="1:12" ht="13.5" customHeight="1" x14ac:dyDescent="0.2">
      <c r="A174" s="171" t="s">
        <v>3914</v>
      </c>
      <c r="B174" s="46" t="s">
        <v>591</v>
      </c>
      <c r="C174" s="36" t="s">
        <v>3833</v>
      </c>
      <c r="D174" s="46" t="s">
        <v>3915</v>
      </c>
      <c r="E174" s="557"/>
      <c r="F174" s="322">
        <v>8275</v>
      </c>
      <c r="G174" s="182" t="s">
        <v>483</v>
      </c>
      <c r="H174" s="59"/>
      <c r="I174" s="60"/>
      <c r="J174" s="61">
        <v>4925.1500000000015</v>
      </c>
      <c r="K174" s="18">
        <v>8275</v>
      </c>
      <c r="L174" s="18">
        <v>4925.1500000000015</v>
      </c>
    </row>
    <row r="175" spans="1:12" ht="13.5" customHeight="1" x14ac:dyDescent="0.2">
      <c r="A175" s="171"/>
      <c r="B175" s="46" t="s">
        <v>483</v>
      </c>
      <c r="C175" s="34" t="s">
        <v>3916</v>
      </c>
      <c r="D175" s="46" t="s">
        <v>488</v>
      </c>
      <c r="E175" s="557">
        <v>-489.24</v>
      </c>
      <c r="F175" s="69"/>
      <c r="G175" s="182" t="s">
        <v>483</v>
      </c>
      <c r="H175" s="59"/>
      <c r="I175" s="60"/>
      <c r="J175" s="61">
        <v>4925.1500000000015</v>
      </c>
      <c r="K175" s="18">
        <v>7785.76</v>
      </c>
      <c r="L175" s="18">
        <v>4925.1500000000015</v>
      </c>
    </row>
    <row r="176" spans="1:12" ht="13.5" customHeight="1" x14ac:dyDescent="0.2">
      <c r="A176" s="171"/>
      <c r="B176" s="46" t="s">
        <v>483</v>
      </c>
      <c r="C176" s="32" t="s">
        <v>194</v>
      </c>
      <c r="D176" s="46" t="s">
        <v>488</v>
      </c>
      <c r="E176" s="557">
        <v>-84.54</v>
      </c>
      <c r="F176" s="69"/>
      <c r="G176" s="182" t="s">
        <v>483</v>
      </c>
      <c r="H176" s="59"/>
      <c r="I176" s="60"/>
      <c r="J176" s="61">
        <v>4925.1500000000015</v>
      </c>
      <c r="K176" s="18">
        <v>7701.22</v>
      </c>
      <c r="L176" s="18">
        <v>4925.1500000000015</v>
      </c>
    </row>
    <row r="177" spans="1:12" ht="13.5" customHeight="1" x14ac:dyDescent="0.2">
      <c r="A177" s="171"/>
      <c r="B177" s="46" t="s">
        <v>483</v>
      </c>
      <c r="C177" s="32" t="s">
        <v>195</v>
      </c>
      <c r="D177" s="46" t="s">
        <v>488</v>
      </c>
      <c r="E177" s="557">
        <v>-390.19</v>
      </c>
      <c r="F177" s="69"/>
      <c r="G177" s="182"/>
      <c r="H177" s="59"/>
      <c r="I177" s="60"/>
      <c r="J177" s="61">
        <v>4925.1500000000015</v>
      </c>
      <c r="K177" s="18">
        <v>7311.0300000000007</v>
      </c>
      <c r="L177" s="18">
        <v>4925.1500000000015</v>
      </c>
    </row>
    <row r="178" spans="1:12" ht="13.5" customHeight="1" x14ac:dyDescent="0.2">
      <c r="A178" s="171"/>
      <c r="B178" s="46" t="s">
        <v>483</v>
      </c>
      <c r="C178" s="34" t="s">
        <v>3504</v>
      </c>
      <c r="D178" s="46" t="s">
        <v>3917</v>
      </c>
      <c r="E178" s="557">
        <v>-433.84</v>
      </c>
      <c r="F178" s="69"/>
      <c r="G178" s="182" t="s">
        <v>483</v>
      </c>
      <c r="H178" s="59"/>
      <c r="I178" s="60"/>
      <c r="J178" s="61">
        <v>4925.1500000000015</v>
      </c>
      <c r="K178" s="18">
        <v>6877.1900000000005</v>
      </c>
      <c r="L178" s="18">
        <v>4925.1500000000015</v>
      </c>
    </row>
    <row r="179" spans="1:12" ht="13.5" customHeight="1" x14ac:dyDescent="0.2">
      <c r="A179" s="171"/>
      <c r="B179" s="46" t="s">
        <v>483</v>
      </c>
      <c r="C179" s="36" t="s">
        <v>174</v>
      </c>
      <c r="D179" s="46" t="s">
        <v>488</v>
      </c>
      <c r="E179" s="69"/>
      <c r="F179" s="557">
        <v>1397.81</v>
      </c>
      <c r="G179" s="182">
        <v>8275</v>
      </c>
      <c r="H179" s="59">
        <v>1397.81</v>
      </c>
      <c r="I179" s="60"/>
      <c r="J179" s="61">
        <v>3527.3400000000015</v>
      </c>
      <c r="K179" s="18">
        <v>8275</v>
      </c>
      <c r="L179" s="18">
        <v>3527.3400000000015</v>
      </c>
    </row>
    <row r="180" spans="1:12" ht="13.5" customHeight="1" x14ac:dyDescent="0.2">
      <c r="A180" s="171" t="s">
        <v>3918</v>
      </c>
      <c r="B180" s="46" t="s">
        <v>483</v>
      </c>
      <c r="C180" s="138" t="s">
        <v>86</v>
      </c>
      <c r="D180" s="46" t="s">
        <v>488</v>
      </c>
      <c r="E180" s="557">
        <v>-10.9</v>
      </c>
      <c r="F180" s="69"/>
      <c r="G180" s="182" t="s">
        <v>483</v>
      </c>
      <c r="H180" s="59"/>
      <c r="I180" s="60"/>
      <c r="J180" s="61">
        <v>3527.3400000000015</v>
      </c>
      <c r="K180" s="18">
        <v>8264.1</v>
      </c>
      <c r="L180" s="18">
        <v>3527.3400000000015</v>
      </c>
    </row>
    <row r="181" spans="1:12" ht="13.5" customHeight="1" x14ac:dyDescent="0.2">
      <c r="A181" s="171"/>
      <c r="B181" s="46" t="s">
        <v>483</v>
      </c>
      <c r="C181" s="36" t="s">
        <v>189</v>
      </c>
      <c r="D181" s="46" t="s">
        <v>488</v>
      </c>
      <c r="E181" s="557">
        <v>-8264.1</v>
      </c>
      <c r="F181" s="69"/>
      <c r="G181" s="182">
        <v>0</v>
      </c>
      <c r="H181" s="59"/>
      <c r="I181" s="60">
        <v>8264.1</v>
      </c>
      <c r="J181" s="61">
        <v>11791.440000000002</v>
      </c>
      <c r="K181" s="18">
        <v>0</v>
      </c>
      <c r="L181" s="18">
        <v>11791.440000000002</v>
      </c>
    </row>
    <row r="182" spans="1:12" ht="13.5" customHeight="1" x14ac:dyDescent="0.2">
      <c r="A182" s="171" t="s">
        <v>3919</v>
      </c>
      <c r="B182" s="46" t="s">
        <v>483</v>
      </c>
      <c r="C182" s="34" t="s">
        <v>2509</v>
      </c>
      <c r="D182" s="46" t="s">
        <v>3920</v>
      </c>
      <c r="E182" s="557">
        <v>-100</v>
      </c>
      <c r="F182" s="69"/>
      <c r="G182" s="182" t="s">
        <v>483</v>
      </c>
      <c r="H182" s="59"/>
      <c r="I182" s="60"/>
      <c r="J182" s="61">
        <v>11791.440000000002</v>
      </c>
      <c r="K182" s="18">
        <v>-100</v>
      </c>
      <c r="L182" s="18">
        <v>11791.440000000002</v>
      </c>
    </row>
    <row r="183" spans="1:12" ht="13.5" customHeight="1" x14ac:dyDescent="0.2">
      <c r="A183" s="171"/>
      <c r="B183" s="46" t="s">
        <v>483</v>
      </c>
      <c r="C183" s="34" t="s">
        <v>3376</v>
      </c>
      <c r="D183" s="46" t="s">
        <v>3921</v>
      </c>
      <c r="E183" s="557">
        <v>-648.41</v>
      </c>
      <c r="F183" s="69"/>
      <c r="G183" s="182"/>
      <c r="H183" s="59"/>
      <c r="I183" s="60"/>
      <c r="J183" s="61">
        <v>11791.440000000002</v>
      </c>
      <c r="K183" s="18">
        <v>-748.41</v>
      </c>
      <c r="L183" s="18">
        <v>11791.440000000002</v>
      </c>
    </row>
    <row r="184" spans="1:12" ht="13.5" customHeight="1" x14ac:dyDescent="0.2">
      <c r="A184" s="171"/>
      <c r="B184" s="46" t="s">
        <v>483</v>
      </c>
      <c r="C184" s="36" t="s">
        <v>174</v>
      </c>
      <c r="D184" s="46" t="s">
        <v>488</v>
      </c>
      <c r="E184" s="69"/>
      <c r="F184" s="557">
        <v>748.41</v>
      </c>
      <c r="G184" s="182">
        <v>0</v>
      </c>
      <c r="H184" s="59">
        <v>748.41</v>
      </c>
      <c r="I184" s="60"/>
      <c r="J184" s="61">
        <v>11043.030000000002</v>
      </c>
      <c r="K184" s="18">
        <v>0</v>
      </c>
      <c r="L184" s="18">
        <v>11043.030000000002</v>
      </c>
    </row>
    <row r="185" spans="1:12" ht="13.5" customHeight="1" x14ac:dyDescent="0.2">
      <c r="A185" s="171" t="s">
        <v>3922</v>
      </c>
      <c r="B185" s="46" t="s">
        <v>483</v>
      </c>
      <c r="C185" s="34" t="s">
        <v>86</v>
      </c>
      <c r="D185" s="46" t="s">
        <v>488</v>
      </c>
      <c r="E185" s="557">
        <v>-92.5</v>
      </c>
      <c r="F185" s="69"/>
      <c r="G185" s="182" t="s">
        <v>483</v>
      </c>
      <c r="H185" s="59"/>
      <c r="I185" s="60"/>
      <c r="J185" s="61">
        <v>11043.030000000002</v>
      </c>
      <c r="K185" s="18">
        <v>-92.5</v>
      </c>
      <c r="L185" s="18">
        <v>11043.030000000002</v>
      </c>
    </row>
    <row r="186" spans="1:12" ht="13.5" customHeight="1" x14ac:dyDescent="0.2">
      <c r="A186" s="171"/>
      <c r="B186" s="46" t="s">
        <v>483</v>
      </c>
      <c r="C186" s="36" t="s">
        <v>174</v>
      </c>
      <c r="D186" s="46" t="s">
        <v>488</v>
      </c>
      <c r="E186" s="69"/>
      <c r="F186" s="557">
        <v>92.5</v>
      </c>
      <c r="G186" s="182">
        <v>0</v>
      </c>
      <c r="H186" s="59">
        <v>92.5</v>
      </c>
      <c r="I186" s="60"/>
      <c r="J186" s="61">
        <v>10950.530000000002</v>
      </c>
      <c r="K186" s="18">
        <v>0</v>
      </c>
      <c r="L186" s="18">
        <v>10950.530000000002</v>
      </c>
    </row>
    <row r="187" spans="1:12" ht="13.5" customHeight="1" x14ac:dyDescent="0.2">
      <c r="A187" s="171" t="s">
        <v>3923</v>
      </c>
      <c r="B187" s="46" t="s">
        <v>483</v>
      </c>
      <c r="C187" s="21" t="s">
        <v>3924</v>
      </c>
      <c r="D187" s="46" t="s">
        <v>519</v>
      </c>
      <c r="E187" s="557">
        <v>-212.5</v>
      </c>
      <c r="F187" s="69"/>
      <c r="G187" s="182">
        <v>-212.5</v>
      </c>
      <c r="H187" s="59"/>
      <c r="I187" s="60"/>
      <c r="J187" s="61">
        <v>10950.530000000002</v>
      </c>
      <c r="K187" s="18">
        <v>-212.5</v>
      </c>
      <c r="L187" s="18">
        <v>10950.530000000002</v>
      </c>
    </row>
    <row r="188" spans="1:12" ht="13.5" customHeight="1" x14ac:dyDescent="0.2">
      <c r="A188" s="171"/>
      <c r="B188" s="46" t="s">
        <v>483</v>
      </c>
      <c r="C188" s="36" t="s">
        <v>174</v>
      </c>
      <c r="D188" s="46" t="s">
        <v>488</v>
      </c>
      <c r="E188" s="69"/>
      <c r="F188" s="557">
        <v>212.5</v>
      </c>
      <c r="G188" s="182">
        <v>0</v>
      </c>
      <c r="H188" s="59">
        <v>212.5</v>
      </c>
      <c r="I188" s="60"/>
      <c r="J188" s="61">
        <v>10738.030000000002</v>
      </c>
      <c r="K188" s="18">
        <v>0</v>
      </c>
      <c r="L188" s="18">
        <v>10738.030000000002</v>
      </c>
    </row>
    <row r="189" spans="1:12" ht="13.5" customHeight="1" x14ac:dyDescent="0.2">
      <c r="A189" s="171" t="s">
        <v>3925</v>
      </c>
      <c r="B189" s="46" t="s">
        <v>483</v>
      </c>
      <c r="C189" s="138" t="s">
        <v>86</v>
      </c>
      <c r="D189" s="46" t="s">
        <v>488</v>
      </c>
      <c r="E189" s="557">
        <v>-12.5</v>
      </c>
      <c r="F189" s="69"/>
      <c r="G189" s="182" t="s">
        <v>483</v>
      </c>
      <c r="H189" s="59"/>
      <c r="I189" s="60"/>
      <c r="J189" s="61">
        <v>10738.030000000002</v>
      </c>
      <c r="K189" s="18">
        <v>-12.5</v>
      </c>
      <c r="L189" s="18">
        <v>10738.030000000002</v>
      </c>
    </row>
    <row r="190" spans="1:12" ht="13.5" customHeight="1" x14ac:dyDescent="0.2">
      <c r="A190" s="171"/>
      <c r="B190" s="46" t="s">
        <v>483</v>
      </c>
      <c r="C190" s="21" t="s">
        <v>3926</v>
      </c>
      <c r="D190" s="46" t="s">
        <v>3927</v>
      </c>
      <c r="E190" s="557">
        <v>-63.8</v>
      </c>
      <c r="F190" s="69"/>
      <c r="G190" s="182" t="s">
        <v>483</v>
      </c>
      <c r="H190" s="59"/>
      <c r="I190" s="60"/>
      <c r="J190" s="61">
        <v>10738.030000000002</v>
      </c>
      <c r="K190" s="18">
        <v>-76.3</v>
      </c>
      <c r="L190" s="18">
        <v>10738.030000000002</v>
      </c>
    </row>
    <row r="191" spans="1:12" ht="13.5" customHeight="1" x14ac:dyDescent="0.2">
      <c r="A191" s="171"/>
      <c r="B191" s="46" t="s">
        <v>483</v>
      </c>
      <c r="C191" s="32" t="s">
        <v>813</v>
      </c>
      <c r="D191" s="46" t="s">
        <v>3030</v>
      </c>
      <c r="E191" s="557">
        <v>-50</v>
      </c>
      <c r="F191" s="69"/>
      <c r="G191" s="182" t="s">
        <v>483</v>
      </c>
      <c r="H191" s="59"/>
      <c r="I191" s="60"/>
      <c r="J191" s="61">
        <v>10738.030000000002</v>
      </c>
      <c r="K191" s="18">
        <v>-126.3</v>
      </c>
      <c r="L191" s="18">
        <v>10738.030000000002</v>
      </c>
    </row>
    <row r="192" spans="1:12" ht="13.5" customHeight="1" x14ac:dyDescent="0.2">
      <c r="A192" s="171"/>
      <c r="B192" s="46" t="s">
        <v>483</v>
      </c>
      <c r="C192" s="36" t="s">
        <v>174</v>
      </c>
      <c r="D192" s="46" t="s">
        <v>488</v>
      </c>
      <c r="E192" s="69"/>
      <c r="F192" s="557">
        <v>126.3</v>
      </c>
      <c r="G192" s="205">
        <v>0</v>
      </c>
      <c r="H192" s="59">
        <v>126.3</v>
      </c>
      <c r="I192" s="60"/>
      <c r="J192" s="61">
        <v>10611.730000000003</v>
      </c>
      <c r="K192" s="18">
        <v>0</v>
      </c>
      <c r="L192" s="18">
        <v>10611.730000000003</v>
      </c>
    </row>
    <row r="193" spans="1:12" ht="13.5" customHeight="1" x14ac:dyDescent="0.2">
      <c r="A193" s="171"/>
      <c r="B193" s="46"/>
      <c r="C193" s="36" t="s">
        <v>20</v>
      </c>
      <c r="D193" s="46"/>
      <c r="E193" s="69"/>
      <c r="F193" s="69"/>
      <c r="G193" s="182"/>
      <c r="H193" s="59"/>
      <c r="I193" s="60">
        <v>0.36999999999898137</v>
      </c>
      <c r="J193" s="186">
        <v>10612.100000000002</v>
      </c>
      <c r="K193" s="18">
        <v>0</v>
      </c>
      <c r="L193" s="18">
        <v>10612.100000000002</v>
      </c>
    </row>
    <row r="194" spans="1:12" ht="13.5" customHeight="1" thickBot="1" x14ac:dyDescent="0.25">
      <c r="A194" s="171"/>
      <c r="B194" s="46"/>
      <c r="C194" s="34"/>
      <c r="D194" s="11"/>
      <c r="E194" s="654">
        <f>SUM(E153:E193)</f>
        <v>-19436.160000000003</v>
      </c>
      <c r="F194" s="654">
        <f>SUM(F153:F193)</f>
        <v>19436.16</v>
      </c>
      <c r="G194" s="182"/>
      <c r="H194" s="179"/>
      <c r="I194" s="57"/>
      <c r="J194" s="67"/>
    </row>
    <row r="195" spans="1:12" ht="13.5" customHeight="1" thickBot="1" x14ac:dyDescent="0.25">
      <c r="A195" s="2" t="s">
        <v>2</v>
      </c>
      <c r="B195" s="3"/>
      <c r="C195" s="3" t="s">
        <v>525</v>
      </c>
      <c r="D195" s="3"/>
      <c r="E195" s="3"/>
      <c r="F195" s="3"/>
      <c r="G195" s="5" t="s">
        <v>7</v>
      </c>
    </row>
    <row r="196" spans="1:12" ht="13.5" customHeight="1" x14ac:dyDescent="0.2">
      <c r="A196" s="8">
        <v>43862</v>
      </c>
      <c r="B196" s="70"/>
      <c r="C196" s="10" t="s">
        <v>537</v>
      </c>
      <c r="D196" s="125"/>
      <c r="E196" s="67"/>
      <c r="F196" s="67"/>
      <c r="G196" s="205">
        <v>542.8399999999981</v>
      </c>
      <c r="I196" s="30">
        <f>SUM(G3,G101,G120,G153,)</f>
        <v>15465.620000000028</v>
      </c>
      <c r="J196" t="s">
        <v>8082</v>
      </c>
    </row>
    <row r="197" spans="1:12" ht="13.5" customHeight="1" x14ac:dyDescent="0.2">
      <c r="A197" s="180">
        <v>43864</v>
      </c>
      <c r="B197" s="70"/>
      <c r="C197" s="32" t="s">
        <v>3758</v>
      </c>
      <c r="D197" s="125"/>
      <c r="E197" s="67"/>
      <c r="F197" s="559">
        <v>1000</v>
      </c>
      <c r="G197" s="203">
        <v>1542.8399999999981</v>
      </c>
      <c r="I197" s="1159"/>
    </row>
    <row r="198" spans="1:12" customFormat="1" ht="13.5" customHeight="1" x14ac:dyDescent="0.2">
      <c r="A198" s="180"/>
      <c r="B198" s="221"/>
      <c r="C198" s="36" t="s">
        <v>3928</v>
      </c>
      <c r="D198" s="522"/>
      <c r="E198" s="557">
        <v>400</v>
      </c>
      <c r="F198" s="198"/>
      <c r="G198" s="203">
        <v>1142.8399999999981</v>
      </c>
      <c r="I198" s="30">
        <f>SUM(G117,G150,G192,G98)</f>
        <v>19772.170000000006</v>
      </c>
      <c r="J198" t="s">
        <v>8083</v>
      </c>
    </row>
    <row r="199" spans="1:12" ht="13.5" customHeight="1" x14ac:dyDescent="0.2">
      <c r="A199" s="171">
        <v>43868</v>
      </c>
      <c r="B199" s="46"/>
      <c r="C199" s="36" t="s">
        <v>815</v>
      </c>
      <c r="D199" s="11"/>
      <c r="E199" s="181">
        <v>924.71</v>
      </c>
      <c r="F199" s="69"/>
      <c r="G199" s="203">
        <v>218.12999999999806</v>
      </c>
      <c r="I199" s="1159"/>
    </row>
    <row r="200" spans="1:12" ht="13.5" customHeight="1" x14ac:dyDescent="0.2">
      <c r="A200" s="171"/>
      <c r="B200" s="46"/>
      <c r="C200" s="34" t="s">
        <v>3929</v>
      </c>
      <c r="D200" s="229"/>
      <c r="E200" s="557">
        <v>99.99</v>
      </c>
      <c r="F200" s="69"/>
      <c r="G200" s="203">
        <v>118.13999999999807</v>
      </c>
      <c r="I200" s="30">
        <f>SUM(F194,E194,F151,E151,F118,E118,F99,E99,)</f>
        <v>4306.5499999999956</v>
      </c>
      <c r="J200" t="s">
        <v>8085</v>
      </c>
    </row>
    <row r="201" spans="1:12" ht="13.5" customHeight="1" x14ac:dyDescent="0.2">
      <c r="A201" s="171"/>
      <c r="B201" s="46"/>
      <c r="C201" s="34" t="s">
        <v>3930</v>
      </c>
      <c r="D201" s="229"/>
      <c r="E201" s="557">
        <v>99.99</v>
      </c>
      <c r="F201" s="69"/>
      <c r="G201" s="205">
        <v>18.149999999998073</v>
      </c>
      <c r="I201" s="1159"/>
    </row>
    <row r="202" spans="1:12" ht="13.5" customHeight="1" thickBot="1" x14ac:dyDescent="0.25">
      <c r="A202" s="180"/>
      <c r="B202" s="46"/>
      <c r="C202" s="34"/>
      <c r="D202" s="229"/>
      <c r="E202" s="69"/>
      <c r="F202" s="69"/>
      <c r="G202" s="182"/>
      <c r="I202" s="1159"/>
    </row>
    <row r="203" spans="1:12" ht="13.5" customHeight="1" thickBot="1" x14ac:dyDescent="0.25">
      <c r="A203" s="561" t="s">
        <v>2</v>
      </c>
      <c r="B203" s="562"/>
      <c r="C203" s="562" t="s">
        <v>534</v>
      </c>
      <c r="D203" s="563" t="s">
        <v>4</v>
      </c>
      <c r="E203" s="562" t="s">
        <v>5</v>
      </c>
      <c r="F203" s="562" t="s">
        <v>6</v>
      </c>
      <c r="G203" s="564" t="s">
        <v>7</v>
      </c>
      <c r="I203" s="615">
        <f>I196+I200-I198</f>
        <v>0</v>
      </c>
      <c r="J203" t="s">
        <v>8084</v>
      </c>
    </row>
    <row r="204" spans="1:12" ht="13.5" customHeight="1" x14ac:dyDescent="0.2">
      <c r="A204" s="568">
        <v>43861</v>
      </c>
      <c r="B204" s="569"/>
      <c r="C204" s="570" t="s">
        <v>8</v>
      </c>
      <c r="D204" s="571"/>
      <c r="E204" s="572"/>
      <c r="F204" s="573"/>
      <c r="G204" s="574">
        <v>36700</v>
      </c>
    </row>
    <row r="205" spans="1:12" ht="13.5" customHeight="1" x14ac:dyDescent="0.2">
      <c r="A205" s="578">
        <v>43864</v>
      </c>
      <c r="B205" s="569"/>
      <c r="C205" s="32" t="s">
        <v>3758</v>
      </c>
      <c r="D205" s="571"/>
      <c r="E205" s="572"/>
      <c r="F205" s="559">
        <v>1000</v>
      </c>
      <c r="G205" s="580">
        <v>37700</v>
      </c>
    </row>
    <row r="206" spans="1:12" ht="13.5" customHeight="1" x14ac:dyDescent="0.2">
      <c r="A206" s="578">
        <v>43872</v>
      </c>
      <c r="B206" s="569"/>
      <c r="C206" s="36" t="s">
        <v>1544</v>
      </c>
      <c r="D206" s="571"/>
      <c r="E206" s="582">
        <v>1000</v>
      </c>
      <c r="F206" s="573"/>
      <c r="G206" s="574">
        <v>36700</v>
      </c>
    </row>
    <row r="207" spans="1:12" ht="13.5" customHeight="1" thickBot="1" x14ac:dyDescent="0.25">
      <c r="A207" s="70"/>
      <c r="B207" s="70"/>
      <c r="C207" s="63"/>
      <c r="D207" s="50"/>
      <c r="E207" s="13"/>
      <c r="F207" s="13"/>
      <c r="G207" s="182"/>
    </row>
    <row r="208" spans="1:12" ht="13.5" customHeight="1" thickBot="1" x14ac:dyDescent="0.25">
      <c r="A208" s="213"/>
      <c r="B208" s="214"/>
      <c r="C208" s="215" t="s">
        <v>539</v>
      </c>
      <c r="D208" s="216"/>
      <c r="E208" s="187"/>
      <c r="F208" s="187"/>
      <c r="G208" s="217" t="s">
        <v>7</v>
      </c>
    </row>
    <row r="209" spans="1:7" ht="13.5" customHeight="1" x14ac:dyDescent="0.2">
      <c r="A209" s="74" t="s">
        <v>540</v>
      </c>
      <c r="B209" s="74"/>
      <c r="C209" s="218" t="s">
        <v>541</v>
      </c>
      <c r="D209" s="219"/>
      <c r="E209" s="220"/>
      <c r="F209" s="220"/>
      <c r="G209" s="75">
        <v>0</v>
      </c>
    </row>
    <row r="210" spans="1:7" ht="13.5" customHeight="1" x14ac:dyDescent="0.2">
      <c r="A210" s="221" t="s">
        <v>540</v>
      </c>
      <c r="B210" s="70"/>
      <c r="C210" s="63" t="s">
        <v>542</v>
      </c>
      <c r="D210" s="50"/>
      <c r="E210" s="13"/>
      <c r="F210" s="13"/>
      <c r="G210" s="75">
        <v>0</v>
      </c>
    </row>
    <row r="211" spans="1:7" ht="13.5" customHeight="1" x14ac:dyDescent="0.2">
      <c r="A211" s="70"/>
      <c r="B211" s="70"/>
      <c r="C211" s="222" t="s">
        <v>543</v>
      </c>
      <c r="D211" s="50"/>
      <c r="E211" s="13"/>
      <c r="F211" s="13"/>
      <c r="G211" s="14">
        <v>0</v>
      </c>
    </row>
    <row r="212" spans="1:7" ht="13.5" customHeight="1" x14ac:dyDescent="0.2">
      <c r="A212" s="70"/>
      <c r="B212" s="70"/>
      <c r="C212" s="63"/>
      <c r="D212" s="50"/>
      <c r="E212" s="13"/>
      <c r="F212" s="13"/>
      <c r="G212" s="14"/>
    </row>
    <row r="213" spans="1:7" ht="13.5" customHeight="1" x14ac:dyDescent="0.2">
      <c r="A213" s="70"/>
      <c r="B213" s="70"/>
      <c r="C213" s="222" t="s">
        <v>544</v>
      </c>
      <c r="D213" s="50"/>
      <c r="E213" s="13"/>
      <c r="F213" s="13"/>
      <c r="G213" s="14">
        <v>0</v>
      </c>
    </row>
    <row r="214" spans="1:7" ht="13.5" customHeight="1" x14ac:dyDescent="0.2">
      <c r="A214" s="70"/>
      <c r="B214" s="70"/>
      <c r="C214" s="63"/>
      <c r="D214" s="50"/>
      <c r="E214" s="13"/>
      <c r="F214" s="13"/>
      <c r="G214" s="75"/>
    </row>
    <row r="215" spans="1:7" ht="13.5" customHeight="1" x14ac:dyDescent="0.2">
      <c r="A215" s="76"/>
      <c r="B215" s="76"/>
      <c r="C215" s="222" t="s">
        <v>545</v>
      </c>
      <c r="D215" s="78"/>
      <c r="E215" s="78"/>
      <c r="F215" s="78"/>
      <c r="G215" s="14">
        <v>0</v>
      </c>
    </row>
    <row r="216" spans="1:7" ht="13.5" customHeight="1" x14ac:dyDescent="0.2">
      <c r="A216" s="76"/>
      <c r="B216" s="76"/>
      <c r="C216" s="78"/>
      <c r="D216" s="78"/>
      <c r="E216" s="78"/>
      <c r="F216" s="78"/>
      <c r="G216" s="75"/>
    </row>
    <row r="217" spans="1:7" ht="13.5" customHeight="1" x14ac:dyDescent="0.2">
      <c r="A217" s="70"/>
      <c r="B217" s="70"/>
      <c r="C217" s="63"/>
      <c r="D217" s="50"/>
      <c r="E217" s="13"/>
      <c r="F217" s="13"/>
      <c r="G217" s="75"/>
    </row>
    <row r="218" spans="1:7" ht="13.5" customHeight="1" x14ac:dyDescent="0.2">
      <c r="A218" s="70"/>
      <c r="B218" s="70"/>
      <c r="C218" s="63"/>
      <c r="D218" s="50"/>
      <c r="E218" s="13"/>
      <c r="F218" s="13"/>
      <c r="G218" s="182"/>
    </row>
    <row r="219" spans="1:7" ht="13.5" customHeight="1" x14ac:dyDescent="0.2">
      <c r="A219" s="70"/>
      <c r="B219" s="70"/>
      <c r="C219" s="63"/>
      <c r="D219" s="50"/>
      <c r="E219" s="13"/>
      <c r="F219" s="13"/>
      <c r="G219" s="182"/>
    </row>
    <row r="220" spans="1:7" ht="13.5" customHeight="1" x14ac:dyDescent="0.2">
      <c r="A220" s="70"/>
      <c r="B220" s="70"/>
      <c r="C220" s="63"/>
      <c r="D220" s="50"/>
      <c r="E220" s="13"/>
      <c r="F220" s="13"/>
      <c r="G220" s="182"/>
    </row>
    <row r="221" spans="1:7" ht="13.5" customHeight="1" x14ac:dyDescent="0.2">
      <c r="A221" s="70"/>
      <c r="B221" s="70"/>
      <c r="C221" s="63"/>
      <c r="D221" s="50"/>
      <c r="E221" s="13"/>
      <c r="F221" s="13"/>
      <c r="G221" s="182"/>
    </row>
    <row r="222" spans="1:7" ht="13.5" customHeight="1" x14ac:dyDescent="0.2">
      <c r="A222" s="70"/>
      <c r="B222" s="70"/>
      <c r="C222" s="63"/>
      <c r="D222" s="50"/>
      <c r="E222" s="13"/>
      <c r="F222" s="13"/>
      <c r="G222" s="182"/>
    </row>
    <row r="223" spans="1:7" ht="13.5" customHeight="1" x14ac:dyDescent="0.2">
      <c r="A223" s="70"/>
      <c r="B223" s="70"/>
      <c r="C223" s="63"/>
      <c r="D223" s="50"/>
      <c r="E223" s="13"/>
      <c r="F223" s="13"/>
      <c r="G223" s="182"/>
    </row>
    <row r="224" spans="1:7" ht="13.5" customHeight="1" x14ac:dyDescent="0.2">
      <c r="A224" s="70"/>
      <c r="B224" s="70"/>
      <c r="C224" s="63"/>
      <c r="D224" s="50"/>
      <c r="E224" s="13"/>
      <c r="F224" s="13"/>
      <c r="G224" s="182"/>
    </row>
    <row r="225" spans="1:7" ht="13.5" customHeight="1" x14ac:dyDescent="0.2">
      <c r="A225" s="70"/>
      <c r="B225" s="70"/>
      <c r="C225" s="63"/>
      <c r="D225" s="50"/>
      <c r="E225" s="13"/>
      <c r="F225" s="13"/>
      <c r="G225" s="182"/>
    </row>
    <row r="226" spans="1:7" ht="13.5" customHeight="1" x14ac:dyDescent="0.2">
      <c r="A226" s="70"/>
      <c r="B226" s="70"/>
      <c r="C226" s="63"/>
      <c r="D226" s="50"/>
      <c r="E226" s="13"/>
      <c r="F226" s="13"/>
      <c r="G226" s="182"/>
    </row>
    <row r="227" spans="1:7" ht="13.5" customHeight="1" x14ac:dyDescent="0.2">
      <c r="A227" s="70"/>
      <c r="B227" s="70"/>
      <c r="C227" s="63"/>
      <c r="D227" s="50"/>
      <c r="E227" s="13"/>
      <c r="F227" s="13"/>
      <c r="G227" s="182"/>
    </row>
    <row r="228" spans="1:7" ht="13.5" customHeight="1" x14ac:dyDescent="0.2">
      <c r="A228" s="70"/>
      <c r="B228" s="70"/>
      <c r="C228" s="63"/>
      <c r="D228" s="50"/>
      <c r="E228" s="13"/>
      <c r="F228" s="13"/>
      <c r="G228" s="182"/>
    </row>
    <row r="229" spans="1:7" ht="13.5" customHeight="1" x14ac:dyDescent="0.2">
      <c r="A229" s="70"/>
      <c r="B229" s="70"/>
      <c r="C229" s="63"/>
      <c r="D229" s="50"/>
      <c r="E229" s="13"/>
      <c r="F229" s="13"/>
      <c r="G229" s="182"/>
    </row>
    <row r="230" spans="1:7" ht="13.5" customHeight="1" x14ac:dyDescent="0.2">
      <c r="A230" s="70"/>
      <c r="B230" s="70"/>
      <c r="C230" s="63"/>
      <c r="D230" s="50"/>
      <c r="E230" s="13"/>
      <c r="F230" s="13"/>
      <c r="G230" s="182"/>
    </row>
    <row r="231" spans="1:7" ht="13.5" customHeight="1" x14ac:dyDescent="0.2">
      <c r="A231" s="70"/>
      <c r="B231" s="70"/>
      <c r="C231" s="63"/>
      <c r="D231" s="50"/>
      <c r="E231" s="13"/>
      <c r="F231" s="13"/>
      <c r="G231" s="182"/>
    </row>
    <row r="232" spans="1:7" ht="13.5" customHeight="1" x14ac:dyDescent="0.2">
      <c r="A232" s="70"/>
      <c r="B232" s="70"/>
      <c r="C232" s="63"/>
      <c r="D232" s="50"/>
      <c r="E232" s="13"/>
      <c r="F232" s="13"/>
      <c r="G232" s="182"/>
    </row>
    <row r="233" spans="1:7" ht="13.5" customHeight="1" x14ac:dyDescent="0.2">
      <c r="A233" s="70"/>
      <c r="B233" s="70"/>
      <c r="C233" s="63"/>
      <c r="D233" s="50"/>
      <c r="E233" s="13"/>
      <c r="F233" s="13"/>
      <c r="G233" s="182"/>
    </row>
    <row r="234" spans="1:7" ht="13.5" customHeight="1" x14ac:dyDescent="0.2">
      <c r="A234" s="70"/>
      <c r="B234" s="70"/>
      <c r="C234" s="63"/>
      <c r="D234" s="50"/>
      <c r="E234" s="13"/>
      <c r="F234" s="13"/>
      <c r="G234" s="182"/>
    </row>
    <row r="235" spans="1:7" ht="13.5" customHeight="1" x14ac:dyDescent="0.2">
      <c r="A235" s="70"/>
      <c r="B235" s="70"/>
      <c r="C235" s="63"/>
      <c r="D235" s="50"/>
      <c r="E235" s="13"/>
      <c r="F235" s="13"/>
      <c r="G235" s="182"/>
    </row>
    <row r="236" spans="1:7" ht="13.5" customHeight="1" x14ac:dyDescent="0.2">
      <c r="A236" s="70"/>
      <c r="B236" s="70"/>
      <c r="C236" s="63"/>
      <c r="D236" s="50"/>
      <c r="E236" s="13"/>
      <c r="F236" s="13"/>
      <c r="G236" s="182"/>
    </row>
    <row r="237" spans="1:7" ht="13.5" customHeight="1" x14ac:dyDescent="0.2">
      <c r="A237" s="70"/>
      <c r="B237" s="70"/>
      <c r="C237" s="63"/>
      <c r="D237" s="50"/>
      <c r="E237" s="13"/>
      <c r="F237" s="13"/>
      <c r="G237" s="182"/>
    </row>
    <row r="238" spans="1:7" ht="13.5" customHeight="1" x14ac:dyDescent="0.2">
      <c r="A238" s="70"/>
      <c r="B238" s="70"/>
      <c r="C238" s="63"/>
      <c r="D238" s="50"/>
      <c r="E238" s="13"/>
      <c r="F238" s="13"/>
      <c r="G238" s="182"/>
    </row>
    <row r="239" spans="1:7" ht="13.5" customHeight="1" x14ac:dyDescent="0.2">
      <c r="A239" s="70"/>
      <c r="B239" s="70"/>
      <c r="C239" s="63"/>
      <c r="D239" s="50"/>
      <c r="E239" s="13"/>
      <c r="F239" s="13"/>
      <c r="G239" s="182"/>
    </row>
    <row r="240" spans="1:7" ht="13.5" customHeight="1" x14ac:dyDescent="0.2">
      <c r="A240" s="70"/>
      <c r="B240" s="70"/>
      <c r="C240" s="63"/>
      <c r="D240" s="50"/>
      <c r="E240" s="13"/>
      <c r="F240" s="13"/>
      <c r="G240" s="182"/>
    </row>
    <row r="241" spans="1:7" ht="13.5" customHeight="1" x14ac:dyDescent="0.2">
      <c r="A241" s="70"/>
      <c r="B241" s="70"/>
      <c r="C241" s="63"/>
      <c r="D241" s="50"/>
      <c r="E241" s="13"/>
      <c r="F241" s="13"/>
      <c r="G241" s="182"/>
    </row>
    <row r="242" spans="1:7" ht="13.5" customHeight="1" x14ac:dyDescent="0.2">
      <c r="A242" s="70"/>
      <c r="B242" s="70"/>
      <c r="C242" s="63"/>
      <c r="D242" s="50"/>
      <c r="E242" s="13"/>
      <c r="F242" s="13"/>
      <c r="G242" s="182"/>
    </row>
    <row r="243" spans="1:7" ht="13.5" customHeight="1" x14ac:dyDescent="0.2">
      <c r="A243" s="70"/>
      <c r="B243" s="70"/>
      <c r="C243" s="63"/>
      <c r="D243" s="50"/>
      <c r="E243" s="13"/>
      <c r="F243" s="13"/>
      <c r="G243" s="182"/>
    </row>
    <row r="244" spans="1:7" ht="13.5" customHeight="1" x14ac:dyDescent="0.2">
      <c r="A244" s="70"/>
      <c r="B244" s="70"/>
      <c r="C244" s="63"/>
      <c r="D244" s="50"/>
      <c r="E244" s="13"/>
      <c r="F244" s="13"/>
      <c r="G244" s="182"/>
    </row>
    <row r="245" spans="1:7" ht="13.5" customHeight="1" x14ac:dyDescent="0.2">
      <c r="A245" s="131"/>
      <c r="B245" s="70"/>
      <c r="C245" s="64"/>
      <c r="D245" s="50"/>
      <c r="E245" s="13"/>
      <c r="F245" s="13"/>
      <c r="G245" s="182"/>
    </row>
    <row r="246" spans="1:7" ht="13.5" customHeight="1" x14ac:dyDescent="0.2">
      <c r="A246" s="70"/>
      <c r="B246" s="70"/>
      <c r="C246" s="63"/>
      <c r="D246" s="50"/>
      <c r="E246" s="13"/>
      <c r="F246" s="13"/>
      <c r="G246" s="182"/>
    </row>
    <row r="247" spans="1:7" ht="13.5" customHeight="1" x14ac:dyDescent="0.2">
      <c r="A247" s="70"/>
      <c r="B247" s="70"/>
      <c r="C247" s="63"/>
      <c r="D247" s="50"/>
      <c r="E247" s="13"/>
      <c r="F247" s="13"/>
      <c r="G247" s="182"/>
    </row>
    <row r="248" spans="1:7" ht="13.5" customHeight="1" x14ac:dyDescent="0.2">
      <c r="A248" s="131"/>
      <c r="B248" s="70"/>
      <c r="C248" s="85"/>
      <c r="D248" s="50"/>
      <c r="E248" s="13"/>
      <c r="F248" s="13"/>
      <c r="G248" s="182"/>
    </row>
    <row r="249" spans="1:7" ht="13.5" customHeight="1" x14ac:dyDescent="0.2">
      <c r="A249" s="131"/>
      <c r="B249" s="70"/>
      <c r="C249" s="63"/>
      <c r="D249" s="50"/>
      <c r="E249" s="13"/>
      <c r="F249" s="13"/>
      <c r="G249" s="182"/>
    </row>
    <row r="250" spans="1:7" ht="13.5" customHeight="1" x14ac:dyDescent="0.2">
      <c r="A250" s="131"/>
      <c r="B250" s="70"/>
      <c r="C250" s="63"/>
      <c r="D250" s="50"/>
      <c r="E250" s="13"/>
      <c r="F250" s="13"/>
      <c r="G250" s="182"/>
    </row>
    <row r="251" spans="1:7" ht="13.5" customHeight="1" x14ac:dyDescent="0.2">
      <c r="A251" s="131"/>
      <c r="B251" s="70"/>
      <c r="C251" s="64"/>
      <c r="D251" s="50"/>
      <c r="E251" s="13"/>
      <c r="F251" s="13"/>
      <c r="G251" s="182"/>
    </row>
    <row r="252" spans="1:7" ht="13.5" customHeight="1" x14ac:dyDescent="0.2">
      <c r="A252" s="70"/>
      <c r="B252" s="70"/>
      <c r="C252" s="63"/>
      <c r="D252" s="50"/>
      <c r="E252" s="13"/>
      <c r="F252" s="13"/>
      <c r="G252" s="182"/>
    </row>
    <row r="253" spans="1:7" ht="13.5" customHeight="1" x14ac:dyDescent="0.2">
      <c r="A253" s="131"/>
      <c r="B253" s="70"/>
      <c r="C253" s="63"/>
      <c r="D253" s="50"/>
      <c r="E253" s="13"/>
      <c r="F253" s="13"/>
      <c r="G253" s="182"/>
    </row>
    <row r="254" spans="1:7" ht="13.5" customHeight="1" x14ac:dyDescent="0.2">
      <c r="A254" s="131"/>
      <c r="B254" s="70"/>
      <c r="C254" s="64"/>
      <c r="D254" s="50"/>
      <c r="E254" s="13"/>
      <c r="F254" s="13"/>
      <c r="G254" s="182"/>
    </row>
    <row r="255" spans="1:7" ht="13.5" customHeight="1" x14ac:dyDescent="0.2">
      <c r="A255" s="70"/>
      <c r="B255" s="70"/>
      <c r="C255" s="63"/>
      <c r="D255" s="50"/>
      <c r="E255" s="13"/>
      <c r="F255" s="13"/>
      <c r="G255" s="182"/>
    </row>
    <row r="256" spans="1:7" ht="13.5" customHeight="1" x14ac:dyDescent="0.2">
      <c r="A256" s="131"/>
      <c r="B256" s="70"/>
      <c r="C256" s="63"/>
      <c r="D256" s="50"/>
      <c r="E256" s="13"/>
      <c r="F256" s="13"/>
      <c r="G256" s="182"/>
    </row>
    <row r="257" spans="1:7" ht="13.5" customHeight="1" x14ac:dyDescent="0.2">
      <c r="A257" s="131"/>
      <c r="B257" s="70"/>
      <c r="C257" s="64"/>
      <c r="D257" s="50"/>
      <c r="E257" s="13"/>
      <c r="F257" s="13"/>
      <c r="G257" s="182"/>
    </row>
    <row r="258" spans="1:7" ht="13.5" customHeight="1" x14ac:dyDescent="0.2">
      <c r="A258" s="70"/>
      <c r="B258" s="70"/>
      <c r="C258" s="63"/>
      <c r="D258" s="50"/>
      <c r="E258" s="13"/>
      <c r="F258" s="13"/>
      <c r="G258" s="182"/>
    </row>
    <row r="259" spans="1:7" ht="13.5" customHeight="1" x14ac:dyDescent="0.2">
      <c r="A259" s="70"/>
      <c r="B259" s="70"/>
      <c r="C259" s="63"/>
      <c r="D259" s="50"/>
      <c r="E259" s="13"/>
      <c r="F259" s="13"/>
      <c r="G259" s="182"/>
    </row>
    <row r="260" spans="1:7" ht="13.5" customHeight="1" x14ac:dyDescent="0.2">
      <c r="A260" s="70"/>
      <c r="B260" s="70"/>
      <c r="C260" s="63"/>
      <c r="D260" s="50"/>
      <c r="E260" s="13"/>
      <c r="F260" s="13"/>
      <c r="G260" s="182"/>
    </row>
    <row r="261" spans="1:7" ht="13.5" customHeight="1" x14ac:dyDescent="0.2">
      <c r="A261" s="131"/>
      <c r="B261" s="70"/>
      <c r="C261" s="86"/>
      <c r="D261" s="50"/>
      <c r="E261" s="13"/>
      <c r="F261" s="13"/>
      <c r="G261" s="182"/>
    </row>
    <row r="262" spans="1:7" ht="13.5" customHeight="1" x14ac:dyDescent="0.2">
      <c r="A262" s="131"/>
      <c r="B262" s="70"/>
      <c r="C262" s="85"/>
      <c r="D262" s="50"/>
      <c r="E262" s="13"/>
      <c r="F262" s="13"/>
      <c r="G262" s="182"/>
    </row>
    <row r="263" spans="1:7" ht="13.5" customHeight="1" x14ac:dyDescent="0.2">
      <c r="A263" s="131"/>
      <c r="B263" s="70"/>
      <c r="C263" s="87"/>
      <c r="D263" s="50"/>
      <c r="E263" s="13"/>
      <c r="F263" s="13"/>
      <c r="G263" s="182"/>
    </row>
    <row r="264" spans="1:7" ht="13.5" customHeight="1" x14ac:dyDescent="0.2">
      <c r="A264" s="131"/>
      <c r="B264" s="70"/>
      <c r="C264" s="88"/>
      <c r="D264" s="50"/>
      <c r="E264" s="13"/>
      <c r="F264" s="13"/>
      <c r="G264" s="182"/>
    </row>
    <row r="265" spans="1:7" ht="13.5" customHeight="1" x14ac:dyDescent="0.2">
      <c r="A265" s="91"/>
      <c r="B265" s="9"/>
      <c r="C265" s="56"/>
      <c r="D265" s="11"/>
      <c r="E265" s="12"/>
      <c r="F265" s="12"/>
      <c r="G265" s="182"/>
    </row>
    <row r="266" spans="1:7" ht="13.5" customHeight="1" x14ac:dyDescent="0.2">
      <c r="A266" s="9"/>
      <c r="B266" s="9"/>
      <c r="C266" s="56"/>
      <c r="D266" s="11"/>
      <c r="E266" s="12"/>
      <c r="F266" s="12"/>
      <c r="G266" s="182"/>
    </row>
    <row r="267" spans="1:7" ht="13.5" customHeight="1" x14ac:dyDescent="0.2">
      <c r="A267" s="9"/>
      <c r="B267" s="9"/>
      <c r="C267" s="56"/>
      <c r="D267" s="11"/>
      <c r="E267" s="12"/>
      <c r="F267" s="12"/>
      <c r="G267" s="182"/>
    </row>
    <row r="268" spans="1:7" ht="13.5" customHeight="1" x14ac:dyDescent="0.2">
      <c r="A268" s="91"/>
      <c r="B268" s="9"/>
      <c r="D268" s="11"/>
      <c r="E268" s="12"/>
      <c r="F268" s="12"/>
      <c r="G268" s="182"/>
    </row>
    <row r="269" spans="1:7" ht="13.5" customHeight="1" x14ac:dyDescent="0.2">
      <c r="A269" s="9"/>
      <c r="B269" s="9"/>
      <c r="C269" s="56"/>
      <c r="D269" s="11"/>
      <c r="E269" s="12"/>
      <c r="F269" s="12"/>
      <c r="G269" s="182"/>
    </row>
    <row r="270" spans="1:7" ht="13.5" customHeight="1" x14ac:dyDescent="0.2">
      <c r="A270" s="9"/>
      <c r="B270" s="9"/>
      <c r="C270" s="56"/>
      <c r="D270" s="11"/>
      <c r="E270" s="12"/>
      <c r="F270" s="12"/>
      <c r="G270" s="182"/>
    </row>
    <row r="271" spans="1:7" ht="13.5" customHeight="1" x14ac:dyDescent="0.2">
      <c r="A271" s="9"/>
      <c r="B271" s="9"/>
      <c r="C271" s="56"/>
      <c r="D271" s="11"/>
      <c r="E271" s="12"/>
      <c r="F271" s="12"/>
      <c r="G271" s="182"/>
    </row>
    <row r="272" spans="1:7" ht="13.5" customHeight="1" x14ac:dyDescent="0.2">
      <c r="A272" s="91"/>
      <c r="B272" s="9"/>
      <c r="C272" s="27"/>
      <c r="D272" s="11"/>
      <c r="E272" s="12"/>
      <c r="F272" s="12"/>
      <c r="G272" s="182"/>
    </row>
    <row r="273" spans="1:7" ht="13.5" customHeight="1" x14ac:dyDescent="0.2">
      <c r="A273" s="91"/>
      <c r="B273" s="9"/>
      <c r="C273" s="27"/>
      <c r="D273" s="11"/>
      <c r="E273" s="12"/>
      <c r="F273" s="12"/>
      <c r="G273" s="182"/>
    </row>
    <row r="274" spans="1:7" ht="13.5" customHeight="1" x14ac:dyDescent="0.2">
      <c r="A274" s="91"/>
      <c r="B274" s="9"/>
      <c r="D274" s="11"/>
      <c r="E274" s="12"/>
      <c r="F274" s="12"/>
      <c r="G274" s="182"/>
    </row>
    <row r="275" spans="1:7" ht="13.5" customHeight="1" x14ac:dyDescent="0.2">
      <c r="A275" s="9"/>
      <c r="B275" s="9"/>
      <c r="C275" s="56"/>
      <c r="D275" s="11"/>
      <c r="E275" s="12"/>
      <c r="F275" s="12"/>
      <c r="G275" s="182"/>
    </row>
    <row r="276" spans="1:7" ht="13.5" customHeight="1" x14ac:dyDescent="0.2">
      <c r="A276" s="9"/>
      <c r="B276" s="9"/>
      <c r="C276" s="56"/>
      <c r="D276" s="11"/>
      <c r="E276" s="12"/>
      <c r="F276" s="12"/>
      <c r="G276" s="182"/>
    </row>
    <row r="277" spans="1:7" ht="13.5" customHeight="1" x14ac:dyDescent="0.2">
      <c r="A277" s="9"/>
      <c r="B277" s="9"/>
      <c r="C277" s="56"/>
      <c r="D277" s="11"/>
      <c r="E277" s="12"/>
      <c r="F277" s="12"/>
      <c r="G277" s="182"/>
    </row>
    <row r="278" spans="1:7" ht="13.5" customHeight="1" x14ac:dyDescent="0.2">
      <c r="A278" s="9"/>
      <c r="B278" s="9"/>
      <c r="C278" s="56"/>
      <c r="D278" s="11"/>
      <c r="E278" s="12"/>
      <c r="F278" s="12"/>
      <c r="G278" s="182"/>
    </row>
    <row r="279" spans="1:7" x14ac:dyDescent="0.2">
      <c r="A279" s="132"/>
      <c r="B279" s="93"/>
      <c r="C279" s="94"/>
      <c r="D279" s="27"/>
      <c r="E279" s="27"/>
      <c r="F279" s="27"/>
      <c r="G279" s="182"/>
    </row>
  </sheetData>
  <mergeCells count="3">
    <mergeCell ref="A1:C1"/>
    <mergeCell ref="D1:G1"/>
    <mergeCell ref="H152:J152"/>
  </mergeCells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J243"/>
  <sheetViews>
    <sheetView zoomScale="80" zoomScaleNormal="80" workbookViewId="0">
      <selection activeCell="F127" sqref="F127"/>
    </sheetView>
  </sheetViews>
  <sheetFormatPr defaultColWidth="9" defaultRowHeight="12.75" x14ac:dyDescent="0.2"/>
  <cols>
    <col min="1" max="1" width="11.5" style="1" customWidth="1"/>
    <col min="2" max="2" width="101.25" style="1" customWidth="1"/>
    <col min="3" max="3" width="11" style="1" customWidth="1"/>
    <col min="4" max="4" width="11.375" style="1" customWidth="1"/>
    <col min="5" max="5" width="11" style="1" customWidth="1"/>
    <col min="6" max="6" width="12.5" style="1" customWidth="1"/>
    <col min="7" max="7" width="9.125" style="1" customWidth="1"/>
    <col min="8" max="8" width="8.375" style="1" customWidth="1"/>
    <col min="9" max="9" width="8.25" style="1" customWidth="1"/>
    <col min="10" max="10" width="10.25" style="1" customWidth="1"/>
    <col min="11" max="11" width="10.5" style="1" bestFit="1" customWidth="1"/>
    <col min="12" max="16384" width="9" style="1"/>
  </cols>
  <sheetData>
    <row r="1" spans="1:10" x14ac:dyDescent="0.2">
      <c r="F1" s="1" t="s">
        <v>5547</v>
      </c>
      <c r="G1" s="1" t="s">
        <v>224</v>
      </c>
      <c r="H1" s="1" t="s">
        <v>5546</v>
      </c>
      <c r="I1" s="1" t="s">
        <v>441</v>
      </c>
      <c r="J1" t="s">
        <v>5548</v>
      </c>
    </row>
    <row r="2" spans="1:10" ht="13.5" customHeight="1" x14ac:dyDescent="0.2">
      <c r="A2" t="s">
        <v>3762</v>
      </c>
      <c r="B2" s="36" t="s">
        <v>3821</v>
      </c>
      <c r="C2" s="69"/>
      <c r="D2" s="30">
        <v>950</v>
      </c>
      <c r="F2" s="725">
        <v>1040</v>
      </c>
      <c r="G2" s="402">
        <v>90</v>
      </c>
      <c r="H2" s="402"/>
      <c r="I2" s="402"/>
      <c r="J2" s="618">
        <f t="shared" ref="J2:J19" si="0">F2-G2-H2-I2</f>
        <v>950</v>
      </c>
    </row>
    <row r="3" spans="1:10" ht="13.5" customHeight="1" x14ac:dyDescent="0.2">
      <c r="A3" t="s">
        <v>3762</v>
      </c>
      <c r="B3" s="36" t="s">
        <v>3849</v>
      </c>
      <c r="C3" s="69"/>
      <c r="D3" s="30">
        <v>1050</v>
      </c>
      <c r="F3" s="725">
        <v>1140</v>
      </c>
      <c r="G3" s="402">
        <v>90</v>
      </c>
      <c r="H3" s="402"/>
      <c r="I3" s="402"/>
      <c r="J3" s="618">
        <f t="shared" si="0"/>
        <v>1050</v>
      </c>
    </row>
    <row r="4" spans="1:10" ht="13.5" customHeight="1" x14ac:dyDescent="0.2">
      <c r="A4" t="s">
        <v>3762</v>
      </c>
      <c r="B4" s="36" t="s">
        <v>3790</v>
      </c>
      <c r="C4" s="69"/>
      <c r="D4" s="30">
        <v>1050</v>
      </c>
      <c r="F4" s="725">
        <v>1140</v>
      </c>
      <c r="G4" s="402">
        <v>90</v>
      </c>
      <c r="H4" s="402"/>
      <c r="I4" s="402"/>
      <c r="J4" s="618">
        <f t="shared" si="0"/>
        <v>1050</v>
      </c>
    </row>
    <row r="5" spans="1:10" ht="13.5" customHeight="1" x14ac:dyDescent="0.2">
      <c r="A5" t="s">
        <v>3762</v>
      </c>
      <c r="B5" s="34" t="s">
        <v>3931</v>
      </c>
      <c r="C5" s="69"/>
      <c r="D5" s="30">
        <v>1500</v>
      </c>
      <c r="F5" s="726">
        <v>1640</v>
      </c>
      <c r="G5" s="402">
        <v>90</v>
      </c>
      <c r="H5" s="402">
        <v>50</v>
      </c>
      <c r="I5" s="402"/>
      <c r="J5" s="618">
        <f t="shared" si="0"/>
        <v>1500</v>
      </c>
    </row>
    <row r="6" spans="1:10" ht="13.5" customHeight="1" x14ac:dyDescent="0.2">
      <c r="A6" t="s">
        <v>3762</v>
      </c>
      <c r="B6" s="36" t="s">
        <v>3806</v>
      </c>
      <c r="C6" s="69"/>
      <c r="D6" s="30">
        <v>300</v>
      </c>
      <c r="F6" s="725">
        <v>300</v>
      </c>
      <c r="G6" s="402"/>
      <c r="H6" s="402"/>
      <c r="I6" s="402"/>
      <c r="J6" s="618">
        <f>F6-G6-H6-I6</f>
        <v>300</v>
      </c>
    </row>
    <row r="7" spans="1:10" ht="13.5" customHeight="1" x14ac:dyDescent="0.2">
      <c r="A7" t="s">
        <v>3762</v>
      </c>
      <c r="B7" s="36" t="s">
        <v>3776</v>
      </c>
      <c r="C7" s="69"/>
      <c r="D7" s="12">
        <v>420</v>
      </c>
      <c r="F7" s="725">
        <v>420</v>
      </c>
      <c r="G7" s="402"/>
      <c r="H7" s="402"/>
      <c r="I7" s="402"/>
      <c r="J7" s="618">
        <f>F7-G7-H7-I7</f>
        <v>420</v>
      </c>
    </row>
    <row r="8" spans="1:10" ht="13.5" customHeight="1" x14ac:dyDescent="0.2">
      <c r="A8" t="s">
        <v>3762</v>
      </c>
      <c r="B8" s="36" t="s">
        <v>3799</v>
      </c>
      <c r="C8" s="69"/>
      <c r="D8" s="30">
        <v>140</v>
      </c>
      <c r="F8" s="725">
        <v>140</v>
      </c>
      <c r="G8" s="402"/>
      <c r="H8" s="402"/>
      <c r="I8" s="402"/>
      <c r="J8" s="618">
        <f>F8-G8-H8-I8</f>
        <v>140</v>
      </c>
    </row>
    <row r="9" spans="1:10" ht="13.5" customHeight="1" x14ac:dyDescent="0.2">
      <c r="A9" t="s">
        <v>3762</v>
      </c>
      <c r="B9" s="36" t="s">
        <v>3932</v>
      </c>
      <c r="C9" s="69"/>
      <c r="D9" s="30">
        <v>582</v>
      </c>
      <c r="F9" s="725">
        <v>582</v>
      </c>
      <c r="G9" s="402"/>
      <c r="H9" s="402"/>
      <c r="I9" s="402"/>
      <c r="J9" s="618">
        <f>F9-G9-H9-I9</f>
        <v>582</v>
      </c>
    </row>
    <row r="10" spans="1:10" ht="13.5" customHeight="1" x14ac:dyDescent="0.2">
      <c r="A10" t="s">
        <v>3762</v>
      </c>
      <c r="B10" s="36" t="s">
        <v>3817</v>
      </c>
      <c r="C10" s="69"/>
      <c r="D10" s="30">
        <v>700</v>
      </c>
      <c r="F10" s="725">
        <v>700</v>
      </c>
      <c r="G10" s="402"/>
      <c r="H10" s="402"/>
      <c r="I10" s="402"/>
      <c r="J10" s="618">
        <f>F10-G10-H10-I10</f>
        <v>700</v>
      </c>
    </row>
    <row r="11" spans="1:10" ht="13.5" customHeight="1" x14ac:dyDescent="0.2">
      <c r="A11" t="s">
        <v>3762</v>
      </c>
      <c r="B11" s="36" t="s">
        <v>3856</v>
      </c>
      <c r="C11" s="69"/>
      <c r="D11" s="30">
        <v>672.41</v>
      </c>
      <c r="F11" s="725">
        <v>712.75</v>
      </c>
      <c r="G11" s="402">
        <v>40.340000000000003</v>
      </c>
      <c r="H11" s="402"/>
      <c r="I11" s="402"/>
      <c r="J11" s="618">
        <f t="shared" si="0"/>
        <v>672.41</v>
      </c>
    </row>
    <row r="12" spans="1:10" ht="13.5" customHeight="1" x14ac:dyDescent="0.2">
      <c r="A12" t="s">
        <v>3762</v>
      </c>
      <c r="B12" s="34" t="s">
        <v>3765</v>
      </c>
      <c r="C12" s="61"/>
      <c r="D12" s="30">
        <v>900</v>
      </c>
      <c r="F12" s="725">
        <v>900</v>
      </c>
      <c r="G12" s="402"/>
      <c r="H12" s="402"/>
      <c r="I12" s="402"/>
      <c r="J12" s="618"/>
    </row>
    <row r="13" spans="1:10" ht="13.5" customHeight="1" x14ac:dyDescent="0.2">
      <c r="A13" t="s">
        <v>3762</v>
      </c>
      <c r="B13" s="36" t="s">
        <v>3788</v>
      </c>
      <c r="C13" s="69"/>
      <c r="D13" s="30">
        <v>1250</v>
      </c>
      <c r="F13" s="725">
        <v>1340</v>
      </c>
      <c r="G13" s="402">
        <v>90</v>
      </c>
      <c r="H13" s="402"/>
      <c r="I13" s="402"/>
      <c r="J13" s="618">
        <f>F13-G13-H13-I13</f>
        <v>1250</v>
      </c>
    </row>
    <row r="14" spans="1:10" ht="13.5" customHeight="1" x14ac:dyDescent="0.2">
      <c r="A14" t="s">
        <v>3762</v>
      </c>
      <c r="B14" s="34" t="s">
        <v>10</v>
      </c>
      <c r="C14" s="61"/>
      <c r="D14" s="30">
        <f>G20</f>
        <v>490.34000000000003</v>
      </c>
      <c r="F14" s="725">
        <v>450</v>
      </c>
      <c r="G14" s="402"/>
      <c r="H14" s="402"/>
      <c r="I14" s="402"/>
      <c r="J14" s="618"/>
    </row>
    <row r="15" spans="1:10" ht="13.5" customHeight="1" x14ac:dyDescent="0.2">
      <c r="A15" t="s">
        <v>3762</v>
      </c>
      <c r="B15" s="34" t="s">
        <v>3839</v>
      </c>
      <c r="C15" s="69"/>
      <c r="D15" s="30">
        <v>1100</v>
      </c>
      <c r="F15" s="725">
        <v>1100</v>
      </c>
      <c r="G15" s="402"/>
      <c r="H15" s="402"/>
      <c r="I15" s="402"/>
      <c r="J15" s="618">
        <f t="shared" si="0"/>
        <v>1100</v>
      </c>
    </row>
    <row r="16" spans="1:10" ht="13.5" customHeight="1" x14ac:dyDescent="0.2">
      <c r="A16" t="s">
        <v>3762</v>
      </c>
      <c r="B16" s="34" t="s">
        <v>3816</v>
      </c>
      <c r="C16" s="69"/>
      <c r="D16" s="30">
        <v>4000</v>
      </c>
      <c r="F16" s="725">
        <v>4000</v>
      </c>
      <c r="G16" s="402"/>
      <c r="H16" s="402"/>
      <c r="I16" s="402"/>
      <c r="J16" s="618">
        <f t="shared" si="0"/>
        <v>4000</v>
      </c>
    </row>
    <row r="17" spans="1:10" ht="13.5" customHeight="1" x14ac:dyDescent="0.2">
      <c r="A17" t="s">
        <v>3762</v>
      </c>
      <c r="B17" s="36" t="s">
        <v>3859</v>
      </c>
      <c r="C17" s="69"/>
      <c r="D17" s="30">
        <v>2205</v>
      </c>
      <c r="F17" s="725">
        <v>2205</v>
      </c>
      <c r="G17" s="402"/>
      <c r="H17" s="402"/>
      <c r="I17" s="402"/>
      <c r="J17" s="618">
        <f t="shared" si="0"/>
        <v>2205</v>
      </c>
    </row>
    <row r="18" spans="1:10" ht="13.5" customHeight="1" x14ac:dyDescent="0.2">
      <c r="A18" t="s">
        <v>3762</v>
      </c>
      <c r="B18" s="36" t="s">
        <v>3858</v>
      </c>
      <c r="C18" s="69"/>
      <c r="D18" s="30">
        <v>5200</v>
      </c>
      <c r="F18" s="725">
        <v>5200</v>
      </c>
      <c r="G18" s="402"/>
      <c r="H18" s="402"/>
      <c r="I18" s="402"/>
      <c r="J18" s="618">
        <f t="shared" si="0"/>
        <v>5200</v>
      </c>
    </row>
    <row r="19" spans="1:10" ht="13.5" customHeight="1" x14ac:dyDescent="0.2">
      <c r="A19" t="s">
        <v>3762</v>
      </c>
      <c r="B19" s="36" t="s">
        <v>3851</v>
      </c>
      <c r="C19" s="69"/>
      <c r="D19" s="30">
        <v>1464</v>
      </c>
      <c r="F19" s="725">
        <v>1464</v>
      </c>
      <c r="G19" s="402"/>
      <c r="H19" s="402"/>
      <c r="I19" s="402"/>
      <c r="J19" s="618">
        <f t="shared" si="0"/>
        <v>1464</v>
      </c>
    </row>
    <row r="20" spans="1:10" ht="13.5" customHeight="1" x14ac:dyDescent="0.2">
      <c r="A20" t="s">
        <v>3762</v>
      </c>
      <c r="B20" s="36" t="s">
        <v>3802</v>
      </c>
      <c r="C20" s="69"/>
      <c r="D20" s="1370">
        <v>250</v>
      </c>
      <c r="F20" t="s">
        <v>3766</v>
      </c>
      <c r="G20" s="107">
        <f>SUM(G2:G19)</f>
        <v>490.34000000000003</v>
      </c>
      <c r="H20" s="107">
        <f>SUM(H2:H19)</f>
        <v>50</v>
      </c>
      <c r="I20" s="107">
        <f>SUM(I2:I19)</f>
        <v>0</v>
      </c>
    </row>
    <row r="21" spans="1:10" ht="13.5" customHeight="1" x14ac:dyDescent="0.2">
      <c r="A21" t="s">
        <v>3762</v>
      </c>
      <c r="B21" s="36" t="s">
        <v>3783</v>
      </c>
      <c r="C21" s="69"/>
      <c r="D21" s="1370">
        <v>220</v>
      </c>
    </row>
    <row r="22" spans="1:10" ht="13.5" customHeight="1" x14ac:dyDescent="0.2">
      <c r="A22" t="s">
        <v>3762</v>
      </c>
      <c r="B22" s="36" t="s">
        <v>3800</v>
      </c>
      <c r="C22" s="69"/>
      <c r="D22" s="1370">
        <v>250</v>
      </c>
    </row>
    <row r="23" spans="1:10" ht="13.5" customHeight="1" x14ac:dyDescent="0.2">
      <c r="A23" t="s">
        <v>3762</v>
      </c>
      <c r="B23" s="36" t="s">
        <v>3775</v>
      </c>
      <c r="C23" s="69"/>
      <c r="D23" s="1370">
        <v>250</v>
      </c>
    </row>
    <row r="24" spans="1:10" ht="13.5" customHeight="1" x14ac:dyDescent="0.2">
      <c r="A24" t="s">
        <v>3762</v>
      </c>
      <c r="B24" s="36" t="s">
        <v>3857</v>
      </c>
      <c r="C24" s="69"/>
      <c r="D24" s="1370">
        <v>241</v>
      </c>
    </row>
    <row r="25" spans="1:10" ht="13.5" customHeight="1" x14ac:dyDescent="0.2">
      <c r="A25" t="s">
        <v>3762</v>
      </c>
      <c r="B25" s="36" t="s">
        <v>3850</v>
      </c>
      <c r="C25" s="69"/>
      <c r="D25" s="1370">
        <v>150</v>
      </c>
    </row>
    <row r="26" spans="1:10" ht="13.5" customHeight="1" x14ac:dyDescent="0.2">
      <c r="A26" t="s">
        <v>3762</v>
      </c>
      <c r="B26" s="36" t="s">
        <v>3791</v>
      </c>
      <c r="C26" s="69"/>
      <c r="D26" s="1370">
        <v>150</v>
      </c>
    </row>
    <row r="27" spans="1:10" ht="13.5" customHeight="1" x14ac:dyDescent="0.2">
      <c r="A27" t="s">
        <v>3762</v>
      </c>
      <c r="B27" s="36" t="s">
        <v>3805</v>
      </c>
      <c r="C27" s="69"/>
      <c r="D27" s="1370">
        <v>200</v>
      </c>
    </row>
    <row r="28" spans="1:10" ht="13.5" customHeight="1" x14ac:dyDescent="0.2">
      <c r="A28" t="s">
        <v>3762</v>
      </c>
      <c r="B28" s="36" t="s">
        <v>3815</v>
      </c>
      <c r="C28" s="69"/>
      <c r="D28" s="1370">
        <v>200</v>
      </c>
    </row>
    <row r="29" spans="1:10" ht="13.5" customHeight="1" x14ac:dyDescent="0.2">
      <c r="A29" t="s">
        <v>3762</v>
      </c>
      <c r="B29" s="36" t="s">
        <v>3803</v>
      </c>
      <c r="C29" s="69"/>
      <c r="D29" s="1370">
        <v>60</v>
      </c>
    </row>
    <row r="30" spans="1:10" ht="13.5" customHeight="1" x14ac:dyDescent="0.2">
      <c r="A30" t="s">
        <v>3762</v>
      </c>
      <c r="B30" s="36" t="s">
        <v>3801</v>
      </c>
      <c r="C30" s="69"/>
      <c r="D30" s="1370">
        <v>60</v>
      </c>
    </row>
    <row r="31" spans="1:10" ht="13.5" customHeight="1" x14ac:dyDescent="0.2">
      <c r="A31" t="s">
        <v>3762</v>
      </c>
      <c r="B31" s="36" t="s">
        <v>3827</v>
      </c>
      <c r="C31" s="69"/>
      <c r="D31" s="1370">
        <v>88</v>
      </c>
    </row>
    <row r="32" spans="1:10" ht="13.5" customHeight="1" x14ac:dyDescent="0.2">
      <c r="A32" t="s">
        <v>3762</v>
      </c>
      <c r="B32" s="34" t="s">
        <v>3804</v>
      </c>
      <c r="C32" s="69"/>
      <c r="D32" s="1370">
        <v>260</v>
      </c>
      <c r="E32" s="1371">
        <f>SUM(D20:D32)</f>
        <v>2379</v>
      </c>
    </row>
    <row r="33" spans="1:10" ht="13.5" customHeight="1" x14ac:dyDescent="0.2">
      <c r="A33"/>
      <c r="B33" s="34"/>
      <c r="C33" s="69"/>
      <c r="D33" s="761">
        <f>SUM(D2:D32)</f>
        <v>26352.75</v>
      </c>
      <c r="E33" s="18"/>
    </row>
    <row r="34" spans="1:10" ht="13.5" customHeight="1" x14ac:dyDescent="0.2">
      <c r="A34"/>
      <c r="B34" s="34"/>
      <c r="C34" s="69"/>
      <c r="D34" s="30"/>
      <c r="E34" s="18"/>
    </row>
    <row r="35" spans="1:10" ht="13.5" customHeight="1" x14ac:dyDescent="0.2">
      <c r="A35" t="s">
        <v>3762</v>
      </c>
      <c r="B35" s="34" t="s">
        <v>3774</v>
      </c>
      <c r="C35" s="69"/>
      <c r="D35" s="30">
        <v>900</v>
      </c>
      <c r="F35" s="725">
        <v>900</v>
      </c>
      <c r="G35" s="402"/>
      <c r="H35" s="402"/>
      <c r="I35" s="402"/>
      <c r="J35" s="618">
        <f>F35-G35-H35-I35</f>
        <v>900</v>
      </c>
    </row>
    <row r="36" spans="1:10" ht="13.5" customHeight="1" x14ac:dyDescent="0.2">
      <c r="A36" t="s">
        <v>3762</v>
      </c>
      <c r="B36" s="34" t="s">
        <v>3725</v>
      </c>
      <c r="C36" s="69"/>
      <c r="D36" s="30">
        <v>300</v>
      </c>
      <c r="F36" s="725">
        <v>300</v>
      </c>
      <c r="G36" s="402"/>
      <c r="H36" s="402"/>
      <c r="I36" s="402"/>
      <c r="J36" s="618">
        <f>F36-G36-H36-I36</f>
        <v>300</v>
      </c>
    </row>
    <row r="37" spans="1:10" ht="13.5" customHeight="1" x14ac:dyDescent="0.2">
      <c r="A37" t="s">
        <v>3762</v>
      </c>
      <c r="B37" s="34" t="s">
        <v>3831</v>
      </c>
      <c r="C37" s="69"/>
      <c r="D37" s="30">
        <v>7750</v>
      </c>
      <c r="F37" s="725">
        <v>7750</v>
      </c>
      <c r="G37" s="725"/>
      <c r="H37" s="725"/>
      <c r="I37" s="725"/>
      <c r="J37" s="618">
        <f>F37-G37-H37-I37</f>
        <v>7750</v>
      </c>
    </row>
    <row r="38" spans="1:10" ht="13.5" customHeight="1" x14ac:dyDescent="0.2">
      <c r="A38" t="s">
        <v>3762</v>
      </c>
      <c r="B38" s="34" t="s">
        <v>3830</v>
      </c>
      <c r="C38" s="69"/>
      <c r="D38" s="30">
        <v>525</v>
      </c>
      <c r="F38" s="725">
        <v>525</v>
      </c>
      <c r="G38" s="725"/>
      <c r="H38" s="725"/>
      <c r="I38" s="725"/>
      <c r="J38" s="618">
        <f>F38-G38-H38-I38</f>
        <v>525</v>
      </c>
    </row>
    <row r="39" spans="1:10" ht="13.5" customHeight="1" x14ac:dyDescent="0.2">
      <c r="A39" t="s">
        <v>3762</v>
      </c>
      <c r="B39" s="36" t="s">
        <v>3905</v>
      </c>
      <c r="C39" s="69"/>
      <c r="D39" s="69">
        <v>4731.47</v>
      </c>
      <c r="F39" s="725">
        <v>4731.47</v>
      </c>
      <c r="G39" s="725"/>
      <c r="H39" s="725"/>
      <c r="I39" s="725"/>
      <c r="J39" s="618">
        <f>F39-G39-H39-I39</f>
        <v>4731.47</v>
      </c>
    </row>
    <row r="40" spans="1:10" ht="13.5" customHeight="1" x14ac:dyDescent="0.2">
      <c r="A40"/>
      <c r="B40" s="36"/>
      <c r="C40" s="69"/>
      <c r="D40" s="762">
        <f>SUM(D35:D39)</f>
        <v>14206.470000000001</v>
      </c>
    </row>
    <row r="41" spans="1:10" ht="13.5" customHeight="1" x14ac:dyDescent="0.2">
      <c r="A41"/>
      <c r="B41" s="36"/>
      <c r="C41" s="69"/>
      <c r="D41" s="69"/>
    </row>
    <row r="42" spans="1:10" ht="13.5" customHeight="1" x14ac:dyDescent="0.2">
      <c r="A42" s="1" t="s">
        <v>223</v>
      </c>
      <c r="B42" s="36" t="s">
        <v>189</v>
      </c>
      <c r="C42" s="69">
        <v>8264.1</v>
      </c>
      <c r="D42" s="69"/>
      <c r="F42"/>
      <c r="G42" s="107"/>
      <c r="H42" s="107"/>
      <c r="I42" s="107"/>
    </row>
    <row r="43" spans="1:10" ht="13.5" customHeight="1" x14ac:dyDescent="0.2">
      <c r="A43" s="1" t="s">
        <v>223</v>
      </c>
      <c r="B43" s="36" t="s">
        <v>189</v>
      </c>
      <c r="C43" s="69">
        <v>4731.47</v>
      </c>
      <c r="D43" s="69"/>
    </row>
    <row r="44" spans="1:10" ht="13.5" customHeight="1" x14ac:dyDescent="0.2">
      <c r="A44" t="s">
        <v>223</v>
      </c>
      <c r="B44" s="36" t="s">
        <v>174</v>
      </c>
      <c r="C44" s="69">
        <v>-57.7</v>
      </c>
      <c r="D44" s="69"/>
    </row>
    <row r="45" spans="1:10" ht="13.5" customHeight="1" x14ac:dyDescent="0.2">
      <c r="A45" t="s">
        <v>223</v>
      </c>
      <c r="B45" s="36" t="s">
        <v>174</v>
      </c>
      <c r="C45" s="69">
        <v>-92.5</v>
      </c>
      <c r="D45" s="69"/>
    </row>
    <row r="46" spans="1:10" ht="13.5" customHeight="1" x14ac:dyDescent="0.2">
      <c r="A46" t="s">
        <v>223</v>
      </c>
      <c r="B46" s="36" t="s">
        <v>174</v>
      </c>
      <c r="C46" s="69">
        <v>-97.37</v>
      </c>
      <c r="D46" s="69"/>
    </row>
    <row r="47" spans="1:10" ht="13.5" customHeight="1" x14ac:dyDescent="0.2">
      <c r="A47" t="s">
        <v>223</v>
      </c>
      <c r="B47" s="36" t="s">
        <v>174</v>
      </c>
      <c r="C47" s="69">
        <v>-126.3</v>
      </c>
      <c r="D47" s="69"/>
    </row>
    <row r="48" spans="1:10" ht="13.5" customHeight="1" x14ac:dyDescent="0.2">
      <c r="A48" t="s">
        <v>223</v>
      </c>
      <c r="B48" s="36" t="s">
        <v>174</v>
      </c>
      <c r="C48" s="69">
        <v>-212.5</v>
      </c>
      <c r="D48" s="69"/>
    </row>
    <row r="49" spans="1:4" ht="13.5" customHeight="1" x14ac:dyDescent="0.2">
      <c r="A49" t="s">
        <v>223</v>
      </c>
      <c r="B49" s="36" t="s">
        <v>174</v>
      </c>
      <c r="C49" s="69">
        <v>-252.37</v>
      </c>
      <c r="D49" s="69"/>
    </row>
    <row r="50" spans="1:4" ht="13.5" customHeight="1" x14ac:dyDescent="0.2">
      <c r="A50" t="s">
        <v>223</v>
      </c>
      <c r="B50" s="36" t="s">
        <v>174</v>
      </c>
      <c r="C50" s="69">
        <v>-255.64</v>
      </c>
      <c r="D50" s="69"/>
    </row>
    <row r="51" spans="1:4" ht="13.5" customHeight="1" x14ac:dyDescent="0.2">
      <c r="A51" t="s">
        <v>223</v>
      </c>
      <c r="B51" s="36" t="s">
        <v>174</v>
      </c>
      <c r="C51" s="69">
        <v>-748.41</v>
      </c>
      <c r="D51" s="69"/>
    </row>
    <row r="52" spans="1:4" ht="13.5" customHeight="1" x14ac:dyDescent="0.2">
      <c r="A52" t="s">
        <v>223</v>
      </c>
      <c r="B52" s="36" t="s">
        <v>174</v>
      </c>
      <c r="C52" s="69">
        <v>-1000</v>
      </c>
      <c r="D52" s="69"/>
    </row>
    <row r="53" spans="1:4" ht="13.5" customHeight="1" x14ac:dyDescent="0.2">
      <c r="A53" t="s">
        <v>223</v>
      </c>
      <c r="B53" s="36" t="s">
        <v>174</v>
      </c>
      <c r="C53" s="69">
        <v>-1042.8499999999999</v>
      </c>
      <c r="D53" s="69"/>
    </row>
    <row r="54" spans="1:4" ht="13.5" customHeight="1" x14ac:dyDescent="0.2">
      <c r="A54" t="s">
        <v>223</v>
      </c>
      <c r="B54" s="36" t="s">
        <v>174</v>
      </c>
      <c r="C54" s="69">
        <v>-1146.24</v>
      </c>
      <c r="D54" s="69"/>
    </row>
    <row r="55" spans="1:4" ht="13.5" customHeight="1" x14ac:dyDescent="0.2">
      <c r="A55" t="s">
        <v>223</v>
      </c>
      <c r="B55" s="36" t="s">
        <v>174</v>
      </c>
      <c r="C55" s="69">
        <v>-1397.81</v>
      </c>
      <c r="D55" s="69"/>
    </row>
    <row r="56" spans="1:4" ht="13.5" customHeight="1" x14ac:dyDescent="0.2">
      <c r="A56"/>
      <c r="B56" s="36"/>
      <c r="C56" s="762">
        <f>SUM(C42:C55)</f>
        <v>6565.8799999999992</v>
      </c>
      <c r="D56" s="69"/>
    </row>
    <row r="57" spans="1:4" ht="13.5" customHeight="1" x14ac:dyDescent="0.2">
      <c r="A57"/>
      <c r="B57" s="36"/>
      <c r="C57" s="69"/>
      <c r="D57" s="69"/>
    </row>
    <row r="58" spans="1:4" ht="13.5" customHeight="1" x14ac:dyDescent="0.2">
      <c r="A58" t="s">
        <v>224</v>
      </c>
      <c r="B58" s="33" t="s">
        <v>736</v>
      </c>
      <c r="C58" s="43">
        <v>44.48</v>
      </c>
      <c r="D58" s="69"/>
    </row>
    <row r="59" spans="1:4" ht="13.5" customHeight="1" x14ac:dyDescent="0.2">
      <c r="A59" t="s">
        <v>224</v>
      </c>
      <c r="B59" s="36" t="s">
        <v>62</v>
      </c>
      <c r="C59" s="43">
        <v>640.05999999999995</v>
      </c>
      <c r="D59" s="69"/>
    </row>
    <row r="60" spans="1:4" ht="13.5" customHeight="1" x14ac:dyDescent="0.2">
      <c r="A60" t="s">
        <v>224</v>
      </c>
      <c r="B60" s="36" t="s">
        <v>68</v>
      </c>
      <c r="C60" s="69">
        <v>129.9</v>
      </c>
      <c r="D60" s="69"/>
    </row>
    <row r="61" spans="1:4" ht="13.5" customHeight="1" x14ac:dyDescent="0.2">
      <c r="A61" t="s">
        <v>224</v>
      </c>
      <c r="B61" s="36" t="s">
        <v>5549</v>
      </c>
      <c r="C61" s="69">
        <f>D64</f>
        <v>560</v>
      </c>
      <c r="D61" s="69"/>
    </row>
    <row r="62" spans="1:4" ht="13.5" customHeight="1" x14ac:dyDescent="0.2">
      <c r="A62"/>
      <c r="B62" s="36"/>
      <c r="C62" s="762">
        <f>SUM(C58:C61)</f>
        <v>1374.44</v>
      </c>
      <c r="D62" s="69"/>
    </row>
    <row r="63" spans="1:4" ht="13.5" customHeight="1" x14ac:dyDescent="0.2">
      <c r="A63"/>
      <c r="B63" s="36"/>
      <c r="C63" s="69"/>
      <c r="D63" s="69"/>
    </row>
    <row r="64" spans="1:4" ht="13.5" customHeight="1" x14ac:dyDescent="0.2">
      <c r="A64" t="s">
        <v>224</v>
      </c>
      <c r="B64" s="36" t="s">
        <v>3789</v>
      </c>
      <c r="C64" s="30">
        <v>320</v>
      </c>
      <c r="D64" s="30">
        <f>SUM(C64:C65)-D65</f>
        <v>560</v>
      </c>
    </row>
    <row r="65" spans="1:4" ht="13.5" customHeight="1" x14ac:dyDescent="0.2">
      <c r="A65" t="s">
        <v>224</v>
      </c>
      <c r="B65" s="36" t="s">
        <v>3847</v>
      </c>
      <c r="C65" s="30">
        <v>360</v>
      </c>
      <c r="D65" s="12">
        <f>SUM(C64:C65/3)</f>
        <v>120</v>
      </c>
    </row>
    <row r="66" spans="1:4" ht="13.5" customHeight="1" x14ac:dyDescent="0.2">
      <c r="A66"/>
      <c r="B66" s="36"/>
      <c r="C66" s="69"/>
      <c r="D66" s="69"/>
    </row>
    <row r="67" spans="1:4" ht="13.5" customHeight="1" x14ac:dyDescent="0.2">
      <c r="A67"/>
      <c r="B67" s="36"/>
      <c r="C67" s="69"/>
      <c r="D67" s="69"/>
    </row>
    <row r="68" spans="1:4" ht="13.5" customHeight="1" x14ac:dyDescent="0.2">
      <c r="A68" t="s">
        <v>225</v>
      </c>
      <c r="B68" s="32" t="s">
        <v>3909</v>
      </c>
      <c r="C68" s="762">
        <v>785</v>
      </c>
      <c r="D68" s="69"/>
    </row>
    <row r="69" spans="1:4" ht="13.5" customHeight="1" x14ac:dyDescent="0.2">
      <c r="A69"/>
      <c r="B69" s="32"/>
      <c r="C69" s="69"/>
      <c r="D69" s="69"/>
    </row>
    <row r="70" spans="1:4" ht="13.5" customHeight="1" x14ac:dyDescent="0.2">
      <c r="A70"/>
      <c r="B70" s="32"/>
      <c r="C70" s="69"/>
      <c r="D70" s="69"/>
    </row>
    <row r="71" spans="1:4" ht="13.5" customHeight="1" x14ac:dyDescent="0.2">
      <c r="A71" t="s">
        <v>226</v>
      </c>
      <c r="B71" s="32" t="s">
        <v>8081</v>
      </c>
      <c r="C71" s="69">
        <v>-50</v>
      </c>
      <c r="D71" s="69"/>
    </row>
    <row r="72" spans="1:4" ht="13.5" customHeight="1" x14ac:dyDescent="0.2">
      <c r="A72" t="s">
        <v>226</v>
      </c>
      <c r="B72" s="36" t="s">
        <v>127</v>
      </c>
      <c r="C72" s="43">
        <v>339.62</v>
      </c>
      <c r="D72" s="69"/>
    </row>
    <row r="73" spans="1:4" ht="13.5" customHeight="1" x14ac:dyDescent="0.2">
      <c r="A73" t="s">
        <v>226</v>
      </c>
      <c r="B73" s="36" t="s">
        <v>3726</v>
      </c>
      <c r="C73" s="61">
        <v>448.36</v>
      </c>
      <c r="D73" s="69"/>
    </row>
    <row r="74" spans="1:4" ht="13.5" customHeight="1" x14ac:dyDescent="0.2">
      <c r="A74" t="s">
        <v>226</v>
      </c>
      <c r="B74" s="36" t="s">
        <v>129</v>
      </c>
      <c r="C74" s="43">
        <v>47.65</v>
      </c>
      <c r="D74" s="69"/>
    </row>
    <row r="75" spans="1:4" ht="13.5" customHeight="1" x14ac:dyDescent="0.2">
      <c r="A75" t="s">
        <v>226</v>
      </c>
      <c r="B75" s="36" t="s">
        <v>87</v>
      </c>
      <c r="C75" s="61">
        <v>77.11</v>
      </c>
      <c r="D75" s="69"/>
    </row>
    <row r="76" spans="1:4" ht="13.5" customHeight="1" x14ac:dyDescent="0.2">
      <c r="A76" t="s">
        <v>226</v>
      </c>
      <c r="B76" s="36" t="s">
        <v>3854</v>
      </c>
      <c r="C76" s="69">
        <v>-409.1</v>
      </c>
      <c r="D76" s="12"/>
    </row>
    <row r="77" spans="1:4" ht="13.5" customHeight="1" x14ac:dyDescent="0.2">
      <c r="A77" t="s">
        <v>226</v>
      </c>
      <c r="B77" s="36" t="s">
        <v>3818</v>
      </c>
      <c r="C77" s="69">
        <v>-4650</v>
      </c>
      <c r="D77" s="30"/>
    </row>
    <row r="78" spans="1:4" ht="13.5" customHeight="1" x14ac:dyDescent="0.2">
      <c r="A78" t="s">
        <v>226</v>
      </c>
      <c r="B78" s="36" t="s">
        <v>3840</v>
      </c>
      <c r="C78" s="30">
        <v>7.34</v>
      </c>
      <c r="D78" s="12"/>
    </row>
    <row r="79" spans="1:4" ht="13.5" customHeight="1" x14ac:dyDescent="0.2">
      <c r="A79" t="s">
        <v>226</v>
      </c>
      <c r="B79" s="36" t="s">
        <v>624</v>
      </c>
      <c r="C79" s="30">
        <f>SUM(H83:H85)/2</f>
        <v>78.83</v>
      </c>
      <c r="D79" s="12"/>
    </row>
    <row r="80" spans="1:4" ht="13.5" customHeight="1" x14ac:dyDescent="0.2">
      <c r="A80"/>
      <c r="B80" s="36"/>
      <c r="C80" s="761">
        <f>SUM(C71:C79)</f>
        <v>-4110.1899999999996</v>
      </c>
      <c r="D80" s="12"/>
    </row>
    <row r="81" spans="1:10" ht="13.5" customHeight="1" x14ac:dyDescent="0.2">
      <c r="A81"/>
      <c r="B81" s="36"/>
      <c r="C81" s="30"/>
      <c r="D81" s="12"/>
    </row>
    <row r="82" spans="1:10" ht="13.5" customHeight="1" x14ac:dyDescent="0.2">
      <c r="A82" t="s">
        <v>226</v>
      </c>
      <c r="B82" s="36" t="s">
        <v>199</v>
      </c>
      <c r="C82" s="69">
        <v>253.43</v>
      </c>
      <c r="D82" s="69"/>
    </row>
    <row r="83" spans="1:10" ht="13.5" customHeight="1" x14ac:dyDescent="0.2">
      <c r="A83" t="s">
        <v>226</v>
      </c>
      <c r="B83" s="36" t="s">
        <v>3834</v>
      </c>
      <c r="C83" s="30">
        <v>7.8</v>
      </c>
      <c r="D83" s="30"/>
      <c r="E83"/>
      <c r="F83" t="s">
        <v>226</v>
      </c>
      <c r="G83" s="36" t="s">
        <v>3864</v>
      </c>
      <c r="H83" s="200">
        <v>7.66</v>
      </c>
      <c r="I83"/>
      <c r="J83"/>
    </row>
    <row r="84" spans="1:10" ht="13.5" customHeight="1" x14ac:dyDescent="0.2">
      <c r="A84" t="s">
        <v>226</v>
      </c>
      <c r="B84" s="36" t="s">
        <v>3825</v>
      </c>
      <c r="C84" s="69">
        <v>-1650</v>
      </c>
      <c r="D84" s="30"/>
      <c r="F84" t="s">
        <v>226</v>
      </c>
      <c r="G84" s="32" t="s">
        <v>813</v>
      </c>
      <c r="H84" s="69">
        <v>50</v>
      </c>
    </row>
    <row r="85" spans="1:10" ht="13.5" customHeight="1" x14ac:dyDescent="0.2">
      <c r="A85" t="s">
        <v>226</v>
      </c>
      <c r="B85" s="36" t="s">
        <v>3837</v>
      </c>
      <c r="C85" s="30">
        <v>200</v>
      </c>
      <c r="D85" s="12"/>
      <c r="F85" t="s">
        <v>226</v>
      </c>
      <c r="G85" s="36" t="s">
        <v>3866</v>
      </c>
      <c r="H85" s="30">
        <v>100</v>
      </c>
    </row>
    <row r="86" spans="1:10" ht="13.5" customHeight="1" x14ac:dyDescent="0.2">
      <c r="A86" t="s">
        <v>226</v>
      </c>
      <c r="B86" s="36" t="s">
        <v>3785</v>
      </c>
      <c r="C86" s="69">
        <v>-1650</v>
      </c>
      <c r="D86" s="30"/>
    </row>
    <row r="87" spans="1:10" ht="13.5" customHeight="1" x14ac:dyDescent="0.2">
      <c r="A87" t="s">
        <v>226</v>
      </c>
      <c r="B87" s="36" t="s">
        <v>3835</v>
      </c>
      <c r="C87" s="30">
        <v>7</v>
      </c>
      <c r="D87" s="30"/>
    </row>
    <row r="88" spans="1:10" ht="13.5" customHeight="1" x14ac:dyDescent="0.2">
      <c r="A88" t="s">
        <v>226</v>
      </c>
      <c r="B88" s="36" t="s">
        <v>3777</v>
      </c>
      <c r="C88" s="30">
        <v>8.6</v>
      </c>
      <c r="D88" s="12"/>
    </row>
    <row r="89" spans="1:10" ht="13.5" customHeight="1" x14ac:dyDescent="0.2">
      <c r="A89" t="s">
        <v>226</v>
      </c>
      <c r="B89" s="36" t="s">
        <v>3838</v>
      </c>
      <c r="C89" s="30">
        <v>2.5</v>
      </c>
      <c r="D89" s="12"/>
    </row>
    <row r="90" spans="1:10" ht="13.5" customHeight="1" x14ac:dyDescent="0.2">
      <c r="A90" t="s">
        <v>226</v>
      </c>
      <c r="B90" s="36" t="s">
        <v>3812</v>
      </c>
      <c r="C90" s="30">
        <v>4.28</v>
      </c>
      <c r="D90" s="30"/>
    </row>
    <row r="91" spans="1:10" ht="13.5" customHeight="1" x14ac:dyDescent="0.2">
      <c r="A91" t="s">
        <v>226</v>
      </c>
      <c r="B91" s="36" t="s">
        <v>3782</v>
      </c>
      <c r="C91" s="30">
        <v>5</v>
      </c>
      <c r="D91" s="30"/>
    </row>
    <row r="92" spans="1:10" ht="13.5" customHeight="1" x14ac:dyDescent="0.2">
      <c r="A92" t="s">
        <v>226</v>
      </c>
      <c r="B92" s="36" t="s">
        <v>180</v>
      </c>
      <c r="C92" s="69">
        <v>252.37</v>
      </c>
      <c r="D92" s="69"/>
    </row>
    <row r="93" spans="1:10" ht="13.5" customHeight="1" x14ac:dyDescent="0.2">
      <c r="A93" t="s">
        <v>226</v>
      </c>
      <c r="B93" s="36" t="s">
        <v>3871</v>
      </c>
      <c r="C93" s="30">
        <v>1000</v>
      </c>
      <c r="D93" s="12"/>
    </row>
    <row r="94" spans="1:10" ht="13.5" customHeight="1" x14ac:dyDescent="0.2">
      <c r="A94" t="s">
        <v>226</v>
      </c>
      <c r="B94" s="36" t="s">
        <v>3832</v>
      </c>
      <c r="C94" s="69">
        <v>-471</v>
      </c>
      <c r="D94" s="30"/>
    </row>
    <row r="95" spans="1:10" ht="13.5" customHeight="1" x14ac:dyDescent="0.2">
      <c r="A95" t="s">
        <v>226</v>
      </c>
      <c r="B95" s="36" t="s">
        <v>3865</v>
      </c>
      <c r="C95" s="69">
        <v>-44.7</v>
      </c>
      <c r="D95" s="12"/>
    </row>
    <row r="96" spans="1:10" ht="13.5" customHeight="1" x14ac:dyDescent="0.2">
      <c r="A96" t="s">
        <v>226</v>
      </c>
      <c r="B96" s="36" t="s">
        <v>3869</v>
      </c>
      <c r="C96" s="69">
        <v>-44.7</v>
      </c>
      <c r="D96" s="12"/>
    </row>
    <row r="97" spans="1:4" ht="13.5" customHeight="1" x14ac:dyDescent="0.2">
      <c r="A97" t="s">
        <v>226</v>
      </c>
      <c r="B97" s="36" t="s">
        <v>3784</v>
      </c>
      <c r="C97" s="69">
        <v>-352</v>
      </c>
      <c r="D97" s="30"/>
    </row>
    <row r="98" spans="1:4" ht="13.5" customHeight="1" x14ac:dyDescent="0.2">
      <c r="A98" t="s">
        <v>226</v>
      </c>
      <c r="B98" s="36" t="s">
        <v>625</v>
      </c>
      <c r="C98" s="69">
        <f>C79</f>
        <v>78.83</v>
      </c>
      <c r="D98" s="30"/>
    </row>
    <row r="99" spans="1:4" ht="13.5" customHeight="1" x14ac:dyDescent="0.2">
      <c r="A99"/>
      <c r="B99" s="36"/>
      <c r="C99" s="762">
        <f>SUM(C82:C98)</f>
        <v>-2392.5899999999997</v>
      </c>
      <c r="D99" s="30"/>
    </row>
    <row r="100" spans="1:4" ht="13.5" customHeight="1" x14ac:dyDescent="0.2">
      <c r="A100"/>
      <c r="B100" s="36"/>
      <c r="C100" s="69"/>
      <c r="D100" s="30"/>
    </row>
    <row r="101" spans="1:4" ht="13.5" customHeight="1" x14ac:dyDescent="0.2">
      <c r="A101" t="s">
        <v>243</v>
      </c>
      <c r="B101" s="36" t="s">
        <v>3765</v>
      </c>
      <c r="C101" s="69">
        <v>900</v>
      </c>
      <c r="D101" s="30"/>
    </row>
    <row r="102" spans="1:4" ht="13.5" customHeight="1" x14ac:dyDescent="0.2">
      <c r="A102" t="s">
        <v>243</v>
      </c>
      <c r="B102" s="36" t="s">
        <v>5549</v>
      </c>
      <c r="C102" s="69">
        <f>D65</f>
        <v>120</v>
      </c>
      <c r="D102" s="30"/>
    </row>
    <row r="103" spans="1:4" ht="13.5" customHeight="1" x14ac:dyDescent="0.2">
      <c r="A103" t="s">
        <v>243</v>
      </c>
      <c r="B103" s="32" t="s">
        <v>3699</v>
      </c>
      <c r="C103" s="30">
        <v>730</v>
      </c>
      <c r="D103" s="12"/>
    </row>
    <row r="104" spans="1:4" ht="13.5" customHeight="1" x14ac:dyDescent="0.2">
      <c r="A104" t="s">
        <v>243</v>
      </c>
      <c r="B104" s="36" t="s">
        <v>134</v>
      </c>
      <c r="C104" s="43">
        <v>109.9</v>
      </c>
      <c r="D104" s="69"/>
    </row>
    <row r="105" spans="1:4" ht="13.5" customHeight="1" x14ac:dyDescent="0.2">
      <c r="A105" t="s">
        <v>243</v>
      </c>
      <c r="B105" s="33" t="s">
        <v>81</v>
      </c>
      <c r="C105" s="69">
        <v>53.56</v>
      </c>
      <c r="D105" s="69"/>
    </row>
    <row r="106" spans="1:4" ht="13.5" customHeight="1" x14ac:dyDescent="0.2">
      <c r="A106" t="s">
        <v>243</v>
      </c>
      <c r="B106" s="36" t="s">
        <v>673</v>
      </c>
      <c r="C106" s="69">
        <v>101.53</v>
      </c>
      <c r="D106" s="69"/>
    </row>
    <row r="107" spans="1:4" ht="13.5" customHeight="1" x14ac:dyDescent="0.2">
      <c r="A107" t="s">
        <v>243</v>
      </c>
      <c r="B107" s="36" t="s">
        <v>3797</v>
      </c>
      <c r="C107" s="30">
        <v>36.299999999999997</v>
      </c>
      <c r="D107" s="30"/>
    </row>
    <row r="108" spans="1:4" ht="13.5" customHeight="1" x14ac:dyDescent="0.2">
      <c r="A108" t="s">
        <v>243</v>
      </c>
      <c r="B108" s="36" t="s">
        <v>3809</v>
      </c>
      <c r="C108" s="30">
        <v>95</v>
      </c>
      <c r="D108" s="30"/>
    </row>
    <row r="109" spans="1:4" ht="13.5" customHeight="1" x14ac:dyDescent="0.2">
      <c r="A109" t="s">
        <v>243</v>
      </c>
      <c r="B109" s="36" t="s">
        <v>3794</v>
      </c>
      <c r="C109" s="30">
        <v>100</v>
      </c>
      <c r="D109" s="30"/>
    </row>
    <row r="110" spans="1:4" ht="13.5" customHeight="1" x14ac:dyDescent="0.2">
      <c r="A110" t="s">
        <v>243</v>
      </c>
      <c r="B110" s="36" t="s">
        <v>3795</v>
      </c>
      <c r="C110" s="30">
        <v>100</v>
      </c>
      <c r="D110" s="30"/>
    </row>
    <row r="111" spans="1:4" ht="13.5" customHeight="1" x14ac:dyDescent="0.2">
      <c r="A111" t="s">
        <v>243</v>
      </c>
      <c r="B111" s="36" t="s">
        <v>2345</v>
      </c>
      <c r="C111" s="30">
        <v>2490</v>
      </c>
      <c r="D111" s="30"/>
    </row>
    <row r="112" spans="1:4" ht="13.5" customHeight="1" x14ac:dyDescent="0.2">
      <c r="A112"/>
      <c r="B112" s="36"/>
      <c r="C112" s="761">
        <f>SUM(C101:C111)</f>
        <v>4836.29</v>
      </c>
      <c r="D112" s="30"/>
    </row>
    <row r="113" spans="1:10" customFormat="1" ht="13.5" customHeight="1" x14ac:dyDescent="0.2">
      <c r="B113" s="36"/>
      <c r="C113" s="30"/>
      <c r="D113" s="30"/>
      <c r="E113" s="1"/>
      <c r="F113" s="1"/>
      <c r="G113" s="1"/>
      <c r="H113" s="1"/>
      <c r="I113" s="1"/>
      <c r="J113" s="1"/>
    </row>
    <row r="114" spans="1:10" ht="13.5" customHeight="1" x14ac:dyDescent="0.2">
      <c r="A114" t="s">
        <v>418</v>
      </c>
      <c r="B114" s="36" t="s">
        <v>177</v>
      </c>
      <c r="C114" s="762">
        <v>97.37</v>
      </c>
      <c r="D114" s="69"/>
    </row>
    <row r="115" spans="1:10" ht="13.5" customHeight="1" x14ac:dyDescent="0.2">
      <c r="A115"/>
      <c r="B115" s="36"/>
      <c r="C115" s="69"/>
      <c r="D115" s="69"/>
    </row>
    <row r="116" spans="1:10" ht="13.5" customHeight="1" x14ac:dyDescent="0.2">
      <c r="A116" t="s">
        <v>231</v>
      </c>
      <c r="B116" s="36" t="s">
        <v>3376</v>
      </c>
      <c r="C116" s="762">
        <v>648.41</v>
      </c>
      <c r="D116" s="69"/>
    </row>
    <row r="117" spans="1:10" ht="13.5" customHeight="1" x14ac:dyDescent="0.2">
      <c r="A117"/>
      <c r="B117" s="36"/>
      <c r="C117" s="69"/>
      <c r="D117" s="69"/>
    </row>
    <row r="118" spans="1:10" ht="13.5" customHeight="1" x14ac:dyDescent="0.2">
      <c r="A118" t="s">
        <v>417</v>
      </c>
      <c r="B118" s="36" t="s">
        <v>624</v>
      </c>
      <c r="C118" s="762">
        <f>SUM(H120:H122)/2</f>
        <v>316.91999999999996</v>
      </c>
      <c r="D118" s="69"/>
    </row>
    <row r="119" spans="1:10" ht="13.5" customHeight="1" x14ac:dyDescent="0.2">
      <c r="A119"/>
      <c r="B119" s="36"/>
      <c r="C119" s="69"/>
      <c r="D119" s="69"/>
    </row>
    <row r="120" spans="1:10" ht="13.5" customHeight="1" x14ac:dyDescent="0.2">
      <c r="A120" t="s">
        <v>417</v>
      </c>
      <c r="B120" s="36" t="s">
        <v>3863</v>
      </c>
      <c r="C120" s="30">
        <v>70</v>
      </c>
      <c r="D120" s="12"/>
      <c r="F120" t="s">
        <v>417</v>
      </c>
      <c r="G120" s="36" t="s">
        <v>3504</v>
      </c>
      <c r="H120" s="69">
        <v>433.84</v>
      </c>
    </row>
    <row r="121" spans="1:10" ht="13.5" customHeight="1" x14ac:dyDescent="0.2">
      <c r="A121" t="s">
        <v>417</v>
      </c>
      <c r="B121" s="34" t="s">
        <v>3848</v>
      </c>
      <c r="C121" s="30">
        <v>44.15</v>
      </c>
      <c r="D121" s="12"/>
      <c r="F121" t="s">
        <v>417</v>
      </c>
      <c r="G121" s="36" t="s">
        <v>2509</v>
      </c>
      <c r="H121" s="69">
        <v>100</v>
      </c>
    </row>
    <row r="122" spans="1:10" ht="13.5" customHeight="1" x14ac:dyDescent="0.2">
      <c r="A122" t="s">
        <v>417</v>
      </c>
      <c r="B122" s="36" t="s">
        <v>3824</v>
      </c>
      <c r="C122" s="30">
        <v>236.25</v>
      </c>
      <c r="D122" s="30"/>
      <c r="F122" t="s">
        <v>417</v>
      </c>
      <c r="G122" s="36" t="s">
        <v>3911</v>
      </c>
      <c r="H122" s="69">
        <v>100</v>
      </c>
    </row>
    <row r="123" spans="1:10" ht="13.5" customHeight="1" x14ac:dyDescent="0.2">
      <c r="A123" t="s">
        <v>417</v>
      </c>
      <c r="B123" s="36" t="s">
        <v>3684</v>
      </c>
      <c r="C123" s="30">
        <v>572</v>
      </c>
      <c r="D123" s="30"/>
    </row>
    <row r="124" spans="1:10" ht="13.5" customHeight="1" x14ac:dyDescent="0.2">
      <c r="A124" t="s">
        <v>417</v>
      </c>
      <c r="B124" s="36" t="s">
        <v>3853</v>
      </c>
      <c r="C124" s="30">
        <v>472.5</v>
      </c>
      <c r="D124" s="12"/>
    </row>
    <row r="125" spans="1:10" ht="13.5" customHeight="1" x14ac:dyDescent="0.2">
      <c r="A125" t="s">
        <v>417</v>
      </c>
      <c r="B125" s="36" t="s">
        <v>3862</v>
      </c>
      <c r="C125" s="30">
        <v>315</v>
      </c>
      <c r="D125" s="12"/>
    </row>
    <row r="126" spans="1:10" ht="13.5" customHeight="1" x14ac:dyDescent="0.2">
      <c r="A126" t="s">
        <v>417</v>
      </c>
      <c r="B126" s="34" t="s">
        <v>3823</v>
      </c>
      <c r="C126" s="30">
        <v>892.44</v>
      </c>
      <c r="D126" s="30"/>
    </row>
    <row r="127" spans="1:10" ht="13.5" customHeight="1" x14ac:dyDescent="0.2">
      <c r="A127" t="s">
        <v>417</v>
      </c>
      <c r="B127" s="34" t="s">
        <v>3796</v>
      </c>
      <c r="C127" s="30">
        <v>320</v>
      </c>
      <c r="D127" s="30"/>
    </row>
    <row r="128" spans="1:10" ht="13.5" customHeight="1" x14ac:dyDescent="0.2">
      <c r="A128" t="s">
        <v>417</v>
      </c>
      <c r="B128" s="34" t="s">
        <v>3852</v>
      </c>
      <c r="C128" s="30">
        <v>300</v>
      </c>
      <c r="D128" s="12"/>
    </row>
    <row r="129" spans="1:4" ht="13.5" customHeight="1" x14ac:dyDescent="0.2">
      <c r="A129" t="s">
        <v>417</v>
      </c>
      <c r="B129" s="36" t="s">
        <v>3822</v>
      </c>
      <c r="C129" s="30">
        <v>180</v>
      </c>
      <c r="D129" s="30"/>
    </row>
    <row r="130" spans="1:4" ht="13.5" customHeight="1" x14ac:dyDescent="0.2">
      <c r="A130" t="s">
        <v>417</v>
      </c>
      <c r="B130" s="36" t="s">
        <v>3861</v>
      </c>
      <c r="C130" s="30">
        <v>120</v>
      </c>
      <c r="D130" s="12"/>
    </row>
    <row r="131" spans="1:4" ht="13.5" customHeight="1" x14ac:dyDescent="0.2">
      <c r="A131" t="s">
        <v>417</v>
      </c>
      <c r="B131" s="34" t="s">
        <v>3798</v>
      </c>
      <c r="C131" s="30">
        <v>70</v>
      </c>
      <c r="D131" s="30"/>
    </row>
    <row r="132" spans="1:4" ht="13.5" customHeight="1" x14ac:dyDescent="0.2">
      <c r="A132" t="s">
        <v>417</v>
      </c>
      <c r="B132" s="34" t="s">
        <v>3868</v>
      </c>
      <c r="C132" s="30">
        <v>25</v>
      </c>
      <c r="D132" s="12"/>
    </row>
    <row r="133" spans="1:4" ht="13.5" customHeight="1" x14ac:dyDescent="0.2">
      <c r="A133" t="s">
        <v>417</v>
      </c>
      <c r="B133" s="36" t="s">
        <v>3867</v>
      </c>
      <c r="C133" s="30">
        <v>25</v>
      </c>
      <c r="D133" s="12"/>
    </row>
    <row r="134" spans="1:4" ht="13.5" customHeight="1" x14ac:dyDescent="0.2">
      <c r="A134" t="s">
        <v>417</v>
      </c>
      <c r="B134" s="34" t="s">
        <v>3897</v>
      </c>
      <c r="C134" s="69">
        <v>1146.24</v>
      </c>
      <c r="D134" s="69"/>
    </row>
    <row r="135" spans="1:4" ht="13.5" customHeight="1" x14ac:dyDescent="0.2">
      <c r="A135"/>
      <c r="B135" s="34" t="s">
        <v>625</v>
      </c>
      <c r="C135" s="69">
        <f>C118</f>
        <v>316.91999999999996</v>
      </c>
      <c r="D135" s="69"/>
    </row>
    <row r="136" spans="1:4" ht="13.5" customHeight="1" x14ac:dyDescent="0.2">
      <c r="A136"/>
      <c r="B136" s="34"/>
      <c r="C136" s="762">
        <f>SUM(C120:C135)</f>
        <v>5105.5</v>
      </c>
      <c r="D136" s="69"/>
    </row>
    <row r="137" spans="1:4" ht="13.5" customHeight="1" x14ac:dyDescent="0.2">
      <c r="A137"/>
      <c r="B137" s="34"/>
      <c r="C137" s="69"/>
      <c r="D137" s="69"/>
    </row>
    <row r="138" spans="1:4" ht="13.5" customHeight="1" x14ac:dyDescent="0.2">
      <c r="A138" t="s">
        <v>234</v>
      </c>
      <c r="B138" s="34" t="s">
        <v>3845</v>
      </c>
      <c r="C138" s="30">
        <v>1.6</v>
      </c>
      <c r="D138" s="12"/>
    </row>
    <row r="139" spans="1:4" ht="13.5" customHeight="1" x14ac:dyDescent="0.2">
      <c r="A139" t="s">
        <v>234</v>
      </c>
      <c r="B139" s="34" t="s">
        <v>3846</v>
      </c>
      <c r="C139" s="30">
        <v>83.5</v>
      </c>
      <c r="D139" s="12"/>
    </row>
    <row r="140" spans="1:4" ht="13.5" customHeight="1" x14ac:dyDescent="0.2">
      <c r="A140" t="s">
        <v>234</v>
      </c>
      <c r="B140" s="34" t="s">
        <v>3820</v>
      </c>
      <c r="C140" s="30">
        <v>10</v>
      </c>
      <c r="D140" s="30"/>
    </row>
    <row r="141" spans="1:4" ht="13.5" customHeight="1" x14ac:dyDescent="0.2">
      <c r="A141" t="s">
        <v>234</v>
      </c>
      <c r="B141" s="34" t="s">
        <v>3870</v>
      </c>
      <c r="C141" s="30">
        <v>10.35</v>
      </c>
      <c r="D141" s="12"/>
    </row>
    <row r="142" spans="1:4" ht="13.5" customHeight="1" x14ac:dyDescent="0.2">
      <c r="A142" t="s">
        <v>234</v>
      </c>
      <c r="B142" s="34" t="s">
        <v>624</v>
      </c>
      <c r="C142" s="30">
        <f>SUM(H145:H146)/2</f>
        <v>30.425000000000001</v>
      </c>
      <c r="D142" s="12"/>
    </row>
    <row r="143" spans="1:4" ht="13.5" customHeight="1" x14ac:dyDescent="0.2">
      <c r="A143"/>
      <c r="B143" s="34"/>
      <c r="C143" s="761">
        <f>SUM(C138:C142)</f>
        <v>135.875</v>
      </c>
      <c r="D143" s="12"/>
    </row>
    <row r="144" spans="1:4" ht="13.5" customHeight="1" x14ac:dyDescent="0.2">
      <c r="A144"/>
      <c r="B144" s="34"/>
      <c r="C144" s="30"/>
      <c r="D144" s="12"/>
    </row>
    <row r="145" spans="1:8" ht="13.5" customHeight="1" x14ac:dyDescent="0.2">
      <c r="A145" t="s">
        <v>234</v>
      </c>
      <c r="B145" s="34" t="s">
        <v>3842</v>
      </c>
      <c r="C145" s="30">
        <v>44</v>
      </c>
      <c r="D145" s="12"/>
      <c r="F145" t="s">
        <v>234</v>
      </c>
      <c r="G145" s="34" t="s">
        <v>3874</v>
      </c>
      <c r="H145" s="30">
        <v>3.15</v>
      </c>
    </row>
    <row r="146" spans="1:8" ht="13.5" customHeight="1" x14ac:dyDescent="0.2">
      <c r="A146" t="s">
        <v>234</v>
      </c>
      <c r="B146" s="36" t="s">
        <v>3808</v>
      </c>
      <c r="C146" s="30">
        <v>300</v>
      </c>
      <c r="D146" s="30"/>
      <c r="F146" t="s">
        <v>234</v>
      </c>
      <c r="G146" s="722" t="s">
        <v>3901</v>
      </c>
      <c r="H146" s="69">
        <v>57.7</v>
      </c>
    </row>
    <row r="147" spans="1:8" ht="13.5" customHeight="1" x14ac:dyDescent="0.2">
      <c r="A147" t="s">
        <v>234</v>
      </c>
      <c r="B147" s="36" t="s">
        <v>3778</v>
      </c>
      <c r="C147" s="30">
        <v>16</v>
      </c>
      <c r="D147" s="12"/>
    </row>
    <row r="148" spans="1:8" ht="13.5" customHeight="1" x14ac:dyDescent="0.2">
      <c r="A148" t="s">
        <v>234</v>
      </c>
      <c r="B148" s="36" t="s">
        <v>3807</v>
      </c>
      <c r="C148" s="30">
        <v>210</v>
      </c>
      <c r="D148" s="30"/>
    </row>
    <row r="149" spans="1:8" ht="13.5" customHeight="1" x14ac:dyDescent="0.2">
      <c r="A149" t="s">
        <v>234</v>
      </c>
      <c r="B149" s="36" t="s">
        <v>3781</v>
      </c>
      <c r="C149" s="30">
        <v>2</v>
      </c>
      <c r="D149" s="30"/>
    </row>
    <row r="150" spans="1:8" ht="13.5" customHeight="1" x14ac:dyDescent="0.2">
      <c r="A150" t="s">
        <v>234</v>
      </c>
      <c r="B150" s="36" t="s">
        <v>3793</v>
      </c>
      <c r="C150" s="30">
        <v>21</v>
      </c>
      <c r="D150" s="30"/>
    </row>
    <row r="151" spans="1:8" ht="13.5" customHeight="1" x14ac:dyDescent="0.2">
      <c r="A151" t="s">
        <v>234</v>
      </c>
      <c r="B151" s="36" t="s">
        <v>3786</v>
      </c>
      <c r="C151" s="30">
        <v>9.15</v>
      </c>
      <c r="D151" s="30"/>
    </row>
    <row r="152" spans="1:8" ht="13.5" customHeight="1" x14ac:dyDescent="0.2">
      <c r="A152" t="s">
        <v>234</v>
      </c>
      <c r="B152" s="34" t="s">
        <v>3787</v>
      </c>
      <c r="C152" s="30">
        <v>8.1999999999999993</v>
      </c>
      <c r="D152" s="30"/>
    </row>
    <row r="153" spans="1:8" ht="13.5" customHeight="1" x14ac:dyDescent="0.2">
      <c r="A153" t="s">
        <v>234</v>
      </c>
      <c r="B153" s="34" t="s">
        <v>3779</v>
      </c>
      <c r="C153" s="30">
        <v>28.52</v>
      </c>
      <c r="D153" s="12"/>
    </row>
    <row r="154" spans="1:8" ht="13.5" customHeight="1" x14ac:dyDescent="0.2">
      <c r="A154" t="s">
        <v>234</v>
      </c>
      <c r="B154" s="34" t="s">
        <v>3811</v>
      </c>
      <c r="C154" s="30">
        <v>18.52</v>
      </c>
      <c r="D154" s="30"/>
    </row>
    <row r="155" spans="1:8" ht="13.5" customHeight="1" x14ac:dyDescent="0.2">
      <c r="A155" t="s">
        <v>234</v>
      </c>
      <c r="B155" s="34" t="s">
        <v>3814</v>
      </c>
      <c r="C155" s="30">
        <v>30</v>
      </c>
      <c r="D155" s="30"/>
    </row>
    <row r="156" spans="1:8" ht="13.5" customHeight="1" x14ac:dyDescent="0.2">
      <c r="A156" t="s">
        <v>234</v>
      </c>
      <c r="B156" s="36" t="s">
        <v>3780</v>
      </c>
      <c r="C156" s="30">
        <v>1</v>
      </c>
      <c r="D156" s="30"/>
    </row>
    <row r="157" spans="1:8" ht="13.5" customHeight="1" x14ac:dyDescent="0.2">
      <c r="A157" t="s">
        <v>234</v>
      </c>
      <c r="B157" s="36" t="s">
        <v>3792</v>
      </c>
      <c r="C157" s="30">
        <v>42</v>
      </c>
      <c r="D157" s="30"/>
    </row>
    <row r="158" spans="1:8" ht="13.5" customHeight="1" x14ac:dyDescent="0.2">
      <c r="A158" t="s">
        <v>234</v>
      </c>
      <c r="B158" s="36" t="s">
        <v>3826</v>
      </c>
      <c r="C158" s="30">
        <v>25</v>
      </c>
      <c r="D158" s="30"/>
    </row>
    <row r="159" spans="1:8" ht="13.5" customHeight="1" x14ac:dyDescent="0.2">
      <c r="A159" t="s">
        <v>234</v>
      </c>
      <c r="B159" s="34" t="s">
        <v>3843</v>
      </c>
      <c r="C159" s="30">
        <v>8</v>
      </c>
      <c r="D159" s="12"/>
    </row>
    <row r="160" spans="1:8" ht="13.5" customHeight="1" x14ac:dyDescent="0.2">
      <c r="A160" t="s">
        <v>234</v>
      </c>
      <c r="B160" s="36" t="s">
        <v>3844</v>
      </c>
      <c r="C160" s="30">
        <v>83.75</v>
      </c>
      <c r="D160" s="12"/>
    </row>
    <row r="161" spans="1:4" ht="13.5" customHeight="1" x14ac:dyDescent="0.2">
      <c r="A161" t="s">
        <v>234</v>
      </c>
      <c r="B161" s="36" t="s">
        <v>3773</v>
      </c>
      <c r="C161" s="30">
        <v>400</v>
      </c>
      <c r="D161" s="12"/>
    </row>
    <row r="162" spans="1:4" ht="13.5" customHeight="1" x14ac:dyDescent="0.2">
      <c r="A162" t="s">
        <v>234</v>
      </c>
      <c r="B162" s="36" t="s">
        <v>3841</v>
      </c>
      <c r="C162" s="30">
        <v>7.98</v>
      </c>
      <c r="D162" s="12"/>
    </row>
    <row r="163" spans="1:4" ht="13.5" customHeight="1" x14ac:dyDescent="0.2">
      <c r="A163" t="s">
        <v>234</v>
      </c>
      <c r="B163" s="34" t="s">
        <v>3913</v>
      </c>
      <c r="C163" s="69">
        <v>157.85</v>
      </c>
      <c r="D163" s="69"/>
    </row>
    <row r="164" spans="1:4" ht="13.5" customHeight="1" x14ac:dyDescent="0.2">
      <c r="A164" t="s">
        <v>234</v>
      </c>
      <c r="B164" s="56" t="s">
        <v>3926</v>
      </c>
      <c r="C164" s="69">
        <v>63.8</v>
      </c>
      <c r="D164" s="69"/>
    </row>
    <row r="165" spans="1:4" ht="13.5" customHeight="1" x14ac:dyDescent="0.2">
      <c r="A165" t="s">
        <v>234</v>
      </c>
      <c r="B165" s="56" t="s">
        <v>3924</v>
      </c>
      <c r="C165" s="69">
        <v>212.5</v>
      </c>
      <c r="D165" s="69"/>
    </row>
    <row r="166" spans="1:4" ht="13.5" customHeight="1" x14ac:dyDescent="0.2">
      <c r="A166" t="s">
        <v>234</v>
      </c>
      <c r="B166" s="56" t="s">
        <v>625</v>
      </c>
      <c r="C166" s="69">
        <f>C142</f>
        <v>30.425000000000001</v>
      </c>
      <c r="D166" s="69"/>
    </row>
    <row r="167" spans="1:4" ht="13.5" customHeight="1" x14ac:dyDescent="0.2">
      <c r="A167"/>
      <c r="B167" s="56"/>
      <c r="C167" s="762">
        <f>SUM(C145:C166)</f>
        <v>1719.6949999999997</v>
      </c>
      <c r="D167" s="69"/>
    </row>
    <row r="168" spans="1:4" ht="13.5" customHeight="1" x14ac:dyDescent="0.2">
      <c r="A168"/>
      <c r="B168" s="56"/>
      <c r="C168" s="69"/>
      <c r="D168" s="69"/>
    </row>
    <row r="169" spans="1:4" ht="13.5" customHeight="1" x14ac:dyDescent="0.2">
      <c r="A169" t="s">
        <v>235</v>
      </c>
      <c r="B169" s="32" t="s">
        <v>195</v>
      </c>
      <c r="C169" s="69">
        <v>390.19</v>
      </c>
      <c r="D169" s="69"/>
    </row>
    <row r="170" spans="1:4" ht="13.5" customHeight="1" x14ac:dyDescent="0.2">
      <c r="A170" t="s">
        <v>235</v>
      </c>
      <c r="B170" s="32" t="s">
        <v>194</v>
      </c>
      <c r="C170" s="69">
        <v>84.54</v>
      </c>
      <c r="D170" s="69"/>
    </row>
    <row r="171" spans="1:4" ht="13.5" customHeight="1" x14ac:dyDescent="0.2">
      <c r="A171"/>
      <c r="B171" s="32"/>
      <c r="C171" s="762">
        <f>SUM(C169:C170)</f>
        <v>474.73</v>
      </c>
      <c r="D171" s="69"/>
    </row>
    <row r="172" spans="1:4" ht="13.5" customHeight="1" x14ac:dyDescent="0.2">
      <c r="A172"/>
      <c r="B172" s="32"/>
      <c r="C172" s="69"/>
      <c r="D172" s="69"/>
    </row>
    <row r="173" spans="1:4" ht="13.5" customHeight="1" x14ac:dyDescent="0.2">
      <c r="A173" t="s">
        <v>236</v>
      </c>
      <c r="B173" s="36" t="s">
        <v>1002</v>
      </c>
      <c r="C173" s="30">
        <v>1971.92</v>
      </c>
      <c r="D173" s="12"/>
    </row>
    <row r="174" spans="1:4" ht="13.5" customHeight="1" x14ac:dyDescent="0.2">
      <c r="A174" t="s">
        <v>236</v>
      </c>
      <c r="B174" s="34" t="s">
        <v>132</v>
      </c>
      <c r="C174" s="43">
        <v>893.6</v>
      </c>
      <c r="D174" s="69"/>
    </row>
    <row r="175" spans="1:4" ht="13.5" customHeight="1" x14ac:dyDescent="0.2">
      <c r="A175" t="s">
        <v>236</v>
      </c>
      <c r="B175" s="34" t="s">
        <v>130</v>
      </c>
      <c r="C175" s="43">
        <v>181.84</v>
      </c>
      <c r="D175" s="69"/>
    </row>
    <row r="176" spans="1:4" ht="13.5" customHeight="1" x14ac:dyDescent="0.2">
      <c r="A176" t="s">
        <v>236</v>
      </c>
      <c r="B176" s="36" t="s">
        <v>55</v>
      </c>
      <c r="C176" s="61">
        <v>400</v>
      </c>
      <c r="D176" s="69"/>
    </row>
    <row r="177" spans="1:4" ht="13.5" customHeight="1" x14ac:dyDescent="0.2">
      <c r="A177" t="s">
        <v>236</v>
      </c>
      <c r="B177" s="34" t="s">
        <v>3890</v>
      </c>
      <c r="C177" s="43">
        <v>2701.4</v>
      </c>
      <c r="D177" s="69"/>
    </row>
    <row r="178" spans="1:4" ht="13.5" customHeight="1" x14ac:dyDescent="0.2">
      <c r="A178" t="s">
        <v>236</v>
      </c>
      <c r="B178" s="36" t="s">
        <v>136</v>
      </c>
      <c r="C178" s="43">
        <v>45.9</v>
      </c>
      <c r="D178" s="69"/>
    </row>
    <row r="179" spans="1:4" ht="13.5" customHeight="1" x14ac:dyDescent="0.2">
      <c r="A179" t="s">
        <v>236</v>
      </c>
      <c r="B179" s="36" t="s">
        <v>3707</v>
      </c>
      <c r="C179" s="61">
        <v>934.93</v>
      </c>
      <c r="D179" s="69"/>
    </row>
    <row r="180" spans="1:4" ht="13.5" customHeight="1" x14ac:dyDescent="0.2">
      <c r="A180" t="s">
        <v>236</v>
      </c>
      <c r="B180" s="34" t="s">
        <v>18</v>
      </c>
      <c r="C180" s="69">
        <v>423.84</v>
      </c>
      <c r="D180" s="69"/>
    </row>
    <row r="181" spans="1:4" ht="13.5" customHeight="1" x14ac:dyDescent="0.2">
      <c r="A181"/>
      <c r="B181" s="34"/>
      <c r="C181" s="762">
        <f>SUM(C173:C180)</f>
        <v>7553.43</v>
      </c>
      <c r="D181" s="69"/>
    </row>
    <row r="182" spans="1:4" ht="13.5" customHeight="1" x14ac:dyDescent="0.2">
      <c r="A182"/>
      <c r="B182" s="34"/>
      <c r="C182" s="69"/>
      <c r="D182" s="69"/>
    </row>
    <row r="183" spans="1:4" ht="13.5" customHeight="1" x14ac:dyDescent="0.2">
      <c r="A183" t="s">
        <v>236</v>
      </c>
      <c r="B183" s="36" t="s">
        <v>1553</v>
      </c>
      <c r="C183" s="30">
        <v>6000</v>
      </c>
      <c r="D183" s="30"/>
    </row>
    <row r="184" spans="1:4" ht="13.5" customHeight="1" x14ac:dyDescent="0.2">
      <c r="A184" t="s">
        <v>236</v>
      </c>
      <c r="B184" s="34" t="s">
        <v>2462</v>
      </c>
      <c r="C184" s="69">
        <v>55.02</v>
      </c>
      <c r="D184" s="69"/>
    </row>
    <row r="185" spans="1:4" ht="13.5" customHeight="1" x14ac:dyDescent="0.2">
      <c r="A185" t="s">
        <v>236</v>
      </c>
      <c r="B185" s="36" t="s">
        <v>3860</v>
      </c>
      <c r="C185" s="30">
        <v>6000</v>
      </c>
      <c r="D185" s="12"/>
    </row>
    <row r="186" spans="1:4" ht="13.5" customHeight="1" x14ac:dyDescent="0.2">
      <c r="A186" t="s">
        <v>236</v>
      </c>
      <c r="B186" s="34" t="s">
        <v>2486</v>
      </c>
      <c r="C186" s="69">
        <v>67.08</v>
      </c>
      <c r="D186" s="69"/>
    </row>
    <row r="187" spans="1:4" ht="13.5" customHeight="1" x14ac:dyDescent="0.2">
      <c r="A187" t="s">
        <v>236</v>
      </c>
      <c r="B187" s="34" t="s">
        <v>3872</v>
      </c>
      <c r="C187" s="30">
        <v>100</v>
      </c>
      <c r="D187" s="12"/>
    </row>
    <row r="188" spans="1:4" ht="13.5" customHeight="1" x14ac:dyDescent="0.2">
      <c r="A188"/>
      <c r="B188" s="34"/>
      <c r="C188" s="761">
        <f>SUM(C183:C187)</f>
        <v>12222.1</v>
      </c>
      <c r="D188" s="12"/>
    </row>
    <row r="189" spans="1:4" ht="13.5" customHeight="1" x14ac:dyDescent="0.2">
      <c r="A189"/>
      <c r="B189" s="34"/>
      <c r="C189" s="30"/>
      <c r="D189" s="12"/>
    </row>
    <row r="190" spans="1:4" ht="13.5" customHeight="1" x14ac:dyDescent="0.2">
      <c r="A190" t="s">
        <v>237</v>
      </c>
      <c r="B190" s="36" t="s">
        <v>3916</v>
      </c>
      <c r="C190" s="69">
        <v>489.24</v>
      </c>
      <c r="D190" s="69"/>
    </row>
    <row r="191" spans="1:4" ht="13.5" customHeight="1" x14ac:dyDescent="0.2">
      <c r="A191" t="s">
        <v>237</v>
      </c>
      <c r="B191" s="34" t="s">
        <v>3813</v>
      </c>
      <c r="C191" s="30">
        <v>200</v>
      </c>
      <c r="D191" s="30"/>
    </row>
    <row r="192" spans="1:4" ht="13.5" customHeight="1" x14ac:dyDescent="0.2">
      <c r="A192"/>
      <c r="B192" s="34"/>
      <c r="C192" s="761">
        <f>SUM(C190:C191)</f>
        <v>689.24</v>
      </c>
      <c r="D192" s="30"/>
    </row>
    <row r="193" spans="1:6" ht="13.5" customHeight="1" x14ac:dyDescent="0.2">
      <c r="A193"/>
      <c r="B193" s="34"/>
      <c r="C193" s="30"/>
      <c r="D193" s="30"/>
    </row>
    <row r="194" spans="1:6" ht="13.5" customHeight="1" x14ac:dyDescent="0.2">
      <c r="A194" t="s">
        <v>250</v>
      </c>
      <c r="B194" s="36" t="s">
        <v>1597</v>
      </c>
      <c r="C194" s="69">
        <v>0.99</v>
      </c>
      <c r="D194" s="69"/>
    </row>
    <row r="195" spans="1:6" ht="13.5" customHeight="1" x14ac:dyDescent="0.2">
      <c r="A195" t="s">
        <v>250</v>
      </c>
      <c r="B195" s="36" t="s">
        <v>1597</v>
      </c>
      <c r="C195" s="69">
        <v>0.04</v>
      </c>
      <c r="D195" s="69"/>
    </row>
    <row r="196" spans="1:6" ht="13.5" customHeight="1" x14ac:dyDescent="0.2">
      <c r="A196" t="s">
        <v>250</v>
      </c>
      <c r="B196" s="36" t="s">
        <v>1598</v>
      </c>
      <c r="C196" s="69">
        <v>15.66</v>
      </c>
      <c r="D196" s="69"/>
    </row>
    <row r="197" spans="1:6" ht="13.5" customHeight="1" x14ac:dyDescent="0.2">
      <c r="A197" t="s">
        <v>250</v>
      </c>
      <c r="B197" s="36" t="s">
        <v>1598</v>
      </c>
      <c r="C197" s="69">
        <v>2.17</v>
      </c>
      <c r="D197" s="69"/>
    </row>
    <row r="198" spans="1:6" ht="13.5" customHeight="1" x14ac:dyDescent="0.2">
      <c r="A198" t="s">
        <v>238</v>
      </c>
      <c r="B198" s="36" t="s">
        <v>20</v>
      </c>
      <c r="C198" s="69">
        <v>-0.01</v>
      </c>
      <c r="D198" s="43"/>
    </row>
    <row r="199" spans="1:6" ht="13.5" customHeight="1" x14ac:dyDescent="0.2">
      <c r="A199" t="s">
        <v>238</v>
      </c>
      <c r="B199" s="34" t="s">
        <v>20</v>
      </c>
      <c r="C199" s="69">
        <v>-0.03</v>
      </c>
      <c r="D199" s="61"/>
    </row>
    <row r="200" spans="1:6" ht="13.5" customHeight="1" x14ac:dyDescent="0.2">
      <c r="A200" t="s">
        <v>238</v>
      </c>
      <c r="B200" s="36" t="s">
        <v>20</v>
      </c>
      <c r="C200" s="69">
        <v>-0.03</v>
      </c>
      <c r="D200" s="43"/>
    </row>
    <row r="201" spans="1:6" ht="13.5" customHeight="1" x14ac:dyDescent="0.2">
      <c r="A201" t="s">
        <v>238</v>
      </c>
      <c r="B201" s="34" t="s">
        <v>86</v>
      </c>
      <c r="C201" s="69">
        <v>92.5</v>
      </c>
      <c r="D201" s="69"/>
    </row>
    <row r="202" spans="1:6" ht="13.5" customHeight="1" x14ac:dyDescent="0.2">
      <c r="A202" t="s">
        <v>238</v>
      </c>
      <c r="B202" s="34" t="s">
        <v>86</v>
      </c>
      <c r="C202" s="69">
        <v>75.900000000000006</v>
      </c>
      <c r="D202" s="69"/>
    </row>
    <row r="203" spans="1:6" ht="13.5" customHeight="1" x14ac:dyDescent="0.2">
      <c r="A203" t="s">
        <v>238</v>
      </c>
      <c r="B203" s="32" t="s">
        <v>86</v>
      </c>
      <c r="C203" s="69">
        <v>12.5</v>
      </c>
      <c r="D203" s="69"/>
    </row>
    <row r="204" spans="1:6" ht="13.5" customHeight="1" x14ac:dyDescent="0.2">
      <c r="A204" t="s">
        <v>238</v>
      </c>
      <c r="B204" s="32" t="s">
        <v>86</v>
      </c>
      <c r="C204" s="69">
        <v>10.9</v>
      </c>
      <c r="D204" s="69"/>
    </row>
    <row r="205" spans="1:6" ht="13.5" customHeight="1" x14ac:dyDescent="0.2">
      <c r="A205"/>
      <c r="B205" s="32"/>
      <c r="C205" s="762">
        <f>SUM(C194:C204)</f>
        <v>210.59</v>
      </c>
      <c r="D205" s="69"/>
    </row>
    <row r="206" spans="1:6" ht="13.5" customHeight="1" x14ac:dyDescent="0.2">
      <c r="A206"/>
      <c r="B206" s="32"/>
      <c r="C206" s="69"/>
      <c r="D206" s="69"/>
    </row>
    <row r="207" spans="1:6" ht="13.5" customHeight="1" x14ac:dyDescent="0.2">
      <c r="A207" t="s">
        <v>421</v>
      </c>
      <c r="B207" s="36" t="s">
        <v>3873</v>
      </c>
      <c r="C207" s="761">
        <v>19.98</v>
      </c>
      <c r="D207" s="12"/>
      <c r="F207" s="40"/>
    </row>
    <row r="208" spans="1:6" ht="13.5" customHeight="1" x14ac:dyDescent="0.2">
      <c r="B208" s="64"/>
      <c r="C208" s="12"/>
      <c r="D208" s="12"/>
    </row>
    <row r="209" spans="2:7" ht="13.5" customHeight="1" x14ac:dyDescent="0.2">
      <c r="B209" s="63"/>
      <c r="C209" s="12"/>
      <c r="D209" s="12"/>
    </row>
    <row r="210" spans="2:7" ht="13.5" customHeight="1" x14ac:dyDescent="0.2">
      <c r="B210" s="63"/>
      <c r="C210" s="12"/>
      <c r="D210" s="12"/>
      <c r="G210"/>
    </row>
    <row r="211" spans="2:7" ht="13.5" customHeight="1" x14ac:dyDescent="0.2">
      <c r="B211" s="64"/>
      <c r="C211" s="12"/>
      <c r="D211" s="12"/>
    </row>
    <row r="212" spans="2:7" ht="13.5" customHeight="1" x14ac:dyDescent="0.2">
      <c r="B212" s="63"/>
      <c r="C212" s="12"/>
      <c r="D212" s="12"/>
    </row>
    <row r="213" spans="2:7" ht="13.5" customHeight="1" x14ac:dyDescent="0.2">
      <c r="B213" s="63"/>
      <c r="C213" s="12"/>
      <c r="D213" s="12"/>
      <c r="F213" s="365">
        <f>F210+F207</f>
        <v>0</v>
      </c>
    </row>
    <row r="214" spans="2:7" ht="13.5" customHeight="1" x14ac:dyDescent="0.2">
      <c r="B214" s="64"/>
      <c r="C214" s="12"/>
      <c r="D214" s="12"/>
    </row>
    <row r="215" spans="2:7" ht="13.5" customHeight="1" x14ac:dyDescent="0.2">
      <c r="B215" s="63"/>
      <c r="C215" s="12"/>
      <c r="D215" s="12"/>
    </row>
    <row r="216" spans="2:7" ht="13.5" customHeight="1" x14ac:dyDescent="0.2">
      <c r="B216" s="63"/>
      <c r="C216" s="12"/>
      <c r="D216" s="12"/>
    </row>
    <row r="217" spans="2:7" ht="13.5" customHeight="1" x14ac:dyDescent="0.2">
      <c r="B217" s="63"/>
      <c r="C217" s="12"/>
      <c r="D217" s="12"/>
    </row>
    <row r="218" spans="2:7" ht="13.5" customHeight="1" x14ac:dyDescent="0.2">
      <c r="B218" s="86"/>
      <c r="C218" s="12"/>
      <c r="D218" s="12"/>
    </row>
    <row r="219" spans="2:7" ht="13.5" customHeight="1" x14ac:dyDescent="0.2">
      <c r="B219" s="85"/>
      <c r="C219" s="12"/>
      <c r="D219" s="12"/>
    </row>
    <row r="220" spans="2:7" ht="13.5" customHeight="1" x14ac:dyDescent="0.2">
      <c r="B220" s="87"/>
      <c r="C220" s="12"/>
      <c r="D220" s="12"/>
    </row>
    <row r="221" spans="2:7" ht="13.5" customHeight="1" x14ac:dyDescent="0.2">
      <c r="B221" s="88"/>
      <c r="C221" s="12"/>
      <c r="D221" s="12"/>
    </row>
    <row r="222" spans="2:7" ht="13.5" customHeight="1" x14ac:dyDescent="0.2">
      <c r="B222" s="56"/>
      <c r="C222" s="12"/>
      <c r="D222" s="12"/>
    </row>
    <row r="223" spans="2:7" ht="13.5" customHeight="1" x14ac:dyDescent="0.2">
      <c r="B223" s="56"/>
      <c r="C223" s="12"/>
      <c r="D223" s="12"/>
    </row>
    <row r="224" spans="2:7" ht="13.5" customHeight="1" x14ac:dyDescent="0.2">
      <c r="B224" s="56"/>
      <c r="C224" s="12"/>
      <c r="D224" s="12"/>
    </row>
    <row r="225" spans="2:4" ht="13.5" customHeight="1" x14ac:dyDescent="0.2">
      <c r="C225" s="12"/>
      <c r="D225" s="12"/>
    </row>
    <row r="226" spans="2:4" ht="13.5" customHeight="1" x14ac:dyDescent="0.2">
      <c r="B226" s="56"/>
      <c r="C226" s="12"/>
      <c r="D226" s="12"/>
    </row>
    <row r="227" spans="2:4" ht="13.5" customHeight="1" x14ac:dyDescent="0.2">
      <c r="B227" s="56"/>
      <c r="C227" s="12"/>
      <c r="D227" s="12"/>
    </row>
    <row r="228" spans="2:4" ht="13.5" customHeight="1" x14ac:dyDescent="0.2">
      <c r="B228" s="56"/>
      <c r="C228" s="12"/>
      <c r="D228" s="12"/>
    </row>
    <row r="229" spans="2:4" ht="13.5" customHeight="1" x14ac:dyDescent="0.2">
      <c r="B229" s="27"/>
      <c r="C229" s="12"/>
      <c r="D229" s="12"/>
    </row>
    <row r="230" spans="2:4" ht="13.5" customHeight="1" x14ac:dyDescent="0.2">
      <c r="B230" s="27"/>
      <c r="C230" s="12"/>
      <c r="D230" s="12"/>
    </row>
    <row r="231" spans="2:4" ht="13.5" customHeight="1" x14ac:dyDescent="0.2">
      <c r="C231" s="12"/>
      <c r="D231" s="12"/>
    </row>
    <row r="232" spans="2:4" ht="13.5" customHeight="1" x14ac:dyDescent="0.2">
      <c r="B232" s="56"/>
      <c r="C232" s="12"/>
      <c r="D232" s="12"/>
    </row>
    <row r="233" spans="2:4" ht="13.5" customHeight="1" x14ac:dyDescent="0.2">
      <c r="B233" s="56"/>
      <c r="C233" s="12"/>
      <c r="D233" s="12"/>
    </row>
    <row r="234" spans="2:4" ht="13.5" customHeight="1" x14ac:dyDescent="0.2">
      <c r="B234" s="56"/>
      <c r="C234" s="12"/>
      <c r="D234" s="12"/>
    </row>
    <row r="235" spans="2:4" ht="13.5" customHeight="1" x14ac:dyDescent="0.2">
      <c r="B235" s="56"/>
      <c r="C235" s="12"/>
      <c r="D235" s="12"/>
    </row>
    <row r="236" spans="2:4" ht="13.5" customHeight="1" x14ac:dyDescent="0.2">
      <c r="B236" s="94"/>
      <c r="C236" s="27"/>
      <c r="D236" s="27"/>
    </row>
    <row r="237" spans="2:4" ht="13.5" customHeight="1" x14ac:dyDescent="0.2"/>
    <row r="238" spans="2:4" ht="13.5" customHeight="1" x14ac:dyDescent="0.2"/>
    <row r="239" spans="2:4" ht="13.5" customHeight="1" x14ac:dyDescent="0.2"/>
    <row r="240" spans="2:4" ht="13.5" customHeight="1" x14ac:dyDescent="0.2"/>
    <row r="241" ht="13.5" customHeight="1" x14ac:dyDescent="0.2"/>
    <row r="242" ht="13.5" customHeight="1" x14ac:dyDescent="0.2"/>
    <row r="243" ht="13.5" customHeight="1" x14ac:dyDescent="0.2"/>
  </sheetData>
  <sortState xmlns:xlrd2="http://schemas.microsoft.com/office/spreadsheetml/2017/richdata2" ref="A39:J217">
    <sortCondition ref="A39:A217"/>
    <sortCondition ref="B39:B217"/>
  </sortState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AA296"/>
  <sheetViews>
    <sheetView topLeftCell="B194" zoomScale="80" zoomScaleNormal="80" workbookViewId="0">
      <selection activeCell="I212" sqref="I212"/>
    </sheetView>
  </sheetViews>
  <sheetFormatPr defaultColWidth="9" defaultRowHeight="12.75" x14ac:dyDescent="0.2"/>
  <cols>
    <col min="1" max="1" width="14" style="1" customWidth="1"/>
    <col min="2" max="2" width="1.875" style="1" customWidth="1"/>
    <col min="3" max="3" width="99.25" style="1" customWidth="1"/>
    <col min="4" max="4" width="12" style="1" customWidth="1"/>
    <col min="5" max="5" width="12.375" style="1" customWidth="1"/>
    <col min="6" max="6" width="10.75" style="1" customWidth="1"/>
    <col min="7" max="7" width="11.875" style="1" customWidth="1"/>
    <col min="8" max="8" width="13.625" style="1" customWidth="1"/>
    <col min="9" max="9" width="12.125" style="1" customWidth="1"/>
    <col min="10" max="10" width="13.875" style="1" customWidth="1"/>
    <col min="11" max="11" width="9.25" style="1" customWidth="1"/>
    <col min="12" max="16384" width="9" style="1"/>
  </cols>
  <sheetData>
    <row r="1" spans="1:8" ht="13.5" customHeight="1" thickBot="1" x14ac:dyDescent="0.25">
      <c r="A1" s="1407" t="s">
        <v>3933</v>
      </c>
      <c r="B1" s="1407"/>
      <c r="C1" s="1408"/>
      <c r="D1" s="1409" t="s">
        <v>0</v>
      </c>
      <c r="E1" s="1410"/>
      <c r="F1" s="1410"/>
      <c r="G1" s="1411"/>
    </row>
    <row r="2" spans="1:8" ht="13.5" customHeight="1" thickBot="1" x14ac:dyDescent="0.25">
      <c r="A2" s="2" t="s">
        <v>2</v>
      </c>
      <c r="B2" s="3"/>
      <c r="C2" s="3" t="s">
        <v>2335</v>
      </c>
      <c r="D2" s="3" t="s">
        <v>4</v>
      </c>
      <c r="E2" s="3" t="s">
        <v>5</v>
      </c>
      <c r="F2" s="3" t="s">
        <v>6</v>
      </c>
      <c r="G2" s="5" t="s">
        <v>7</v>
      </c>
    </row>
    <row r="3" spans="1:8" ht="13.5" customHeight="1" x14ac:dyDescent="0.2">
      <c r="A3" s="8">
        <v>43891</v>
      </c>
      <c r="B3" s="56"/>
      <c r="C3" s="10" t="s">
        <v>8</v>
      </c>
      <c r="D3" s="11">
        <v>0</v>
      </c>
      <c r="E3" s="730"/>
      <c r="F3" s="731"/>
      <c r="G3" s="732">
        <v>2404</v>
      </c>
      <c r="H3" s="107">
        <v>2404</v>
      </c>
    </row>
    <row r="4" spans="1:8" ht="13.5" customHeight="1" x14ac:dyDescent="0.2">
      <c r="A4" s="180">
        <v>43892</v>
      </c>
      <c r="B4" s="56"/>
      <c r="C4" s="34" t="s">
        <v>3934</v>
      </c>
      <c r="D4" s="11"/>
      <c r="E4" s="69"/>
      <c r="F4" s="69">
        <v>3230</v>
      </c>
      <c r="G4" s="182"/>
      <c r="H4" s="365">
        <v>5634</v>
      </c>
    </row>
    <row r="5" spans="1:8" ht="13.5" customHeight="1" x14ac:dyDescent="0.2">
      <c r="A5" s="180"/>
      <c r="B5" s="56"/>
      <c r="C5" s="34" t="s">
        <v>3935</v>
      </c>
      <c r="D5" s="11"/>
      <c r="E5" s="69"/>
      <c r="F5" s="69">
        <v>1590</v>
      </c>
      <c r="G5" s="182"/>
      <c r="H5" s="365">
        <v>7224</v>
      </c>
    </row>
    <row r="6" spans="1:8" ht="13.5" customHeight="1" x14ac:dyDescent="0.2">
      <c r="A6" s="180"/>
      <c r="B6" s="56"/>
      <c r="C6" s="36" t="s">
        <v>3936</v>
      </c>
      <c r="D6" s="11"/>
      <c r="E6" s="61"/>
      <c r="F6" s="61">
        <v>100</v>
      </c>
      <c r="G6" s="182"/>
      <c r="H6" s="365">
        <v>7324</v>
      </c>
    </row>
    <row r="7" spans="1:8" ht="13.5" customHeight="1" x14ac:dyDescent="0.2">
      <c r="A7" s="180"/>
      <c r="B7" s="56"/>
      <c r="C7" s="36" t="s">
        <v>3937</v>
      </c>
      <c r="D7" s="11"/>
      <c r="E7" s="69">
        <v>5</v>
      </c>
      <c r="F7" s="69"/>
      <c r="G7" s="182"/>
      <c r="H7" s="365">
        <v>7319</v>
      </c>
    </row>
    <row r="8" spans="1:8" ht="13.5" customHeight="1" x14ac:dyDescent="0.2">
      <c r="A8" s="180"/>
      <c r="B8" s="56"/>
      <c r="C8" s="36" t="s">
        <v>3938</v>
      </c>
      <c r="D8" s="11"/>
      <c r="E8" s="69"/>
      <c r="F8" s="69">
        <v>1490</v>
      </c>
      <c r="G8" s="182"/>
      <c r="H8" s="365">
        <v>8809</v>
      </c>
    </row>
    <row r="9" spans="1:8" ht="13.5" customHeight="1" x14ac:dyDescent="0.2">
      <c r="A9" s="180"/>
      <c r="B9" s="56"/>
      <c r="C9" s="34" t="s">
        <v>3939</v>
      </c>
      <c r="D9" s="11"/>
      <c r="E9" s="61">
        <v>14.68</v>
      </c>
      <c r="F9" s="61"/>
      <c r="G9" s="182"/>
      <c r="H9" s="365">
        <v>8794.32</v>
      </c>
    </row>
    <row r="10" spans="1:8" ht="13.5" customHeight="1" x14ac:dyDescent="0.2">
      <c r="A10" s="180"/>
      <c r="B10" s="56"/>
      <c r="C10" s="36" t="s">
        <v>3940</v>
      </c>
      <c r="D10" s="11"/>
      <c r="E10" s="69"/>
      <c r="F10" s="69">
        <v>1100</v>
      </c>
      <c r="G10" s="182"/>
      <c r="H10" s="365">
        <v>9894.32</v>
      </c>
    </row>
    <row r="11" spans="1:8" ht="13.5" customHeight="1" x14ac:dyDescent="0.2">
      <c r="A11" s="180"/>
      <c r="B11" s="56"/>
      <c r="C11" s="36" t="s">
        <v>3941</v>
      </c>
      <c r="D11" s="11"/>
      <c r="E11" s="69"/>
      <c r="F11" s="69">
        <v>1100</v>
      </c>
      <c r="G11" s="182"/>
      <c r="H11" s="365">
        <v>10994.32</v>
      </c>
    </row>
    <row r="12" spans="1:8" ht="13.5" customHeight="1" x14ac:dyDescent="0.2">
      <c r="A12" s="180"/>
      <c r="B12" s="56"/>
      <c r="C12" s="36" t="s">
        <v>3942</v>
      </c>
      <c r="D12" s="11"/>
      <c r="E12" s="599">
        <v>5500</v>
      </c>
      <c r="F12" s="61"/>
      <c r="G12" s="182"/>
      <c r="H12" s="365">
        <v>5494.32</v>
      </c>
    </row>
    <row r="13" spans="1:8" ht="13.5" customHeight="1" x14ac:dyDescent="0.2">
      <c r="A13" s="180"/>
      <c r="B13" s="56"/>
      <c r="C13" s="36" t="s">
        <v>3943</v>
      </c>
      <c r="D13" s="11"/>
      <c r="E13" s="69"/>
      <c r="F13" s="69">
        <v>250</v>
      </c>
      <c r="G13" s="182">
        <v>5744.32</v>
      </c>
      <c r="H13" s="365">
        <v>5744.32</v>
      </c>
    </row>
    <row r="14" spans="1:8" ht="13.5" customHeight="1" x14ac:dyDescent="0.2">
      <c r="A14" s="180">
        <v>43893</v>
      </c>
      <c r="B14" s="56"/>
      <c r="C14" s="36" t="s">
        <v>3944</v>
      </c>
      <c r="D14" s="11"/>
      <c r="E14" s="69">
        <v>50</v>
      </c>
      <c r="F14" s="69"/>
      <c r="G14" s="182"/>
      <c r="H14" s="365">
        <v>5694.32</v>
      </c>
    </row>
    <row r="15" spans="1:8" ht="13.5" customHeight="1" x14ac:dyDescent="0.2">
      <c r="A15" s="180"/>
      <c r="B15" s="56"/>
      <c r="C15" s="34" t="s">
        <v>3248</v>
      </c>
      <c r="D15" s="11"/>
      <c r="E15" s="61">
        <v>2375</v>
      </c>
      <c r="F15" s="61"/>
      <c r="G15" s="182">
        <v>3319.3199999999997</v>
      </c>
      <c r="H15" s="365">
        <v>3319.3199999999997</v>
      </c>
    </row>
    <row r="16" spans="1:8" ht="13.5" customHeight="1" x14ac:dyDescent="0.2">
      <c r="A16" s="180">
        <v>43894</v>
      </c>
      <c r="B16" s="56"/>
      <c r="C16" s="34" t="s">
        <v>3945</v>
      </c>
      <c r="D16" s="11"/>
      <c r="E16" s="69"/>
      <c r="F16" s="69">
        <v>1340</v>
      </c>
      <c r="G16" s="182"/>
      <c r="H16" s="365">
        <v>4659.32</v>
      </c>
    </row>
    <row r="17" spans="1:8" ht="13.5" customHeight="1" x14ac:dyDescent="0.2">
      <c r="A17" s="180"/>
      <c r="B17" s="56"/>
      <c r="C17" s="34" t="s">
        <v>3946</v>
      </c>
      <c r="D17" s="11"/>
      <c r="E17" s="69">
        <v>600</v>
      </c>
      <c r="F17" s="69"/>
      <c r="G17" s="182"/>
      <c r="H17" s="365">
        <v>4059.3199999999997</v>
      </c>
    </row>
    <row r="18" spans="1:8" ht="13.5" customHeight="1" x14ac:dyDescent="0.2">
      <c r="A18" s="180"/>
      <c r="B18" s="56"/>
      <c r="C18" s="36" t="s">
        <v>3947</v>
      </c>
      <c r="D18" s="11"/>
      <c r="E18" s="61">
        <v>600</v>
      </c>
      <c r="F18" s="61"/>
      <c r="G18" s="182"/>
      <c r="H18" s="365">
        <v>3459.3199999999997</v>
      </c>
    </row>
    <row r="19" spans="1:8" ht="13.5" customHeight="1" x14ac:dyDescent="0.2">
      <c r="A19" s="180"/>
      <c r="B19" s="56"/>
      <c r="C19" s="36" t="s">
        <v>3948</v>
      </c>
      <c r="D19" s="11"/>
      <c r="E19" s="61">
        <v>145</v>
      </c>
      <c r="F19" s="61"/>
      <c r="G19" s="182">
        <v>3314.3199999999997</v>
      </c>
      <c r="H19" s="365">
        <v>3314.3199999999997</v>
      </c>
    </row>
    <row r="20" spans="1:8" ht="13.5" customHeight="1" x14ac:dyDescent="0.2">
      <c r="A20" s="180">
        <v>43895</v>
      </c>
      <c r="B20" s="56"/>
      <c r="C20" s="36" t="s">
        <v>3949</v>
      </c>
      <c r="D20" s="11"/>
      <c r="E20" s="61">
        <v>7.5</v>
      </c>
      <c r="F20" s="61"/>
      <c r="G20" s="182"/>
      <c r="H20" s="365">
        <v>3306.8199999999997</v>
      </c>
    </row>
    <row r="21" spans="1:8" ht="13.5" customHeight="1" x14ac:dyDescent="0.2">
      <c r="A21" s="180"/>
      <c r="B21" s="56"/>
      <c r="C21" s="36" t="s">
        <v>3950</v>
      </c>
      <c r="D21" s="11"/>
      <c r="E21" s="61"/>
      <c r="F21" s="61">
        <v>200</v>
      </c>
      <c r="G21" s="182"/>
      <c r="H21" s="365">
        <v>3506.8199999999997</v>
      </c>
    </row>
    <row r="22" spans="1:8" ht="13.5" customHeight="1" x14ac:dyDescent="0.2">
      <c r="A22" s="180"/>
      <c r="B22" s="56"/>
      <c r="C22" s="36" t="s">
        <v>3951</v>
      </c>
      <c r="D22" s="11"/>
      <c r="E22" s="61">
        <v>71.900000000000006</v>
      </c>
      <c r="F22" s="61"/>
      <c r="G22" s="182"/>
      <c r="H22" s="365">
        <v>3434.9199999999996</v>
      </c>
    </row>
    <row r="23" spans="1:8" ht="13.5" customHeight="1" x14ac:dyDescent="0.2">
      <c r="A23" s="180"/>
      <c r="B23" s="56"/>
      <c r="C23" s="36" t="s">
        <v>3952</v>
      </c>
      <c r="D23" s="11"/>
      <c r="E23" s="61">
        <v>280</v>
      </c>
      <c r="F23" s="61"/>
      <c r="G23" s="182">
        <v>3154.9199999999996</v>
      </c>
      <c r="H23" s="365">
        <v>3154.9199999999996</v>
      </c>
    </row>
    <row r="24" spans="1:8" ht="13.5" customHeight="1" x14ac:dyDescent="0.2">
      <c r="A24" s="180">
        <v>43896</v>
      </c>
      <c r="B24" s="56"/>
      <c r="C24" s="36" t="s">
        <v>3953</v>
      </c>
      <c r="D24" s="11"/>
      <c r="E24" s="61">
        <v>50.9</v>
      </c>
      <c r="F24" s="61"/>
      <c r="G24" s="182"/>
      <c r="H24" s="365">
        <v>3104.0199999999995</v>
      </c>
    </row>
    <row r="25" spans="1:8" ht="13.5" customHeight="1" x14ac:dyDescent="0.2">
      <c r="A25" s="180"/>
      <c r="B25" s="56"/>
      <c r="C25" s="36" t="s">
        <v>3954</v>
      </c>
      <c r="D25" s="11"/>
      <c r="E25" s="61">
        <v>33.9</v>
      </c>
      <c r="F25" s="61"/>
      <c r="G25" s="182"/>
      <c r="H25" s="365">
        <v>3070.1199999999994</v>
      </c>
    </row>
    <row r="26" spans="1:8" ht="13.5" customHeight="1" x14ac:dyDescent="0.2">
      <c r="A26" s="180"/>
      <c r="B26" s="56"/>
      <c r="C26" s="36" t="s">
        <v>3955</v>
      </c>
      <c r="D26" s="11"/>
      <c r="E26" s="61"/>
      <c r="F26" s="61">
        <v>900</v>
      </c>
      <c r="G26" s="182"/>
      <c r="H26" s="365">
        <v>3970.1199999999994</v>
      </c>
    </row>
    <row r="27" spans="1:8" ht="13.5" customHeight="1" x14ac:dyDescent="0.2">
      <c r="A27" s="180"/>
      <c r="B27" s="56"/>
      <c r="C27" s="36" t="s">
        <v>3956</v>
      </c>
      <c r="D27" s="11"/>
      <c r="E27" s="61">
        <v>60</v>
      </c>
      <c r="F27" s="61"/>
      <c r="G27" s="182"/>
      <c r="H27" s="365">
        <v>3910.1199999999994</v>
      </c>
    </row>
    <row r="28" spans="1:8" ht="13.5" customHeight="1" x14ac:dyDescent="0.2">
      <c r="A28" s="180"/>
      <c r="B28" s="56"/>
      <c r="C28" s="36" t="s">
        <v>3957</v>
      </c>
      <c r="D28" s="11"/>
      <c r="E28" s="61">
        <v>15.96</v>
      </c>
      <c r="F28" s="61"/>
      <c r="G28" s="182"/>
      <c r="H28" s="365">
        <v>3894.1599999999994</v>
      </c>
    </row>
    <row r="29" spans="1:8" ht="13.5" customHeight="1" x14ac:dyDescent="0.2">
      <c r="A29" s="180"/>
      <c r="B29" s="56"/>
      <c r="C29" s="36" t="s">
        <v>3958</v>
      </c>
      <c r="D29" s="11"/>
      <c r="E29" s="61">
        <v>300</v>
      </c>
      <c r="F29" s="61"/>
      <c r="G29" s="182"/>
      <c r="H29" s="365">
        <v>3594.1599999999994</v>
      </c>
    </row>
    <row r="30" spans="1:8" ht="13.5" customHeight="1" x14ac:dyDescent="0.2">
      <c r="A30" s="180"/>
      <c r="B30" s="56"/>
      <c r="C30" s="36" t="s">
        <v>3959</v>
      </c>
      <c r="D30" s="11"/>
      <c r="E30" s="61">
        <v>525</v>
      </c>
      <c r="F30" s="61"/>
      <c r="G30" s="182">
        <v>3069.1599999999994</v>
      </c>
      <c r="H30" s="365">
        <v>3069.1599999999994</v>
      </c>
    </row>
    <row r="31" spans="1:8" ht="13.5" customHeight="1" x14ac:dyDescent="0.2">
      <c r="A31" s="180">
        <v>43899</v>
      </c>
      <c r="B31" s="56"/>
      <c r="C31" s="36" t="s">
        <v>3960</v>
      </c>
      <c r="D31" s="11"/>
      <c r="E31" s="61">
        <v>5.98</v>
      </c>
      <c r="F31" s="61"/>
      <c r="G31" s="182"/>
      <c r="H31" s="365">
        <v>3063.1799999999994</v>
      </c>
    </row>
    <row r="32" spans="1:8" ht="13.5" customHeight="1" x14ac:dyDescent="0.2">
      <c r="A32" s="180"/>
      <c r="B32" s="56"/>
      <c r="C32" s="36" t="s">
        <v>3961</v>
      </c>
      <c r="D32" s="11"/>
      <c r="E32" s="61">
        <v>14</v>
      </c>
      <c r="F32" s="61"/>
      <c r="G32" s="182"/>
      <c r="H32" s="365">
        <v>3049.1799999999994</v>
      </c>
    </row>
    <row r="33" spans="1:8" ht="13.5" customHeight="1" x14ac:dyDescent="0.2">
      <c r="A33" s="180"/>
      <c r="B33" s="56"/>
      <c r="C33" s="36" t="s">
        <v>3962</v>
      </c>
      <c r="D33" s="11"/>
      <c r="E33" s="61"/>
      <c r="F33" s="61">
        <v>250</v>
      </c>
      <c r="G33" s="182"/>
      <c r="H33" s="365">
        <v>3299.1799999999994</v>
      </c>
    </row>
    <row r="34" spans="1:8" ht="13.5" customHeight="1" x14ac:dyDescent="0.2">
      <c r="A34" s="180"/>
      <c r="B34" s="56"/>
      <c r="C34" s="36" t="s">
        <v>3963</v>
      </c>
      <c r="D34" s="11"/>
      <c r="E34" s="61"/>
      <c r="F34" s="61">
        <v>60</v>
      </c>
      <c r="G34" s="182"/>
      <c r="H34" s="365">
        <v>3359.1799999999994</v>
      </c>
    </row>
    <row r="35" spans="1:8" ht="13.5" customHeight="1" x14ac:dyDescent="0.2">
      <c r="A35" s="180"/>
      <c r="B35" s="56"/>
      <c r="C35" s="36" t="s">
        <v>3964</v>
      </c>
      <c r="D35" s="11"/>
      <c r="E35" s="61"/>
      <c r="F35" s="61">
        <v>1240</v>
      </c>
      <c r="G35" s="182"/>
      <c r="H35" s="365">
        <v>4599.1799999999994</v>
      </c>
    </row>
    <row r="36" spans="1:8" ht="13.5" customHeight="1" x14ac:dyDescent="0.2">
      <c r="A36" s="180"/>
      <c r="B36" s="56"/>
      <c r="C36" s="36" t="s">
        <v>3965</v>
      </c>
      <c r="D36" s="11"/>
      <c r="E36" s="61"/>
      <c r="F36" s="61">
        <v>1240</v>
      </c>
      <c r="G36" s="182"/>
      <c r="H36" s="365">
        <v>5839.1799999999994</v>
      </c>
    </row>
    <row r="37" spans="1:8" ht="13.5" customHeight="1" x14ac:dyDescent="0.2">
      <c r="A37" s="180"/>
      <c r="B37" s="56"/>
      <c r="C37" s="36" t="s">
        <v>3966</v>
      </c>
      <c r="D37" s="11"/>
      <c r="E37" s="69"/>
      <c r="F37" s="69">
        <v>1490</v>
      </c>
      <c r="G37" s="182"/>
      <c r="H37" s="365">
        <v>7329.1799999999994</v>
      </c>
    </row>
    <row r="38" spans="1:8" ht="13.5" customHeight="1" x14ac:dyDescent="0.2">
      <c r="A38" s="180"/>
      <c r="B38" s="56"/>
      <c r="C38" s="36" t="s">
        <v>3942</v>
      </c>
      <c r="D38" s="11"/>
      <c r="E38" s="601">
        <v>6000</v>
      </c>
      <c r="F38" s="69"/>
      <c r="G38" s="182">
        <v>1329.1799999999994</v>
      </c>
      <c r="H38" s="365">
        <v>1329.1799999999994</v>
      </c>
    </row>
    <row r="39" spans="1:8" ht="13.5" customHeight="1" x14ac:dyDescent="0.2">
      <c r="A39" s="180">
        <v>43900</v>
      </c>
      <c r="B39" s="56"/>
      <c r="C39" s="36" t="s">
        <v>3967</v>
      </c>
      <c r="D39" s="11"/>
      <c r="E39" s="61"/>
      <c r="F39" s="61">
        <v>60</v>
      </c>
      <c r="G39" s="182"/>
      <c r="H39" s="365">
        <v>1389.1799999999994</v>
      </c>
    </row>
    <row r="40" spans="1:8" ht="13.5" customHeight="1" x14ac:dyDescent="0.2">
      <c r="A40" s="180"/>
      <c r="B40" s="56"/>
      <c r="C40" s="36" t="s">
        <v>3968</v>
      </c>
      <c r="D40" s="11"/>
      <c r="E40" s="69"/>
      <c r="F40" s="69">
        <v>1017.93</v>
      </c>
      <c r="G40" s="182"/>
      <c r="H40" s="365">
        <v>2407.1099999999992</v>
      </c>
    </row>
    <row r="41" spans="1:8" ht="13.5" customHeight="1" x14ac:dyDescent="0.2">
      <c r="A41" s="180"/>
      <c r="B41" s="56"/>
      <c r="C41" s="36" t="s">
        <v>3969</v>
      </c>
      <c r="D41" s="11"/>
      <c r="E41" s="69"/>
      <c r="F41" s="69">
        <v>93.1</v>
      </c>
      <c r="G41" s="182"/>
      <c r="H41" s="365">
        <v>2500.2099999999991</v>
      </c>
    </row>
    <row r="42" spans="1:8" ht="13.5" customHeight="1" x14ac:dyDescent="0.2">
      <c r="A42" s="180"/>
      <c r="B42" s="56"/>
      <c r="C42" s="36" t="s">
        <v>3970</v>
      </c>
      <c r="D42" s="11"/>
      <c r="E42" s="61"/>
      <c r="F42" s="61">
        <v>200</v>
      </c>
      <c r="G42" s="182"/>
      <c r="H42" s="365">
        <v>2700.2099999999991</v>
      </c>
    </row>
    <row r="43" spans="1:8" ht="13.5" customHeight="1" x14ac:dyDescent="0.2">
      <c r="A43" s="180"/>
      <c r="B43" s="56"/>
      <c r="C43" s="36" t="s">
        <v>3971</v>
      </c>
      <c r="D43" s="11"/>
      <c r="E43" s="69">
        <v>12.9</v>
      </c>
      <c r="F43" s="69"/>
      <c r="G43" s="182"/>
      <c r="H43" s="365">
        <v>2687.309999999999</v>
      </c>
    </row>
    <row r="44" spans="1:8" ht="13.5" customHeight="1" x14ac:dyDescent="0.2">
      <c r="A44" s="180"/>
      <c r="B44" s="56"/>
      <c r="C44" s="36" t="s">
        <v>3972</v>
      </c>
      <c r="D44" s="11"/>
      <c r="E44" s="69">
        <v>24.94</v>
      </c>
      <c r="F44" s="69"/>
      <c r="G44" s="182">
        <v>2662.369999999999</v>
      </c>
      <c r="H44" s="365">
        <v>2662.369999999999</v>
      </c>
    </row>
    <row r="45" spans="1:8" ht="13.5" customHeight="1" x14ac:dyDescent="0.2">
      <c r="A45" s="180">
        <v>43901</v>
      </c>
      <c r="B45" s="56"/>
      <c r="C45" s="36" t="s">
        <v>3973</v>
      </c>
      <c r="D45" s="11"/>
      <c r="E45" s="61"/>
      <c r="F45" s="61">
        <v>80</v>
      </c>
      <c r="G45" s="182"/>
      <c r="H45" s="365">
        <v>2742.369999999999</v>
      </c>
    </row>
    <row r="46" spans="1:8" ht="13.5" customHeight="1" x14ac:dyDescent="0.2">
      <c r="A46" s="180"/>
      <c r="B46" s="56"/>
      <c r="C46" s="36" t="s">
        <v>3974</v>
      </c>
      <c r="D46" s="11"/>
      <c r="E46" s="69"/>
      <c r="F46" s="69">
        <v>250</v>
      </c>
      <c r="G46" s="182"/>
      <c r="H46" s="365">
        <v>2992.369999999999</v>
      </c>
    </row>
    <row r="47" spans="1:8" ht="13.5" customHeight="1" x14ac:dyDescent="0.2">
      <c r="A47" s="180"/>
      <c r="B47" s="56"/>
      <c r="C47" s="36" t="s">
        <v>3975</v>
      </c>
      <c r="D47" s="11"/>
      <c r="E47" s="322">
        <v>1311.03</v>
      </c>
      <c r="F47" s="69"/>
      <c r="G47" s="182">
        <v>1681.339999999999</v>
      </c>
      <c r="H47" s="365">
        <v>1681.339999999999</v>
      </c>
    </row>
    <row r="48" spans="1:8" ht="13.5" customHeight="1" x14ac:dyDescent="0.2">
      <c r="A48" s="180">
        <v>43902</v>
      </c>
      <c r="B48" s="56"/>
      <c r="C48" s="36" t="s">
        <v>3976</v>
      </c>
      <c r="D48" s="11"/>
      <c r="E48" s="69">
        <v>4</v>
      </c>
      <c r="F48" s="69"/>
      <c r="G48" s="182"/>
      <c r="H48" s="365">
        <v>1677.339999999999</v>
      </c>
    </row>
    <row r="49" spans="1:8" ht="13.5" customHeight="1" x14ac:dyDescent="0.2">
      <c r="A49" s="180"/>
      <c r="B49" s="56"/>
      <c r="C49" s="36" t="s">
        <v>3977</v>
      </c>
      <c r="D49" s="11"/>
      <c r="E49" s="69">
        <v>10</v>
      </c>
      <c r="F49" s="69"/>
      <c r="G49" s="182"/>
      <c r="H49" s="365">
        <v>1667.339999999999</v>
      </c>
    </row>
    <row r="50" spans="1:8" ht="13.5" customHeight="1" x14ac:dyDescent="0.2">
      <c r="A50" s="180"/>
      <c r="B50" s="56"/>
      <c r="C50" s="36" t="s">
        <v>3978</v>
      </c>
      <c r="D50" s="11"/>
      <c r="E50" s="69"/>
      <c r="F50" s="69">
        <v>220</v>
      </c>
      <c r="G50" s="182"/>
      <c r="H50" s="365">
        <v>1887.339999999999</v>
      </c>
    </row>
    <row r="51" spans="1:8" ht="13.5" customHeight="1" x14ac:dyDescent="0.2">
      <c r="A51" s="180"/>
      <c r="B51" s="56"/>
      <c r="C51" s="36" t="s">
        <v>3979</v>
      </c>
      <c r="D51" s="11"/>
      <c r="E51" s="69">
        <v>14.6</v>
      </c>
      <c r="F51" s="69"/>
      <c r="G51" s="182"/>
      <c r="H51" s="365">
        <v>1872.7399999999991</v>
      </c>
    </row>
    <row r="52" spans="1:8" ht="13.5" customHeight="1" x14ac:dyDescent="0.2">
      <c r="A52" s="180"/>
      <c r="B52" s="56"/>
      <c r="C52" s="36" t="s">
        <v>3980</v>
      </c>
      <c r="D52" s="11"/>
      <c r="E52" s="69">
        <v>17.600000000000001</v>
      </c>
      <c r="F52" s="69"/>
      <c r="G52" s="182"/>
      <c r="H52" s="365">
        <v>1855.1399999999992</v>
      </c>
    </row>
    <row r="53" spans="1:8" ht="13.5" customHeight="1" x14ac:dyDescent="0.2">
      <c r="A53" s="180"/>
      <c r="B53" s="56"/>
      <c r="C53" s="36" t="s">
        <v>3981</v>
      </c>
      <c r="D53" s="11"/>
      <c r="E53" s="69"/>
      <c r="F53" s="69">
        <v>100</v>
      </c>
      <c r="G53" s="182"/>
      <c r="H53" s="365">
        <v>1955.1399999999992</v>
      </c>
    </row>
    <row r="54" spans="1:8" ht="13.5" customHeight="1" x14ac:dyDescent="0.2">
      <c r="A54" s="180"/>
      <c r="B54" s="56"/>
      <c r="C54" s="36" t="s">
        <v>3982</v>
      </c>
      <c r="D54" s="11"/>
      <c r="E54" s="69"/>
      <c r="F54" s="69">
        <v>4000</v>
      </c>
      <c r="G54" s="182"/>
      <c r="H54" s="365">
        <v>5955.1399999999994</v>
      </c>
    </row>
    <row r="55" spans="1:8" ht="13.5" customHeight="1" x14ac:dyDescent="0.2">
      <c r="A55" s="180"/>
      <c r="B55" s="56"/>
      <c r="C55" s="36" t="s">
        <v>3983</v>
      </c>
      <c r="D55" s="11"/>
      <c r="E55" s="69">
        <v>7.5</v>
      </c>
      <c r="F55" s="69"/>
      <c r="G55" s="182"/>
      <c r="H55" s="365">
        <v>5947.6399999999994</v>
      </c>
    </row>
    <row r="56" spans="1:8" ht="13.5" customHeight="1" x14ac:dyDescent="0.2">
      <c r="A56" s="180"/>
      <c r="B56" s="56"/>
      <c r="C56" s="36" t="s">
        <v>3984</v>
      </c>
      <c r="D56" s="11"/>
      <c r="E56" s="69">
        <v>48.6</v>
      </c>
      <c r="F56" s="69"/>
      <c r="G56" s="182"/>
      <c r="H56" s="365">
        <v>5899.0399999999991</v>
      </c>
    </row>
    <row r="57" spans="1:8" ht="13.5" customHeight="1" x14ac:dyDescent="0.2">
      <c r="A57" s="180"/>
      <c r="B57" s="56"/>
      <c r="C57" s="36" t="s">
        <v>3985</v>
      </c>
      <c r="D57" s="11"/>
      <c r="E57" s="69">
        <v>16</v>
      </c>
      <c r="F57" s="69"/>
      <c r="G57" s="182"/>
      <c r="H57" s="365">
        <v>5883.0399999999991</v>
      </c>
    </row>
    <row r="58" spans="1:8" ht="13.5" customHeight="1" x14ac:dyDescent="0.2">
      <c r="A58" s="180"/>
      <c r="B58" s="56"/>
      <c r="C58" s="36" t="s">
        <v>3942</v>
      </c>
      <c r="D58" s="11"/>
      <c r="E58" s="601">
        <v>4000</v>
      </c>
      <c r="F58" s="69"/>
      <c r="G58" s="182"/>
      <c r="H58" s="365">
        <v>1883.0399999999991</v>
      </c>
    </row>
    <row r="59" spans="1:8" ht="13.5" customHeight="1" x14ac:dyDescent="0.2">
      <c r="A59" s="180"/>
      <c r="B59" s="56"/>
      <c r="C59" s="36" t="s">
        <v>3986</v>
      </c>
      <c r="D59" s="11"/>
      <c r="E59" s="69"/>
      <c r="F59" s="69">
        <v>1206</v>
      </c>
      <c r="G59" s="182"/>
      <c r="H59" s="365">
        <v>3089.0399999999991</v>
      </c>
    </row>
    <row r="60" spans="1:8" ht="13.5" customHeight="1" x14ac:dyDescent="0.2">
      <c r="A60" s="180"/>
      <c r="B60" s="56"/>
      <c r="C60" s="36" t="s">
        <v>3987</v>
      </c>
      <c r="D60" s="11"/>
      <c r="E60" s="69">
        <v>100</v>
      </c>
      <c r="F60" s="69"/>
      <c r="G60" s="182">
        <v>2989.0399999999991</v>
      </c>
      <c r="H60" s="365">
        <v>2989.0399999999991</v>
      </c>
    </row>
    <row r="61" spans="1:8" ht="13.5" customHeight="1" x14ac:dyDescent="0.2">
      <c r="A61" s="180">
        <v>43903</v>
      </c>
      <c r="B61" s="56"/>
      <c r="C61" s="36" t="s">
        <v>3988</v>
      </c>
      <c r="D61" s="11"/>
      <c r="E61" s="69">
        <v>300</v>
      </c>
      <c r="F61" s="69"/>
      <c r="G61" s="182"/>
      <c r="H61" s="365">
        <v>2689.0399999999991</v>
      </c>
    </row>
    <row r="62" spans="1:8" ht="13.5" customHeight="1" x14ac:dyDescent="0.2">
      <c r="A62" s="180"/>
      <c r="B62" s="56"/>
      <c r="C62" s="36" t="s">
        <v>3989</v>
      </c>
      <c r="D62" s="11"/>
      <c r="E62" s="69">
        <v>525</v>
      </c>
      <c r="F62" s="69"/>
      <c r="G62" s="182"/>
      <c r="H62" s="365">
        <v>2164.0399999999991</v>
      </c>
    </row>
    <row r="63" spans="1:8" ht="13.5" customHeight="1" x14ac:dyDescent="0.2">
      <c r="A63" s="180"/>
      <c r="B63" s="56"/>
      <c r="C63" s="36" t="s">
        <v>3990</v>
      </c>
      <c r="D63" s="11"/>
      <c r="E63" s="69">
        <v>99.99</v>
      </c>
      <c r="F63" s="69"/>
      <c r="G63" s="182"/>
      <c r="H63" s="365">
        <v>2064.0499999999993</v>
      </c>
    </row>
    <row r="64" spans="1:8" ht="13.5" customHeight="1" x14ac:dyDescent="0.2">
      <c r="A64" s="180"/>
      <c r="B64" s="56"/>
      <c r="C64" s="36" t="s">
        <v>3991</v>
      </c>
      <c r="D64" s="11"/>
      <c r="E64" s="69">
        <v>41.97</v>
      </c>
      <c r="F64" s="69"/>
      <c r="G64" s="182"/>
      <c r="H64" s="365">
        <v>2022.0799999999992</v>
      </c>
    </row>
    <row r="65" spans="1:8" ht="13.5" customHeight="1" x14ac:dyDescent="0.2">
      <c r="A65" s="180"/>
      <c r="B65" s="56"/>
      <c r="C65" s="36" t="s">
        <v>3992</v>
      </c>
      <c r="D65" s="11"/>
      <c r="E65" s="69">
        <v>119.91</v>
      </c>
      <c r="F65" s="69"/>
      <c r="G65" s="182"/>
      <c r="H65" s="365">
        <v>1902.1699999999992</v>
      </c>
    </row>
    <row r="66" spans="1:8" ht="13.5" customHeight="1" x14ac:dyDescent="0.2">
      <c r="A66" s="180"/>
      <c r="B66" s="56"/>
      <c r="C66" s="36" t="s">
        <v>3993</v>
      </c>
      <c r="D66" s="11"/>
      <c r="E66" s="69">
        <v>27.97</v>
      </c>
      <c r="F66" s="69"/>
      <c r="G66" s="182"/>
      <c r="H66" s="365">
        <v>1874.1999999999991</v>
      </c>
    </row>
    <row r="67" spans="1:8" ht="13.5" customHeight="1" x14ac:dyDescent="0.2">
      <c r="A67" s="180"/>
      <c r="B67" s="56"/>
      <c r="C67" s="36" t="s">
        <v>3994</v>
      </c>
      <c r="D67" s="11"/>
      <c r="E67" s="69">
        <v>1000</v>
      </c>
      <c r="F67" s="69"/>
      <c r="G67" s="182">
        <v>874.19999999999914</v>
      </c>
      <c r="H67" s="365">
        <v>874.19999999999914</v>
      </c>
    </row>
    <row r="68" spans="1:8" ht="13.5" customHeight="1" x14ac:dyDescent="0.2">
      <c r="A68" s="180">
        <v>43906</v>
      </c>
      <c r="B68" s="56"/>
      <c r="C68" s="36" t="s">
        <v>3995</v>
      </c>
      <c r="D68" s="11"/>
      <c r="E68" s="69">
        <v>3.5</v>
      </c>
      <c r="F68" s="69"/>
      <c r="G68" s="182"/>
      <c r="H68" s="365">
        <v>870.69999999999914</v>
      </c>
    </row>
    <row r="69" spans="1:8" ht="13.5" customHeight="1" x14ac:dyDescent="0.2">
      <c r="A69" s="180"/>
      <c r="B69" s="56"/>
      <c r="C69" s="36" t="s">
        <v>3996</v>
      </c>
      <c r="D69" s="11"/>
      <c r="E69" s="69"/>
      <c r="F69" s="69">
        <v>6</v>
      </c>
      <c r="G69" s="182"/>
      <c r="H69" s="365">
        <v>876.69999999999914</v>
      </c>
    </row>
    <row r="70" spans="1:8" ht="13.5" customHeight="1" x14ac:dyDescent="0.2">
      <c r="A70" s="180"/>
      <c r="B70" s="56"/>
      <c r="C70" s="36" t="s">
        <v>3997</v>
      </c>
      <c r="D70" s="11"/>
      <c r="E70" s="69">
        <v>87.79</v>
      </c>
      <c r="F70" s="69"/>
      <c r="G70" s="182"/>
      <c r="H70" s="365">
        <v>788.90999999999917</v>
      </c>
    </row>
    <row r="71" spans="1:8" ht="13.5" customHeight="1" x14ac:dyDescent="0.2">
      <c r="A71" s="180"/>
      <c r="B71" s="56"/>
      <c r="C71" s="36" t="s">
        <v>3998</v>
      </c>
      <c r="D71" s="11"/>
      <c r="E71" s="69">
        <v>34.99</v>
      </c>
      <c r="F71" s="69"/>
      <c r="G71" s="182"/>
      <c r="H71" s="365">
        <v>753.91999999999916</v>
      </c>
    </row>
    <row r="72" spans="1:8" ht="13.5" customHeight="1" x14ac:dyDescent="0.2">
      <c r="A72" s="180"/>
      <c r="B72" s="56"/>
      <c r="C72" s="36" t="s">
        <v>3999</v>
      </c>
      <c r="D72" s="11"/>
      <c r="E72" s="69">
        <v>1.9</v>
      </c>
      <c r="F72" s="69"/>
      <c r="G72" s="182"/>
      <c r="H72" s="365">
        <v>752.01999999999919</v>
      </c>
    </row>
    <row r="73" spans="1:8" ht="13.5" customHeight="1" x14ac:dyDescent="0.2">
      <c r="A73" s="180"/>
      <c r="B73" s="56"/>
      <c r="C73" s="36" t="s">
        <v>4000</v>
      </c>
      <c r="D73" s="11"/>
      <c r="E73" s="69"/>
      <c r="F73" s="69">
        <v>1040</v>
      </c>
      <c r="G73" s="182">
        <v>1792.0199999999991</v>
      </c>
      <c r="H73" s="365">
        <v>1792.0199999999991</v>
      </c>
    </row>
    <row r="74" spans="1:8" ht="13.5" customHeight="1" x14ac:dyDescent="0.2">
      <c r="A74" s="180">
        <v>43907</v>
      </c>
      <c r="B74" s="56"/>
      <c r="C74" s="36" t="s">
        <v>4001</v>
      </c>
      <c r="D74" s="11"/>
      <c r="E74" s="69"/>
      <c r="F74" s="69">
        <v>1110</v>
      </c>
      <c r="G74" s="182"/>
      <c r="H74" s="365">
        <v>2902.0199999999991</v>
      </c>
    </row>
    <row r="75" spans="1:8" ht="13.5" customHeight="1" x14ac:dyDescent="0.2">
      <c r="A75" s="180"/>
      <c r="B75" s="56"/>
      <c r="C75" s="36" t="s">
        <v>4002</v>
      </c>
      <c r="D75" s="11"/>
      <c r="E75" s="69"/>
      <c r="F75" s="69">
        <v>525</v>
      </c>
      <c r="G75" s="182"/>
      <c r="H75" s="365">
        <v>3427.0199999999991</v>
      </c>
    </row>
    <row r="76" spans="1:8" ht="13.5" customHeight="1" x14ac:dyDescent="0.2">
      <c r="A76" s="180"/>
      <c r="B76" s="56"/>
      <c r="C76" s="36" t="s">
        <v>4003</v>
      </c>
      <c r="D76" s="11"/>
      <c r="E76" s="69"/>
      <c r="F76" s="69">
        <v>7750</v>
      </c>
      <c r="G76" s="182"/>
      <c r="H76" s="365">
        <v>11177.019999999999</v>
      </c>
    </row>
    <row r="77" spans="1:8" ht="13.5" customHeight="1" x14ac:dyDescent="0.2">
      <c r="A77" s="180"/>
      <c r="B77" s="56"/>
      <c r="C77" s="36" t="s">
        <v>4004</v>
      </c>
      <c r="D77" s="11"/>
      <c r="E77" s="69"/>
      <c r="F77" s="69">
        <v>10676</v>
      </c>
      <c r="G77" s="182"/>
      <c r="H77" s="365">
        <v>21853.019999999997</v>
      </c>
    </row>
    <row r="78" spans="1:8" ht="13.5" customHeight="1" x14ac:dyDescent="0.2">
      <c r="A78" s="180"/>
      <c r="B78" s="56"/>
      <c r="C78" s="36" t="s">
        <v>4005</v>
      </c>
      <c r="D78" s="11"/>
      <c r="E78" s="322">
        <v>10676</v>
      </c>
      <c r="F78" s="69"/>
      <c r="G78" s="182">
        <v>11177.019999999997</v>
      </c>
      <c r="H78" s="365">
        <v>11177.019999999997</v>
      </c>
    </row>
    <row r="79" spans="1:8" ht="13.5" customHeight="1" x14ac:dyDescent="0.2">
      <c r="A79" s="180">
        <v>43908</v>
      </c>
      <c r="B79" s="56"/>
      <c r="C79" s="36" t="s">
        <v>4006</v>
      </c>
      <c r="D79" s="11"/>
      <c r="E79" s="69">
        <v>600</v>
      </c>
      <c r="F79" s="69"/>
      <c r="G79" s="182"/>
      <c r="H79" s="365">
        <v>10577.019999999997</v>
      </c>
    </row>
    <row r="80" spans="1:8" ht="13.5" customHeight="1" x14ac:dyDescent="0.2">
      <c r="A80" s="180"/>
      <c r="B80" s="56"/>
      <c r="C80" s="36" t="s">
        <v>4007</v>
      </c>
      <c r="D80" s="11"/>
      <c r="E80" s="61"/>
      <c r="F80" s="61">
        <v>200</v>
      </c>
      <c r="G80" s="182"/>
      <c r="H80" s="365">
        <v>10777.019999999997</v>
      </c>
    </row>
    <row r="81" spans="1:27" ht="13.5" customHeight="1" x14ac:dyDescent="0.2">
      <c r="A81" s="180"/>
      <c r="B81" s="56"/>
      <c r="C81" s="36" t="s">
        <v>4008</v>
      </c>
      <c r="D81" s="11"/>
      <c r="E81" s="69">
        <v>2.5</v>
      </c>
      <c r="F81" s="69"/>
      <c r="G81" s="182"/>
      <c r="H81" s="365">
        <v>10774.519999999997</v>
      </c>
    </row>
    <row r="82" spans="1:27" ht="13.5" customHeight="1" x14ac:dyDescent="0.2">
      <c r="A82" s="180"/>
      <c r="B82" s="56"/>
      <c r="C82" s="36" t="s">
        <v>4009</v>
      </c>
      <c r="D82" s="11"/>
      <c r="E82" s="69">
        <v>4</v>
      </c>
      <c r="F82" s="69"/>
      <c r="G82" s="182"/>
      <c r="H82" s="365">
        <v>10770.519999999997</v>
      </c>
    </row>
    <row r="83" spans="1:27" s="64" customFormat="1" ht="13.5" customHeight="1" x14ac:dyDescent="0.2">
      <c r="A83" s="184"/>
      <c r="B83" s="63"/>
      <c r="C83" s="32" t="s">
        <v>4010</v>
      </c>
      <c r="D83" s="50"/>
      <c r="E83" s="61"/>
      <c r="F83" s="61">
        <v>220</v>
      </c>
      <c r="G83" s="182">
        <v>10990.519999999997</v>
      </c>
      <c r="H83" s="365">
        <v>10990.519999999997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s="64" customFormat="1" ht="13.5" customHeight="1" x14ac:dyDescent="0.2">
      <c r="A84" s="184">
        <v>43909</v>
      </c>
      <c r="B84" s="63"/>
      <c r="C84" s="32" t="s">
        <v>4011</v>
      </c>
      <c r="D84" s="50"/>
      <c r="E84" s="61">
        <v>250</v>
      </c>
      <c r="F84" s="61"/>
      <c r="G84" s="182"/>
      <c r="H84" s="365">
        <v>10740.519999999997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s="64" customFormat="1" ht="13.5" customHeight="1" x14ac:dyDescent="0.2">
      <c r="A85" s="184"/>
      <c r="B85" s="63"/>
      <c r="C85" s="32" t="s">
        <v>4012</v>
      </c>
      <c r="D85" s="50"/>
      <c r="E85" s="61">
        <v>317.95999999999998</v>
      </c>
      <c r="F85" s="61"/>
      <c r="G85" s="182"/>
      <c r="H85" s="365">
        <v>10422.559999999998</v>
      </c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s="64" customFormat="1" ht="13.5" customHeight="1" x14ac:dyDescent="0.2">
      <c r="A86" s="184"/>
      <c r="B86" s="63"/>
      <c r="C86" s="32" t="s">
        <v>4013</v>
      </c>
      <c r="D86" s="50"/>
      <c r="E86" s="61">
        <v>320</v>
      </c>
      <c r="F86" s="61"/>
      <c r="G86" s="182">
        <v>10102.559999999998</v>
      </c>
      <c r="H86" s="365">
        <v>10102.559999999998</v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s="64" customFormat="1" ht="13.5" customHeight="1" x14ac:dyDescent="0.2">
      <c r="A87" s="184">
        <v>43910</v>
      </c>
      <c r="B87" s="63"/>
      <c r="C87" s="32" t="s">
        <v>4014</v>
      </c>
      <c r="D87" s="50"/>
      <c r="E87" s="600">
        <v>8275</v>
      </c>
      <c r="F87" s="61"/>
      <c r="G87" s="182"/>
      <c r="H87" s="365">
        <v>1827.5599999999977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s="64" customFormat="1" ht="13.5" customHeight="1" x14ac:dyDescent="0.2">
      <c r="A88" s="184"/>
      <c r="B88" s="63"/>
      <c r="C88" s="32" t="s">
        <v>4015</v>
      </c>
      <c r="D88" s="50"/>
      <c r="E88" s="61"/>
      <c r="F88" s="61">
        <v>1240</v>
      </c>
      <c r="G88" s="182"/>
      <c r="H88" s="365">
        <v>3067.5599999999977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s="64" customFormat="1" ht="13.5" customHeight="1" x14ac:dyDescent="0.2">
      <c r="A89" s="184"/>
      <c r="B89" s="63"/>
      <c r="C89" s="32" t="s">
        <v>4016</v>
      </c>
      <c r="D89" s="50"/>
      <c r="E89" s="61">
        <v>70</v>
      </c>
      <c r="F89" s="61"/>
      <c r="G89" s="182"/>
      <c r="H89" s="365">
        <v>2997.5599999999977</v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s="64" customFormat="1" ht="13.5" customHeight="1" x14ac:dyDescent="0.2">
      <c r="A90" s="184"/>
      <c r="B90" s="63"/>
      <c r="C90" s="32" t="s">
        <v>4017</v>
      </c>
      <c r="D90" s="50"/>
      <c r="E90" s="61">
        <v>300</v>
      </c>
      <c r="F90" s="61"/>
      <c r="G90" s="182"/>
      <c r="H90" s="365">
        <v>2697.5599999999977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s="64" customFormat="1" ht="13.5" customHeight="1" x14ac:dyDescent="0.2">
      <c r="A91" s="184"/>
      <c r="B91" s="63"/>
      <c r="C91" s="32" t="s">
        <v>4018</v>
      </c>
      <c r="D91" s="50"/>
      <c r="E91" s="61">
        <v>545</v>
      </c>
      <c r="F91" s="61"/>
      <c r="G91" s="182">
        <v>2152.5599999999977</v>
      </c>
      <c r="H91" s="365">
        <v>2152.5599999999977</v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s="64" customFormat="1" ht="13.5" customHeight="1" x14ac:dyDescent="0.2">
      <c r="A92" s="184">
        <v>43913</v>
      </c>
      <c r="B92" s="63"/>
      <c r="C92" s="32" t="s">
        <v>4019</v>
      </c>
      <c r="D92" s="50"/>
      <c r="E92" s="61">
        <v>51</v>
      </c>
      <c r="F92" s="61"/>
      <c r="G92" s="182"/>
      <c r="H92" s="365">
        <v>2101.5599999999977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s="64" customFormat="1" ht="13.5" customHeight="1" x14ac:dyDescent="0.2">
      <c r="A93" s="184"/>
      <c r="B93" s="63"/>
      <c r="C93" s="32" t="s">
        <v>4020</v>
      </c>
      <c r="D93" s="50"/>
      <c r="E93" s="61">
        <v>320</v>
      </c>
      <c r="F93" s="61"/>
      <c r="G93" s="182">
        <v>1781.5599999999977</v>
      </c>
      <c r="H93" s="365">
        <v>1781.5599999999977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s="64" customFormat="1" ht="13.5" customHeight="1" x14ac:dyDescent="0.2">
      <c r="A94" s="184">
        <v>43914</v>
      </c>
      <c r="B94" s="63"/>
      <c r="C94" s="32" t="s">
        <v>4021</v>
      </c>
      <c r="D94" s="50"/>
      <c r="E94" s="61">
        <v>59.9</v>
      </c>
      <c r="F94" s="61"/>
      <c r="G94" s="182"/>
      <c r="H94" s="365">
        <v>1721.6599999999976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s="64" customFormat="1" ht="13.5" customHeight="1" x14ac:dyDescent="0.2">
      <c r="A95" s="184"/>
      <c r="B95" s="63"/>
      <c r="C95" s="32" t="s">
        <v>4022</v>
      </c>
      <c r="D95" s="50"/>
      <c r="E95" s="61"/>
      <c r="F95" s="61">
        <v>5200</v>
      </c>
      <c r="G95" s="182">
        <v>6921.659999999998</v>
      </c>
      <c r="H95" s="365">
        <v>6921.659999999998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s="64" customFormat="1" ht="13.5" customHeight="1" x14ac:dyDescent="0.2">
      <c r="A96" s="184">
        <v>43915</v>
      </c>
      <c r="B96" s="63"/>
      <c r="C96" s="32" t="s">
        <v>4023</v>
      </c>
      <c r="D96" s="50"/>
      <c r="E96" s="61">
        <v>1148.6199999999999</v>
      </c>
      <c r="F96" s="61"/>
      <c r="G96" s="182"/>
      <c r="H96" s="365">
        <v>5773.0399999999981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s="64" customFormat="1" ht="13.5" customHeight="1" x14ac:dyDescent="0.2">
      <c r="A97" s="184"/>
      <c r="B97" s="63"/>
      <c r="C97" s="32" t="s">
        <v>4024</v>
      </c>
      <c r="D97" s="50"/>
      <c r="E97" s="61"/>
      <c r="F97" s="61">
        <v>1100</v>
      </c>
      <c r="G97" s="182"/>
      <c r="H97" s="365">
        <v>6873.0399999999981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s="64" customFormat="1" ht="13.5" customHeight="1" x14ac:dyDescent="0.2">
      <c r="A98" s="184"/>
      <c r="B98" s="63"/>
      <c r="C98" s="32" t="s">
        <v>4025</v>
      </c>
      <c r="D98" s="50"/>
      <c r="E98" s="61">
        <v>180</v>
      </c>
      <c r="F98" s="61"/>
      <c r="G98" s="182"/>
      <c r="H98" s="365">
        <v>6693.0399999999981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s="64" customFormat="1" ht="13.5" customHeight="1" x14ac:dyDescent="0.2">
      <c r="A99" s="184"/>
      <c r="B99" s="63"/>
      <c r="C99" s="32" t="s">
        <v>4026</v>
      </c>
      <c r="D99" s="50"/>
      <c r="E99" s="61">
        <v>315</v>
      </c>
      <c r="F99" s="61"/>
      <c r="G99" s="182"/>
      <c r="H99" s="365">
        <v>6378.0399999999981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s="64" customFormat="1" ht="13.5" customHeight="1" x14ac:dyDescent="0.2">
      <c r="A100" s="184"/>
      <c r="B100" s="63"/>
      <c r="C100" s="32" t="s">
        <v>4027</v>
      </c>
      <c r="D100" s="50"/>
      <c r="E100" s="61">
        <v>300</v>
      </c>
      <c r="F100" s="61"/>
      <c r="G100" s="182"/>
      <c r="H100" s="365">
        <v>6078.0399999999981</v>
      </c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s="64" customFormat="1" ht="13.5" customHeight="1" x14ac:dyDescent="0.2">
      <c r="A101" s="184"/>
      <c r="B101" s="63"/>
      <c r="C101" s="32" t="s">
        <v>4028</v>
      </c>
      <c r="D101" s="50"/>
      <c r="E101" s="61">
        <v>735</v>
      </c>
      <c r="F101" s="61"/>
      <c r="G101" s="182"/>
      <c r="H101" s="365">
        <v>5343.0399999999981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s="64" customFormat="1" ht="13.5" customHeight="1" x14ac:dyDescent="0.2">
      <c r="A102" s="184"/>
      <c r="B102" s="63"/>
      <c r="C102" s="32" t="s">
        <v>4029</v>
      </c>
      <c r="D102" s="50"/>
      <c r="E102" s="599">
        <v>4000</v>
      </c>
      <c r="F102" s="61"/>
      <c r="G102" s="205">
        <v>1343.0399999999981</v>
      </c>
      <c r="H102" s="365">
        <v>1343.0399999999981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s="64" customFormat="1" ht="13.5" customHeight="1" thickBot="1" x14ac:dyDescent="0.25">
      <c r="A103" s="184"/>
      <c r="B103" s="63"/>
      <c r="C103" s="63"/>
      <c r="D103" s="50"/>
      <c r="E103" s="654">
        <f>-SUM(E7:E11,E14:E37,E43:E46,E48:E57,E60:E72,E79:E86,E89:E101)</f>
        <v>-13172.96</v>
      </c>
      <c r="F103" s="654">
        <f>SUM(F4:F102)</f>
        <v>51874.03</v>
      </c>
      <c r="G103" s="182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3.5" customHeight="1" thickBot="1" x14ac:dyDescent="0.25">
      <c r="A104" s="2" t="s">
        <v>2</v>
      </c>
      <c r="B104" s="3"/>
      <c r="C104" s="3" t="s">
        <v>536</v>
      </c>
      <c r="D104" s="3" t="s">
        <v>4</v>
      </c>
      <c r="E104" s="3" t="s">
        <v>5</v>
      </c>
      <c r="F104" s="3" t="s">
        <v>6</v>
      </c>
      <c r="G104" s="5" t="s">
        <v>7</v>
      </c>
    </row>
    <row r="105" spans="1:27" ht="13.5" customHeight="1" x14ac:dyDescent="0.2">
      <c r="A105" s="8">
        <v>43891</v>
      </c>
      <c r="B105" s="56"/>
      <c r="C105" s="10" t="s">
        <v>8</v>
      </c>
      <c r="D105" s="11"/>
      <c r="E105" s="51"/>
      <c r="F105" s="12"/>
      <c r="G105" s="205">
        <v>17000.000000000007</v>
      </c>
      <c r="H105" s="18">
        <v>17000.000000000007</v>
      </c>
    </row>
    <row r="106" spans="1:27" ht="13.5" customHeight="1" x14ac:dyDescent="0.2">
      <c r="A106" s="171">
        <v>43892</v>
      </c>
      <c r="B106" s="46"/>
      <c r="C106" s="36" t="s">
        <v>3942</v>
      </c>
      <c r="D106" s="11"/>
      <c r="E106" s="30"/>
      <c r="F106" s="277">
        <v>5500</v>
      </c>
      <c r="G106" s="182">
        <v>22500.000000000007</v>
      </c>
      <c r="H106" s="18">
        <v>22500.000000000007</v>
      </c>
    </row>
    <row r="107" spans="1:27" ht="13.5" customHeight="1" x14ac:dyDescent="0.2">
      <c r="A107" s="180">
        <v>43896</v>
      </c>
      <c r="B107" s="56"/>
      <c r="C107" s="36" t="s">
        <v>4030</v>
      </c>
      <c r="D107" s="11"/>
      <c r="E107" s="552">
        <v>2000</v>
      </c>
      <c r="F107" s="12"/>
      <c r="G107" s="182">
        <v>20500.000000000007</v>
      </c>
      <c r="H107" s="18">
        <v>20500.000000000007</v>
      </c>
    </row>
    <row r="108" spans="1:27" ht="13.5" customHeight="1" x14ac:dyDescent="0.2">
      <c r="A108" s="180"/>
      <c r="B108" s="56"/>
      <c r="C108" s="36" t="s">
        <v>4030</v>
      </c>
      <c r="D108" s="11"/>
      <c r="E108" s="552">
        <v>2000</v>
      </c>
      <c r="F108" s="12"/>
      <c r="G108" s="182">
        <v>18500.000000000007</v>
      </c>
      <c r="H108" s="18">
        <v>18500.000000000007</v>
      </c>
    </row>
    <row r="109" spans="1:27" s="64" customFormat="1" ht="13.5" customHeight="1" x14ac:dyDescent="0.2">
      <c r="A109" s="184">
        <v>43899</v>
      </c>
      <c r="B109" s="63"/>
      <c r="C109" s="36" t="s">
        <v>3942</v>
      </c>
      <c r="D109" s="50"/>
      <c r="E109" s="51"/>
      <c r="F109" s="277">
        <v>6000</v>
      </c>
      <c r="G109" s="182">
        <v>24500.000000000007</v>
      </c>
      <c r="H109" s="18">
        <v>24500.000000000007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s="64" customFormat="1" ht="13.5" customHeight="1" x14ac:dyDescent="0.2">
      <c r="A110" s="184"/>
      <c r="B110" s="63"/>
      <c r="C110" s="32" t="s">
        <v>4031</v>
      </c>
      <c r="D110" s="50"/>
      <c r="E110" s="51">
        <v>41.5</v>
      </c>
      <c r="F110" s="13"/>
      <c r="G110" s="182">
        <v>24458.500000000007</v>
      </c>
      <c r="H110" s="18">
        <v>24458.500000000007</v>
      </c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s="64" customFormat="1" ht="13.5" customHeight="1" x14ac:dyDescent="0.2">
      <c r="A111" s="184"/>
      <c r="B111" s="63"/>
      <c r="C111" s="32" t="s">
        <v>4032</v>
      </c>
      <c r="D111" s="50"/>
      <c r="E111" s="51">
        <v>145.35</v>
      </c>
      <c r="F111" s="13"/>
      <c r="G111" s="182">
        <v>24313.150000000009</v>
      </c>
      <c r="H111" s="18">
        <v>24313.150000000009</v>
      </c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s="64" customFormat="1" ht="13.5" customHeight="1" x14ac:dyDescent="0.2">
      <c r="A112" s="184"/>
      <c r="B112" s="63"/>
      <c r="C112" s="32" t="s">
        <v>1002</v>
      </c>
      <c r="D112" s="50"/>
      <c r="E112" s="51">
        <v>1624.67</v>
      </c>
      <c r="F112" s="13"/>
      <c r="G112" s="182">
        <v>22688.48000000001</v>
      </c>
      <c r="H112" s="18">
        <v>22688.48000000001</v>
      </c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s="64" customFormat="1" ht="13.5" customHeight="1" x14ac:dyDescent="0.2">
      <c r="A113" s="184">
        <v>43900</v>
      </c>
      <c r="B113" s="63"/>
      <c r="C113" s="138" t="s">
        <v>4033</v>
      </c>
      <c r="D113" s="50"/>
      <c r="E113" s="51">
        <v>198.41000000000003</v>
      </c>
      <c r="F113" s="13"/>
      <c r="G113" s="182">
        <v>22490.070000000011</v>
      </c>
      <c r="H113" s="18">
        <v>22490.070000000011</v>
      </c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s="64" customFormat="1" ht="13.5" customHeight="1" x14ac:dyDescent="0.2">
      <c r="A114" s="184">
        <v>43902</v>
      </c>
      <c r="B114" s="63"/>
      <c r="C114" s="34" t="s">
        <v>4034</v>
      </c>
      <c r="D114" s="50"/>
      <c r="E114" s="51">
        <v>890</v>
      </c>
      <c r="F114" s="13"/>
      <c r="G114" s="182">
        <v>21600.070000000011</v>
      </c>
      <c r="H114" s="18">
        <v>21600.070000000011</v>
      </c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s="64" customFormat="1" ht="13.5" customHeight="1" x14ac:dyDescent="0.2">
      <c r="A115" s="184"/>
      <c r="B115" s="63"/>
      <c r="C115" s="32" t="s">
        <v>4035</v>
      </c>
      <c r="D115" s="50"/>
      <c r="E115" s="51">
        <v>90</v>
      </c>
      <c r="F115" s="13"/>
      <c r="G115" s="182">
        <v>21510.070000000011</v>
      </c>
      <c r="H115" s="18">
        <v>21510.070000000011</v>
      </c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s="64" customFormat="1" ht="13.5" customHeight="1" x14ac:dyDescent="0.2">
      <c r="A116" s="184"/>
      <c r="B116" s="63"/>
      <c r="C116" s="32" t="s">
        <v>4036</v>
      </c>
      <c r="D116" s="50"/>
      <c r="E116" s="51">
        <v>17</v>
      </c>
      <c r="F116" s="13"/>
      <c r="G116" s="182">
        <v>21493.070000000011</v>
      </c>
      <c r="H116" s="18">
        <v>21493.070000000011</v>
      </c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s="64" customFormat="1" ht="13.5" customHeight="1" x14ac:dyDescent="0.2">
      <c r="A117" s="184"/>
      <c r="B117" s="63"/>
      <c r="C117" s="32" t="s">
        <v>4037</v>
      </c>
      <c r="D117" s="50"/>
      <c r="E117" s="51">
        <v>8</v>
      </c>
      <c r="F117" s="13"/>
      <c r="G117" s="182">
        <v>21485.070000000011</v>
      </c>
      <c r="H117" s="18">
        <v>21485.070000000011</v>
      </c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s="64" customFormat="1" ht="13.5" customHeight="1" x14ac:dyDescent="0.2">
      <c r="A118" s="184"/>
      <c r="B118" s="63"/>
      <c r="C118" s="36" t="s">
        <v>3942</v>
      </c>
      <c r="D118" s="50"/>
      <c r="E118" s="51"/>
      <c r="F118" s="277">
        <v>4000</v>
      </c>
      <c r="G118" s="182">
        <v>25485.070000000011</v>
      </c>
      <c r="H118" s="18">
        <v>25485.070000000011</v>
      </c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3.5" customHeight="1" x14ac:dyDescent="0.2">
      <c r="A119" s="180">
        <v>43906</v>
      </c>
      <c r="B119" s="56"/>
      <c r="C119" s="36" t="s">
        <v>4038</v>
      </c>
      <c r="D119" s="11"/>
      <c r="E119" s="30">
        <v>6</v>
      </c>
      <c r="F119" s="12"/>
      <c r="G119" s="182">
        <v>25479.070000000011</v>
      </c>
      <c r="H119" s="18">
        <v>25479.070000000011</v>
      </c>
    </row>
    <row r="120" spans="1:27" ht="13.5" customHeight="1" x14ac:dyDescent="0.2">
      <c r="A120" s="180"/>
      <c r="B120" s="56"/>
      <c r="C120" s="36" t="s">
        <v>4039</v>
      </c>
      <c r="D120" s="11"/>
      <c r="E120" s="30">
        <v>190</v>
      </c>
      <c r="F120" s="12"/>
      <c r="G120" s="182">
        <v>25289.070000000011</v>
      </c>
      <c r="H120" s="18">
        <v>25289.070000000011</v>
      </c>
    </row>
    <row r="121" spans="1:27" s="64" customFormat="1" ht="13.5" customHeight="1" x14ac:dyDescent="0.2">
      <c r="A121" s="184">
        <v>43907</v>
      </c>
      <c r="B121" s="63"/>
      <c r="C121" s="63" t="s">
        <v>3872</v>
      </c>
      <c r="D121" s="50"/>
      <c r="E121" s="51">
        <v>100</v>
      </c>
      <c r="F121" s="13"/>
      <c r="G121" s="182">
        <v>25189.070000000011</v>
      </c>
      <c r="H121" s="18">
        <v>25189.070000000011</v>
      </c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s="64" customFormat="1" ht="13.5" customHeight="1" x14ac:dyDescent="0.2">
      <c r="A122" s="184"/>
      <c r="B122" s="63"/>
      <c r="C122" s="138" t="s">
        <v>4040</v>
      </c>
      <c r="D122" s="50"/>
      <c r="E122" s="51"/>
      <c r="F122" s="13">
        <v>198.41000000000003</v>
      </c>
      <c r="G122" s="182">
        <v>25387.48000000001</v>
      </c>
      <c r="H122" s="18">
        <v>25387.48000000001</v>
      </c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s="64" customFormat="1" ht="13.5" customHeight="1" x14ac:dyDescent="0.2">
      <c r="A123" s="184">
        <v>43908</v>
      </c>
      <c r="B123" s="63"/>
      <c r="C123" s="32" t="s">
        <v>4041</v>
      </c>
      <c r="D123" s="50"/>
      <c r="E123" s="51">
        <v>18.98</v>
      </c>
      <c r="F123" s="13"/>
      <c r="G123" s="182">
        <v>25368.500000000011</v>
      </c>
      <c r="H123" s="18">
        <v>25368.500000000011</v>
      </c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s="64" customFormat="1" ht="13.5" customHeight="1" x14ac:dyDescent="0.2">
      <c r="A124" s="184">
        <v>43915</v>
      </c>
      <c r="B124" s="63"/>
      <c r="C124" s="138" t="s">
        <v>4042</v>
      </c>
      <c r="D124" s="50"/>
      <c r="E124" s="51">
        <v>25</v>
      </c>
      <c r="F124" s="13"/>
      <c r="G124" s="182">
        <v>25343.500000000011</v>
      </c>
      <c r="H124" s="18">
        <v>25343.500000000011</v>
      </c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s="64" customFormat="1" ht="13.5" customHeight="1" x14ac:dyDescent="0.2">
      <c r="A125" s="184">
        <v>43917</v>
      </c>
      <c r="B125" s="63"/>
      <c r="C125" s="34" t="s">
        <v>4043</v>
      </c>
      <c r="D125" s="50"/>
      <c r="E125" s="51">
        <v>140</v>
      </c>
      <c r="F125" s="13"/>
      <c r="G125" s="182">
        <v>25203.500000000011</v>
      </c>
      <c r="H125" s="18">
        <v>25203.500000000011</v>
      </c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s="64" customFormat="1" ht="13.5" customHeight="1" x14ac:dyDescent="0.2">
      <c r="A126" s="184">
        <v>43915</v>
      </c>
      <c r="B126" s="63"/>
      <c r="C126" s="32" t="s">
        <v>4029</v>
      </c>
      <c r="D126" s="50"/>
      <c r="E126" s="51"/>
      <c r="F126" s="277">
        <v>4000</v>
      </c>
      <c r="G126" s="205">
        <v>29203.500000000011</v>
      </c>
      <c r="H126" s="18">
        <v>29203.500000000011</v>
      </c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s="64" customFormat="1" ht="13.5" customHeight="1" x14ac:dyDescent="0.2">
      <c r="A127" s="184"/>
      <c r="B127" s="63"/>
      <c r="C127" s="63"/>
      <c r="D127" s="50"/>
      <c r="E127" s="51"/>
      <c r="F127" s="13"/>
      <c r="G127" s="182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3.5" customHeight="1" thickBot="1" x14ac:dyDescent="0.25">
      <c r="A128" s="180"/>
      <c r="B128" s="56"/>
      <c r="C128" s="56"/>
      <c r="D128" s="11"/>
      <c r="E128" s="653">
        <f>-SUM(E110:E127)</f>
        <v>-3494.9100000000003</v>
      </c>
      <c r="F128" s="647">
        <f>SUM(F122)</f>
        <v>198.41000000000003</v>
      </c>
      <c r="G128" s="182"/>
    </row>
    <row r="129" spans="1:8" ht="13.5" customHeight="1" thickBot="1" x14ac:dyDescent="0.25">
      <c r="A129" s="2" t="s">
        <v>2</v>
      </c>
      <c r="B129" s="3"/>
      <c r="C129" s="3" t="s">
        <v>3</v>
      </c>
      <c r="D129" s="3"/>
      <c r="E129" s="3"/>
      <c r="F129" s="3"/>
      <c r="G129" s="5" t="s">
        <v>7</v>
      </c>
    </row>
    <row r="130" spans="1:8" ht="13.5" customHeight="1" x14ac:dyDescent="0.2">
      <c r="A130" s="8">
        <v>43891</v>
      </c>
      <c r="B130" s="70"/>
      <c r="C130" s="10" t="s">
        <v>537</v>
      </c>
      <c r="D130" s="46"/>
      <c r="E130" s="67"/>
      <c r="F130" s="67"/>
      <c r="G130" s="205">
        <v>368.17</v>
      </c>
      <c r="H130" s="18">
        <v>368.17</v>
      </c>
    </row>
    <row r="131" spans="1:8" ht="13.5" customHeight="1" x14ac:dyDescent="0.2">
      <c r="A131" s="171" t="s">
        <v>4044</v>
      </c>
      <c r="B131" s="46" t="s">
        <v>549</v>
      </c>
      <c r="C131" s="34" t="s">
        <v>1597</v>
      </c>
      <c r="D131" s="46" t="s">
        <v>488</v>
      </c>
      <c r="E131" s="69">
        <v>-0.03</v>
      </c>
      <c r="F131" s="69"/>
      <c r="G131" s="182"/>
      <c r="H131" s="18">
        <v>368.14000000000004</v>
      </c>
    </row>
    <row r="132" spans="1:8" ht="13.5" customHeight="1" x14ac:dyDescent="0.2">
      <c r="A132" s="171"/>
      <c r="B132" s="46" t="s">
        <v>549</v>
      </c>
      <c r="C132" s="34" t="s">
        <v>1598</v>
      </c>
      <c r="D132" s="46" t="s">
        <v>488</v>
      </c>
      <c r="E132" s="69">
        <v>-1.44</v>
      </c>
      <c r="F132" s="69"/>
      <c r="G132" s="182">
        <v>366.7</v>
      </c>
      <c r="H132" s="18">
        <v>366.70000000000005</v>
      </c>
    </row>
    <row r="133" spans="1:8" ht="13.5" customHeight="1" x14ac:dyDescent="0.2">
      <c r="A133" s="171" t="s">
        <v>4045</v>
      </c>
      <c r="B133" s="46"/>
      <c r="C133" s="36" t="s">
        <v>3726</v>
      </c>
      <c r="D133" s="46">
        <v>944000</v>
      </c>
      <c r="E133" s="69">
        <v>-24.3</v>
      </c>
      <c r="F133" s="69"/>
      <c r="G133" s="182">
        <v>342.4</v>
      </c>
      <c r="H133" s="18">
        <v>342.40000000000003</v>
      </c>
    </row>
    <row r="134" spans="1:8" ht="13.5" customHeight="1" x14ac:dyDescent="0.2">
      <c r="A134" s="180" t="s">
        <v>4046</v>
      </c>
      <c r="B134" s="46"/>
      <c r="C134" s="34" t="s">
        <v>2462</v>
      </c>
      <c r="D134" s="46">
        <v>231000</v>
      </c>
      <c r="E134" s="69">
        <v>-55.01</v>
      </c>
      <c r="F134" s="69"/>
      <c r="G134" s="182">
        <v>287.39</v>
      </c>
      <c r="H134" s="18">
        <v>287.39000000000004</v>
      </c>
    </row>
    <row r="135" spans="1:8" ht="13.5" customHeight="1" x14ac:dyDescent="0.2">
      <c r="A135" s="180" t="s">
        <v>4047</v>
      </c>
      <c r="B135" s="46"/>
      <c r="C135" s="34" t="s">
        <v>55</v>
      </c>
      <c r="D135" s="46">
        <v>361000</v>
      </c>
      <c r="E135" s="61">
        <v>-400</v>
      </c>
      <c r="F135" s="61"/>
      <c r="G135" s="182"/>
      <c r="H135" s="18">
        <v>-112.60999999999996</v>
      </c>
    </row>
    <row r="136" spans="1:8" ht="13.5" customHeight="1" x14ac:dyDescent="0.2">
      <c r="A136" s="180"/>
      <c r="B136" s="46"/>
      <c r="C136" s="34" t="s">
        <v>4048</v>
      </c>
      <c r="D136" s="46">
        <v>0</v>
      </c>
      <c r="E136" s="69">
        <v>-139.9</v>
      </c>
      <c r="F136" s="69"/>
      <c r="G136" s="182"/>
      <c r="H136" s="18">
        <v>-252.50999999999996</v>
      </c>
    </row>
    <row r="137" spans="1:8" ht="13.5" customHeight="1" x14ac:dyDescent="0.2">
      <c r="A137" s="180"/>
      <c r="B137" s="9"/>
      <c r="C137" s="34" t="s">
        <v>4049</v>
      </c>
      <c r="D137" s="46">
        <v>0</v>
      </c>
      <c r="E137" s="61">
        <v>-329</v>
      </c>
      <c r="F137" s="61"/>
      <c r="G137" s="182"/>
      <c r="H137" s="18">
        <v>-581.51</v>
      </c>
    </row>
    <row r="138" spans="1:8" ht="13.5" customHeight="1" x14ac:dyDescent="0.2">
      <c r="A138" s="180"/>
      <c r="B138" s="9"/>
      <c r="C138" s="36" t="s">
        <v>4030</v>
      </c>
      <c r="D138" s="46">
        <v>729137</v>
      </c>
      <c r="E138" s="61"/>
      <c r="F138" s="599">
        <v>2000</v>
      </c>
      <c r="G138" s="182"/>
      <c r="H138" s="18">
        <v>1418.49</v>
      </c>
    </row>
    <row r="139" spans="1:8" ht="13.5" customHeight="1" x14ac:dyDescent="0.2">
      <c r="A139" s="180"/>
      <c r="B139" s="9"/>
      <c r="C139" s="36" t="s">
        <v>4030</v>
      </c>
      <c r="D139" s="46">
        <v>729148</v>
      </c>
      <c r="E139" s="61"/>
      <c r="F139" s="599">
        <v>2000</v>
      </c>
      <c r="G139" s="182">
        <v>3418.49</v>
      </c>
      <c r="H139" s="18">
        <v>3418.49</v>
      </c>
    </row>
    <row r="140" spans="1:8" ht="13.5" customHeight="1" x14ac:dyDescent="0.2">
      <c r="A140" s="180" t="s">
        <v>4050</v>
      </c>
      <c r="B140" s="9"/>
      <c r="C140" s="34" t="s">
        <v>68</v>
      </c>
      <c r="D140" s="46">
        <v>601000</v>
      </c>
      <c r="E140" s="733">
        <v>-129.9</v>
      </c>
      <c r="F140" s="61"/>
      <c r="G140" s="182"/>
      <c r="H140" s="18">
        <v>3288.5899999999997</v>
      </c>
    </row>
    <row r="141" spans="1:8" ht="13.5" customHeight="1" x14ac:dyDescent="0.2">
      <c r="A141" s="180"/>
      <c r="B141" s="9"/>
      <c r="C141" s="34" t="s">
        <v>4051</v>
      </c>
      <c r="D141" s="46">
        <v>11000</v>
      </c>
      <c r="E141" s="61">
        <v>-1289.8800000000001</v>
      </c>
      <c r="F141" s="61"/>
      <c r="G141" s="182"/>
      <c r="H141" s="18">
        <v>1998.7099999999996</v>
      </c>
    </row>
    <row r="142" spans="1:8" ht="13.5" customHeight="1" x14ac:dyDescent="0.2">
      <c r="A142" s="180"/>
      <c r="B142" s="9"/>
      <c r="C142" s="36" t="s">
        <v>20</v>
      </c>
      <c r="D142" s="46"/>
      <c r="E142" s="61"/>
      <c r="F142" s="61">
        <v>0.03</v>
      </c>
      <c r="G142" s="182">
        <v>1998.74</v>
      </c>
      <c r="H142" s="18">
        <v>1998.7399999999996</v>
      </c>
    </row>
    <row r="143" spans="1:8" ht="13.5" customHeight="1" x14ac:dyDescent="0.2">
      <c r="A143" s="180" t="s">
        <v>4052</v>
      </c>
      <c r="B143" s="46"/>
      <c r="C143" s="36" t="s">
        <v>3726</v>
      </c>
      <c r="D143" s="46">
        <v>0</v>
      </c>
      <c r="E143" s="28">
        <v>-405.65</v>
      </c>
      <c r="F143" s="69"/>
      <c r="G143" s="182"/>
      <c r="H143" s="18">
        <v>1593.0899999999997</v>
      </c>
    </row>
    <row r="144" spans="1:8" ht="13.5" customHeight="1" x14ac:dyDescent="0.2">
      <c r="A144" s="180"/>
      <c r="B144" s="46"/>
      <c r="C144" s="34" t="s">
        <v>62</v>
      </c>
      <c r="D144" s="46">
        <v>31000</v>
      </c>
      <c r="E144" s="28">
        <v>-633.34</v>
      </c>
      <c r="F144" s="69"/>
      <c r="G144" s="734"/>
      <c r="H144" s="18">
        <v>959.74999999999966</v>
      </c>
    </row>
    <row r="145" spans="1:8" ht="13.5" customHeight="1" x14ac:dyDescent="0.2">
      <c r="A145" s="180"/>
      <c r="B145" s="46"/>
      <c r="C145" s="36" t="s">
        <v>3975</v>
      </c>
      <c r="D145" s="46">
        <v>284937</v>
      </c>
      <c r="E145" s="69"/>
      <c r="F145" s="735">
        <v>200</v>
      </c>
      <c r="G145" s="182"/>
      <c r="H145" s="18">
        <v>1159.7499999999995</v>
      </c>
    </row>
    <row r="146" spans="1:8" ht="13.5" customHeight="1" x14ac:dyDescent="0.2">
      <c r="A146" s="171"/>
      <c r="B146" s="46"/>
      <c r="C146" s="36" t="s">
        <v>3975</v>
      </c>
      <c r="D146" s="46">
        <v>284915</v>
      </c>
      <c r="E146" s="69"/>
      <c r="F146" s="322">
        <v>1111.03</v>
      </c>
      <c r="G146" s="182">
        <v>2270.7800000000002</v>
      </c>
      <c r="H146" s="18">
        <v>2270.7799999999997</v>
      </c>
    </row>
    <row r="147" spans="1:8" ht="13.5" customHeight="1" x14ac:dyDescent="0.2">
      <c r="A147" s="171" t="s">
        <v>4053</v>
      </c>
      <c r="B147" s="46"/>
      <c r="C147" s="36" t="s">
        <v>3726</v>
      </c>
      <c r="D147" s="46" t="s">
        <v>488</v>
      </c>
      <c r="E147" s="69">
        <v>-341.31</v>
      </c>
      <c r="F147" s="69"/>
      <c r="G147" s="182"/>
      <c r="H147" s="18">
        <v>1929.4699999999998</v>
      </c>
    </row>
    <row r="148" spans="1:8" ht="13.5" customHeight="1" x14ac:dyDescent="0.2">
      <c r="A148" s="171"/>
      <c r="B148" s="46"/>
      <c r="C148" s="34" t="s">
        <v>87</v>
      </c>
      <c r="D148" s="46" t="s">
        <v>488</v>
      </c>
      <c r="E148" s="69">
        <v>-63.68</v>
      </c>
      <c r="F148" s="69"/>
      <c r="G148" s="182">
        <v>1865.79</v>
      </c>
      <c r="H148" s="18">
        <v>1865.7899999999997</v>
      </c>
    </row>
    <row r="149" spans="1:8" ht="13.5" customHeight="1" x14ac:dyDescent="0.2">
      <c r="A149" s="171" t="s">
        <v>4054</v>
      </c>
      <c r="B149" s="46"/>
      <c r="C149" s="34" t="s">
        <v>86</v>
      </c>
      <c r="D149" s="46" t="s">
        <v>488</v>
      </c>
      <c r="E149" s="69">
        <v>-75.900000000000006</v>
      </c>
      <c r="F149" s="69"/>
      <c r="G149" s="182"/>
      <c r="H149" s="18">
        <v>1789.8899999999996</v>
      </c>
    </row>
    <row r="150" spans="1:8" ht="13.5" customHeight="1" x14ac:dyDescent="0.2">
      <c r="A150" s="171"/>
      <c r="B150" s="46"/>
      <c r="C150" s="33" t="s">
        <v>81</v>
      </c>
      <c r="D150" s="46" t="s">
        <v>3202</v>
      </c>
      <c r="E150" s="69">
        <v>-52.35</v>
      </c>
      <c r="F150" s="69"/>
      <c r="G150" s="182"/>
      <c r="H150" s="18">
        <v>1737.5399999999997</v>
      </c>
    </row>
    <row r="151" spans="1:8" ht="13.5" customHeight="1" x14ac:dyDescent="0.2">
      <c r="A151" s="171"/>
      <c r="B151" s="46"/>
      <c r="C151" s="34" t="s">
        <v>673</v>
      </c>
      <c r="D151" s="46" t="s">
        <v>3196</v>
      </c>
      <c r="E151" s="69">
        <v>-99.98</v>
      </c>
      <c r="F151" s="69"/>
      <c r="G151" s="182">
        <v>1637.56</v>
      </c>
      <c r="H151" s="18">
        <v>1637.5599999999997</v>
      </c>
    </row>
    <row r="152" spans="1:8" ht="13.5" customHeight="1" x14ac:dyDescent="0.2">
      <c r="A152" s="171">
        <v>43907</v>
      </c>
      <c r="B152" s="46"/>
      <c r="C152" s="34" t="s">
        <v>18</v>
      </c>
      <c r="D152" s="46"/>
      <c r="E152" s="69">
        <v>-433.39</v>
      </c>
      <c r="F152" s="69"/>
      <c r="G152" s="182">
        <v>1204.17</v>
      </c>
      <c r="H152" s="18">
        <v>1204.1699999999996</v>
      </c>
    </row>
    <row r="153" spans="1:8" ht="13.5" customHeight="1" x14ac:dyDescent="0.2">
      <c r="A153" s="171">
        <v>43908</v>
      </c>
      <c r="B153" s="46"/>
      <c r="C153" s="36" t="s">
        <v>4005</v>
      </c>
      <c r="D153" s="46"/>
      <c r="E153" s="69"/>
      <c r="F153" s="322">
        <v>10676</v>
      </c>
      <c r="G153" s="182">
        <v>11880.17</v>
      </c>
      <c r="H153" s="18">
        <v>11880.17</v>
      </c>
    </row>
    <row r="154" spans="1:8" ht="13.5" customHeight="1" x14ac:dyDescent="0.2">
      <c r="A154" s="171" t="s">
        <v>4055</v>
      </c>
      <c r="B154" s="46"/>
      <c r="C154" s="34" t="s">
        <v>132</v>
      </c>
      <c r="D154" s="46" t="s">
        <v>766</v>
      </c>
      <c r="E154" s="69">
        <v>-1094.2</v>
      </c>
      <c r="F154" s="69"/>
      <c r="G154" s="182">
        <v>10785.98</v>
      </c>
      <c r="H154" s="18">
        <v>10785.97</v>
      </c>
    </row>
    <row r="155" spans="1:8" ht="13.5" customHeight="1" x14ac:dyDescent="0.2">
      <c r="A155" s="171"/>
      <c r="B155" s="46"/>
      <c r="C155" s="34" t="s">
        <v>134</v>
      </c>
      <c r="D155" s="46" t="s">
        <v>3005</v>
      </c>
      <c r="E155" s="69">
        <v>-109.9</v>
      </c>
      <c r="F155" s="69"/>
      <c r="G155" s="182"/>
      <c r="H155" s="18">
        <v>10676.07</v>
      </c>
    </row>
    <row r="156" spans="1:8" ht="13.5" customHeight="1" x14ac:dyDescent="0.2">
      <c r="A156" s="171"/>
      <c r="B156" s="46"/>
      <c r="C156" s="34" t="s">
        <v>3725</v>
      </c>
      <c r="D156" s="46" t="s">
        <v>4056</v>
      </c>
      <c r="E156" s="69"/>
      <c r="F156" s="69">
        <v>300</v>
      </c>
      <c r="G156" s="182"/>
      <c r="H156" s="18">
        <v>10976.07</v>
      </c>
    </row>
    <row r="157" spans="1:8" ht="13.5" customHeight="1" x14ac:dyDescent="0.2">
      <c r="A157" s="171"/>
      <c r="B157" s="46"/>
      <c r="C157" s="36" t="s">
        <v>20</v>
      </c>
      <c r="D157" s="46"/>
      <c r="E157" s="69"/>
      <c r="F157" s="69">
        <v>0.03</v>
      </c>
      <c r="G157" s="182">
        <v>10976.11</v>
      </c>
      <c r="H157" s="18">
        <v>10976.1</v>
      </c>
    </row>
    <row r="158" spans="1:8" ht="13.5" customHeight="1" x14ac:dyDescent="0.2">
      <c r="A158" s="171" t="s">
        <v>4057</v>
      </c>
      <c r="B158" s="46"/>
      <c r="C158" s="33" t="s">
        <v>736</v>
      </c>
      <c r="D158" s="46" t="s">
        <v>488</v>
      </c>
      <c r="E158" s="69">
        <v>-44.16</v>
      </c>
      <c r="F158" s="69"/>
      <c r="G158" s="182"/>
      <c r="H158" s="18">
        <v>10931.94</v>
      </c>
    </row>
    <row r="159" spans="1:8" ht="13.5" customHeight="1" x14ac:dyDescent="0.2">
      <c r="A159" s="171"/>
      <c r="B159" s="46"/>
      <c r="C159" s="36" t="s">
        <v>129</v>
      </c>
      <c r="D159" s="46" t="s">
        <v>488</v>
      </c>
      <c r="E159" s="69">
        <v>-47.31</v>
      </c>
      <c r="F159" s="69"/>
      <c r="G159" s="182"/>
      <c r="H159" s="18">
        <v>10884.630000000001</v>
      </c>
    </row>
    <row r="160" spans="1:8" ht="13.5" customHeight="1" x14ac:dyDescent="0.2">
      <c r="A160" s="171"/>
      <c r="B160" s="46"/>
      <c r="C160" s="36" t="s">
        <v>130</v>
      </c>
      <c r="D160" s="46" t="s">
        <v>488</v>
      </c>
      <c r="E160" s="69">
        <v>-224.81</v>
      </c>
      <c r="F160" s="69"/>
      <c r="G160" s="182"/>
      <c r="H160" s="18">
        <v>10659.820000000002</v>
      </c>
    </row>
    <row r="161" spans="1:11" ht="13.5" customHeight="1" x14ac:dyDescent="0.2">
      <c r="A161" s="171"/>
      <c r="B161" s="46"/>
      <c r="C161" s="34" t="s">
        <v>4058</v>
      </c>
      <c r="D161" s="46" t="s">
        <v>488</v>
      </c>
      <c r="E161" s="69">
        <v>-105.78</v>
      </c>
      <c r="F161" s="69"/>
      <c r="G161" s="182"/>
      <c r="H161" s="18">
        <v>10554.04</v>
      </c>
    </row>
    <row r="162" spans="1:11" ht="13.5" customHeight="1" x14ac:dyDescent="0.2">
      <c r="A162" s="171"/>
      <c r="B162" s="46"/>
      <c r="C162" s="34" t="s">
        <v>1700</v>
      </c>
      <c r="D162" s="46" t="s">
        <v>488</v>
      </c>
      <c r="E162" s="69">
        <v>-105.78</v>
      </c>
      <c r="F162" s="69"/>
      <c r="G162" s="182"/>
      <c r="H162" s="18">
        <v>10448.26</v>
      </c>
    </row>
    <row r="163" spans="1:11" ht="13.5" customHeight="1" x14ac:dyDescent="0.2">
      <c r="A163" s="171"/>
      <c r="B163" s="46"/>
      <c r="C163" s="34" t="s">
        <v>1701</v>
      </c>
      <c r="D163" s="46" t="s">
        <v>488</v>
      </c>
      <c r="E163" s="69">
        <v>-105.78</v>
      </c>
      <c r="F163" s="69"/>
      <c r="G163" s="182"/>
      <c r="H163" s="18">
        <v>10342.48</v>
      </c>
    </row>
    <row r="164" spans="1:11" ht="13.5" customHeight="1" x14ac:dyDescent="0.2">
      <c r="A164" s="171"/>
      <c r="B164" s="46"/>
      <c r="C164" s="36" t="s">
        <v>20</v>
      </c>
      <c r="D164" s="46"/>
      <c r="E164" s="69"/>
      <c r="F164" s="69">
        <v>0.02</v>
      </c>
      <c r="G164" s="182">
        <v>10342.51</v>
      </c>
      <c r="H164" s="18">
        <v>10342.5</v>
      </c>
    </row>
    <row r="165" spans="1:11" ht="13.5" customHeight="1" x14ac:dyDescent="0.2">
      <c r="A165" s="171">
        <v>43914</v>
      </c>
      <c r="B165" s="46"/>
      <c r="C165" s="34" t="s">
        <v>4059</v>
      </c>
      <c r="D165" s="46"/>
      <c r="E165" s="69">
        <v>-1500</v>
      </c>
      <c r="F165" s="69"/>
      <c r="G165" s="182"/>
      <c r="H165" s="18">
        <v>8842.5</v>
      </c>
    </row>
    <row r="166" spans="1:11" ht="13.5" customHeight="1" x14ac:dyDescent="0.2">
      <c r="A166" s="171"/>
      <c r="B166" s="46"/>
      <c r="C166" s="34" t="s">
        <v>4060</v>
      </c>
      <c r="D166" s="46"/>
      <c r="E166" s="69">
        <v>-900</v>
      </c>
      <c r="F166" s="69"/>
      <c r="G166" s="182"/>
      <c r="H166" s="18">
        <v>7942.5</v>
      </c>
    </row>
    <row r="167" spans="1:11" ht="13.5" customHeight="1" x14ac:dyDescent="0.2">
      <c r="A167" s="171"/>
      <c r="B167" s="46"/>
      <c r="C167" s="34" t="s">
        <v>4061</v>
      </c>
      <c r="D167" s="46"/>
      <c r="E167" s="69">
        <v>-2000</v>
      </c>
      <c r="F167" s="69"/>
      <c r="G167" s="182"/>
      <c r="H167" s="18">
        <v>5942.5</v>
      </c>
    </row>
    <row r="168" spans="1:11" ht="13.5" customHeight="1" x14ac:dyDescent="0.2">
      <c r="A168" s="171"/>
      <c r="B168" s="46"/>
      <c r="C168" s="36" t="s">
        <v>20</v>
      </c>
      <c r="D168" s="46"/>
      <c r="E168" s="69"/>
      <c r="F168" s="69">
        <v>0.02</v>
      </c>
      <c r="G168" s="182">
        <v>5942.53</v>
      </c>
      <c r="H168" s="18">
        <v>5942.52</v>
      </c>
    </row>
    <row r="169" spans="1:11" ht="13.5" customHeight="1" x14ac:dyDescent="0.2">
      <c r="A169" s="171">
        <v>43915</v>
      </c>
      <c r="B169" s="46"/>
      <c r="C169" s="34" t="s">
        <v>136</v>
      </c>
      <c r="D169" s="46"/>
      <c r="E169" s="69">
        <v>-45.9</v>
      </c>
      <c r="F169" s="69"/>
      <c r="G169" s="205">
        <v>5896.62</v>
      </c>
      <c r="H169" s="18">
        <v>5896.6200000000008</v>
      </c>
    </row>
    <row r="170" spans="1:11" ht="13.5" customHeight="1" thickBot="1" x14ac:dyDescent="0.25">
      <c r="A170" s="171"/>
      <c r="B170" s="46"/>
      <c r="C170" s="34"/>
      <c r="D170" s="46"/>
      <c r="E170" s="654">
        <f>SUM(E131:E169)</f>
        <v>-10758.679999999998</v>
      </c>
      <c r="F170" s="654">
        <f>SUM(F142,F156:F169)</f>
        <v>300.09999999999991</v>
      </c>
      <c r="G170" s="182"/>
    </row>
    <row r="171" spans="1:11" ht="13.5" customHeight="1" thickBot="1" x14ac:dyDescent="0.25">
      <c r="A171" s="2" t="s">
        <v>2</v>
      </c>
      <c r="B171" s="3"/>
      <c r="C171" s="3" t="s">
        <v>481</v>
      </c>
      <c r="D171" s="3"/>
      <c r="E171" s="3"/>
      <c r="F171" s="3"/>
      <c r="G171" s="5" t="s">
        <v>7</v>
      </c>
      <c r="H171" s="1415" t="s">
        <v>482</v>
      </c>
      <c r="I171" s="1416"/>
      <c r="J171" s="1417"/>
    </row>
    <row r="172" spans="1:11" ht="13.5" customHeight="1" x14ac:dyDescent="0.2">
      <c r="A172" s="8">
        <v>43891</v>
      </c>
      <c r="B172" s="70"/>
      <c r="C172" s="10" t="s">
        <v>537</v>
      </c>
      <c r="D172" s="602"/>
      <c r="E172" s="67"/>
      <c r="F172" s="67"/>
      <c r="G172" s="205">
        <v>0</v>
      </c>
      <c r="H172" s="179"/>
      <c r="I172" s="57"/>
      <c r="J172" s="58">
        <v>10612.100000000002</v>
      </c>
      <c r="K172" s="18">
        <v>0</v>
      </c>
    </row>
    <row r="173" spans="1:11" ht="13.5" customHeight="1" x14ac:dyDescent="0.2">
      <c r="A173" s="171" t="s">
        <v>4062</v>
      </c>
      <c r="B173" s="46" t="s">
        <v>483</v>
      </c>
      <c r="C173" s="34" t="s">
        <v>199</v>
      </c>
      <c r="D173" s="711" t="s">
        <v>488</v>
      </c>
      <c r="E173" s="557">
        <v>-230.47</v>
      </c>
      <c r="F173" s="69"/>
      <c r="G173" s="182" t="s">
        <v>483</v>
      </c>
      <c r="H173" s="59"/>
      <c r="I173" s="60"/>
      <c r="J173" s="61">
        <v>10612.100000000002</v>
      </c>
      <c r="K173" s="18">
        <v>-230.47</v>
      </c>
    </row>
    <row r="174" spans="1:11" ht="13.5" customHeight="1" x14ac:dyDescent="0.2">
      <c r="A174" s="171"/>
      <c r="B174" s="46" t="s">
        <v>483</v>
      </c>
      <c r="C174" s="36" t="s">
        <v>174</v>
      </c>
      <c r="D174" s="553" t="s">
        <v>488</v>
      </c>
      <c r="E174" s="69"/>
      <c r="F174" s="557">
        <v>230.47</v>
      </c>
      <c r="G174" s="182">
        <v>0</v>
      </c>
      <c r="H174" s="59">
        <v>230.47</v>
      </c>
      <c r="I174" s="60"/>
      <c r="J174" s="61">
        <v>10381.630000000003</v>
      </c>
      <c r="K174" s="18">
        <v>0</v>
      </c>
    </row>
    <row r="175" spans="1:11" ht="13.5" customHeight="1" x14ac:dyDescent="0.2">
      <c r="A175" s="171" t="s">
        <v>4063</v>
      </c>
      <c r="B175" s="46" t="s">
        <v>483</v>
      </c>
      <c r="C175" s="36" t="s">
        <v>180</v>
      </c>
      <c r="D175" s="553" t="s">
        <v>488</v>
      </c>
      <c r="E175" s="557">
        <v>-305.24</v>
      </c>
      <c r="F175" s="69"/>
      <c r="G175" s="182" t="s">
        <v>483</v>
      </c>
      <c r="H175" s="59"/>
      <c r="I175" s="60"/>
      <c r="J175" s="61">
        <v>10381.630000000003</v>
      </c>
      <c r="K175" s="18">
        <v>-305.24</v>
      </c>
    </row>
    <row r="176" spans="1:11" ht="13.5" customHeight="1" x14ac:dyDescent="0.2">
      <c r="A176" s="171"/>
      <c r="B176" s="46" t="s">
        <v>483</v>
      </c>
      <c r="C176" s="34" t="s">
        <v>3731</v>
      </c>
      <c r="D176" s="553" t="s">
        <v>4064</v>
      </c>
      <c r="E176" s="557">
        <v>-589.82000000000005</v>
      </c>
      <c r="F176" s="69"/>
      <c r="G176" s="182" t="s">
        <v>483</v>
      </c>
      <c r="H176" s="59"/>
      <c r="I176" s="60"/>
      <c r="J176" s="61">
        <v>10381.630000000003</v>
      </c>
      <c r="K176" s="18">
        <v>-895.06000000000006</v>
      </c>
    </row>
    <row r="177" spans="1:12" ht="13.5" customHeight="1" x14ac:dyDescent="0.2">
      <c r="A177" s="171"/>
      <c r="B177" s="46" t="s">
        <v>483</v>
      </c>
      <c r="C177" s="36" t="s">
        <v>174</v>
      </c>
      <c r="D177" s="553" t="s">
        <v>488</v>
      </c>
      <c r="E177" s="69"/>
      <c r="F177" s="557">
        <v>895.06</v>
      </c>
      <c r="G177" s="182">
        <v>0</v>
      </c>
      <c r="H177" s="59">
        <v>895.06</v>
      </c>
      <c r="I177" s="60"/>
      <c r="J177" s="61">
        <v>9486.5700000000033</v>
      </c>
      <c r="K177" s="18">
        <v>0</v>
      </c>
      <c r="L177" s="1">
        <v>9486.81</v>
      </c>
    </row>
    <row r="178" spans="1:12" ht="13.5" customHeight="1" x14ac:dyDescent="0.2">
      <c r="A178" s="171">
        <v>43896</v>
      </c>
      <c r="B178" s="46"/>
      <c r="C178" s="34" t="s">
        <v>177</v>
      </c>
      <c r="D178" s="553"/>
      <c r="E178" s="557">
        <v>-80.98</v>
      </c>
      <c r="F178" s="69"/>
      <c r="G178" s="182"/>
      <c r="H178" s="59"/>
      <c r="I178" s="60"/>
      <c r="J178" s="61">
        <v>9486.5700000000033</v>
      </c>
      <c r="K178" s="18">
        <v>-80.98</v>
      </c>
    </row>
    <row r="179" spans="1:12" ht="13.5" customHeight="1" x14ac:dyDescent="0.2">
      <c r="A179" s="171"/>
      <c r="B179" s="46"/>
      <c r="C179" s="36" t="s">
        <v>174</v>
      </c>
      <c r="D179" s="11"/>
      <c r="E179" s="69"/>
      <c r="F179" s="557">
        <v>80.98</v>
      </c>
      <c r="G179" s="182">
        <v>0</v>
      </c>
      <c r="H179" s="59">
        <v>80.98</v>
      </c>
      <c r="I179" s="60"/>
      <c r="J179" s="61">
        <v>9405.5900000000038</v>
      </c>
      <c r="K179" s="18">
        <v>0</v>
      </c>
      <c r="L179" s="18">
        <v>9406</v>
      </c>
    </row>
    <row r="180" spans="1:12" ht="13.5" customHeight="1" x14ac:dyDescent="0.2">
      <c r="A180" s="171" t="s">
        <v>4065</v>
      </c>
      <c r="B180" s="46" t="s">
        <v>483</v>
      </c>
      <c r="C180" s="722" t="s">
        <v>4066</v>
      </c>
      <c r="D180" s="11" t="s">
        <v>3202</v>
      </c>
      <c r="E180" s="557">
        <v>-48.85</v>
      </c>
      <c r="F180" s="69"/>
      <c r="G180" s="182" t="s">
        <v>483</v>
      </c>
      <c r="H180" s="59"/>
      <c r="I180" s="60"/>
      <c r="J180" s="61">
        <v>9405.5900000000038</v>
      </c>
      <c r="K180" s="18">
        <v>-48.85</v>
      </c>
    </row>
    <row r="181" spans="1:12" ht="13.5" customHeight="1" x14ac:dyDescent="0.2">
      <c r="A181" s="171"/>
      <c r="B181" s="46" t="s">
        <v>591</v>
      </c>
      <c r="C181" s="36" t="s">
        <v>4067</v>
      </c>
      <c r="D181" s="11" t="s">
        <v>4068</v>
      </c>
      <c r="E181" s="69"/>
      <c r="F181" s="557">
        <v>4731.47</v>
      </c>
      <c r="G181" s="182" t="s">
        <v>483</v>
      </c>
      <c r="H181" s="59"/>
      <c r="I181" s="60"/>
      <c r="J181" s="61">
        <v>9405.5900000000038</v>
      </c>
      <c r="K181" s="18">
        <v>4682.62</v>
      </c>
    </row>
    <row r="182" spans="1:12" ht="13.5" customHeight="1" x14ac:dyDescent="0.2">
      <c r="A182" s="171"/>
      <c r="B182" s="46" t="s">
        <v>483</v>
      </c>
      <c r="C182" s="36" t="s">
        <v>174</v>
      </c>
      <c r="D182" s="11" t="s">
        <v>488</v>
      </c>
      <c r="E182" s="69"/>
      <c r="F182" s="557">
        <v>48.85</v>
      </c>
      <c r="G182" s="182">
        <v>4731.47</v>
      </c>
      <c r="H182" s="59">
        <v>48.85</v>
      </c>
      <c r="I182" s="60"/>
      <c r="J182" s="61">
        <v>9356.7400000000034</v>
      </c>
      <c r="K182" s="18">
        <v>4731.47</v>
      </c>
    </row>
    <row r="183" spans="1:12" ht="13.5" customHeight="1" x14ac:dyDescent="0.2">
      <c r="A183" s="171" t="s">
        <v>4069</v>
      </c>
      <c r="B183" s="46" t="s">
        <v>483</v>
      </c>
      <c r="C183" s="34" t="s">
        <v>4070</v>
      </c>
      <c r="D183" s="11" t="s">
        <v>1724</v>
      </c>
      <c r="E183" s="557">
        <v>-368</v>
      </c>
      <c r="F183" s="69"/>
      <c r="G183" s="182" t="s">
        <v>483</v>
      </c>
      <c r="H183" s="59"/>
      <c r="I183" s="60"/>
      <c r="J183" s="61">
        <v>9356.7400000000034</v>
      </c>
      <c r="K183" s="18">
        <v>4363.47</v>
      </c>
    </row>
    <row r="184" spans="1:12" ht="13.5" customHeight="1" x14ac:dyDescent="0.2">
      <c r="A184" s="171"/>
      <c r="B184" s="46" t="s">
        <v>483</v>
      </c>
      <c r="C184" s="34" t="s">
        <v>3911</v>
      </c>
      <c r="D184" s="11" t="s">
        <v>3912</v>
      </c>
      <c r="E184" s="557">
        <v>-100</v>
      </c>
      <c r="F184" s="69"/>
      <c r="G184" s="182"/>
      <c r="H184" s="59"/>
      <c r="I184" s="60"/>
      <c r="J184" s="61">
        <v>9356.7400000000034</v>
      </c>
      <c r="K184" s="18">
        <v>4263.47</v>
      </c>
    </row>
    <row r="185" spans="1:12" ht="13.5" customHeight="1" x14ac:dyDescent="0.2">
      <c r="A185" s="171"/>
      <c r="B185" s="46" t="s">
        <v>483</v>
      </c>
      <c r="C185" s="36" t="s">
        <v>189</v>
      </c>
      <c r="D185" s="11" t="s">
        <v>488</v>
      </c>
      <c r="E185" s="557">
        <v>-4263.47</v>
      </c>
      <c r="F185" s="69"/>
      <c r="G185" s="182">
        <v>0</v>
      </c>
      <c r="H185" s="59"/>
      <c r="I185" s="60">
        <v>4263.47</v>
      </c>
      <c r="J185" s="61">
        <v>13620.210000000003</v>
      </c>
      <c r="K185" s="18">
        <v>0</v>
      </c>
    </row>
    <row r="186" spans="1:12" ht="13.5" customHeight="1" x14ac:dyDescent="0.2">
      <c r="A186" s="171" t="s">
        <v>4071</v>
      </c>
      <c r="B186" s="46" t="s">
        <v>483</v>
      </c>
      <c r="C186" s="32" t="s">
        <v>4072</v>
      </c>
      <c r="D186" s="11" t="s">
        <v>4073</v>
      </c>
      <c r="E186" s="557">
        <v>-789</v>
      </c>
      <c r="F186" s="69"/>
      <c r="G186" s="182"/>
      <c r="H186" s="59"/>
      <c r="I186" s="60"/>
      <c r="J186" s="61">
        <v>13620.210000000003</v>
      </c>
      <c r="K186" s="18">
        <v>-789</v>
      </c>
      <c r="L186" s="1">
        <v>13621.03</v>
      </c>
    </row>
    <row r="187" spans="1:12" ht="13.5" customHeight="1" x14ac:dyDescent="0.2">
      <c r="A187" s="171"/>
      <c r="B187" s="46"/>
      <c r="C187" s="36" t="s">
        <v>174</v>
      </c>
      <c r="D187" s="11"/>
      <c r="E187" s="69"/>
      <c r="F187" s="557">
        <v>789</v>
      </c>
      <c r="G187" s="182">
        <v>0</v>
      </c>
      <c r="H187" s="59">
        <v>789</v>
      </c>
      <c r="I187" s="60"/>
      <c r="J187" s="61">
        <v>12831.210000000003</v>
      </c>
      <c r="K187" s="18">
        <v>0</v>
      </c>
      <c r="L187" s="1">
        <v>12832.11</v>
      </c>
    </row>
    <row r="188" spans="1:12" ht="13.5" customHeight="1" x14ac:dyDescent="0.2">
      <c r="A188" s="171" t="s">
        <v>4074</v>
      </c>
      <c r="B188" s="46" t="s">
        <v>483</v>
      </c>
      <c r="C188" s="34" t="s">
        <v>4075</v>
      </c>
      <c r="D188" s="11" t="s">
        <v>488</v>
      </c>
      <c r="E188" s="557">
        <v>-55.67</v>
      </c>
      <c r="F188" s="69" t="s">
        <v>483</v>
      </c>
      <c r="G188" s="182"/>
      <c r="H188" s="59"/>
      <c r="I188" s="60"/>
      <c r="J188" s="61">
        <v>12831.210000000003</v>
      </c>
      <c r="K188" s="18">
        <v>-55.67</v>
      </c>
    </row>
    <row r="189" spans="1:12" ht="13.5" customHeight="1" x14ac:dyDescent="0.2">
      <c r="A189" s="171"/>
      <c r="B189" s="46" t="s">
        <v>483</v>
      </c>
      <c r="C189" s="34" t="s">
        <v>3504</v>
      </c>
      <c r="D189" s="11" t="s">
        <v>4076</v>
      </c>
      <c r="E189" s="557">
        <v>-433.84</v>
      </c>
      <c r="F189" s="69"/>
      <c r="G189" s="182" t="s">
        <v>483</v>
      </c>
      <c r="H189" s="59"/>
      <c r="I189" s="60"/>
      <c r="J189" s="61">
        <v>12831.210000000003</v>
      </c>
      <c r="K189" s="18">
        <v>-489.51</v>
      </c>
    </row>
    <row r="190" spans="1:12" ht="13.5" customHeight="1" x14ac:dyDescent="0.2">
      <c r="A190" s="171"/>
      <c r="B190" s="46" t="s">
        <v>483</v>
      </c>
      <c r="C190" s="36" t="s">
        <v>174</v>
      </c>
      <c r="D190" s="11" t="s">
        <v>488</v>
      </c>
      <c r="E190" s="69"/>
      <c r="F190" s="557">
        <v>489.51</v>
      </c>
      <c r="G190" s="182">
        <v>0</v>
      </c>
      <c r="H190" s="59">
        <v>489.51</v>
      </c>
      <c r="I190" s="60"/>
      <c r="J190" s="61">
        <v>12341.700000000003</v>
      </c>
      <c r="K190" s="18">
        <v>0</v>
      </c>
    </row>
    <row r="191" spans="1:12" ht="13.5" customHeight="1" x14ac:dyDescent="0.2">
      <c r="A191" s="171" t="s">
        <v>4077</v>
      </c>
      <c r="B191" s="46" t="s">
        <v>483</v>
      </c>
      <c r="C191" s="34" t="s">
        <v>4078</v>
      </c>
      <c r="D191" s="11" t="s">
        <v>759</v>
      </c>
      <c r="E191" s="557">
        <v>-578.98</v>
      </c>
      <c r="F191" s="69"/>
      <c r="G191" s="182" t="s">
        <v>483</v>
      </c>
      <c r="H191" s="59"/>
      <c r="I191" s="60"/>
      <c r="J191" s="61">
        <v>12341.700000000003</v>
      </c>
      <c r="K191" s="18">
        <v>-578.98</v>
      </c>
    </row>
    <row r="192" spans="1:12" ht="13.5" customHeight="1" x14ac:dyDescent="0.2">
      <c r="A192" s="171"/>
      <c r="B192" s="46" t="s">
        <v>591</v>
      </c>
      <c r="C192" s="32" t="s">
        <v>4014</v>
      </c>
      <c r="D192" s="11" t="s">
        <v>4079</v>
      </c>
      <c r="E192" s="557"/>
      <c r="F192" s="322">
        <v>8275</v>
      </c>
      <c r="G192" s="182" t="s">
        <v>483</v>
      </c>
      <c r="H192" s="59"/>
      <c r="I192" s="60"/>
      <c r="J192" s="61">
        <v>12341.700000000003</v>
      </c>
      <c r="K192" s="18">
        <v>7696.02</v>
      </c>
    </row>
    <row r="193" spans="1:12" ht="13.5" customHeight="1" x14ac:dyDescent="0.2">
      <c r="A193" s="171"/>
      <c r="B193" s="46" t="s">
        <v>483</v>
      </c>
      <c r="C193" s="36" t="s">
        <v>174</v>
      </c>
      <c r="D193" s="11" t="s">
        <v>488</v>
      </c>
      <c r="E193" s="69"/>
      <c r="F193" s="557">
        <v>578.98</v>
      </c>
      <c r="G193" s="182">
        <v>8275</v>
      </c>
      <c r="H193" s="59">
        <v>578.98</v>
      </c>
      <c r="I193" s="60"/>
      <c r="J193" s="61">
        <v>11762.720000000003</v>
      </c>
      <c r="K193" s="18">
        <v>8275</v>
      </c>
    </row>
    <row r="194" spans="1:12" ht="13.5" customHeight="1" x14ac:dyDescent="0.2">
      <c r="A194" s="171" t="s">
        <v>4080</v>
      </c>
      <c r="B194" s="46" t="s">
        <v>483</v>
      </c>
      <c r="C194" s="34" t="s">
        <v>86</v>
      </c>
      <c r="D194" s="11" t="s">
        <v>488</v>
      </c>
      <c r="E194" s="557">
        <v>-92.5</v>
      </c>
      <c r="F194" s="69"/>
      <c r="G194" s="182" t="s">
        <v>483</v>
      </c>
      <c r="H194" s="59"/>
      <c r="I194" s="60"/>
      <c r="J194" s="61">
        <v>11762.720000000003</v>
      </c>
      <c r="K194" s="18">
        <v>8182.5</v>
      </c>
    </row>
    <row r="195" spans="1:12" ht="13.5" customHeight="1" x14ac:dyDescent="0.2">
      <c r="A195" s="171"/>
      <c r="B195" s="46" t="s">
        <v>483</v>
      </c>
      <c r="C195" s="34" t="s">
        <v>4059</v>
      </c>
      <c r="D195" s="11" t="s">
        <v>488</v>
      </c>
      <c r="E195" s="557">
        <v>-1500</v>
      </c>
      <c r="F195" s="69"/>
      <c r="G195" s="182" t="s">
        <v>483</v>
      </c>
      <c r="H195" s="59"/>
      <c r="I195" s="60"/>
      <c r="J195" s="61">
        <v>11762.720000000003</v>
      </c>
      <c r="K195" s="18">
        <v>6682.5</v>
      </c>
    </row>
    <row r="196" spans="1:12" ht="13.5" customHeight="1" x14ac:dyDescent="0.2">
      <c r="A196" s="171"/>
      <c r="B196" s="46" t="s">
        <v>483</v>
      </c>
      <c r="C196" s="32" t="s">
        <v>194</v>
      </c>
      <c r="D196" s="11" t="s">
        <v>488</v>
      </c>
      <c r="E196" s="557">
        <v>-84.54</v>
      </c>
      <c r="F196" s="69"/>
      <c r="G196" s="182" t="s">
        <v>483</v>
      </c>
      <c r="H196" s="59"/>
      <c r="I196" s="60"/>
      <c r="J196" s="61">
        <v>11762.720000000003</v>
      </c>
      <c r="K196" s="18">
        <v>6597.96</v>
      </c>
    </row>
    <row r="197" spans="1:12" ht="13.5" customHeight="1" x14ac:dyDescent="0.2">
      <c r="A197" s="171"/>
      <c r="B197" s="46" t="s">
        <v>483</v>
      </c>
      <c r="C197" s="32" t="s">
        <v>195</v>
      </c>
      <c r="D197" s="11" t="s">
        <v>488</v>
      </c>
      <c r="E197" s="557">
        <v>-390.19</v>
      </c>
      <c r="F197" s="69"/>
      <c r="G197" s="182">
        <v>6207.77</v>
      </c>
      <c r="H197" s="59"/>
      <c r="I197" s="60"/>
      <c r="J197" s="61">
        <v>11762.720000000003</v>
      </c>
      <c r="K197" s="18">
        <v>6207.77</v>
      </c>
      <c r="L197" s="1">
        <v>11763.94</v>
      </c>
    </row>
    <row r="198" spans="1:12" ht="13.5" customHeight="1" x14ac:dyDescent="0.2">
      <c r="A198" s="171">
        <v>43913</v>
      </c>
      <c r="B198" s="46"/>
      <c r="C198" s="34" t="s">
        <v>4081</v>
      </c>
      <c r="D198" s="11">
        <v>1013</v>
      </c>
      <c r="E198" s="557">
        <v>-8275</v>
      </c>
      <c r="F198" s="69"/>
      <c r="G198" s="182"/>
      <c r="H198" s="59"/>
      <c r="I198" s="60"/>
      <c r="J198" s="61">
        <v>11762.720000000003</v>
      </c>
      <c r="K198" s="18">
        <v>-2067.2299999999996</v>
      </c>
    </row>
    <row r="199" spans="1:12" ht="13.5" customHeight="1" x14ac:dyDescent="0.2">
      <c r="A199" s="171"/>
      <c r="B199" s="46"/>
      <c r="C199" s="36" t="s">
        <v>174</v>
      </c>
      <c r="D199" s="11" t="s">
        <v>488</v>
      </c>
      <c r="E199" s="69"/>
      <c r="F199" s="557">
        <v>2067.23</v>
      </c>
      <c r="G199" s="203">
        <v>0</v>
      </c>
      <c r="H199" s="59">
        <v>2067.23</v>
      </c>
      <c r="I199" s="60"/>
      <c r="J199" s="61">
        <v>9695.4900000000034</v>
      </c>
      <c r="K199" s="18">
        <v>0</v>
      </c>
      <c r="L199" s="18">
        <v>9696.76</v>
      </c>
    </row>
    <row r="200" spans="1:12" ht="13.5" customHeight="1" x14ac:dyDescent="0.2">
      <c r="A200" s="171">
        <v>43914</v>
      </c>
      <c r="B200" s="46"/>
      <c r="C200" s="34" t="s">
        <v>86</v>
      </c>
      <c r="D200" s="11" t="s">
        <v>488</v>
      </c>
      <c r="E200" s="557">
        <v>-10.9</v>
      </c>
      <c r="F200" s="69"/>
      <c r="G200" s="182"/>
      <c r="H200" s="179"/>
      <c r="I200" s="57"/>
      <c r="J200" s="61">
        <v>9695.4900000000034</v>
      </c>
      <c r="K200" s="18">
        <v>-10.9</v>
      </c>
    </row>
    <row r="201" spans="1:12" ht="13.5" customHeight="1" x14ac:dyDescent="0.2">
      <c r="A201" s="171"/>
      <c r="B201" s="46" t="s">
        <v>483</v>
      </c>
      <c r="C201" s="36" t="s">
        <v>174</v>
      </c>
      <c r="D201" s="11" t="s">
        <v>488</v>
      </c>
      <c r="E201" s="69"/>
      <c r="F201" s="557">
        <v>10.9</v>
      </c>
      <c r="G201" s="182">
        <v>0</v>
      </c>
      <c r="H201" s="179">
        <v>10.9</v>
      </c>
      <c r="I201" s="57"/>
      <c r="J201" s="61">
        <v>9684.5900000000038</v>
      </c>
      <c r="K201" s="18">
        <v>0</v>
      </c>
    </row>
    <row r="202" spans="1:12" ht="13.5" customHeight="1" x14ac:dyDescent="0.2">
      <c r="A202" s="171" t="s">
        <v>4082</v>
      </c>
      <c r="B202" s="46" t="s">
        <v>483</v>
      </c>
      <c r="C202" s="34" t="s">
        <v>86</v>
      </c>
      <c r="D202" s="11" t="s">
        <v>488</v>
      </c>
      <c r="E202" s="557">
        <v>-12.5</v>
      </c>
      <c r="F202" s="69"/>
      <c r="G202" s="182" t="s">
        <v>483</v>
      </c>
      <c r="H202" s="179"/>
      <c r="I202" s="57"/>
      <c r="J202" s="61">
        <v>9684.5900000000038</v>
      </c>
      <c r="K202" s="18">
        <v>-12.5</v>
      </c>
    </row>
    <row r="203" spans="1:12" ht="13.5" customHeight="1" x14ac:dyDescent="0.2">
      <c r="A203" s="171"/>
      <c r="B203" s="46" t="s">
        <v>483</v>
      </c>
      <c r="C203" s="36" t="s">
        <v>174</v>
      </c>
      <c r="D203" s="11" t="s">
        <v>488</v>
      </c>
      <c r="E203" s="69"/>
      <c r="F203" s="557">
        <v>12.5</v>
      </c>
      <c r="G203" s="182">
        <v>0</v>
      </c>
      <c r="H203" s="179">
        <v>12.5</v>
      </c>
      <c r="I203" s="57"/>
      <c r="J203" s="61">
        <v>9672.0900000000038</v>
      </c>
      <c r="K203" s="18">
        <v>0</v>
      </c>
      <c r="L203" s="1">
        <v>9673.58</v>
      </c>
    </row>
    <row r="204" spans="1:12" ht="13.5" customHeight="1" x14ac:dyDescent="0.2">
      <c r="A204" s="171" t="s">
        <v>4083</v>
      </c>
      <c r="B204" s="46" t="s">
        <v>483</v>
      </c>
      <c r="C204" s="722" t="s">
        <v>4084</v>
      </c>
      <c r="D204" s="11" t="s">
        <v>4085</v>
      </c>
      <c r="E204" s="557">
        <v>-175.2</v>
      </c>
      <c r="F204" s="69"/>
      <c r="G204" s="182" t="s">
        <v>483</v>
      </c>
      <c r="H204" s="179"/>
      <c r="I204" s="57"/>
      <c r="J204" s="61">
        <v>9672.0900000000038</v>
      </c>
      <c r="K204" s="18">
        <v>-175.2</v>
      </c>
    </row>
    <row r="205" spans="1:12" ht="13.5" customHeight="1" x14ac:dyDescent="0.2">
      <c r="A205" s="171"/>
      <c r="B205" s="46" t="s">
        <v>483</v>
      </c>
      <c r="C205" s="36" t="s">
        <v>174</v>
      </c>
      <c r="D205" s="11" t="s">
        <v>488</v>
      </c>
      <c r="E205" s="69"/>
      <c r="F205" s="557">
        <v>175.2</v>
      </c>
      <c r="G205" s="182">
        <v>0</v>
      </c>
      <c r="H205" s="179">
        <v>175.2</v>
      </c>
      <c r="I205" s="57"/>
      <c r="J205" s="61">
        <v>9496.8900000000031</v>
      </c>
      <c r="K205" s="18">
        <v>0</v>
      </c>
      <c r="L205" s="18">
        <v>5184.7299999999996</v>
      </c>
    </row>
    <row r="206" spans="1:12" ht="13.5" customHeight="1" x14ac:dyDescent="0.2">
      <c r="A206" s="171" t="s">
        <v>4086</v>
      </c>
      <c r="B206" s="46" t="s">
        <v>483</v>
      </c>
      <c r="C206" s="32" t="s">
        <v>813</v>
      </c>
      <c r="D206" s="11" t="s">
        <v>1937</v>
      </c>
      <c r="E206" s="557">
        <v>-50</v>
      </c>
      <c r="F206" s="69"/>
      <c r="G206" s="182" t="s">
        <v>483</v>
      </c>
      <c r="H206" s="179"/>
      <c r="I206" s="57"/>
      <c r="J206" s="61">
        <v>9496.8900000000031</v>
      </c>
      <c r="K206" s="18">
        <v>-50</v>
      </c>
      <c r="L206" s="18">
        <v>4263.71</v>
      </c>
    </row>
    <row r="207" spans="1:12" ht="13.5" customHeight="1" x14ac:dyDescent="0.2">
      <c r="A207" s="171"/>
      <c r="B207" s="46" t="s">
        <v>483</v>
      </c>
      <c r="C207" s="36" t="s">
        <v>174</v>
      </c>
      <c r="D207" s="11" t="s">
        <v>488</v>
      </c>
      <c r="E207" s="69"/>
      <c r="F207" s="557">
        <v>50</v>
      </c>
      <c r="G207" s="205">
        <v>0</v>
      </c>
      <c r="H207" s="179">
        <v>50</v>
      </c>
      <c r="I207" s="57"/>
      <c r="J207" s="61">
        <v>9446.8900000000031</v>
      </c>
      <c r="K207" s="18">
        <v>0</v>
      </c>
      <c r="L207" s="18">
        <v>9448.4399999999987</v>
      </c>
    </row>
    <row r="208" spans="1:12" ht="13.5" customHeight="1" x14ac:dyDescent="0.2">
      <c r="A208" s="171"/>
      <c r="B208" s="46"/>
      <c r="C208" s="36" t="s">
        <v>20</v>
      </c>
      <c r="D208" s="11"/>
      <c r="E208" s="69"/>
      <c r="F208" s="69"/>
      <c r="G208" s="182"/>
      <c r="H208" s="179"/>
      <c r="I208" s="57">
        <v>1.5299999999951979</v>
      </c>
      <c r="J208" s="186">
        <v>9448.4199999999983</v>
      </c>
      <c r="K208" s="18">
        <v>0</v>
      </c>
    </row>
    <row r="209" spans="1:11" ht="13.5" customHeight="1" thickBot="1" x14ac:dyDescent="0.25">
      <c r="A209" s="171"/>
      <c r="B209" s="46"/>
      <c r="C209" s="34"/>
      <c r="D209" s="11"/>
      <c r="E209" s="654">
        <f>SUM(E173:E208)</f>
        <v>-18435.150000000005</v>
      </c>
      <c r="F209" s="654">
        <f>SUM(F174:F191,F193:F208)</f>
        <v>10160.150000000001</v>
      </c>
      <c r="G209" s="182"/>
      <c r="H209" s="179"/>
      <c r="I209" s="57"/>
      <c r="J209" s="67"/>
      <c r="K209" s="18">
        <v>0</v>
      </c>
    </row>
    <row r="210" spans="1:11" ht="13.5" customHeight="1" thickBot="1" x14ac:dyDescent="0.25">
      <c r="A210" s="2" t="s">
        <v>2</v>
      </c>
      <c r="B210" s="3"/>
      <c r="C210" s="3" t="s">
        <v>525</v>
      </c>
      <c r="D210" s="3"/>
      <c r="E210" s="3"/>
      <c r="F210" s="3"/>
      <c r="G210" s="5" t="s">
        <v>7</v>
      </c>
      <c r="K210" s="18">
        <v>0</v>
      </c>
    </row>
    <row r="211" spans="1:11" ht="13.5" customHeight="1" x14ac:dyDescent="0.2">
      <c r="A211" s="8">
        <v>43891</v>
      </c>
      <c r="B211" s="70"/>
      <c r="C211" s="10" t="s">
        <v>537</v>
      </c>
      <c r="D211" s="125"/>
      <c r="E211" s="67"/>
      <c r="F211" s="67"/>
      <c r="G211" s="205">
        <v>18.149999999998073</v>
      </c>
    </row>
    <row r="212" spans="1:11" ht="13.5" customHeight="1" x14ac:dyDescent="0.2">
      <c r="A212" s="171">
        <v>43894</v>
      </c>
      <c r="B212" s="46"/>
      <c r="C212" s="34" t="s">
        <v>3929</v>
      </c>
      <c r="D212" s="11"/>
      <c r="E212" s="181">
        <v>600</v>
      </c>
      <c r="F212" s="69"/>
      <c r="G212" s="182">
        <v>-581.85000000000196</v>
      </c>
      <c r="I212" s="30">
        <f>SUM(G3,G105,G130,G172)</f>
        <v>19772.170000000006</v>
      </c>
      <c r="J212" t="s">
        <v>8082</v>
      </c>
    </row>
    <row r="213" spans="1:11" ht="13.5" customHeight="1" x14ac:dyDescent="0.2">
      <c r="A213" s="171"/>
      <c r="B213" s="46"/>
      <c r="C213" s="34" t="s">
        <v>3930</v>
      </c>
      <c r="D213" s="229"/>
      <c r="E213" s="557">
        <v>600</v>
      </c>
      <c r="F213" s="69"/>
      <c r="G213" s="182">
        <v>-1181.850000000002</v>
      </c>
      <c r="I213" s="1159"/>
    </row>
    <row r="214" spans="1:11" ht="13.5" customHeight="1" x14ac:dyDescent="0.2">
      <c r="A214" s="171"/>
      <c r="B214" s="46"/>
      <c r="C214" s="32" t="s">
        <v>3758</v>
      </c>
      <c r="D214" s="229"/>
      <c r="E214" s="69"/>
      <c r="F214" s="557">
        <v>2500</v>
      </c>
      <c r="G214" s="182">
        <v>1318.149999999998</v>
      </c>
      <c r="I214" s="30">
        <f>SUM(G126,G169,G207,G102)</f>
        <v>36443.160000000011</v>
      </c>
      <c r="J214" t="s">
        <v>8083</v>
      </c>
    </row>
    <row r="215" spans="1:11" ht="13.5" customHeight="1" x14ac:dyDescent="0.2">
      <c r="A215" s="171">
        <v>43896</v>
      </c>
      <c r="B215" s="46"/>
      <c r="C215" s="36" t="s">
        <v>530</v>
      </c>
      <c r="D215" s="11"/>
      <c r="E215" s="181">
        <v>930.05</v>
      </c>
      <c r="F215" s="69"/>
      <c r="G215" s="182">
        <v>388.09999999999809</v>
      </c>
      <c r="I215" s="1159"/>
    </row>
    <row r="216" spans="1:11" ht="13.5" customHeight="1" x14ac:dyDescent="0.2">
      <c r="A216" s="171">
        <v>43900</v>
      </c>
      <c r="B216" s="46"/>
      <c r="C216" s="34" t="s">
        <v>4087</v>
      </c>
      <c r="D216" s="229"/>
      <c r="E216" s="557">
        <v>7.5</v>
      </c>
      <c r="F216" s="69"/>
      <c r="G216" s="205">
        <v>380.59999999999809</v>
      </c>
      <c r="I216" s="30">
        <f>SUM(F209,E209,F170,E170,F128,E128,F103,E103,)</f>
        <v>16670.989999999998</v>
      </c>
      <c r="J216" t="s">
        <v>8085</v>
      </c>
    </row>
    <row r="217" spans="1:11" ht="13.5" customHeight="1" x14ac:dyDescent="0.2">
      <c r="A217" s="171"/>
      <c r="B217" s="46"/>
      <c r="C217" s="34"/>
      <c r="D217" s="229"/>
      <c r="E217" s="69"/>
      <c r="F217" s="69"/>
      <c r="G217" s="182"/>
      <c r="I217" s="1159"/>
    </row>
    <row r="218" spans="1:11" ht="13.5" customHeight="1" x14ac:dyDescent="0.2">
      <c r="A218" s="171"/>
      <c r="B218" s="46"/>
      <c r="C218" s="34"/>
      <c r="D218" s="229"/>
      <c r="E218" s="69"/>
      <c r="F218" s="69"/>
      <c r="G218" s="182"/>
      <c r="I218" s="1159"/>
    </row>
    <row r="219" spans="1:11" ht="13.5" customHeight="1" x14ac:dyDescent="0.2">
      <c r="A219" s="171"/>
      <c r="B219" s="46"/>
      <c r="C219" s="34"/>
      <c r="D219" s="229"/>
      <c r="E219" s="69"/>
      <c r="F219" s="69"/>
      <c r="G219" s="182"/>
      <c r="I219" s="615">
        <f>I212+I216-I214</f>
        <v>0</v>
      </c>
      <c r="J219" t="s">
        <v>8084</v>
      </c>
    </row>
    <row r="220" spans="1:11" ht="13.5" customHeight="1" thickBot="1" x14ac:dyDescent="0.25">
      <c r="A220" s="180"/>
      <c r="B220" s="46"/>
      <c r="C220" s="34"/>
      <c r="D220" s="229"/>
      <c r="E220" s="69"/>
      <c r="F220" s="69"/>
      <c r="G220" s="182"/>
    </row>
    <row r="221" spans="1:11" ht="13.5" customHeight="1" thickBot="1" x14ac:dyDescent="0.25">
      <c r="A221" s="561" t="s">
        <v>2</v>
      </c>
      <c r="B221" s="562"/>
      <c r="C221" s="562" t="s">
        <v>534</v>
      </c>
      <c r="D221" s="563" t="s">
        <v>4</v>
      </c>
      <c r="E221" s="562" t="s">
        <v>5</v>
      </c>
      <c r="F221" s="562" t="s">
        <v>6</v>
      </c>
      <c r="G221" s="564" t="s">
        <v>7</v>
      </c>
    </row>
    <row r="222" spans="1:11" ht="13.5" customHeight="1" x14ac:dyDescent="0.2">
      <c r="A222" s="568">
        <v>43872</v>
      </c>
      <c r="B222" s="569"/>
      <c r="C222" s="570" t="s">
        <v>8</v>
      </c>
      <c r="D222" s="571"/>
      <c r="E222" s="572"/>
      <c r="F222" s="573"/>
      <c r="G222" s="574">
        <v>36700</v>
      </c>
    </row>
    <row r="223" spans="1:11" ht="13.5" customHeight="1" x14ac:dyDescent="0.2">
      <c r="A223" s="180">
        <v>43894</v>
      </c>
      <c r="B223" s="9"/>
      <c r="C223" s="32" t="s">
        <v>3758</v>
      </c>
      <c r="D223" s="230"/>
      <c r="E223" s="61"/>
      <c r="F223" s="559">
        <v>2500</v>
      </c>
      <c r="G223" s="205">
        <v>39200</v>
      </c>
    </row>
    <row r="224" spans="1:11" ht="13.5" customHeight="1" thickBot="1" x14ac:dyDescent="0.25">
      <c r="A224" s="70"/>
      <c r="B224" s="70"/>
      <c r="C224" s="63"/>
      <c r="D224" s="50"/>
      <c r="E224" s="13"/>
      <c r="F224" s="13"/>
      <c r="G224" s="182"/>
    </row>
    <row r="225" spans="1:7" ht="13.5" customHeight="1" thickBot="1" x14ac:dyDescent="0.25">
      <c r="A225" s="213"/>
      <c r="B225" s="214"/>
      <c r="C225" s="215" t="s">
        <v>539</v>
      </c>
      <c r="D225" s="216"/>
      <c r="E225" s="187"/>
      <c r="F225" s="187"/>
      <c r="G225" s="217" t="s">
        <v>7</v>
      </c>
    </row>
    <row r="226" spans="1:7" ht="13.5" customHeight="1" x14ac:dyDescent="0.2">
      <c r="A226" s="74" t="s">
        <v>540</v>
      </c>
      <c r="B226" s="74"/>
      <c r="C226" s="218" t="s">
        <v>541</v>
      </c>
      <c r="D226" s="219"/>
      <c r="E226" s="220"/>
      <c r="F226" s="220"/>
      <c r="G226" s="75">
        <v>0</v>
      </c>
    </row>
    <row r="227" spans="1:7" ht="13.5" customHeight="1" x14ac:dyDescent="0.2">
      <c r="A227" s="221" t="s">
        <v>540</v>
      </c>
      <c r="B227" s="70"/>
      <c r="C227" s="63" t="s">
        <v>542</v>
      </c>
      <c r="D227" s="50"/>
      <c r="E227" s="13"/>
      <c r="F227" s="13"/>
      <c r="G227" s="75">
        <v>0</v>
      </c>
    </row>
    <row r="228" spans="1:7" ht="13.5" customHeight="1" x14ac:dyDescent="0.2">
      <c r="A228" s="70"/>
      <c r="B228" s="70"/>
      <c r="C228" s="222" t="s">
        <v>543</v>
      </c>
      <c r="D228" s="50"/>
      <c r="E228" s="13"/>
      <c r="F228" s="13"/>
      <c r="G228" s="14">
        <v>0</v>
      </c>
    </row>
    <row r="229" spans="1:7" ht="13.5" customHeight="1" x14ac:dyDescent="0.2">
      <c r="A229" s="70"/>
      <c r="B229" s="70"/>
      <c r="C229" s="63"/>
      <c r="D229" s="50"/>
      <c r="E229" s="13"/>
      <c r="F229" s="13"/>
      <c r="G229" s="14"/>
    </row>
    <row r="230" spans="1:7" ht="13.5" customHeight="1" x14ac:dyDescent="0.2">
      <c r="A230" s="70"/>
      <c r="B230" s="70"/>
      <c r="C230" s="222" t="s">
        <v>544</v>
      </c>
      <c r="D230" s="50"/>
      <c r="E230" s="13"/>
      <c r="F230" s="13"/>
      <c r="G230" s="14">
        <v>0</v>
      </c>
    </row>
    <row r="231" spans="1:7" ht="13.5" customHeight="1" x14ac:dyDescent="0.2">
      <c r="A231" s="70"/>
      <c r="B231" s="70"/>
      <c r="C231" s="63"/>
      <c r="D231" s="50"/>
      <c r="E231" s="13"/>
      <c r="F231" s="13"/>
      <c r="G231" s="75"/>
    </row>
    <row r="232" spans="1:7" ht="13.5" customHeight="1" x14ac:dyDescent="0.2">
      <c r="A232" s="76"/>
      <c r="B232" s="76"/>
      <c r="C232" s="222" t="s">
        <v>545</v>
      </c>
      <c r="D232" s="78"/>
      <c r="E232" s="78"/>
      <c r="F232" s="78"/>
      <c r="G232" s="14">
        <v>0</v>
      </c>
    </row>
    <row r="233" spans="1:7" ht="13.5" customHeight="1" x14ac:dyDescent="0.2">
      <c r="A233" s="76"/>
      <c r="B233" s="76"/>
      <c r="C233" s="78"/>
      <c r="D233" s="78"/>
      <c r="E233" s="78"/>
      <c r="F233" s="78"/>
      <c r="G233" s="75"/>
    </row>
    <row r="234" spans="1:7" ht="13.5" customHeight="1" x14ac:dyDescent="0.2">
      <c r="A234" s="70"/>
      <c r="B234" s="70"/>
      <c r="C234" s="63"/>
      <c r="D234" s="50"/>
      <c r="E234" s="13"/>
      <c r="F234" s="13"/>
      <c r="G234" s="75"/>
    </row>
    <row r="235" spans="1:7" ht="13.5" customHeight="1" x14ac:dyDescent="0.2">
      <c r="A235" s="70"/>
      <c r="B235" s="70"/>
      <c r="C235" s="63"/>
      <c r="D235" s="50"/>
      <c r="E235" s="13"/>
      <c r="F235" s="13"/>
      <c r="G235" s="182"/>
    </row>
    <row r="236" spans="1:7" ht="13.5" customHeight="1" x14ac:dyDescent="0.2">
      <c r="A236" s="70"/>
      <c r="B236" s="70"/>
      <c r="C236" s="63"/>
      <c r="D236" s="50"/>
      <c r="E236" s="13"/>
      <c r="F236" s="13"/>
      <c r="G236" s="182"/>
    </row>
    <row r="237" spans="1:7" ht="13.5" customHeight="1" x14ac:dyDescent="0.2">
      <c r="A237" s="70"/>
      <c r="B237" s="70"/>
      <c r="C237" s="63"/>
      <c r="D237" s="50"/>
      <c r="E237" s="13"/>
      <c r="F237" s="13"/>
      <c r="G237" s="182"/>
    </row>
    <row r="238" spans="1:7" ht="13.5" customHeight="1" x14ac:dyDescent="0.2">
      <c r="A238" s="70"/>
      <c r="B238" s="70"/>
      <c r="C238" s="63"/>
      <c r="D238" s="50"/>
      <c r="E238" s="13"/>
      <c r="F238" s="13"/>
      <c r="G238" s="182"/>
    </row>
    <row r="239" spans="1:7" ht="13.5" customHeight="1" x14ac:dyDescent="0.2">
      <c r="A239" s="70"/>
      <c r="B239" s="70"/>
      <c r="C239" s="63"/>
      <c r="D239" s="50"/>
      <c r="E239" s="13"/>
      <c r="F239" s="13"/>
      <c r="G239" s="182"/>
    </row>
    <row r="240" spans="1:7" ht="13.5" customHeight="1" x14ac:dyDescent="0.2">
      <c r="A240" s="70"/>
      <c r="B240" s="70"/>
      <c r="C240" s="63"/>
      <c r="D240" s="50"/>
      <c r="E240" s="13"/>
      <c r="F240" s="13"/>
      <c r="G240" s="182"/>
    </row>
    <row r="241" spans="1:7" ht="13.5" customHeight="1" x14ac:dyDescent="0.2">
      <c r="A241" s="70"/>
      <c r="B241" s="70"/>
      <c r="C241" s="63"/>
      <c r="D241" s="50"/>
      <c r="E241" s="13"/>
      <c r="F241" s="13"/>
      <c r="G241" s="182"/>
    </row>
    <row r="242" spans="1:7" ht="13.5" customHeight="1" x14ac:dyDescent="0.2">
      <c r="A242" s="70"/>
      <c r="B242" s="70"/>
      <c r="C242" s="63"/>
      <c r="D242" s="50"/>
      <c r="E242" s="13"/>
      <c r="F242" s="13"/>
      <c r="G242" s="182"/>
    </row>
    <row r="243" spans="1:7" ht="13.5" customHeight="1" x14ac:dyDescent="0.2">
      <c r="A243" s="70"/>
      <c r="B243" s="70"/>
      <c r="C243" s="63"/>
      <c r="D243" s="50"/>
      <c r="E243" s="13"/>
      <c r="F243" s="13"/>
      <c r="G243" s="182"/>
    </row>
    <row r="244" spans="1:7" ht="13.5" customHeight="1" x14ac:dyDescent="0.2">
      <c r="A244" s="70"/>
      <c r="B244" s="70"/>
      <c r="C244" s="63"/>
      <c r="D244" s="50"/>
      <c r="E244" s="13"/>
      <c r="F244" s="13"/>
      <c r="G244" s="182"/>
    </row>
    <row r="245" spans="1:7" ht="13.5" customHeight="1" x14ac:dyDescent="0.2">
      <c r="A245" s="70"/>
      <c r="B245" s="70"/>
      <c r="C245" s="63"/>
      <c r="D245" s="50"/>
      <c r="E245" s="13"/>
      <c r="F245" s="13"/>
      <c r="G245" s="182"/>
    </row>
    <row r="246" spans="1:7" ht="13.5" customHeight="1" x14ac:dyDescent="0.2">
      <c r="A246" s="70"/>
      <c r="B246" s="70"/>
      <c r="C246" s="63"/>
      <c r="D246" s="50"/>
      <c r="E246" s="13"/>
      <c r="F246" s="13"/>
      <c r="G246" s="182"/>
    </row>
    <row r="247" spans="1:7" ht="13.5" customHeight="1" x14ac:dyDescent="0.2">
      <c r="A247" s="70"/>
      <c r="B247" s="70"/>
      <c r="C247" s="63"/>
      <c r="D247" s="50"/>
      <c r="E247" s="13"/>
      <c r="F247" s="13"/>
      <c r="G247" s="182"/>
    </row>
    <row r="248" spans="1:7" ht="13.5" customHeight="1" x14ac:dyDescent="0.2">
      <c r="A248" s="70"/>
      <c r="B248" s="70"/>
      <c r="C248" s="63"/>
      <c r="D248" s="50"/>
      <c r="E248" s="13"/>
      <c r="F248" s="13"/>
      <c r="G248" s="182"/>
    </row>
    <row r="249" spans="1:7" ht="13.5" customHeight="1" x14ac:dyDescent="0.2">
      <c r="A249" s="70"/>
      <c r="B249" s="70"/>
      <c r="C249" s="63"/>
      <c r="D249" s="50"/>
      <c r="E249" s="13"/>
      <c r="F249" s="13"/>
      <c r="G249" s="182"/>
    </row>
    <row r="250" spans="1:7" ht="13.5" customHeight="1" x14ac:dyDescent="0.2">
      <c r="A250" s="70"/>
      <c r="B250" s="70"/>
      <c r="C250" s="63"/>
      <c r="D250" s="50"/>
      <c r="E250" s="13"/>
      <c r="F250" s="13"/>
      <c r="G250" s="182"/>
    </row>
    <row r="251" spans="1:7" ht="13.5" customHeight="1" x14ac:dyDescent="0.2">
      <c r="A251" s="70"/>
      <c r="B251" s="70"/>
      <c r="C251" s="63"/>
      <c r="D251" s="50"/>
      <c r="E251" s="13"/>
      <c r="F251" s="13"/>
      <c r="G251" s="182"/>
    </row>
    <row r="252" spans="1:7" ht="13.5" customHeight="1" x14ac:dyDescent="0.2">
      <c r="A252" s="70"/>
      <c r="B252" s="70"/>
      <c r="C252" s="63"/>
      <c r="D252" s="50"/>
      <c r="E252" s="13"/>
      <c r="F252" s="13"/>
      <c r="G252" s="182"/>
    </row>
    <row r="253" spans="1:7" ht="13.5" customHeight="1" x14ac:dyDescent="0.2">
      <c r="A253" s="70"/>
      <c r="B253" s="70"/>
      <c r="C253" s="63"/>
      <c r="D253" s="50"/>
      <c r="E253" s="13"/>
      <c r="F253" s="13"/>
      <c r="G253" s="182"/>
    </row>
    <row r="254" spans="1:7" ht="13.5" customHeight="1" x14ac:dyDescent="0.2">
      <c r="A254" s="70"/>
      <c r="B254" s="70"/>
      <c r="C254" s="63"/>
      <c r="D254" s="50"/>
      <c r="E254" s="13"/>
      <c r="F254" s="13"/>
      <c r="G254" s="182"/>
    </row>
    <row r="255" spans="1:7" ht="13.5" customHeight="1" x14ac:dyDescent="0.2">
      <c r="A255" s="70"/>
      <c r="B255" s="70"/>
      <c r="C255" s="63"/>
      <c r="D255" s="50"/>
      <c r="E255" s="13"/>
      <c r="F255" s="13"/>
      <c r="G255" s="182"/>
    </row>
    <row r="256" spans="1:7" ht="13.5" customHeight="1" x14ac:dyDescent="0.2">
      <c r="A256" s="70"/>
      <c r="B256" s="70"/>
      <c r="C256" s="63"/>
      <c r="D256" s="50"/>
      <c r="E256" s="13"/>
      <c r="F256" s="13"/>
      <c r="G256" s="182"/>
    </row>
    <row r="257" spans="1:7" ht="13.5" customHeight="1" x14ac:dyDescent="0.2">
      <c r="A257" s="70"/>
      <c r="B257" s="70"/>
      <c r="C257" s="63"/>
      <c r="D257" s="50"/>
      <c r="E257" s="13"/>
      <c r="F257" s="13"/>
      <c r="G257" s="182"/>
    </row>
    <row r="258" spans="1:7" ht="13.5" customHeight="1" x14ac:dyDescent="0.2">
      <c r="A258" s="70"/>
      <c r="B258" s="70"/>
      <c r="C258" s="63"/>
      <c r="D258" s="50"/>
      <c r="E258" s="13"/>
      <c r="F258" s="13"/>
      <c r="G258" s="182"/>
    </row>
    <row r="259" spans="1:7" ht="13.5" customHeight="1" x14ac:dyDescent="0.2">
      <c r="A259" s="70"/>
      <c r="B259" s="70"/>
      <c r="C259" s="63"/>
      <c r="D259" s="50"/>
      <c r="E259" s="13"/>
      <c r="F259" s="13"/>
      <c r="G259" s="182"/>
    </row>
    <row r="260" spans="1:7" ht="13.5" customHeight="1" x14ac:dyDescent="0.2">
      <c r="A260" s="70"/>
      <c r="B260" s="70"/>
      <c r="C260" s="63"/>
      <c r="D260" s="50"/>
      <c r="E260" s="13"/>
      <c r="F260" s="13"/>
      <c r="G260" s="182"/>
    </row>
    <row r="261" spans="1:7" ht="13.5" customHeight="1" x14ac:dyDescent="0.2">
      <c r="A261" s="70"/>
      <c r="B261" s="70"/>
      <c r="C261" s="63"/>
      <c r="D261" s="50"/>
      <c r="E261" s="13"/>
      <c r="F261" s="13"/>
      <c r="G261" s="182"/>
    </row>
    <row r="262" spans="1:7" ht="13.5" customHeight="1" x14ac:dyDescent="0.2">
      <c r="A262" s="131"/>
      <c r="B262" s="70"/>
      <c r="C262" s="64"/>
      <c r="D262" s="50"/>
      <c r="E262" s="13"/>
      <c r="F262" s="13"/>
      <c r="G262" s="182"/>
    </row>
    <row r="263" spans="1:7" ht="13.5" customHeight="1" x14ac:dyDescent="0.2">
      <c r="A263" s="70"/>
      <c r="B263" s="70"/>
      <c r="C263" s="63"/>
      <c r="D263" s="50"/>
      <c r="E263" s="13"/>
      <c r="F263" s="13"/>
      <c r="G263" s="182"/>
    </row>
    <row r="264" spans="1:7" ht="13.5" customHeight="1" x14ac:dyDescent="0.2">
      <c r="A264" s="70"/>
      <c r="B264" s="70"/>
      <c r="C264" s="63"/>
      <c r="D264" s="50"/>
      <c r="E264" s="13"/>
      <c r="F264" s="13"/>
      <c r="G264" s="182"/>
    </row>
    <row r="265" spans="1:7" ht="13.5" customHeight="1" x14ac:dyDescent="0.2">
      <c r="A265" s="131"/>
      <c r="B265" s="70"/>
      <c r="C265" s="85"/>
      <c r="D265" s="50"/>
      <c r="E265" s="13"/>
      <c r="F265" s="13"/>
      <c r="G265" s="182"/>
    </row>
    <row r="266" spans="1:7" ht="13.5" customHeight="1" x14ac:dyDescent="0.2">
      <c r="A266" s="131"/>
      <c r="B266" s="70"/>
      <c r="C266" s="63"/>
      <c r="D266" s="50"/>
      <c r="E266" s="13"/>
      <c r="F266" s="13"/>
      <c r="G266" s="182"/>
    </row>
    <row r="267" spans="1:7" ht="13.5" customHeight="1" x14ac:dyDescent="0.2">
      <c r="A267" s="131"/>
      <c r="B267" s="70"/>
      <c r="C267" s="63"/>
      <c r="D267" s="50"/>
      <c r="E267" s="13"/>
      <c r="F267" s="13"/>
      <c r="G267" s="182"/>
    </row>
    <row r="268" spans="1:7" ht="13.5" customHeight="1" x14ac:dyDescent="0.2">
      <c r="A268" s="131"/>
      <c r="B268" s="70"/>
      <c r="C268" s="64"/>
      <c r="D268" s="50"/>
      <c r="E268" s="13"/>
      <c r="F268" s="13"/>
      <c r="G268" s="182"/>
    </row>
    <row r="269" spans="1:7" ht="13.5" customHeight="1" x14ac:dyDescent="0.2">
      <c r="A269" s="70"/>
      <c r="B269" s="70"/>
      <c r="C269" s="63"/>
      <c r="D269" s="50"/>
      <c r="E269" s="13"/>
      <c r="F269" s="13"/>
      <c r="G269" s="182"/>
    </row>
    <row r="270" spans="1:7" ht="13.5" customHeight="1" x14ac:dyDescent="0.2">
      <c r="A270" s="131"/>
      <c r="B270" s="70"/>
      <c r="C270" s="63"/>
      <c r="D270" s="50"/>
      <c r="E270" s="13"/>
      <c r="F270" s="13"/>
      <c r="G270" s="182"/>
    </row>
    <row r="271" spans="1:7" ht="13.5" customHeight="1" x14ac:dyDescent="0.2">
      <c r="A271" s="131"/>
      <c r="B271" s="70"/>
      <c r="C271" s="64"/>
      <c r="D271" s="50"/>
      <c r="E271" s="13"/>
      <c r="F271" s="13"/>
      <c r="G271" s="182"/>
    </row>
    <row r="272" spans="1:7" ht="13.5" customHeight="1" x14ac:dyDescent="0.2">
      <c r="A272" s="70"/>
      <c r="B272" s="70"/>
      <c r="C272" s="63"/>
      <c r="D272" s="50"/>
      <c r="E272" s="13"/>
      <c r="F272" s="13"/>
      <c r="G272" s="182"/>
    </row>
    <row r="273" spans="1:7" ht="13.5" customHeight="1" x14ac:dyDescent="0.2">
      <c r="A273" s="131"/>
      <c r="B273" s="70"/>
      <c r="C273" s="63"/>
      <c r="D273" s="50"/>
      <c r="E273" s="13"/>
      <c r="F273" s="13"/>
      <c r="G273" s="182"/>
    </row>
    <row r="274" spans="1:7" ht="13.5" customHeight="1" x14ac:dyDescent="0.2">
      <c r="A274" s="131"/>
      <c r="B274" s="70"/>
      <c r="C274" s="64"/>
      <c r="D274" s="50"/>
      <c r="E274" s="13"/>
      <c r="F274" s="13"/>
      <c r="G274" s="182"/>
    </row>
    <row r="275" spans="1:7" ht="13.5" customHeight="1" x14ac:dyDescent="0.2">
      <c r="A275" s="70"/>
      <c r="B275" s="70"/>
      <c r="C275" s="63"/>
      <c r="D275" s="50"/>
      <c r="E275" s="13"/>
      <c r="F275" s="13"/>
      <c r="G275" s="182"/>
    </row>
    <row r="276" spans="1:7" ht="13.5" customHeight="1" x14ac:dyDescent="0.2">
      <c r="A276" s="70"/>
      <c r="B276" s="70"/>
      <c r="C276" s="63"/>
      <c r="D276" s="50"/>
      <c r="E276" s="13"/>
      <c r="F276" s="13"/>
      <c r="G276" s="182"/>
    </row>
    <row r="277" spans="1:7" ht="13.5" customHeight="1" x14ac:dyDescent="0.2">
      <c r="A277" s="70"/>
      <c r="B277" s="70"/>
      <c r="C277" s="63"/>
      <c r="D277" s="50"/>
      <c r="E277" s="13"/>
      <c r="F277" s="13"/>
      <c r="G277" s="182"/>
    </row>
    <row r="278" spans="1:7" ht="13.5" customHeight="1" x14ac:dyDescent="0.2">
      <c r="A278" s="131"/>
      <c r="B278" s="70"/>
      <c r="C278" s="86"/>
      <c r="D278" s="50"/>
      <c r="E278" s="13"/>
      <c r="F278" s="13"/>
      <c r="G278" s="182"/>
    </row>
    <row r="279" spans="1:7" ht="13.5" customHeight="1" x14ac:dyDescent="0.2">
      <c r="A279" s="131"/>
      <c r="B279" s="70"/>
      <c r="C279" s="85"/>
      <c r="D279" s="50"/>
      <c r="E279" s="13"/>
      <c r="F279" s="13"/>
      <c r="G279" s="182"/>
    </row>
    <row r="280" spans="1:7" ht="13.5" customHeight="1" x14ac:dyDescent="0.2">
      <c r="A280" s="131"/>
      <c r="B280" s="70"/>
      <c r="C280" s="87"/>
      <c r="D280" s="50"/>
      <c r="E280" s="13"/>
      <c r="F280" s="13"/>
      <c r="G280" s="182"/>
    </row>
    <row r="281" spans="1:7" ht="13.5" customHeight="1" x14ac:dyDescent="0.2">
      <c r="A281" s="131"/>
      <c r="B281" s="70"/>
      <c r="C281" s="88"/>
      <c r="D281" s="50"/>
      <c r="E281" s="13"/>
      <c r="F281" s="13"/>
      <c r="G281" s="182"/>
    </row>
    <row r="282" spans="1:7" ht="13.5" customHeight="1" x14ac:dyDescent="0.2">
      <c r="A282" s="91"/>
      <c r="B282" s="9"/>
      <c r="C282" s="56"/>
      <c r="D282" s="11"/>
      <c r="E282" s="12"/>
      <c r="F282" s="12"/>
      <c r="G282" s="182"/>
    </row>
    <row r="283" spans="1:7" ht="13.5" customHeight="1" x14ac:dyDescent="0.2">
      <c r="A283" s="9"/>
      <c r="B283" s="9"/>
      <c r="C283" s="56"/>
      <c r="D283" s="11"/>
      <c r="E283" s="12"/>
      <c r="F283" s="12"/>
      <c r="G283" s="182"/>
    </row>
    <row r="284" spans="1:7" ht="13.5" customHeight="1" x14ac:dyDescent="0.2">
      <c r="A284" s="9"/>
      <c r="B284" s="9"/>
      <c r="C284" s="56"/>
      <c r="D284" s="11"/>
      <c r="E284" s="12"/>
      <c r="F284" s="12"/>
      <c r="G284" s="182"/>
    </row>
    <row r="285" spans="1:7" ht="13.5" customHeight="1" x14ac:dyDescent="0.2">
      <c r="A285" s="91"/>
      <c r="B285" s="9"/>
      <c r="D285" s="11"/>
      <c r="E285" s="12"/>
      <c r="F285" s="12"/>
      <c r="G285" s="182"/>
    </row>
    <row r="286" spans="1:7" ht="13.5" customHeight="1" x14ac:dyDescent="0.2">
      <c r="A286" s="9"/>
      <c r="B286" s="9"/>
      <c r="C286" s="56"/>
      <c r="D286" s="11"/>
      <c r="E286" s="12"/>
      <c r="F286" s="12"/>
      <c r="G286" s="182"/>
    </row>
    <row r="287" spans="1:7" ht="13.5" customHeight="1" x14ac:dyDescent="0.2">
      <c r="A287" s="9"/>
      <c r="B287" s="9"/>
      <c r="C287" s="56"/>
      <c r="D287" s="11"/>
      <c r="E287" s="12"/>
      <c r="F287" s="12"/>
      <c r="G287" s="182"/>
    </row>
    <row r="288" spans="1:7" ht="13.5" customHeight="1" x14ac:dyDescent="0.2">
      <c r="A288" s="9"/>
      <c r="B288" s="9"/>
      <c r="C288" s="56"/>
      <c r="D288" s="11"/>
      <c r="E288" s="12"/>
      <c r="F288" s="12"/>
      <c r="G288" s="182"/>
    </row>
    <row r="289" spans="1:7" ht="13.5" customHeight="1" x14ac:dyDescent="0.2">
      <c r="A289" s="91"/>
      <c r="B289" s="9"/>
      <c r="C289" s="27"/>
      <c r="D289" s="11"/>
      <c r="E289" s="12"/>
      <c r="F289" s="12"/>
      <c r="G289" s="182"/>
    </row>
    <row r="290" spans="1:7" ht="13.5" customHeight="1" x14ac:dyDescent="0.2">
      <c r="A290" s="91"/>
      <c r="B290" s="9"/>
      <c r="C290" s="27"/>
      <c r="D290" s="11"/>
      <c r="E290" s="12"/>
      <c r="F290" s="12"/>
      <c r="G290" s="182"/>
    </row>
    <row r="291" spans="1:7" ht="13.5" customHeight="1" x14ac:dyDescent="0.2">
      <c r="A291" s="91"/>
      <c r="B291" s="9"/>
      <c r="D291" s="11"/>
      <c r="E291" s="12"/>
      <c r="F291" s="12"/>
      <c r="G291" s="182"/>
    </row>
    <row r="292" spans="1:7" ht="13.5" customHeight="1" x14ac:dyDescent="0.2">
      <c r="A292" s="9"/>
      <c r="B292" s="9"/>
      <c r="C292" s="56"/>
      <c r="D292" s="11"/>
      <c r="E292" s="12"/>
      <c r="F292" s="12"/>
      <c r="G292" s="182"/>
    </row>
    <row r="293" spans="1:7" ht="13.5" customHeight="1" x14ac:dyDescent="0.2">
      <c r="A293" s="9"/>
      <c r="B293" s="9"/>
      <c r="C293" s="56"/>
      <c r="D293" s="11"/>
      <c r="E293" s="12"/>
      <c r="F293" s="12"/>
      <c r="G293" s="182"/>
    </row>
    <row r="294" spans="1:7" ht="13.5" customHeight="1" x14ac:dyDescent="0.2">
      <c r="A294" s="9"/>
      <c r="B294" s="9"/>
      <c r="C294" s="56"/>
      <c r="D294" s="11"/>
      <c r="E294" s="12"/>
      <c r="F294" s="12"/>
      <c r="G294" s="182"/>
    </row>
    <row r="295" spans="1:7" ht="13.5" customHeight="1" x14ac:dyDescent="0.2">
      <c r="A295" s="9"/>
      <c r="B295" s="9"/>
      <c r="C295" s="56"/>
      <c r="D295" s="11"/>
      <c r="E295" s="12"/>
      <c r="F295" s="12"/>
      <c r="G295" s="182"/>
    </row>
    <row r="296" spans="1:7" x14ac:dyDescent="0.2">
      <c r="A296" s="132"/>
      <c r="B296" s="93"/>
      <c r="C296" s="94"/>
      <c r="D296" s="27"/>
      <c r="E296" s="27"/>
      <c r="F296" s="27"/>
      <c r="G296" s="182"/>
    </row>
  </sheetData>
  <mergeCells count="3">
    <mergeCell ref="A1:C1"/>
    <mergeCell ref="D1:G1"/>
    <mergeCell ref="H171:J171"/>
  </mergeCells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Q296"/>
  <sheetViews>
    <sheetView zoomScale="80" zoomScaleNormal="80" workbookViewId="0">
      <selection activeCell="B12" sqref="B12"/>
    </sheetView>
  </sheetViews>
  <sheetFormatPr defaultColWidth="9" defaultRowHeight="12.75" x14ac:dyDescent="0.2"/>
  <cols>
    <col min="1" max="1" width="11.5" style="738" bestFit="1" customWidth="1"/>
    <col min="2" max="2" width="91.125" style="1" bestFit="1" customWidth="1"/>
    <col min="3" max="3" width="12" style="1" customWidth="1"/>
    <col min="4" max="4" width="11.375" style="1" customWidth="1"/>
    <col min="5" max="5" width="9.875" style="1" bestFit="1" customWidth="1"/>
    <col min="6" max="6" width="12.875" style="1" customWidth="1"/>
    <col min="7" max="7" width="11.25" style="1" bestFit="1" customWidth="1"/>
    <col min="8" max="8" width="7" style="1" bestFit="1" customWidth="1"/>
    <col min="9" max="9" width="8.75" style="1" bestFit="1" customWidth="1"/>
    <col min="10" max="10" width="11.5" style="1" bestFit="1" customWidth="1"/>
    <col min="11" max="16384" width="9" style="1"/>
  </cols>
  <sheetData>
    <row r="1" spans="1:12" x14ac:dyDescent="0.2">
      <c r="A1" s="1"/>
      <c r="C1" s="622"/>
      <c r="D1" s="622"/>
      <c r="F1" s="97" t="s">
        <v>218</v>
      </c>
      <c r="G1" s="97" t="s">
        <v>219</v>
      </c>
      <c r="H1" s="97" t="s">
        <v>220</v>
      </c>
      <c r="I1" s="97" t="s">
        <v>221</v>
      </c>
      <c r="J1" s="97" t="s">
        <v>222</v>
      </c>
    </row>
    <row r="2" spans="1:12" ht="13.5" customHeight="1" x14ac:dyDescent="0.2">
      <c r="A2" s="736" t="s">
        <v>3762</v>
      </c>
      <c r="B2" s="138" t="s">
        <v>4015</v>
      </c>
      <c r="C2" s="69"/>
      <c r="D2" s="69">
        <v>1150</v>
      </c>
      <c r="F2" s="725">
        <v>1240</v>
      </c>
      <c r="G2" s="402">
        <v>90</v>
      </c>
      <c r="H2" s="402"/>
      <c r="I2" s="402"/>
      <c r="J2" s="618">
        <f t="shared" ref="J2:J15" si="0">F2-G2-H2-I2</f>
        <v>1150</v>
      </c>
      <c r="K2" s="64"/>
      <c r="L2" s="64"/>
    </row>
    <row r="3" spans="1:12" ht="13.5" customHeight="1" x14ac:dyDescent="0.2">
      <c r="A3" s="736" t="s">
        <v>3762</v>
      </c>
      <c r="B3" s="36" t="s">
        <v>4088</v>
      </c>
      <c r="C3" s="69"/>
      <c r="D3" s="69">
        <v>1150</v>
      </c>
      <c r="F3" s="725">
        <v>1240</v>
      </c>
      <c r="G3" s="402">
        <v>90</v>
      </c>
      <c r="H3" s="402"/>
      <c r="I3" s="402"/>
      <c r="J3" s="618">
        <f>F3-G3-H3-I3</f>
        <v>1150</v>
      </c>
    </row>
    <row r="4" spans="1:12" ht="13.5" customHeight="1" x14ac:dyDescent="0.2">
      <c r="A4" s="736" t="s">
        <v>3762</v>
      </c>
      <c r="B4" s="34" t="s">
        <v>4089</v>
      </c>
      <c r="C4" s="69"/>
      <c r="D4" s="69">
        <v>1150</v>
      </c>
      <c r="F4" s="725">
        <v>1240</v>
      </c>
      <c r="G4" s="402">
        <v>90</v>
      </c>
      <c r="H4" s="402"/>
      <c r="I4" s="402"/>
      <c r="J4" s="618">
        <f>F4-G4-H4-I4</f>
        <v>1150</v>
      </c>
    </row>
    <row r="5" spans="1:12" ht="13.5" customHeight="1" x14ac:dyDescent="0.2">
      <c r="A5" s="736" t="s">
        <v>3762</v>
      </c>
      <c r="B5" s="36" t="s">
        <v>4000</v>
      </c>
      <c r="C5" s="69"/>
      <c r="D5" s="69">
        <v>950</v>
      </c>
      <c r="F5" s="725">
        <v>1040</v>
      </c>
      <c r="G5" s="402">
        <v>90</v>
      </c>
      <c r="H5" s="402"/>
      <c r="I5" s="402"/>
      <c r="J5" s="618">
        <f t="shared" si="0"/>
        <v>950</v>
      </c>
    </row>
    <row r="6" spans="1:12" ht="13.5" customHeight="1" x14ac:dyDescent="0.2">
      <c r="A6" s="736" t="s">
        <v>3762</v>
      </c>
      <c r="B6" s="36" t="s">
        <v>3941</v>
      </c>
      <c r="C6" s="69"/>
      <c r="D6" s="69">
        <v>1010</v>
      </c>
      <c r="F6" s="725">
        <v>1100</v>
      </c>
      <c r="G6" s="402">
        <v>90</v>
      </c>
      <c r="H6" s="402"/>
      <c r="I6" s="402"/>
      <c r="J6" s="618">
        <f t="shared" si="0"/>
        <v>1010</v>
      </c>
    </row>
    <row r="7" spans="1:12" ht="13.5" customHeight="1" x14ac:dyDescent="0.2">
      <c r="A7" s="736" t="s">
        <v>3762</v>
      </c>
      <c r="B7" s="36" t="s">
        <v>3940</v>
      </c>
      <c r="C7" s="69"/>
      <c r="D7" s="69">
        <v>1010</v>
      </c>
      <c r="F7" s="726">
        <v>1100</v>
      </c>
      <c r="G7" s="402">
        <v>90</v>
      </c>
      <c r="H7" s="402"/>
      <c r="I7" s="402"/>
      <c r="J7" s="618">
        <f t="shared" si="0"/>
        <v>1010</v>
      </c>
    </row>
    <row r="8" spans="1:12" ht="13.5" customHeight="1" x14ac:dyDescent="0.2">
      <c r="A8" s="736" t="s">
        <v>3762</v>
      </c>
      <c r="B8" s="36" t="s">
        <v>4001</v>
      </c>
      <c r="C8" s="69"/>
      <c r="D8" s="69">
        <v>1020</v>
      </c>
      <c r="F8" s="725">
        <v>1110</v>
      </c>
      <c r="G8" s="402">
        <v>90</v>
      </c>
      <c r="H8" s="402"/>
      <c r="I8" s="402"/>
      <c r="J8" s="618">
        <f>F8-G8-H8-I8</f>
        <v>1020</v>
      </c>
    </row>
    <row r="9" spans="1:12" ht="13.5" customHeight="1" x14ac:dyDescent="0.2">
      <c r="A9" s="736" t="s">
        <v>3762</v>
      </c>
      <c r="B9" s="36" t="s">
        <v>3986</v>
      </c>
      <c r="C9" s="69"/>
      <c r="D9" s="69">
        <v>1116</v>
      </c>
      <c r="F9" s="725">
        <v>1206</v>
      </c>
      <c r="G9" s="402">
        <v>90</v>
      </c>
      <c r="H9" s="402"/>
      <c r="I9" s="402"/>
      <c r="J9" s="618">
        <f>F9-G9-H9-I9</f>
        <v>1116</v>
      </c>
    </row>
    <row r="10" spans="1:12" ht="13.5" customHeight="1" x14ac:dyDescent="0.2">
      <c r="A10" s="736" t="s">
        <v>3762</v>
      </c>
      <c r="B10" s="34" t="s">
        <v>4090</v>
      </c>
      <c r="C10" s="69"/>
      <c r="D10" s="69">
        <v>10540.57</v>
      </c>
      <c r="F10" s="725">
        <v>10676</v>
      </c>
      <c r="G10" s="402"/>
      <c r="H10" s="402"/>
      <c r="I10" s="402">
        <v>135.43</v>
      </c>
      <c r="J10" s="618">
        <f t="shared" si="0"/>
        <v>10540.57</v>
      </c>
    </row>
    <row r="11" spans="1:12" ht="13.5" customHeight="1" x14ac:dyDescent="0.2">
      <c r="A11" s="736" t="s">
        <v>3762</v>
      </c>
      <c r="B11" s="36" t="s">
        <v>3935</v>
      </c>
      <c r="C11" s="69"/>
      <c r="D11" s="69">
        <v>1500</v>
      </c>
      <c r="F11" s="725">
        <v>1590</v>
      </c>
      <c r="G11" s="402">
        <v>90</v>
      </c>
      <c r="H11" s="402"/>
      <c r="I11" s="402"/>
      <c r="J11" s="618">
        <f t="shared" si="0"/>
        <v>1500</v>
      </c>
    </row>
    <row r="12" spans="1:12" ht="13.5" customHeight="1" x14ac:dyDescent="0.2">
      <c r="A12" s="736" t="s">
        <v>3762</v>
      </c>
      <c r="B12" s="34" t="s">
        <v>3966</v>
      </c>
      <c r="C12" s="69"/>
      <c r="D12" s="69">
        <v>1400</v>
      </c>
      <c r="F12" s="725">
        <v>1490</v>
      </c>
      <c r="G12" s="402">
        <v>90</v>
      </c>
      <c r="H12" s="402"/>
      <c r="I12" s="402"/>
      <c r="J12" s="618">
        <f t="shared" si="0"/>
        <v>1400</v>
      </c>
    </row>
    <row r="13" spans="1:12" ht="13.5" customHeight="1" x14ac:dyDescent="0.2">
      <c r="A13" s="736" t="s">
        <v>3762</v>
      </c>
      <c r="B13" s="34" t="s">
        <v>3938</v>
      </c>
      <c r="C13" s="69"/>
      <c r="D13" s="69">
        <v>1400</v>
      </c>
      <c r="F13" s="725">
        <v>1490</v>
      </c>
      <c r="G13" s="402">
        <v>90</v>
      </c>
      <c r="H13" s="402"/>
      <c r="I13" s="402"/>
      <c r="J13" s="618">
        <f t="shared" si="0"/>
        <v>1400</v>
      </c>
    </row>
    <row r="14" spans="1:12" ht="13.5" customHeight="1" x14ac:dyDescent="0.2">
      <c r="A14" s="736" t="s">
        <v>3762</v>
      </c>
      <c r="B14" s="34" t="s">
        <v>3968</v>
      </c>
      <c r="C14" s="69"/>
      <c r="D14" s="69">
        <v>962.06999999999994</v>
      </c>
      <c r="F14" s="725">
        <v>1017.93</v>
      </c>
      <c r="G14" s="402">
        <v>55.86</v>
      </c>
      <c r="H14" s="402"/>
      <c r="I14" s="402"/>
      <c r="J14" s="618">
        <f t="shared" si="0"/>
        <v>962.06999999999994</v>
      </c>
    </row>
    <row r="15" spans="1:12" ht="13.5" customHeight="1" x14ac:dyDescent="0.2">
      <c r="A15" s="736" t="s">
        <v>3762</v>
      </c>
      <c r="B15" s="36" t="s">
        <v>3945</v>
      </c>
      <c r="C15" s="69"/>
      <c r="D15" s="69">
        <v>1250</v>
      </c>
      <c r="F15" s="725">
        <v>1340</v>
      </c>
      <c r="G15" s="402">
        <v>90</v>
      </c>
      <c r="H15" s="402"/>
      <c r="I15" s="402"/>
      <c r="J15" s="618">
        <f t="shared" si="0"/>
        <v>1250</v>
      </c>
    </row>
    <row r="16" spans="1:12" ht="13.5" customHeight="1" x14ac:dyDescent="0.2">
      <c r="A16" s="736" t="s">
        <v>3762</v>
      </c>
      <c r="B16" s="36" t="s">
        <v>4091</v>
      </c>
      <c r="C16" s="69"/>
      <c r="D16" s="69">
        <v>900</v>
      </c>
      <c r="F16" s="725">
        <v>900</v>
      </c>
      <c r="G16" s="402"/>
      <c r="H16" s="402"/>
      <c r="I16" s="402"/>
      <c r="J16" s="618">
        <f>F16-G16-H16-I17</f>
        <v>900</v>
      </c>
    </row>
    <row r="17" spans="1:12" ht="13.5" customHeight="1" x14ac:dyDescent="0.2">
      <c r="A17" s="736" t="s">
        <v>3762</v>
      </c>
      <c r="B17" s="36" t="s">
        <v>10</v>
      </c>
      <c r="C17" s="69"/>
      <c r="D17" s="69">
        <v>1135.8599999999999</v>
      </c>
      <c r="F17" s="725">
        <v>1135.8599999999999</v>
      </c>
      <c r="G17" s="402"/>
      <c r="H17" s="402"/>
      <c r="I17" s="402"/>
      <c r="J17" s="618">
        <f>F17-G17-H17-I18</f>
        <v>1135.8599999999999</v>
      </c>
    </row>
    <row r="18" spans="1:12" ht="13.5" customHeight="1" x14ac:dyDescent="0.2">
      <c r="A18" s="736" t="s">
        <v>3762</v>
      </c>
      <c r="B18" s="32" t="s">
        <v>4024</v>
      </c>
      <c r="C18" s="69"/>
      <c r="D18" s="69">
        <v>1100</v>
      </c>
      <c r="F18" s="725">
        <v>1100</v>
      </c>
      <c r="G18" s="402"/>
      <c r="H18" s="402"/>
      <c r="I18" s="402"/>
      <c r="J18" s="618">
        <f>F18-G18-H18-I18</f>
        <v>1100</v>
      </c>
      <c r="K18" s="64"/>
      <c r="L18" s="64"/>
    </row>
    <row r="19" spans="1:12" ht="13.5" customHeight="1" x14ac:dyDescent="0.2">
      <c r="A19" s="736" t="s">
        <v>3762</v>
      </c>
      <c r="B19" s="36" t="s">
        <v>3982</v>
      </c>
      <c r="C19" s="69"/>
      <c r="D19" s="69">
        <v>4000</v>
      </c>
      <c r="F19" s="725">
        <v>4000</v>
      </c>
      <c r="G19" s="402"/>
      <c r="H19" s="402"/>
      <c r="I19" s="402"/>
      <c r="J19" s="618">
        <f>F19-G19-H19-I19</f>
        <v>4000</v>
      </c>
    </row>
    <row r="20" spans="1:12" ht="13.5" customHeight="1" x14ac:dyDescent="0.2">
      <c r="A20" s="736" t="s">
        <v>3762</v>
      </c>
      <c r="B20" s="32" t="s">
        <v>4022</v>
      </c>
      <c r="C20" s="69"/>
      <c r="D20" s="69">
        <v>5200</v>
      </c>
      <c r="F20" s="725">
        <v>5200</v>
      </c>
      <c r="G20" s="402"/>
      <c r="H20" s="402"/>
      <c r="I20" s="402"/>
      <c r="J20" s="618">
        <f>F20-G20-H20-I20</f>
        <v>5200</v>
      </c>
      <c r="K20" s="64"/>
      <c r="L20" s="64"/>
    </row>
    <row r="21" spans="1:12" ht="13.5" customHeight="1" x14ac:dyDescent="0.2">
      <c r="A21" s="736" t="s">
        <v>3762</v>
      </c>
      <c r="B21" s="36" t="s">
        <v>3962</v>
      </c>
      <c r="C21" s="69"/>
      <c r="D21" s="737">
        <v>250</v>
      </c>
      <c r="F21" t="s">
        <v>3766</v>
      </c>
      <c r="G21" s="107">
        <f>SUM(G2:G20)</f>
        <v>1135.8599999999999</v>
      </c>
      <c r="H21" s="107">
        <f>SUM(H2:H16)</f>
        <v>0</v>
      </c>
      <c r="I21" s="107">
        <f>SUM(I2:I17)</f>
        <v>135.43</v>
      </c>
    </row>
    <row r="22" spans="1:12" ht="13.5" customHeight="1" x14ac:dyDescent="0.2">
      <c r="A22" s="736" t="s">
        <v>3762</v>
      </c>
      <c r="B22" s="36" t="s">
        <v>3978</v>
      </c>
      <c r="C22" s="69"/>
      <c r="D22" s="737">
        <v>220</v>
      </c>
    </row>
    <row r="23" spans="1:12" ht="13.5" customHeight="1" x14ac:dyDescent="0.2">
      <c r="A23" s="736" t="s">
        <v>3762</v>
      </c>
      <c r="B23" s="36" t="s">
        <v>3974</v>
      </c>
      <c r="C23" s="69"/>
      <c r="D23" s="737">
        <v>250</v>
      </c>
    </row>
    <row r="24" spans="1:12" ht="13.5" customHeight="1" x14ac:dyDescent="0.2">
      <c r="A24" s="736" t="s">
        <v>3762</v>
      </c>
      <c r="B24" s="36" t="s">
        <v>3970</v>
      </c>
      <c r="C24" s="69"/>
      <c r="D24" s="737">
        <v>200</v>
      </c>
    </row>
    <row r="25" spans="1:12" ht="13.5" customHeight="1" x14ac:dyDescent="0.2">
      <c r="A25" s="736" t="s">
        <v>3762</v>
      </c>
      <c r="B25" s="36" t="s">
        <v>4007</v>
      </c>
      <c r="C25" s="69"/>
      <c r="D25" s="737">
        <v>200</v>
      </c>
    </row>
    <row r="26" spans="1:12" ht="13.5" customHeight="1" x14ac:dyDescent="0.2">
      <c r="A26" s="736" t="s">
        <v>3762</v>
      </c>
      <c r="B26" s="36" t="s">
        <v>3969</v>
      </c>
      <c r="C26" s="69"/>
      <c r="D26" s="737">
        <v>93.1</v>
      </c>
    </row>
    <row r="27" spans="1:12" ht="13.5" customHeight="1" x14ac:dyDescent="0.2">
      <c r="A27" s="736" t="s">
        <v>3762</v>
      </c>
      <c r="B27" s="36" t="s">
        <v>3943</v>
      </c>
      <c r="C27" s="69"/>
      <c r="D27" s="737">
        <v>250</v>
      </c>
    </row>
    <row r="28" spans="1:12" ht="13.5" customHeight="1" x14ac:dyDescent="0.2">
      <c r="A28" s="736" t="s">
        <v>3762</v>
      </c>
      <c r="B28" s="36" t="s">
        <v>3981</v>
      </c>
      <c r="C28" s="69"/>
      <c r="D28" s="737">
        <v>100</v>
      </c>
    </row>
    <row r="29" spans="1:12" ht="13.5" customHeight="1" x14ac:dyDescent="0.2">
      <c r="A29" s="736" t="s">
        <v>3762</v>
      </c>
      <c r="B29" s="36" t="s">
        <v>3950</v>
      </c>
      <c r="C29" s="69"/>
      <c r="D29" s="737">
        <v>200</v>
      </c>
    </row>
    <row r="30" spans="1:12" ht="13.5" customHeight="1" x14ac:dyDescent="0.2">
      <c r="A30" s="736" t="s">
        <v>3762</v>
      </c>
      <c r="B30" s="36" t="s">
        <v>3936</v>
      </c>
      <c r="C30" s="69"/>
      <c r="D30" s="737">
        <v>100</v>
      </c>
    </row>
    <row r="31" spans="1:12" ht="13.5" customHeight="1" x14ac:dyDescent="0.2">
      <c r="A31" s="736" t="s">
        <v>3762</v>
      </c>
      <c r="B31" s="32" t="s">
        <v>4010</v>
      </c>
      <c r="C31" s="69"/>
      <c r="D31" s="737">
        <v>220</v>
      </c>
      <c r="K31" s="64"/>
      <c r="L31" s="64"/>
    </row>
    <row r="32" spans="1:12" ht="13.5" customHeight="1" x14ac:dyDescent="0.2">
      <c r="A32" s="736" t="s">
        <v>3762</v>
      </c>
      <c r="B32" s="36" t="s">
        <v>3973</v>
      </c>
      <c r="C32" s="69"/>
      <c r="D32" s="737">
        <v>80</v>
      </c>
    </row>
    <row r="33" spans="1:10" ht="13.5" customHeight="1" x14ac:dyDescent="0.2">
      <c r="A33" s="736" t="s">
        <v>3762</v>
      </c>
      <c r="B33" s="36" t="s">
        <v>3963</v>
      </c>
      <c r="C33" s="69"/>
      <c r="D33" s="737">
        <v>60</v>
      </c>
    </row>
    <row r="34" spans="1:10" ht="13.5" customHeight="1" x14ac:dyDescent="0.2">
      <c r="A34" s="736" t="s">
        <v>3762</v>
      </c>
      <c r="B34" s="36" t="s">
        <v>3967</v>
      </c>
      <c r="C34" s="69"/>
      <c r="D34" s="737">
        <v>60</v>
      </c>
      <c r="E34" s="124">
        <f>SUM(D21:D34)</f>
        <v>2283.1</v>
      </c>
    </row>
    <row r="35" spans="1:10" ht="13.5" customHeight="1" x14ac:dyDescent="0.2">
      <c r="A35" s="736" t="s">
        <v>3762</v>
      </c>
      <c r="B35" s="36" t="s">
        <v>1792</v>
      </c>
      <c r="C35" s="69"/>
      <c r="D35" s="69">
        <v>135.43</v>
      </c>
      <c r="E35" s="124"/>
    </row>
    <row r="36" spans="1:10" ht="13.5" customHeight="1" x14ac:dyDescent="0.2">
      <c r="A36" s="736"/>
      <c r="B36" s="36"/>
      <c r="C36" s="69"/>
      <c r="D36" s="421">
        <f>SUM(D2:D35)</f>
        <v>40363.03</v>
      </c>
      <c r="E36" s="124"/>
    </row>
    <row r="37" spans="1:10" ht="13.5" customHeight="1" x14ac:dyDescent="0.2">
      <c r="A37" s="736"/>
      <c r="B37" s="36"/>
      <c r="C37" s="69"/>
      <c r="D37" s="69"/>
      <c r="E37" s="124"/>
    </row>
    <row r="38" spans="1:10" ht="13.5" customHeight="1" x14ac:dyDescent="0.2">
      <c r="A38" s="736" t="s">
        <v>3762</v>
      </c>
      <c r="B38" s="36" t="s">
        <v>3955</v>
      </c>
      <c r="C38" s="69"/>
      <c r="D38" s="61">
        <v>900</v>
      </c>
      <c r="F38" s="725">
        <v>900</v>
      </c>
      <c r="G38" s="402"/>
      <c r="H38" s="402"/>
      <c r="I38" s="402"/>
      <c r="J38" s="618">
        <f>F38-G38-H38-I38</f>
        <v>900</v>
      </c>
    </row>
    <row r="39" spans="1:10" ht="13.5" customHeight="1" x14ac:dyDescent="0.2">
      <c r="A39" s="736" t="s">
        <v>3762</v>
      </c>
      <c r="B39" s="36" t="s">
        <v>3725</v>
      </c>
      <c r="C39" s="69"/>
      <c r="D39" s="61">
        <v>300</v>
      </c>
      <c r="F39" s="725">
        <v>300</v>
      </c>
      <c r="G39" s="402"/>
      <c r="H39" s="402"/>
      <c r="I39" s="402"/>
      <c r="J39" s="618">
        <f>F39-G39-H39-I39</f>
        <v>300</v>
      </c>
    </row>
    <row r="40" spans="1:10" ht="13.5" customHeight="1" x14ac:dyDescent="0.2">
      <c r="A40" s="736" t="s">
        <v>3762</v>
      </c>
      <c r="B40" s="36" t="s">
        <v>4003</v>
      </c>
      <c r="C40" s="69"/>
      <c r="D40" s="61">
        <v>7750</v>
      </c>
      <c r="F40" s="725">
        <v>7750</v>
      </c>
      <c r="G40" s="725"/>
      <c r="H40" s="725"/>
      <c r="I40" s="725"/>
      <c r="J40" s="618">
        <f>F40-G40-H40-I40</f>
        <v>7750</v>
      </c>
    </row>
    <row r="41" spans="1:10" ht="13.5" customHeight="1" x14ac:dyDescent="0.2">
      <c r="A41" s="736" t="s">
        <v>3762</v>
      </c>
      <c r="B41" s="36" t="s">
        <v>4002</v>
      </c>
      <c r="C41" s="69"/>
      <c r="D41" s="61">
        <v>525</v>
      </c>
      <c r="F41" s="725">
        <v>525</v>
      </c>
      <c r="G41" s="725"/>
      <c r="H41" s="725"/>
      <c r="I41" s="725"/>
      <c r="J41" s="618"/>
    </row>
    <row r="42" spans="1:10" ht="13.5" customHeight="1" x14ac:dyDescent="0.2">
      <c r="A42" s="736" t="s">
        <v>3762</v>
      </c>
      <c r="B42" s="36" t="s">
        <v>4067</v>
      </c>
      <c r="C42" s="69"/>
      <c r="D42" s="61">
        <v>4731.47</v>
      </c>
      <c r="F42" s="725">
        <v>4731.47</v>
      </c>
      <c r="G42" s="725"/>
      <c r="H42" s="725"/>
      <c r="I42" s="725"/>
      <c r="J42" s="618">
        <f>F42-G42-H42-I42</f>
        <v>4731.47</v>
      </c>
    </row>
    <row r="43" spans="1:10" ht="13.5" customHeight="1" x14ac:dyDescent="0.2">
      <c r="A43" s="736"/>
      <c r="B43" s="36"/>
      <c r="C43" s="69"/>
      <c r="D43" s="421">
        <f>SUM(D38:D42)</f>
        <v>14206.470000000001</v>
      </c>
      <c r="F43" t="s">
        <v>3766</v>
      </c>
      <c r="G43" s="107">
        <f>SUM(G40:G42)</f>
        <v>0</v>
      </c>
      <c r="H43" s="107">
        <f>SUM(H40:H42)</f>
        <v>0</v>
      </c>
      <c r="I43" s="107">
        <f>SUM(I40:I42)</f>
        <v>0</v>
      </c>
    </row>
    <row r="44" spans="1:10" ht="13.5" customHeight="1" x14ac:dyDescent="0.2">
      <c r="A44" s="736"/>
      <c r="B44" s="36"/>
      <c r="C44" s="69"/>
      <c r="D44" s="61"/>
      <c r="I44" s="64"/>
      <c r="J44" s="64"/>
    </row>
    <row r="45" spans="1:10" ht="13.5" customHeight="1" x14ac:dyDescent="0.2">
      <c r="A45" s="738" t="s">
        <v>223</v>
      </c>
      <c r="B45" s="36" t="s">
        <v>189</v>
      </c>
      <c r="C45" s="69">
        <v>4263.47</v>
      </c>
      <c r="D45" s="69"/>
    </row>
    <row r="46" spans="1:10" ht="13.5" customHeight="1" x14ac:dyDescent="0.2">
      <c r="A46" s="738" t="s">
        <v>223</v>
      </c>
      <c r="B46" s="36" t="s">
        <v>174</v>
      </c>
      <c r="C46" s="69">
        <v>-10.9</v>
      </c>
      <c r="D46" s="69"/>
    </row>
    <row r="47" spans="1:10" ht="13.5" customHeight="1" x14ac:dyDescent="0.2">
      <c r="A47" s="738" t="s">
        <v>223</v>
      </c>
      <c r="B47" s="36" t="s">
        <v>174</v>
      </c>
      <c r="C47" s="69">
        <v>-12.5</v>
      </c>
      <c r="D47" s="69"/>
    </row>
    <row r="48" spans="1:10" ht="13.5" customHeight="1" x14ac:dyDescent="0.2">
      <c r="A48" s="738" t="s">
        <v>223</v>
      </c>
      <c r="B48" s="36" t="s">
        <v>174</v>
      </c>
      <c r="C48" s="69">
        <v>-48.85</v>
      </c>
      <c r="D48" s="69"/>
    </row>
    <row r="49" spans="1:17" ht="13.5" customHeight="1" x14ac:dyDescent="0.2">
      <c r="A49" s="738" t="s">
        <v>223</v>
      </c>
      <c r="B49" s="36" t="s">
        <v>174</v>
      </c>
      <c r="C49" s="69">
        <v>-50</v>
      </c>
      <c r="D49" s="69"/>
    </row>
    <row r="50" spans="1:17" ht="13.5" customHeight="1" x14ac:dyDescent="0.2">
      <c r="A50" s="738" t="s">
        <v>223</v>
      </c>
      <c r="B50" s="36" t="s">
        <v>174</v>
      </c>
      <c r="C50" s="69">
        <v>-80.98</v>
      </c>
      <c r="D50" s="69"/>
      <c r="M50" s="64"/>
      <c r="N50" s="64"/>
      <c r="O50" s="64"/>
      <c r="P50" s="64"/>
      <c r="Q50" s="64"/>
    </row>
    <row r="51" spans="1:17" ht="13.5" customHeight="1" x14ac:dyDescent="0.2">
      <c r="A51" s="738" t="s">
        <v>223</v>
      </c>
      <c r="B51" s="36" t="s">
        <v>174</v>
      </c>
      <c r="C51" s="69">
        <v>-175.2</v>
      </c>
      <c r="D51" s="69"/>
      <c r="M51" s="64"/>
      <c r="N51" s="64"/>
      <c r="O51" s="64"/>
      <c r="P51" s="64"/>
      <c r="Q51" s="64"/>
    </row>
    <row r="52" spans="1:17" ht="13.5" customHeight="1" x14ac:dyDescent="0.2">
      <c r="A52" s="738" t="s">
        <v>223</v>
      </c>
      <c r="B52" s="36" t="s">
        <v>174</v>
      </c>
      <c r="C52" s="69">
        <v>-230.47</v>
      </c>
      <c r="D52" s="69"/>
      <c r="M52" s="64"/>
      <c r="N52" s="64"/>
      <c r="O52" s="64"/>
      <c r="P52" s="64"/>
      <c r="Q52" s="64"/>
    </row>
    <row r="53" spans="1:17" ht="13.5" customHeight="1" x14ac:dyDescent="0.2">
      <c r="A53" s="738" t="s">
        <v>223</v>
      </c>
      <c r="B53" s="36" t="s">
        <v>174</v>
      </c>
      <c r="C53" s="69">
        <v>-489.51</v>
      </c>
      <c r="D53" s="69"/>
      <c r="M53" s="64"/>
      <c r="N53" s="64"/>
      <c r="O53" s="64"/>
      <c r="P53" s="64"/>
      <c r="Q53" s="64"/>
    </row>
    <row r="54" spans="1:17" ht="13.5" customHeight="1" x14ac:dyDescent="0.2">
      <c r="A54" s="738" t="s">
        <v>223</v>
      </c>
      <c r="B54" s="36" t="s">
        <v>174</v>
      </c>
      <c r="C54" s="69">
        <v>-578.98</v>
      </c>
      <c r="D54" s="69"/>
      <c r="M54" s="64"/>
      <c r="N54" s="64"/>
      <c r="O54" s="64"/>
      <c r="P54" s="64"/>
      <c r="Q54" s="64"/>
    </row>
    <row r="55" spans="1:17" ht="13.5" customHeight="1" x14ac:dyDescent="0.2">
      <c r="A55" s="738" t="s">
        <v>223</v>
      </c>
      <c r="B55" s="36" t="s">
        <v>174</v>
      </c>
      <c r="C55" s="69">
        <v>-789</v>
      </c>
      <c r="D55" s="69"/>
      <c r="M55" s="64"/>
      <c r="N55" s="64"/>
      <c r="O55" s="64"/>
      <c r="P55" s="64"/>
      <c r="Q55" s="64"/>
    </row>
    <row r="56" spans="1:17" ht="13.5" customHeight="1" x14ac:dyDescent="0.2">
      <c r="A56" s="738" t="s">
        <v>223</v>
      </c>
      <c r="B56" s="36" t="s">
        <v>174</v>
      </c>
      <c r="C56" s="69">
        <v>-895.06</v>
      </c>
      <c r="D56" s="69"/>
      <c r="M56" s="64"/>
      <c r="N56" s="64"/>
      <c r="O56" s="64"/>
      <c r="P56" s="64"/>
      <c r="Q56" s="64"/>
    </row>
    <row r="57" spans="1:17" ht="13.5" customHeight="1" x14ac:dyDescent="0.2">
      <c r="A57" s="738" t="s">
        <v>223</v>
      </c>
      <c r="B57" s="36" t="s">
        <v>174</v>
      </c>
      <c r="C57" s="69">
        <v>-2067.23</v>
      </c>
      <c r="D57" s="69"/>
      <c r="M57" s="64"/>
      <c r="N57" s="64"/>
      <c r="O57" s="64"/>
      <c r="P57" s="64"/>
      <c r="Q57" s="64"/>
    </row>
    <row r="58" spans="1:17" ht="13.5" customHeight="1" x14ac:dyDescent="0.2">
      <c r="B58" s="36"/>
      <c r="C58" s="421">
        <f>SUM(C45:C57)</f>
        <v>-1165.2099999999996</v>
      </c>
      <c r="D58" s="69"/>
      <c r="M58" s="64"/>
      <c r="N58" s="64"/>
      <c r="O58" s="64"/>
      <c r="P58" s="64"/>
      <c r="Q58" s="64"/>
    </row>
    <row r="59" spans="1:17" ht="13.5" customHeight="1" x14ac:dyDescent="0.2">
      <c r="B59" s="36"/>
      <c r="C59" s="69"/>
      <c r="D59" s="69"/>
      <c r="M59" s="64"/>
      <c r="N59" s="64"/>
      <c r="O59" s="64"/>
      <c r="P59" s="64"/>
      <c r="Q59" s="64"/>
    </row>
    <row r="60" spans="1:17" ht="13.5" customHeight="1" x14ac:dyDescent="0.2">
      <c r="A60" s="738" t="s">
        <v>224</v>
      </c>
      <c r="B60" s="36" t="s">
        <v>62</v>
      </c>
      <c r="C60" s="28">
        <v>633.34</v>
      </c>
      <c r="D60" s="69"/>
    </row>
    <row r="61" spans="1:17" ht="13.5" customHeight="1" x14ac:dyDescent="0.2">
      <c r="A61" s="738" t="s">
        <v>224</v>
      </c>
      <c r="B61" s="36" t="s">
        <v>68</v>
      </c>
      <c r="C61" s="733">
        <v>129.9</v>
      </c>
      <c r="D61" s="69"/>
    </row>
    <row r="62" spans="1:17" ht="13.5" customHeight="1" x14ac:dyDescent="0.2">
      <c r="A62" s="738" t="s">
        <v>224</v>
      </c>
      <c r="B62" s="36" t="s">
        <v>1597</v>
      </c>
      <c r="C62" s="69">
        <v>0.03</v>
      </c>
      <c r="D62" s="69"/>
    </row>
    <row r="63" spans="1:17" ht="13.5" customHeight="1" x14ac:dyDescent="0.2">
      <c r="A63" s="738" t="s">
        <v>224</v>
      </c>
      <c r="B63" s="36" t="s">
        <v>199</v>
      </c>
      <c r="C63" s="69">
        <v>230.47</v>
      </c>
      <c r="D63" s="69"/>
      <c r="K63" s="64"/>
      <c r="L63" s="64"/>
    </row>
    <row r="64" spans="1:17" ht="13.5" customHeight="1" x14ac:dyDescent="0.2">
      <c r="A64" s="738" t="s">
        <v>224</v>
      </c>
      <c r="B64" s="36" t="s">
        <v>180</v>
      </c>
      <c r="C64" s="69">
        <v>305.24</v>
      </c>
      <c r="D64" s="69"/>
    </row>
    <row r="65" spans="1:12" ht="13.5" customHeight="1" x14ac:dyDescent="0.2">
      <c r="A65" s="738" t="s">
        <v>224</v>
      </c>
      <c r="B65" s="36" t="s">
        <v>1598</v>
      </c>
      <c r="C65" s="69">
        <v>1.44</v>
      </c>
      <c r="D65" s="69"/>
    </row>
    <row r="66" spans="1:12" ht="13.5" customHeight="1" x14ac:dyDescent="0.2">
      <c r="A66" s="738" t="s">
        <v>224</v>
      </c>
      <c r="B66" s="36" t="s">
        <v>5552</v>
      </c>
      <c r="C66" s="69">
        <f>D69</f>
        <v>426.66666666666663</v>
      </c>
      <c r="D66" s="69"/>
    </row>
    <row r="67" spans="1:12" ht="13.5" customHeight="1" x14ac:dyDescent="0.2">
      <c r="B67" s="36"/>
      <c r="C67" s="421">
        <f>SUM(C60:C66)</f>
        <v>1727.0866666666666</v>
      </c>
      <c r="D67" s="69"/>
    </row>
    <row r="68" spans="1:12" ht="13.5" customHeight="1" x14ac:dyDescent="0.2">
      <c r="B68" s="36"/>
      <c r="C68" s="69"/>
      <c r="D68" s="69"/>
    </row>
    <row r="69" spans="1:12" ht="13.5" customHeight="1" x14ac:dyDescent="0.2">
      <c r="A69" s="738" t="s">
        <v>224</v>
      </c>
      <c r="B69" s="32" t="s">
        <v>4020</v>
      </c>
      <c r="C69" s="61">
        <v>320</v>
      </c>
      <c r="D69" s="69">
        <f>SUM(C69:C70)-D70</f>
        <v>426.66666666666663</v>
      </c>
      <c r="K69" s="64"/>
      <c r="L69" s="64"/>
    </row>
    <row r="70" spans="1:12" ht="13.5" customHeight="1" x14ac:dyDescent="0.2">
      <c r="A70" s="738" t="s">
        <v>224</v>
      </c>
      <c r="B70" s="32" t="s">
        <v>4013</v>
      </c>
      <c r="C70" s="61">
        <v>320</v>
      </c>
      <c r="D70" s="69">
        <f t="array" ref="D70">SUM(C69:C70/3)</f>
        <v>213.33333333333334</v>
      </c>
      <c r="K70" s="64"/>
      <c r="L70" s="64"/>
    </row>
    <row r="71" spans="1:12" ht="13.5" customHeight="1" x14ac:dyDescent="0.2">
      <c r="B71" s="36"/>
      <c r="C71" s="69"/>
      <c r="D71" s="69"/>
    </row>
    <row r="72" spans="1:12" ht="13.5" customHeight="1" x14ac:dyDescent="0.2">
      <c r="B72" s="36"/>
      <c r="C72" s="69"/>
      <c r="D72" s="69"/>
    </row>
    <row r="73" spans="1:12" ht="13.5" customHeight="1" x14ac:dyDescent="0.2">
      <c r="A73" s="738" t="s">
        <v>225</v>
      </c>
      <c r="B73" s="32" t="s">
        <v>4072</v>
      </c>
      <c r="C73" s="421">
        <v>789</v>
      </c>
      <c r="D73" s="69"/>
    </row>
    <row r="74" spans="1:12" ht="13.5" customHeight="1" x14ac:dyDescent="0.2">
      <c r="B74" s="32"/>
      <c r="C74" s="69"/>
      <c r="D74" s="69"/>
    </row>
    <row r="75" spans="1:12" ht="13.5" customHeight="1" x14ac:dyDescent="0.2">
      <c r="B75" s="32"/>
      <c r="C75" s="69"/>
      <c r="D75" s="69"/>
    </row>
    <row r="76" spans="1:12" ht="13.5" customHeight="1" x14ac:dyDescent="0.2">
      <c r="A76" s="738" t="s">
        <v>226</v>
      </c>
      <c r="B76" s="36" t="s">
        <v>4039</v>
      </c>
      <c r="C76" s="30">
        <v>190</v>
      </c>
      <c r="D76" s="69"/>
    </row>
    <row r="77" spans="1:12" ht="13.5" customHeight="1" x14ac:dyDescent="0.2">
      <c r="A77" s="738" t="s">
        <v>226</v>
      </c>
      <c r="B77" s="36" t="s">
        <v>3726</v>
      </c>
      <c r="C77" s="28">
        <v>405.65</v>
      </c>
      <c r="D77" s="69"/>
    </row>
    <row r="78" spans="1:12" ht="13.5" customHeight="1" x14ac:dyDescent="0.2">
      <c r="A78" s="738" t="s">
        <v>226</v>
      </c>
      <c r="B78" s="36" t="s">
        <v>3726</v>
      </c>
      <c r="C78" s="69">
        <v>341.31</v>
      </c>
      <c r="D78" s="69"/>
    </row>
    <row r="79" spans="1:12" ht="13.5" customHeight="1" x14ac:dyDescent="0.2">
      <c r="A79" s="738" t="s">
        <v>226</v>
      </c>
      <c r="B79" s="36" t="s">
        <v>3726</v>
      </c>
      <c r="C79" s="69">
        <v>24.3</v>
      </c>
      <c r="D79" s="69"/>
    </row>
    <row r="80" spans="1:12" ht="13.5" customHeight="1" x14ac:dyDescent="0.2">
      <c r="A80" s="738" t="s">
        <v>226</v>
      </c>
      <c r="B80" s="33" t="s">
        <v>736</v>
      </c>
      <c r="C80" s="69">
        <v>44.16</v>
      </c>
      <c r="D80" s="69"/>
    </row>
    <row r="81" spans="1:17" ht="13.5" customHeight="1" x14ac:dyDescent="0.2">
      <c r="A81" s="738" t="s">
        <v>226</v>
      </c>
      <c r="B81" s="36" t="s">
        <v>129</v>
      </c>
      <c r="C81" s="69">
        <v>47.31</v>
      </c>
      <c r="D81" s="69"/>
    </row>
    <row r="82" spans="1:17" ht="13.5" customHeight="1" x14ac:dyDescent="0.2">
      <c r="A82" s="738" t="s">
        <v>226</v>
      </c>
      <c r="B82" s="36" t="s">
        <v>4092</v>
      </c>
      <c r="C82" s="69">
        <v>2.5</v>
      </c>
      <c r="D82" s="69"/>
    </row>
    <row r="83" spans="1:17" ht="13.5" customHeight="1" x14ac:dyDescent="0.2">
      <c r="A83" s="738" t="s">
        <v>226</v>
      </c>
      <c r="B83" s="36" t="s">
        <v>3939</v>
      </c>
      <c r="C83" s="61">
        <v>14.68</v>
      </c>
      <c r="D83" s="69"/>
    </row>
    <row r="84" spans="1:17" ht="13.5" customHeight="1" x14ac:dyDescent="0.2">
      <c r="A84" s="738" t="s">
        <v>226</v>
      </c>
      <c r="B84" s="36" t="s">
        <v>87</v>
      </c>
      <c r="C84" s="69">
        <v>63.68</v>
      </c>
      <c r="D84" s="69"/>
    </row>
    <row r="85" spans="1:17" ht="13.5" customHeight="1" x14ac:dyDescent="0.2">
      <c r="A85" s="738" t="s">
        <v>226</v>
      </c>
      <c r="B85" s="36" t="s">
        <v>4038</v>
      </c>
      <c r="C85" s="30">
        <v>6</v>
      </c>
      <c r="D85" s="69"/>
    </row>
    <row r="86" spans="1:17" ht="13.5" customHeight="1" x14ac:dyDescent="0.2">
      <c r="A86" s="739" t="s">
        <v>226</v>
      </c>
      <c r="B86" s="36" t="s">
        <v>3996</v>
      </c>
      <c r="C86" s="69">
        <v>-6</v>
      </c>
      <c r="D86" s="69"/>
      <c r="M86" s="64"/>
      <c r="N86" s="64"/>
      <c r="O86" s="64"/>
      <c r="P86" s="64"/>
      <c r="Q86" s="64"/>
    </row>
    <row r="87" spans="1:17" ht="13.5" customHeight="1" x14ac:dyDescent="0.2">
      <c r="A87" s="739" t="s">
        <v>226</v>
      </c>
      <c r="B87" s="36" t="s">
        <v>422</v>
      </c>
      <c r="C87" s="69">
        <f t="array" ref="C87">SUM(H91:H96/2)</f>
        <v>127.89</v>
      </c>
      <c r="D87" s="69"/>
      <c r="M87" s="64"/>
      <c r="N87" s="64"/>
      <c r="O87" s="64"/>
      <c r="P87" s="64"/>
      <c r="Q87" s="64"/>
    </row>
    <row r="88" spans="1:17" ht="13.5" customHeight="1" x14ac:dyDescent="0.2">
      <c r="A88" s="739"/>
      <c r="B88" s="36"/>
      <c r="C88" s="421">
        <f>SUM(C76:C87)</f>
        <v>1261.4800000000002</v>
      </c>
      <c r="D88" s="69"/>
      <c r="M88" s="64"/>
      <c r="N88" s="64"/>
      <c r="O88" s="64"/>
      <c r="P88" s="64"/>
      <c r="Q88" s="64"/>
    </row>
    <row r="89" spans="1:17" ht="13.5" customHeight="1" x14ac:dyDescent="0.2">
      <c r="A89" s="739"/>
      <c r="B89" s="36"/>
      <c r="C89" s="69"/>
      <c r="D89" s="69"/>
      <c r="M89" s="64"/>
      <c r="N89" s="64"/>
      <c r="O89" s="64"/>
      <c r="P89" s="64"/>
      <c r="Q89" s="64"/>
    </row>
    <row r="90" spans="1:17" ht="13.5" customHeight="1" x14ac:dyDescent="0.2">
      <c r="A90" s="738" t="s">
        <v>226</v>
      </c>
      <c r="B90" s="36" t="s">
        <v>4093</v>
      </c>
      <c r="C90" s="69">
        <v>-3230</v>
      </c>
      <c r="D90" s="69"/>
      <c r="K90" s="64"/>
      <c r="L90" s="64"/>
    </row>
    <row r="91" spans="1:17" ht="13.5" customHeight="1" x14ac:dyDescent="0.2">
      <c r="A91" s="738" t="s">
        <v>226</v>
      </c>
      <c r="B91" s="36" t="s">
        <v>4081</v>
      </c>
      <c r="C91" s="69">
        <v>8275</v>
      </c>
      <c r="D91" s="69"/>
      <c r="F91" s="738" t="s">
        <v>226</v>
      </c>
      <c r="G91" s="32" t="s">
        <v>4036</v>
      </c>
      <c r="H91" s="30">
        <v>17</v>
      </c>
      <c r="I91" s="64"/>
      <c r="J91" s="64"/>
      <c r="M91" s="64"/>
      <c r="N91" s="64"/>
      <c r="O91" s="64"/>
      <c r="P91" s="64"/>
      <c r="Q91" s="64"/>
    </row>
    <row r="92" spans="1:17" ht="13.5" customHeight="1" x14ac:dyDescent="0.2">
      <c r="A92" s="738" t="s">
        <v>226</v>
      </c>
      <c r="B92" s="36" t="s">
        <v>3995</v>
      </c>
      <c r="C92" s="69">
        <v>3.5</v>
      </c>
      <c r="D92" s="69"/>
      <c r="F92" s="739" t="s">
        <v>226</v>
      </c>
      <c r="G92" s="36" t="s">
        <v>3944</v>
      </c>
      <c r="H92" s="69">
        <v>50</v>
      </c>
      <c r="K92" s="64"/>
      <c r="L92" s="64"/>
      <c r="M92" s="64"/>
      <c r="N92" s="64"/>
      <c r="O92" s="64"/>
      <c r="P92" s="64"/>
      <c r="Q92" s="64"/>
    </row>
    <row r="93" spans="1:17" ht="13.5" customHeight="1" x14ac:dyDescent="0.2">
      <c r="A93" s="738" t="s">
        <v>226</v>
      </c>
      <c r="B93" s="36" t="s">
        <v>3953</v>
      </c>
      <c r="C93" s="61">
        <v>50.9</v>
      </c>
      <c r="D93" s="69"/>
      <c r="F93" s="739" t="s">
        <v>226</v>
      </c>
      <c r="G93" s="32" t="s">
        <v>4042</v>
      </c>
      <c r="H93" s="30">
        <v>25</v>
      </c>
      <c r="K93" s="64"/>
      <c r="L93" s="64"/>
      <c r="M93" s="64"/>
      <c r="N93" s="64"/>
      <c r="O93" s="64"/>
      <c r="P93" s="64"/>
      <c r="Q93" s="64"/>
    </row>
    <row r="94" spans="1:17" ht="13.5" customHeight="1" x14ac:dyDescent="0.2">
      <c r="A94" s="738" t="s">
        <v>226</v>
      </c>
      <c r="B94" s="36" t="s">
        <v>3961</v>
      </c>
      <c r="C94" s="61">
        <v>14</v>
      </c>
      <c r="D94" s="69"/>
      <c r="F94" s="739" t="s">
        <v>226</v>
      </c>
      <c r="G94" s="32" t="s">
        <v>4037</v>
      </c>
      <c r="H94" s="30">
        <v>8</v>
      </c>
    </row>
    <row r="95" spans="1:17" s="64" customFormat="1" ht="13.5" customHeight="1" x14ac:dyDescent="0.2">
      <c r="A95" s="738" t="s">
        <v>226</v>
      </c>
      <c r="B95" s="32" t="s">
        <v>4021</v>
      </c>
      <c r="C95" s="61">
        <v>59.9</v>
      </c>
      <c r="D95" s="69"/>
      <c r="E95" s="1"/>
      <c r="F95" s="738" t="s">
        <v>226</v>
      </c>
      <c r="G95" s="36" t="s">
        <v>4058</v>
      </c>
      <c r="H95" s="69">
        <v>105.78</v>
      </c>
      <c r="K95" s="1"/>
      <c r="L95" s="1"/>
      <c r="M95" s="1"/>
      <c r="N95" s="1"/>
      <c r="O95" s="1"/>
      <c r="P95" s="1"/>
      <c r="Q95" s="1"/>
    </row>
    <row r="96" spans="1:17" s="64" customFormat="1" ht="13.5" customHeight="1" x14ac:dyDescent="0.2">
      <c r="A96" s="738" t="s">
        <v>226</v>
      </c>
      <c r="B96" s="32" t="s">
        <v>4094</v>
      </c>
      <c r="C96" s="61">
        <v>317.95999999999998</v>
      </c>
      <c r="D96" s="69"/>
      <c r="E96" s="1"/>
      <c r="F96" s="738" t="s">
        <v>226</v>
      </c>
      <c r="G96" s="32" t="s">
        <v>813</v>
      </c>
      <c r="H96" s="69">
        <v>50</v>
      </c>
      <c r="I96" s="1"/>
      <c r="J96" s="1"/>
      <c r="K96" s="1"/>
      <c r="L96" s="1"/>
      <c r="M96" s="1"/>
      <c r="N96" s="1"/>
      <c r="O96" s="1"/>
      <c r="P96" s="1"/>
      <c r="Q96" s="1"/>
    </row>
    <row r="97" spans="1:17" s="64" customFormat="1" ht="13.5" customHeight="1" x14ac:dyDescent="0.2">
      <c r="A97" s="738" t="s">
        <v>226</v>
      </c>
      <c r="B97" s="36" t="s">
        <v>3999</v>
      </c>
      <c r="C97" s="69">
        <v>1.9</v>
      </c>
      <c r="D97" s="69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</row>
    <row r="98" spans="1:17" s="64" customFormat="1" ht="13.5" customHeight="1" x14ac:dyDescent="0.2">
      <c r="A98" s="738" t="s">
        <v>226</v>
      </c>
      <c r="B98" s="32" t="s">
        <v>4019</v>
      </c>
      <c r="C98" s="61">
        <v>51</v>
      </c>
      <c r="D98" s="69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</row>
    <row r="99" spans="1:17" s="64" customFormat="1" ht="13.5" customHeight="1" x14ac:dyDescent="0.2">
      <c r="A99" s="738" t="s">
        <v>226</v>
      </c>
      <c r="B99" s="36" t="s">
        <v>3972</v>
      </c>
      <c r="C99" s="69">
        <v>24.94</v>
      </c>
      <c r="D99" s="69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</row>
    <row r="100" spans="1:17" s="64" customFormat="1" ht="13.5" customHeight="1" x14ac:dyDescent="0.2">
      <c r="A100" s="738" t="s">
        <v>226</v>
      </c>
      <c r="B100" s="32" t="s">
        <v>4023</v>
      </c>
      <c r="C100" s="61">
        <v>1148.6199999999999</v>
      </c>
      <c r="D100" s="69"/>
      <c r="E100" s="1"/>
      <c r="F100" s="1"/>
      <c r="G100" s="1"/>
      <c r="H100" s="1"/>
      <c r="K100" s="1"/>
      <c r="L100" s="1"/>
      <c r="M100" s="1"/>
      <c r="N100" s="1"/>
      <c r="O100" s="1"/>
      <c r="P100" s="1"/>
      <c r="Q100" s="1"/>
    </row>
    <row r="101" spans="1:17" s="64" customFormat="1" ht="13.5" customHeight="1" x14ac:dyDescent="0.2">
      <c r="A101" s="738" t="s">
        <v>226</v>
      </c>
      <c r="B101" s="32" t="s">
        <v>4031</v>
      </c>
      <c r="C101" s="30">
        <v>41.5</v>
      </c>
      <c r="D101" s="69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64" customFormat="1" ht="13.5" customHeight="1" x14ac:dyDescent="0.2">
      <c r="A102" s="738" t="s">
        <v>226</v>
      </c>
      <c r="B102" s="32" t="s">
        <v>625</v>
      </c>
      <c r="C102" s="30">
        <f>C87</f>
        <v>127.89</v>
      </c>
      <c r="D102" s="6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64" customFormat="1" ht="13.5" customHeight="1" x14ac:dyDescent="0.2">
      <c r="A103" s="738"/>
      <c r="B103" s="32"/>
      <c r="C103" s="620">
        <f>SUM(C90:C102)</f>
        <v>6887.1099999999988</v>
      </c>
      <c r="D103" s="6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64" customFormat="1" ht="13.5" customHeight="1" x14ac:dyDescent="0.2">
      <c r="A104" s="738"/>
      <c r="B104" s="32"/>
      <c r="C104" s="30"/>
      <c r="D104" s="6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64" customFormat="1" ht="13.5" customHeight="1" x14ac:dyDescent="0.2">
      <c r="A105" s="739" t="s">
        <v>243</v>
      </c>
      <c r="B105" s="32" t="s">
        <v>4091</v>
      </c>
      <c r="C105" s="30">
        <v>900</v>
      </c>
      <c r="D105" s="6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</row>
    <row r="106" spans="1:17" s="64" customFormat="1" ht="13.5" customHeight="1" x14ac:dyDescent="0.2">
      <c r="A106" s="739" t="s">
        <v>243</v>
      </c>
      <c r="B106" s="32" t="s">
        <v>5552</v>
      </c>
      <c r="C106" s="30">
        <f>D70</f>
        <v>213.33333333333334</v>
      </c>
      <c r="D106" s="6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</row>
    <row r="107" spans="1:17" s="64" customFormat="1" ht="13.5" customHeight="1" x14ac:dyDescent="0.2">
      <c r="A107" s="739" t="s">
        <v>243</v>
      </c>
      <c r="B107" s="32" t="s">
        <v>4032</v>
      </c>
      <c r="C107" s="30">
        <v>145.35</v>
      </c>
      <c r="D107" s="69"/>
      <c r="E107" s="1"/>
      <c r="F107" s="1"/>
      <c r="G107" s="1"/>
      <c r="H107" s="1"/>
      <c r="I107" s="1"/>
      <c r="J107" s="1"/>
      <c r="M107" s="1"/>
      <c r="N107" s="1"/>
      <c r="O107" s="1"/>
      <c r="P107" s="1"/>
      <c r="Q107" s="1"/>
    </row>
    <row r="108" spans="1:17" s="64" customFormat="1" ht="13.5" customHeight="1" x14ac:dyDescent="0.2">
      <c r="A108" s="738" t="s">
        <v>243</v>
      </c>
      <c r="B108" s="36" t="s">
        <v>4034</v>
      </c>
      <c r="C108" s="30">
        <v>890</v>
      </c>
      <c r="D108" s="6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64" customFormat="1" ht="13.5" customHeight="1" x14ac:dyDescent="0.2">
      <c r="A109" s="738" t="s">
        <v>243</v>
      </c>
      <c r="B109" s="36" t="s">
        <v>134</v>
      </c>
      <c r="C109" s="69">
        <v>109.9</v>
      </c>
      <c r="D109" s="69"/>
      <c r="E109" s="1"/>
      <c r="F109" s="1"/>
      <c r="G109" s="1"/>
      <c r="H109" s="1"/>
      <c r="I109" s="1"/>
      <c r="J109" s="1"/>
      <c r="M109" s="1"/>
      <c r="N109" s="1"/>
      <c r="O109" s="1"/>
      <c r="P109" s="1"/>
      <c r="Q109" s="1"/>
    </row>
    <row r="110" spans="1:17" s="64" customFormat="1" ht="13.5" customHeight="1" x14ac:dyDescent="0.2">
      <c r="A110" s="738" t="s">
        <v>243</v>
      </c>
      <c r="B110" s="36" t="s">
        <v>3248</v>
      </c>
      <c r="C110" s="61">
        <v>2375</v>
      </c>
      <c r="D110" s="69"/>
      <c r="E110" s="1"/>
      <c r="F110" s="1"/>
      <c r="G110" s="1"/>
      <c r="H110" s="1"/>
      <c r="I110" s="1"/>
      <c r="J110" s="1"/>
      <c r="M110" s="1"/>
      <c r="N110" s="1"/>
      <c r="O110" s="1"/>
      <c r="P110" s="1"/>
      <c r="Q110" s="1"/>
    </row>
    <row r="111" spans="1:17" s="64" customFormat="1" ht="13.5" customHeight="1" x14ac:dyDescent="0.2">
      <c r="A111" s="738" t="s">
        <v>243</v>
      </c>
      <c r="B111" s="33" t="s">
        <v>81</v>
      </c>
      <c r="C111" s="69">
        <v>52.35</v>
      </c>
      <c r="D111" s="69"/>
      <c r="E111" s="1"/>
      <c r="F111" s="1"/>
      <c r="G111" s="1"/>
      <c r="H111" s="1"/>
      <c r="M111" s="1"/>
      <c r="N111" s="1"/>
      <c r="O111" s="1"/>
      <c r="P111" s="1"/>
      <c r="Q111" s="1"/>
    </row>
    <row r="112" spans="1:17" s="64" customFormat="1" ht="13.5" customHeight="1" x14ac:dyDescent="0.2">
      <c r="A112" s="738" t="s">
        <v>243</v>
      </c>
      <c r="B112" s="36" t="s">
        <v>673</v>
      </c>
      <c r="C112" s="69">
        <v>99.98</v>
      </c>
      <c r="D112" s="69"/>
      <c r="E112" s="1"/>
      <c r="F112" s="1"/>
      <c r="G112" s="1"/>
      <c r="H112" s="1"/>
      <c r="I112" s="1"/>
      <c r="J112" s="1"/>
      <c r="M112" s="1"/>
      <c r="N112" s="1"/>
      <c r="O112" s="1"/>
      <c r="P112" s="1"/>
      <c r="Q112" s="1"/>
    </row>
    <row r="113" spans="1:17" s="64" customFormat="1" ht="13.5" customHeight="1" x14ac:dyDescent="0.2">
      <c r="A113" s="738" t="s">
        <v>243</v>
      </c>
      <c r="B113" s="36" t="s">
        <v>3971</v>
      </c>
      <c r="C113" s="69">
        <v>12.9</v>
      </c>
      <c r="D113" s="69"/>
      <c r="E113" s="1"/>
      <c r="F113" s="1"/>
      <c r="G113" s="1"/>
      <c r="H113" s="1"/>
    </row>
    <row r="114" spans="1:17" s="64" customFormat="1" ht="13.5" customHeight="1" x14ac:dyDescent="0.2">
      <c r="A114" s="738" t="s">
        <v>243</v>
      </c>
      <c r="B114" s="36" t="s">
        <v>3984</v>
      </c>
      <c r="C114" s="69">
        <v>48.6</v>
      </c>
      <c r="D114" s="69"/>
      <c r="E114" s="1"/>
      <c r="F114" s="1"/>
      <c r="G114" s="1"/>
      <c r="H114" s="1"/>
      <c r="M114" s="1"/>
      <c r="N114" s="1"/>
      <c r="O114" s="1"/>
      <c r="P114" s="1"/>
      <c r="Q114" s="1"/>
    </row>
    <row r="115" spans="1:17" s="64" customFormat="1" ht="13.5" customHeight="1" x14ac:dyDescent="0.2">
      <c r="A115" s="738" t="s">
        <v>243</v>
      </c>
      <c r="B115" s="34" t="s">
        <v>3954</v>
      </c>
      <c r="C115" s="61">
        <v>33.9</v>
      </c>
      <c r="D115" s="69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64" customFormat="1" ht="13.5" customHeight="1" x14ac:dyDescent="0.2">
      <c r="A116" s="738" t="s">
        <v>243</v>
      </c>
      <c r="B116" s="34" t="s">
        <v>3960</v>
      </c>
      <c r="C116" s="61">
        <v>5.98</v>
      </c>
      <c r="D116" s="69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</row>
    <row r="117" spans="1:17" s="64" customFormat="1" ht="13.5" customHeight="1" x14ac:dyDescent="0.2">
      <c r="A117" s="738" t="s">
        <v>243</v>
      </c>
      <c r="B117" s="36" t="s">
        <v>3951</v>
      </c>
      <c r="C117" s="61">
        <v>71.900000000000006</v>
      </c>
      <c r="D117" s="69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</row>
    <row r="118" spans="1:17" s="64" customFormat="1" ht="13.5" customHeight="1" x14ac:dyDescent="0.2">
      <c r="A118" s="738" t="s">
        <v>5551</v>
      </c>
      <c r="B118" s="36" t="s">
        <v>5550</v>
      </c>
      <c r="C118" s="69">
        <v>87.79</v>
      </c>
      <c r="D118" s="69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</row>
    <row r="119" spans="1:17" s="64" customFormat="1" ht="13.5" customHeight="1" x14ac:dyDescent="0.2">
      <c r="A119" s="738" t="s">
        <v>243</v>
      </c>
      <c r="B119" s="32" t="s">
        <v>4011</v>
      </c>
      <c r="C119" s="61">
        <v>250</v>
      </c>
      <c r="D119" s="69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</row>
    <row r="120" spans="1:17" s="64" customFormat="1" ht="13.5" customHeight="1" x14ac:dyDescent="0.2">
      <c r="A120" s="738" t="s">
        <v>243</v>
      </c>
      <c r="B120" s="32" t="s">
        <v>4016</v>
      </c>
      <c r="C120" s="61">
        <v>70</v>
      </c>
      <c r="D120" s="69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</row>
    <row r="121" spans="1:17" s="64" customFormat="1" ht="13.5" customHeight="1" x14ac:dyDescent="0.2">
      <c r="A121" s="738" t="s">
        <v>243</v>
      </c>
      <c r="B121" s="36" t="s">
        <v>3946</v>
      </c>
      <c r="C121" s="69">
        <v>600</v>
      </c>
      <c r="D121" s="69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</row>
    <row r="122" spans="1:17" s="64" customFormat="1" ht="13.5" customHeight="1" x14ac:dyDescent="0.2">
      <c r="A122" s="738" t="s">
        <v>243</v>
      </c>
      <c r="B122" s="36" t="s">
        <v>3947</v>
      </c>
      <c r="C122" s="61">
        <v>600</v>
      </c>
      <c r="D122" s="69"/>
      <c r="E122" s="1"/>
      <c r="F122" s="1"/>
      <c r="G122" s="1"/>
      <c r="H122" s="1"/>
      <c r="K122" s="1"/>
      <c r="L122" s="1"/>
      <c r="M122" s="1"/>
      <c r="N122" s="1"/>
      <c r="O122" s="1"/>
      <c r="P122" s="1"/>
      <c r="Q122" s="1"/>
    </row>
    <row r="123" spans="1:17" s="64" customFormat="1" ht="13.5" customHeight="1" x14ac:dyDescent="0.2">
      <c r="A123" s="738"/>
      <c r="B123" s="34"/>
      <c r="C123" s="421">
        <f>SUM(C105:C122)</f>
        <v>6566.9833333333327</v>
      </c>
      <c r="D123" s="69">
        <f>C123/2</f>
        <v>3283.4916666666663</v>
      </c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64" customFormat="1" ht="13.5" customHeight="1" x14ac:dyDescent="0.2">
      <c r="A124" s="738"/>
      <c r="B124" s="34"/>
      <c r="C124" s="61"/>
      <c r="D124" s="69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64" customFormat="1" ht="13.5" customHeight="1" x14ac:dyDescent="0.2">
      <c r="A125" s="738" t="s">
        <v>418</v>
      </c>
      <c r="B125" s="34" t="s">
        <v>177</v>
      </c>
      <c r="C125" s="421">
        <v>80.98</v>
      </c>
      <c r="D125" s="69"/>
      <c r="E125" s="1"/>
      <c r="F125" s="1"/>
      <c r="G125" s="1"/>
      <c r="H125" s="1"/>
      <c r="M125" s="1"/>
      <c r="N125" s="1"/>
      <c r="O125" s="1"/>
      <c r="P125" s="1"/>
      <c r="Q125" s="1"/>
    </row>
    <row r="126" spans="1:17" ht="13.5" customHeight="1" x14ac:dyDescent="0.2">
      <c r="B126" s="34"/>
      <c r="C126" s="69"/>
      <c r="D126" s="69"/>
      <c r="K126" s="64"/>
      <c r="L126" s="64"/>
    </row>
    <row r="127" spans="1:17" ht="13.5" customHeight="1" x14ac:dyDescent="0.2">
      <c r="B127" s="34"/>
      <c r="C127" s="69"/>
      <c r="D127" s="69"/>
    </row>
    <row r="128" spans="1:17" s="64" customFormat="1" ht="13.5" customHeight="1" x14ac:dyDescent="0.2">
      <c r="A128" s="739" t="s">
        <v>231</v>
      </c>
      <c r="B128" s="36" t="s">
        <v>4078</v>
      </c>
      <c r="C128" s="421">
        <v>578.98</v>
      </c>
      <c r="D128" s="69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</row>
    <row r="129" spans="1:17" s="64" customFormat="1" ht="13.5" customHeight="1" x14ac:dyDescent="0.2">
      <c r="A129" s="739"/>
      <c r="B129" s="34"/>
      <c r="C129" s="69"/>
      <c r="D129" s="69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</row>
    <row r="130" spans="1:17" s="64" customFormat="1" ht="13.5" customHeight="1" x14ac:dyDescent="0.2">
      <c r="A130" s="739"/>
      <c r="B130" s="34"/>
      <c r="C130" s="69"/>
      <c r="D130" s="69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</row>
    <row r="131" spans="1:17" s="64" customFormat="1" ht="13.5" customHeight="1" x14ac:dyDescent="0.2">
      <c r="A131" s="739" t="s">
        <v>443</v>
      </c>
      <c r="B131" s="34" t="s">
        <v>86</v>
      </c>
      <c r="C131" s="69">
        <v>92.5</v>
      </c>
      <c r="D131" s="69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</row>
    <row r="132" spans="1:17" s="64" customFormat="1" ht="13.5" customHeight="1" x14ac:dyDescent="0.2">
      <c r="A132" s="739" t="s">
        <v>443</v>
      </c>
      <c r="B132" s="34" t="s">
        <v>86</v>
      </c>
      <c r="C132" s="69">
        <v>75.900000000000006</v>
      </c>
      <c r="D132" s="69"/>
      <c r="E132" s="1"/>
      <c r="F132" s="1"/>
      <c r="G132" s="1"/>
      <c r="H132" s="1"/>
      <c r="K132" s="1"/>
      <c r="L132" s="1"/>
      <c r="M132" s="1"/>
      <c r="N132" s="1"/>
      <c r="O132" s="1"/>
      <c r="P132" s="1"/>
      <c r="Q132" s="1"/>
    </row>
    <row r="133" spans="1:17" s="64" customFormat="1" ht="13.5" customHeight="1" x14ac:dyDescent="0.2">
      <c r="A133" s="739" t="s">
        <v>443</v>
      </c>
      <c r="B133" s="36" t="s">
        <v>86</v>
      </c>
      <c r="C133" s="69">
        <v>12.5</v>
      </c>
      <c r="D133" s="69"/>
      <c r="E133" s="1"/>
      <c r="F133" s="1"/>
      <c r="G133" s="1"/>
      <c r="H133" s="1"/>
      <c r="K133" s="1"/>
      <c r="L133" s="1"/>
      <c r="M133" s="1"/>
      <c r="N133" s="1"/>
      <c r="O133" s="1"/>
      <c r="P133" s="1"/>
      <c r="Q133" s="1"/>
    </row>
    <row r="134" spans="1:17" s="64" customFormat="1" ht="13.5" customHeight="1" x14ac:dyDescent="0.2">
      <c r="A134" s="739" t="s">
        <v>443</v>
      </c>
      <c r="B134" s="34" t="s">
        <v>86</v>
      </c>
      <c r="C134" s="69">
        <v>10.9</v>
      </c>
      <c r="D134" s="69"/>
      <c r="E134" s="1"/>
      <c r="F134" s="1"/>
      <c r="G134" s="1"/>
      <c r="H134" s="1"/>
      <c r="K134" s="1"/>
      <c r="L134" s="1"/>
    </row>
    <row r="135" spans="1:17" s="64" customFormat="1" ht="13.5" customHeight="1" x14ac:dyDescent="0.2">
      <c r="A135" s="739"/>
      <c r="B135" s="34"/>
      <c r="C135" s="421">
        <f>SUM(C131:C134)</f>
        <v>191.8</v>
      </c>
      <c r="D135" s="69"/>
      <c r="E135" s="1"/>
      <c r="F135" s="1"/>
      <c r="G135" s="1"/>
      <c r="H135" s="1"/>
      <c r="K135" s="1"/>
      <c r="L135" s="1"/>
    </row>
    <row r="136" spans="1:17" s="64" customFormat="1" ht="13.5" customHeight="1" x14ac:dyDescent="0.2">
      <c r="A136" s="739"/>
      <c r="B136" s="34"/>
      <c r="C136" s="69"/>
      <c r="D136" s="69"/>
      <c r="E136" s="1"/>
      <c r="F136" s="1"/>
      <c r="G136" s="1"/>
      <c r="H136" s="1"/>
      <c r="I136" s="1"/>
      <c r="J136" s="1"/>
      <c r="K136" s="1"/>
      <c r="L136" s="1"/>
    </row>
    <row r="137" spans="1:17" s="64" customFormat="1" ht="13.5" customHeight="1" x14ac:dyDescent="0.2">
      <c r="A137" s="738" t="s">
        <v>417</v>
      </c>
      <c r="B137" s="34" t="s">
        <v>624</v>
      </c>
      <c r="C137" s="421">
        <f t="array" ref="C137">SUM(H139:H141/2)</f>
        <v>561.82999999999993</v>
      </c>
      <c r="D137" s="69"/>
      <c r="E137" s="1"/>
      <c r="F137" s="1"/>
      <c r="G137" s="1"/>
      <c r="H137" s="1"/>
      <c r="I137" s="1"/>
      <c r="J137" s="1"/>
      <c r="K137" s="1"/>
      <c r="L137" s="1"/>
    </row>
    <row r="138" spans="1:17" s="64" customFormat="1" ht="13.5" customHeight="1" x14ac:dyDescent="0.2">
      <c r="A138" s="738"/>
      <c r="B138" s="34"/>
      <c r="C138" s="69"/>
      <c r="D138" s="69"/>
      <c r="E138" s="1"/>
      <c r="F138" s="1"/>
      <c r="G138" s="1"/>
      <c r="H138" s="1"/>
      <c r="I138" s="1"/>
      <c r="J138" s="1"/>
      <c r="K138" s="1"/>
      <c r="L138" s="1"/>
    </row>
    <row r="139" spans="1:17" s="64" customFormat="1" ht="13.5" customHeight="1" x14ac:dyDescent="0.2">
      <c r="A139" s="738" t="s">
        <v>417</v>
      </c>
      <c r="B139" s="34" t="s">
        <v>3956</v>
      </c>
      <c r="C139" s="61">
        <v>60</v>
      </c>
      <c r="D139" s="69"/>
      <c r="E139" s="1"/>
      <c r="F139" s="738" t="s">
        <v>417</v>
      </c>
      <c r="G139" s="34" t="s">
        <v>3504</v>
      </c>
      <c r="H139" s="69">
        <v>433.84</v>
      </c>
      <c r="I139" s="1"/>
      <c r="J139" s="1"/>
      <c r="K139" s="1"/>
      <c r="L139" s="1"/>
    </row>
    <row r="140" spans="1:17" s="64" customFormat="1" ht="13.5" customHeight="1" x14ac:dyDescent="0.2">
      <c r="A140" s="738" t="s">
        <v>417</v>
      </c>
      <c r="B140" s="34" t="s">
        <v>3957</v>
      </c>
      <c r="C140" s="61">
        <v>15.96</v>
      </c>
      <c r="D140" s="69"/>
      <c r="E140" s="1"/>
      <c r="F140" s="739" t="s">
        <v>417</v>
      </c>
      <c r="G140" s="36" t="s">
        <v>3911</v>
      </c>
      <c r="H140" s="69">
        <v>100</v>
      </c>
      <c r="I140" s="1"/>
      <c r="J140" s="1"/>
      <c r="K140" s="1"/>
      <c r="L140" s="1"/>
    </row>
    <row r="141" spans="1:17" s="64" customFormat="1" ht="13.5" customHeight="1" x14ac:dyDescent="0.2">
      <c r="A141" s="738" t="s">
        <v>417</v>
      </c>
      <c r="B141" s="138" t="s">
        <v>4028</v>
      </c>
      <c r="C141" s="61">
        <v>735</v>
      </c>
      <c r="D141" s="69"/>
      <c r="E141" s="1"/>
      <c r="F141" s="738" t="s">
        <v>417</v>
      </c>
      <c r="G141" s="34" t="s">
        <v>3731</v>
      </c>
      <c r="H141" s="69">
        <v>589.82000000000005</v>
      </c>
      <c r="I141" s="1"/>
      <c r="J141" s="1"/>
      <c r="K141" s="1"/>
      <c r="L141" s="1"/>
    </row>
    <row r="142" spans="1:17" ht="13.5" customHeight="1" x14ac:dyDescent="0.2">
      <c r="A142" s="738" t="s">
        <v>417</v>
      </c>
      <c r="B142" s="138" t="s">
        <v>4027</v>
      </c>
      <c r="C142" s="61">
        <v>300</v>
      </c>
      <c r="D142" s="69"/>
      <c r="M142" s="64"/>
      <c r="N142" s="64"/>
      <c r="O142" s="64"/>
      <c r="P142" s="64"/>
      <c r="Q142" s="64"/>
    </row>
    <row r="143" spans="1:17" ht="13.5" customHeight="1" x14ac:dyDescent="0.2">
      <c r="A143" s="738" t="s">
        <v>417</v>
      </c>
      <c r="B143" s="34" t="s">
        <v>3959</v>
      </c>
      <c r="C143" s="61">
        <v>525</v>
      </c>
      <c r="D143" s="69"/>
      <c r="M143" s="64"/>
      <c r="N143" s="64"/>
      <c r="O143" s="64"/>
      <c r="P143" s="64"/>
      <c r="Q143" s="64"/>
    </row>
    <row r="144" spans="1:17" ht="13.5" customHeight="1" x14ac:dyDescent="0.2">
      <c r="A144" s="738" t="s">
        <v>417</v>
      </c>
      <c r="B144" s="36" t="s">
        <v>3989</v>
      </c>
      <c r="C144" s="69">
        <v>525</v>
      </c>
      <c r="D144" s="69"/>
      <c r="I144" s="64"/>
      <c r="J144" s="64"/>
      <c r="M144" s="64"/>
      <c r="N144" s="64"/>
      <c r="O144" s="64"/>
      <c r="P144" s="64"/>
      <c r="Q144" s="64"/>
    </row>
    <row r="145" spans="1:17" ht="13.5" customHeight="1" x14ac:dyDescent="0.2">
      <c r="A145" s="738" t="s">
        <v>417</v>
      </c>
      <c r="B145" s="32" t="s">
        <v>4018</v>
      </c>
      <c r="C145" s="61">
        <v>545</v>
      </c>
      <c r="D145" s="69"/>
      <c r="I145" s="64"/>
      <c r="J145" s="64"/>
    </row>
    <row r="146" spans="1:17" ht="13.5" customHeight="1" x14ac:dyDescent="0.2">
      <c r="A146" s="738" t="s">
        <v>417</v>
      </c>
      <c r="B146" s="138" t="s">
        <v>4026</v>
      </c>
      <c r="C146" s="61">
        <v>315</v>
      </c>
      <c r="D146" s="69"/>
      <c r="M146" s="64"/>
      <c r="N146" s="64"/>
      <c r="O146" s="64"/>
      <c r="P146" s="64"/>
      <c r="Q146" s="64"/>
    </row>
    <row r="147" spans="1:17" ht="13.5" customHeight="1" x14ac:dyDescent="0.2">
      <c r="A147" s="738" t="s">
        <v>417</v>
      </c>
      <c r="B147" s="32" t="s">
        <v>4025</v>
      </c>
      <c r="C147" s="61">
        <v>180</v>
      </c>
      <c r="D147" s="69"/>
      <c r="I147" s="64"/>
      <c r="J147" s="64"/>
    </row>
    <row r="148" spans="1:17" ht="13.5" customHeight="1" x14ac:dyDescent="0.2">
      <c r="A148" s="738" t="s">
        <v>417</v>
      </c>
      <c r="B148" s="34" t="s">
        <v>3958</v>
      </c>
      <c r="C148" s="61">
        <v>300</v>
      </c>
      <c r="D148" s="69"/>
    </row>
    <row r="149" spans="1:17" ht="13.5" customHeight="1" x14ac:dyDescent="0.2">
      <c r="A149" s="738" t="s">
        <v>417</v>
      </c>
      <c r="B149" s="34" t="s">
        <v>3988</v>
      </c>
      <c r="C149" s="69">
        <v>300</v>
      </c>
      <c r="D149" s="69"/>
      <c r="I149" s="64"/>
      <c r="J149" s="64"/>
    </row>
    <row r="150" spans="1:17" ht="13.5" customHeight="1" x14ac:dyDescent="0.2">
      <c r="A150" s="738" t="s">
        <v>417</v>
      </c>
      <c r="B150" s="32" t="s">
        <v>4017</v>
      </c>
      <c r="C150" s="61">
        <v>300</v>
      </c>
      <c r="D150" s="69"/>
      <c r="K150" s="64"/>
      <c r="L150" s="64"/>
    </row>
    <row r="151" spans="1:17" ht="13.5" customHeight="1" x14ac:dyDescent="0.2">
      <c r="A151" s="738" t="s">
        <v>417</v>
      </c>
      <c r="B151" s="34" t="s">
        <v>3952</v>
      </c>
      <c r="C151" s="61">
        <v>280</v>
      </c>
      <c r="D151" s="69"/>
      <c r="K151" s="64"/>
      <c r="L151" s="64"/>
    </row>
    <row r="152" spans="1:17" ht="13.5" customHeight="1" x14ac:dyDescent="0.2">
      <c r="A152" s="738" t="s">
        <v>417</v>
      </c>
      <c r="B152" s="34" t="s">
        <v>625</v>
      </c>
      <c r="C152" s="61">
        <f>C137</f>
        <v>561.82999999999993</v>
      </c>
      <c r="D152" s="69"/>
      <c r="K152" s="64"/>
      <c r="L152" s="64"/>
    </row>
    <row r="153" spans="1:17" ht="13.5" customHeight="1" x14ac:dyDescent="0.2">
      <c r="B153" s="34"/>
      <c r="C153" s="421">
        <f>SUM(C139:C152)</f>
        <v>4942.79</v>
      </c>
      <c r="D153" s="69"/>
    </row>
    <row r="154" spans="1:17" ht="13.5" customHeight="1" x14ac:dyDescent="0.2">
      <c r="B154" s="34"/>
      <c r="C154" s="61"/>
      <c r="D154" s="69"/>
      <c r="I154" s="64"/>
      <c r="J154" s="64"/>
    </row>
    <row r="155" spans="1:17" ht="13.5" customHeight="1" x14ac:dyDescent="0.2">
      <c r="A155" s="738" t="s">
        <v>234</v>
      </c>
      <c r="B155" s="34" t="s">
        <v>3979</v>
      </c>
      <c r="C155" s="69">
        <v>14.6</v>
      </c>
      <c r="D155" s="69"/>
      <c r="I155" s="64"/>
      <c r="J155" s="64"/>
      <c r="K155" s="64"/>
      <c r="L155" s="64"/>
    </row>
    <row r="156" spans="1:17" ht="13.5" customHeight="1" x14ac:dyDescent="0.2">
      <c r="A156" s="738" t="s">
        <v>234</v>
      </c>
      <c r="B156" s="34" t="s">
        <v>3976</v>
      </c>
      <c r="C156" s="69">
        <v>4</v>
      </c>
      <c r="D156" s="69"/>
      <c r="I156" s="64"/>
      <c r="J156" s="64"/>
      <c r="K156" s="64"/>
      <c r="L156" s="64"/>
    </row>
    <row r="157" spans="1:17" ht="13.5" customHeight="1" x14ac:dyDescent="0.2">
      <c r="A157" s="738" t="s">
        <v>234</v>
      </c>
      <c r="B157" s="34" t="s">
        <v>3991</v>
      </c>
      <c r="C157" s="69">
        <v>41.97</v>
      </c>
      <c r="D157" s="69"/>
      <c r="K157" s="64"/>
      <c r="L157" s="64"/>
    </row>
    <row r="158" spans="1:17" ht="13.5" customHeight="1" x14ac:dyDescent="0.2">
      <c r="A158" s="738" t="s">
        <v>234</v>
      </c>
      <c r="B158" s="34" t="s">
        <v>4009</v>
      </c>
      <c r="C158" s="69">
        <v>4</v>
      </c>
      <c r="D158" s="69"/>
    </row>
    <row r="159" spans="1:17" ht="13.5" customHeight="1" x14ac:dyDescent="0.2">
      <c r="A159" s="738" t="s">
        <v>234</v>
      </c>
      <c r="B159" s="36" t="s">
        <v>3983</v>
      </c>
      <c r="C159" s="69">
        <v>7.5</v>
      </c>
      <c r="D159" s="69"/>
      <c r="I159" s="64"/>
      <c r="J159" s="64"/>
    </row>
    <row r="160" spans="1:17" ht="13.5" customHeight="1" x14ac:dyDescent="0.2">
      <c r="A160" s="738" t="s">
        <v>234</v>
      </c>
      <c r="B160" s="36" t="s">
        <v>3977</v>
      </c>
      <c r="C160" s="69">
        <v>10</v>
      </c>
      <c r="D160" s="69"/>
      <c r="I160" s="64"/>
      <c r="J160" s="64"/>
      <c r="K160" s="64"/>
      <c r="L160" s="64"/>
    </row>
    <row r="161" spans="1:10" ht="13.5" customHeight="1" x14ac:dyDescent="0.2">
      <c r="A161" s="738" t="s">
        <v>234</v>
      </c>
      <c r="B161" s="36" t="s">
        <v>3980</v>
      </c>
      <c r="C161" s="69">
        <v>17.600000000000001</v>
      </c>
      <c r="D161" s="69"/>
      <c r="I161" s="64"/>
      <c r="J161" s="64"/>
    </row>
    <row r="162" spans="1:10" ht="13.5" customHeight="1" x14ac:dyDescent="0.2">
      <c r="A162" s="738" t="s">
        <v>234</v>
      </c>
      <c r="B162" s="36" t="s">
        <v>3937</v>
      </c>
      <c r="C162" s="69">
        <v>5</v>
      </c>
      <c r="D162" s="69"/>
    </row>
    <row r="163" spans="1:10" ht="13.5" customHeight="1" x14ac:dyDescent="0.2">
      <c r="A163" s="738" t="s">
        <v>234</v>
      </c>
      <c r="B163" s="34" t="s">
        <v>4070</v>
      </c>
      <c r="C163" s="69">
        <v>368</v>
      </c>
      <c r="D163" s="69"/>
    </row>
    <row r="164" spans="1:10" ht="13.5" customHeight="1" x14ac:dyDescent="0.2">
      <c r="A164" s="739" t="s">
        <v>234</v>
      </c>
      <c r="B164" s="722" t="s">
        <v>4066</v>
      </c>
      <c r="C164" s="69">
        <v>48.85</v>
      </c>
      <c r="D164" s="69"/>
      <c r="F164" s="738" t="s">
        <v>234</v>
      </c>
      <c r="G164" s="34" t="s">
        <v>4043</v>
      </c>
      <c r="H164" s="30">
        <v>140</v>
      </c>
    </row>
    <row r="165" spans="1:10" ht="13.5" customHeight="1" x14ac:dyDescent="0.2">
      <c r="A165" s="739" t="s">
        <v>234</v>
      </c>
      <c r="B165" s="722" t="s">
        <v>624</v>
      </c>
      <c r="C165" s="69">
        <f t="array" ref="C165">SUM(H164:H165/2)</f>
        <v>79.489999999999995</v>
      </c>
      <c r="D165" s="69"/>
      <c r="F165" s="738" t="s">
        <v>234</v>
      </c>
      <c r="G165" s="32" t="s">
        <v>4041</v>
      </c>
      <c r="H165" s="30">
        <v>18.98</v>
      </c>
    </row>
    <row r="166" spans="1:10" ht="13.5" customHeight="1" x14ac:dyDescent="0.2">
      <c r="A166" s="739"/>
      <c r="B166" s="722"/>
      <c r="C166" s="421">
        <f>SUM(C155:C165)</f>
        <v>601.01</v>
      </c>
      <c r="D166" s="69"/>
    </row>
    <row r="167" spans="1:10" ht="13.5" customHeight="1" x14ac:dyDescent="0.2">
      <c r="A167" s="739"/>
      <c r="B167" s="722"/>
      <c r="C167" s="69"/>
      <c r="D167" s="69"/>
    </row>
    <row r="168" spans="1:10" ht="13.5" customHeight="1" x14ac:dyDescent="0.2">
      <c r="A168" s="738" t="s">
        <v>234</v>
      </c>
      <c r="B168" s="34" t="s">
        <v>3985</v>
      </c>
      <c r="C168" s="69">
        <v>16</v>
      </c>
      <c r="D168" s="69"/>
    </row>
    <row r="169" spans="1:10" ht="13.5" customHeight="1" x14ac:dyDescent="0.2">
      <c r="A169" s="738" t="s">
        <v>234</v>
      </c>
      <c r="B169" s="722" t="s">
        <v>4084</v>
      </c>
      <c r="C169" s="69">
        <v>175.2</v>
      </c>
      <c r="D169" s="69"/>
    </row>
    <row r="170" spans="1:10" ht="13.5" customHeight="1" x14ac:dyDescent="0.2">
      <c r="A170" s="738" t="s">
        <v>234</v>
      </c>
      <c r="B170" s="34" t="s">
        <v>3949</v>
      </c>
      <c r="C170" s="61">
        <v>7.5</v>
      </c>
      <c r="D170" s="69"/>
    </row>
    <row r="171" spans="1:10" ht="13.5" customHeight="1" x14ac:dyDescent="0.2">
      <c r="A171" s="738" t="s">
        <v>234</v>
      </c>
      <c r="B171" s="34" t="s">
        <v>625</v>
      </c>
      <c r="C171" s="61">
        <f>C165</f>
        <v>79.489999999999995</v>
      </c>
      <c r="D171" s="69"/>
    </row>
    <row r="172" spans="1:10" ht="13.5" customHeight="1" x14ac:dyDescent="0.2">
      <c r="B172" s="34"/>
      <c r="C172" s="421">
        <f>SUM(C168:C171)</f>
        <v>278.19</v>
      </c>
      <c r="D172" s="69"/>
    </row>
    <row r="173" spans="1:10" ht="13.5" customHeight="1" x14ac:dyDescent="0.2">
      <c r="B173" s="34"/>
      <c r="C173" s="61"/>
      <c r="D173" s="69"/>
    </row>
    <row r="174" spans="1:10" ht="13.5" customHeight="1" x14ac:dyDescent="0.2">
      <c r="A174" s="738" t="s">
        <v>235</v>
      </c>
      <c r="B174" s="32" t="s">
        <v>195</v>
      </c>
      <c r="C174" s="69">
        <v>390.19</v>
      </c>
      <c r="D174" s="69"/>
      <c r="I174" s="64"/>
      <c r="J174" s="64"/>
    </row>
    <row r="175" spans="1:10" ht="13.5" customHeight="1" x14ac:dyDescent="0.2">
      <c r="A175" s="738" t="s">
        <v>235</v>
      </c>
      <c r="B175" s="138" t="s">
        <v>194</v>
      </c>
      <c r="C175" s="69">
        <v>84.54</v>
      </c>
      <c r="D175" s="69"/>
    </row>
    <row r="176" spans="1:10" ht="13.5" customHeight="1" x14ac:dyDescent="0.2">
      <c r="B176" s="138"/>
      <c r="C176" s="421">
        <f>SUM(C174:C175)</f>
        <v>474.73</v>
      </c>
      <c r="D176" s="69"/>
    </row>
    <row r="177" spans="1:17" ht="13.5" customHeight="1" x14ac:dyDescent="0.2">
      <c r="B177" s="138"/>
      <c r="C177" s="69"/>
      <c r="D177" s="69"/>
      <c r="I177" s="64"/>
      <c r="J177" s="64"/>
      <c r="M177" s="64"/>
      <c r="N177" s="64"/>
      <c r="O177" s="64"/>
      <c r="P177" s="64"/>
      <c r="Q177" s="64"/>
    </row>
    <row r="178" spans="1:17" ht="13.5" customHeight="1" x14ac:dyDescent="0.2">
      <c r="A178" s="738" t="s">
        <v>3764</v>
      </c>
      <c r="B178" s="34" t="s">
        <v>4060</v>
      </c>
      <c r="C178" s="69">
        <v>900</v>
      </c>
      <c r="D178" s="69"/>
      <c r="K178" s="64"/>
      <c r="L178" s="64"/>
    </row>
    <row r="179" spans="1:17" ht="13.5" customHeight="1" x14ac:dyDescent="0.2">
      <c r="A179" s="738" t="s">
        <v>3764</v>
      </c>
      <c r="B179" s="36" t="s">
        <v>4075</v>
      </c>
      <c r="C179" s="69">
        <v>55.67</v>
      </c>
      <c r="D179" s="69"/>
      <c r="K179" s="64"/>
      <c r="L179" s="64"/>
    </row>
    <row r="180" spans="1:17" ht="13.5" customHeight="1" x14ac:dyDescent="0.2">
      <c r="A180" s="738" t="s">
        <v>3764</v>
      </c>
      <c r="B180" s="36" t="s">
        <v>4059</v>
      </c>
      <c r="C180" s="69">
        <v>1500</v>
      </c>
      <c r="D180" s="69"/>
    </row>
    <row r="181" spans="1:17" ht="13.5" customHeight="1" x14ac:dyDescent="0.2">
      <c r="A181" s="738" t="s">
        <v>3764</v>
      </c>
      <c r="B181" s="34" t="s">
        <v>4059</v>
      </c>
      <c r="C181" s="69">
        <v>1500</v>
      </c>
      <c r="D181" s="69"/>
      <c r="K181" s="64"/>
      <c r="L181" s="64"/>
    </row>
    <row r="182" spans="1:17" ht="13.5" customHeight="1" x14ac:dyDescent="0.2">
      <c r="B182" s="34"/>
      <c r="C182" s="421">
        <f>SUM(C178:C181)</f>
        <v>3955.67</v>
      </c>
      <c r="D182" s="69"/>
    </row>
    <row r="183" spans="1:17" ht="13.5" customHeight="1" x14ac:dyDescent="0.2">
      <c r="B183" s="34"/>
      <c r="C183" s="69"/>
      <c r="D183" s="69"/>
    </row>
    <row r="184" spans="1:17" ht="13.5" customHeight="1" x14ac:dyDescent="0.2">
      <c r="A184" s="739" t="s">
        <v>236</v>
      </c>
      <c r="B184" s="32" t="s">
        <v>1002</v>
      </c>
      <c r="C184" s="30">
        <v>1624.67</v>
      </c>
      <c r="D184" s="69"/>
      <c r="I184" s="64"/>
      <c r="J184" s="64"/>
    </row>
    <row r="185" spans="1:17" ht="13.5" customHeight="1" x14ac:dyDescent="0.2">
      <c r="A185" s="739" t="s">
        <v>236</v>
      </c>
      <c r="B185" s="34" t="s">
        <v>132</v>
      </c>
      <c r="C185" s="69">
        <v>1094.2</v>
      </c>
      <c r="D185" s="69"/>
      <c r="I185" s="64"/>
      <c r="J185" s="64"/>
    </row>
    <row r="186" spans="1:17" ht="13.5" customHeight="1" x14ac:dyDescent="0.2">
      <c r="A186" s="739" t="s">
        <v>236</v>
      </c>
      <c r="B186" s="36" t="s">
        <v>130</v>
      </c>
      <c r="C186" s="69">
        <v>224.81</v>
      </c>
      <c r="D186" s="69"/>
      <c r="I186" s="64"/>
      <c r="J186" s="64"/>
    </row>
    <row r="187" spans="1:17" ht="13.5" customHeight="1" x14ac:dyDescent="0.2">
      <c r="A187" s="739" t="s">
        <v>236</v>
      </c>
      <c r="B187" s="34" t="s">
        <v>55</v>
      </c>
      <c r="C187" s="61">
        <v>400</v>
      </c>
      <c r="D187" s="69"/>
    </row>
    <row r="188" spans="1:17" ht="13.5" customHeight="1" x14ac:dyDescent="0.2">
      <c r="A188" s="739" t="s">
        <v>236</v>
      </c>
      <c r="B188" s="36" t="s">
        <v>1700</v>
      </c>
      <c r="C188" s="69">
        <v>105.78</v>
      </c>
      <c r="D188" s="69"/>
    </row>
    <row r="189" spans="1:17" ht="13.5" customHeight="1" x14ac:dyDescent="0.2">
      <c r="A189" s="739" t="s">
        <v>236</v>
      </c>
      <c r="B189" s="36" t="s">
        <v>1701</v>
      </c>
      <c r="C189" s="69">
        <v>105.78</v>
      </c>
      <c r="D189" s="69"/>
    </row>
    <row r="190" spans="1:17" ht="13.5" customHeight="1" x14ac:dyDescent="0.2">
      <c r="A190" s="739" t="s">
        <v>236</v>
      </c>
      <c r="B190" s="34" t="s">
        <v>136</v>
      </c>
      <c r="C190" s="69">
        <v>45.9</v>
      </c>
      <c r="D190" s="69"/>
    </row>
    <row r="191" spans="1:17" ht="13.5" customHeight="1" x14ac:dyDescent="0.2">
      <c r="A191" s="739" t="s">
        <v>236</v>
      </c>
      <c r="B191" s="34" t="s">
        <v>4051</v>
      </c>
      <c r="C191" s="61">
        <v>1289.8800000000001</v>
      </c>
      <c r="D191" s="69"/>
    </row>
    <row r="192" spans="1:17" ht="13.5" customHeight="1" x14ac:dyDescent="0.2">
      <c r="A192" s="739" t="s">
        <v>236</v>
      </c>
      <c r="B192" s="36" t="s">
        <v>18</v>
      </c>
      <c r="C192" s="69">
        <v>433.39</v>
      </c>
      <c r="D192" s="69"/>
    </row>
    <row r="193" spans="1:17" ht="13.5" customHeight="1" x14ac:dyDescent="0.2">
      <c r="A193" s="739"/>
      <c r="B193" s="36"/>
      <c r="C193" s="421">
        <f>SUM(C184:C192)</f>
        <v>5324.4100000000008</v>
      </c>
      <c r="D193" s="69"/>
    </row>
    <row r="194" spans="1:17" ht="13.5" customHeight="1" x14ac:dyDescent="0.2">
      <c r="A194" s="739"/>
      <c r="B194" s="36"/>
      <c r="C194" s="69"/>
      <c r="D194" s="69"/>
      <c r="I194" s="64"/>
      <c r="J194" s="64"/>
    </row>
    <row r="195" spans="1:17" ht="13.5" customHeight="1" x14ac:dyDescent="0.2">
      <c r="A195" s="739" t="s">
        <v>236</v>
      </c>
      <c r="B195" s="36" t="s">
        <v>2462</v>
      </c>
      <c r="C195" s="69">
        <v>55.01</v>
      </c>
      <c r="D195" s="69"/>
      <c r="K195" s="64"/>
      <c r="L195" s="64"/>
      <c r="M195" s="64"/>
      <c r="N195" s="64"/>
      <c r="O195" s="64"/>
      <c r="P195" s="64"/>
      <c r="Q195" s="64"/>
    </row>
    <row r="196" spans="1:17" ht="13.5" customHeight="1" x14ac:dyDescent="0.2">
      <c r="A196" s="739" t="s">
        <v>236</v>
      </c>
      <c r="B196" s="36" t="s">
        <v>4061</v>
      </c>
      <c r="C196" s="69">
        <v>2000</v>
      </c>
      <c r="D196" s="69"/>
      <c r="M196" s="64"/>
      <c r="N196" s="64"/>
      <c r="O196" s="64"/>
      <c r="P196" s="64"/>
      <c r="Q196" s="64"/>
    </row>
    <row r="197" spans="1:17" ht="13.5" customHeight="1" x14ac:dyDescent="0.2">
      <c r="A197" s="739" t="s">
        <v>236</v>
      </c>
      <c r="B197" s="357" t="s">
        <v>3872</v>
      </c>
      <c r="C197" s="30">
        <v>100</v>
      </c>
      <c r="D197" s="69"/>
      <c r="M197" s="64"/>
      <c r="N197" s="64"/>
      <c r="O197" s="64"/>
      <c r="P197" s="64"/>
      <c r="Q197" s="64"/>
    </row>
    <row r="198" spans="1:17" ht="13.5" customHeight="1" x14ac:dyDescent="0.2">
      <c r="A198" s="739"/>
      <c r="B198" s="357"/>
      <c r="C198" s="620">
        <f>SUM(C195:C197)</f>
        <v>2155.0100000000002</v>
      </c>
      <c r="D198" s="69"/>
      <c r="M198" s="64"/>
      <c r="N198" s="64"/>
      <c r="O198" s="64"/>
      <c r="P198" s="64"/>
      <c r="Q198" s="64"/>
    </row>
    <row r="199" spans="1:17" ht="13.5" customHeight="1" x14ac:dyDescent="0.2">
      <c r="A199" s="739"/>
      <c r="B199" s="357"/>
      <c r="C199" s="30"/>
      <c r="D199" s="69"/>
      <c r="M199" s="64"/>
      <c r="N199" s="64"/>
      <c r="O199" s="64"/>
      <c r="P199" s="64"/>
      <c r="Q199" s="64"/>
    </row>
    <row r="200" spans="1:17" ht="13.5" customHeight="1" x14ac:dyDescent="0.2">
      <c r="A200" s="738" t="s">
        <v>237</v>
      </c>
      <c r="B200" s="34" t="s">
        <v>4006</v>
      </c>
      <c r="C200" s="421">
        <v>600</v>
      </c>
      <c r="D200" s="69"/>
      <c r="M200" s="64"/>
      <c r="N200" s="64"/>
      <c r="O200" s="64"/>
      <c r="P200" s="64"/>
      <c r="Q200" s="64"/>
    </row>
    <row r="201" spans="1:17" ht="13.5" customHeight="1" x14ac:dyDescent="0.2">
      <c r="B201" s="34"/>
      <c r="C201" s="69"/>
      <c r="D201" s="69"/>
      <c r="M201" s="64"/>
      <c r="N201" s="64"/>
      <c r="O201" s="64"/>
      <c r="P201" s="64"/>
      <c r="Q201" s="64"/>
    </row>
    <row r="202" spans="1:17" ht="13.5" customHeight="1" x14ac:dyDescent="0.2">
      <c r="B202" s="34"/>
      <c r="C202" s="69"/>
      <c r="D202" s="69"/>
      <c r="M202" s="64"/>
      <c r="N202" s="64"/>
      <c r="O202" s="64"/>
      <c r="P202" s="64"/>
      <c r="Q202" s="64"/>
    </row>
    <row r="203" spans="1:17" ht="13.5" customHeight="1" x14ac:dyDescent="0.2">
      <c r="A203" s="738" t="s">
        <v>237</v>
      </c>
      <c r="B203" s="36" t="s">
        <v>3994</v>
      </c>
      <c r="C203" s="69">
        <v>1000</v>
      </c>
      <c r="D203" s="69"/>
      <c r="M203" s="64"/>
      <c r="N203" s="64"/>
      <c r="O203" s="64"/>
      <c r="P203" s="64"/>
      <c r="Q203" s="64"/>
    </row>
    <row r="204" spans="1:17" ht="13.5" customHeight="1" x14ac:dyDescent="0.2">
      <c r="A204" s="738" t="s">
        <v>237</v>
      </c>
      <c r="B204" s="34" t="s">
        <v>3948</v>
      </c>
      <c r="C204" s="61">
        <v>145</v>
      </c>
      <c r="D204" s="69"/>
      <c r="M204" s="64"/>
      <c r="N204" s="64"/>
      <c r="O204" s="64"/>
      <c r="P204" s="64"/>
      <c r="Q204" s="64"/>
    </row>
    <row r="205" spans="1:17" ht="13.5" customHeight="1" x14ac:dyDescent="0.2">
      <c r="A205" s="738" t="s">
        <v>237</v>
      </c>
      <c r="B205" s="36" t="s">
        <v>3987</v>
      </c>
      <c r="C205" s="69">
        <v>100</v>
      </c>
      <c r="D205" s="69"/>
      <c r="M205" s="64"/>
      <c r="N205" s="64"/>
      <c r="O205" s="64"/>
      <c r="P205" s="64"/>
      <c r="Q205" s="64"/>
    </row>
    <row r="206" spans="1:17" ht="13.5" customHeight="1" x14ac:dyDescent="0.2">
      <c r="B206" s="34"/>
      <c r="C206" s="421">
        <f>SUM(C203:C205)</f>
        <v>1245</v>
      </c>
      <c r="D206" s="69"/>
      <c r="M206" s="64"/>
      <c r="N206" s="64"/>
      <c r="O206" s="64"/>
      <c r="P206" s="64"/>
      <c r="Q206" s="64"/>
    </row>
    <row r="207" spans="1:17" ht="13.5" customHeight="1" x14ac:dyDescent="0.2">
      <c r="B207" s="34"/>
      <c r="C207" s="69"/>
      <c r="D207" s="69"/>
      <c r="M207" s="64"/>
      <c r="N207" s="64"/>
      <c r="O207" s="64"/>
      <c r="P207" s="64"/>
      <c r="Q207" s="64"/>
    </row>
    <row r="208" spans="1:17" ht="13.5" customHeight="1" x14ac:dyDescent="0.2">
      <c r="A208" s="738" t="s">
        <v>238</v>
      </c>
      <c r="B208" s="34" t="s">
        <v>20</v>
      </c>
      <c r="C208" s="69">
        <v>-0.02</v>
      </c>
      <c r="D208" s="69"/>
      <c r="M208" s="64"/>
      <c r="N208" s="64"/>
      <c r="O208" s="64"/>
      <c r="P208" s="64"/>
      <c r="Q208" s="64"/>
    </row>
    <row r="209" spans="1:17" ht="13.5" customHeight="1" x14ac:dyDescent="0.2">
      <c r="A209" s="738" t="s">
        <v>238</v>
      </c>
      <c r="B209" s="34" t="s">
        <v>20</v>
      </c>
      <c r="C209" s="69">
        <v>-0.02</v>
      </c>
      <c r="D209" s="69"/>
      <c r="M209" s="64"/>
      <c r="N209" s="64"/>
      <c r="O209" s="64"/>
      <c r="P209" s="64"/>
      <c r="Q209" s="64"/>
    </row>
    <row r="210" spans="1:17" ht="13.5" customHeight="1" x14ac:dyDescent="0.2">
      <c r="A210" s="738" t="s">
        <v>238</v>
      </c>
      <c r="B210" s="36" t="s">
        <v>20</v>
      </c>
      <c r="C210" s="69">
        <v>-0.03</v>
      </c>
      <c r="D210" s="61"/>
      <c r="K210" s="64"/>
      <c r="L210" s="64"/>
      <c r="M210" s="64"/>
      <c r="N210" s="64"/>
      <c r="O210" s="64"/>
      <c r="P210" s="64"/>
      <c r="Q210" s="64"/>
    </row>
    <row r="211" spans="1:17" ht="13.5" customHeight="1" x14ac:dyDescent="0.2">
      <c r="A211" s="738" t="s">
        <v>238</v>
      </c>
      <c r="B211" s="36" t="s">
        <v>20</v>
      </c>
      <c r="C211" s="69">
        <v>-0.03</v>
      </c>
      <c r="D211" s="69"/>
      <c r="I211" s="64"/>
      <c r="J211" s="64"/>
      <c r="K211" s="64"/>
      <c r="L211" s="64"/>
      <c r="M211" s="64"/>
      <c r="N211" s="64"/>
      <c r="O211" s="64"/>
      <c r="P211" s="64"/>
      <c r="Q211" s="64"/>
    </row>
    <row r="212" spans="1:17" ht="13.5" customHeight="1" x14ac:dyDescent="0.2">
      <c r="B212" s="34"/>
      <c r="C212" s="421">
        <f>SUM(C208:C211)</f>
        <v>-0.1</v>
      </c>
      <c r="D212" s="69"/>
      <c r="I212" s="64"/>
      <c r="J212" s="64"/>
      <c r="K212" s="64"/>
      <c r="L212" s="64"/>
      <c r="M212" s="64"/>
      <c r="N212" s="64"/>
      <c r="O212" s="64"/>
      <c r="P212" s="64"/>
      <c r="Q212" s="64"/>
    </row>
    <row r="213" spans="1:17" ht="13.5" customHeight="1" x14ac:dyDescent="0.2">
      <c r="B213" s="34"/>
      <c r="C213" s="69"/>
      <c r="D213" s="69"/>
      <c r="I213" s="64"/>
      <c r="J213" s="64"/>
    </row>
    <row r="214" spans="1:17" ht="13.5" customHeight="1" x14ac:dyDescent="0.2">
      <c r="A214" s="738" t="s">
        <v>239</v>
      </c>
      <c r="B214" s="138" t="s">
        <v>4033</v>
      </c>
      <c r="C214" s="30">
        <v>198.41000000000003</v>
      </c>
      <c r="D214" s="69"/>
    </row>
    <row r="215" spans="1:17" ht="13.5" customHeight="1" x14ac:dyDescent="0.2">
      <c r="A215" s="738" t="s">
        <v>239</v>
      </c>
      <c r="B215" s="32" t="s">
        <v>4040</v>
      </c>
      <c r="C215" s="69">
        <v>-198.41000000000003</v>
      </c>
      <c r="D215" s="12"/>
    </row>
    <row r="216" spans="1:17" ht="13.5" customHeight="1" x14ac:dyDescent="0.2">
      <c r="B216" s="138"/>
      <c r="C216" s="421">
        <f>SUM(C214:C215)</f>
        <v>0</v>
      </c>
      <c r="D216" s="12"/>
    </row>
    <row r="217" spans="1:17" ht="13.5" customHeight="1" x14ac:dyDescent="0.2">
      <c r="B217" s="138"/>
      <c r="C217" s="69"/>
      <c r="D217" s="12"/>
    </row>
    <row r="218" spans="1:17" ht="13.5" customHeight="1" x14ac:dyDescent="0.2">
      <c r="A218" s="738" t="s">
        <v>421</v>
      </c>
      <c r="B218" s="34" t="s">
        <v>3998</v>
      </c>
      <c r="C218" s="69">
        <v>34.99</v>
      </c>
      <c r="D218" s="69"/>
    </row>
    <row r="219" spans="1:17" ht="13.5" customHeight="1" x14ac:dyDescent="0.2">
      <c r="A219" s="738" t="s">
        <v>421</v>
      </c>
      <c r="B219" s="36" t="s">
        <v>3992</v>
      </c>
      <c r="C219" s="69">
        <v>119.91</v>
      </c>
      <c r="D219" s="69"/>
    </row>
    <row r="220" spans="1:17" ht="13.5" customHeight="1" x14ac:dyDescent="0.2">
      <c r="A220" s="738" t="s">
        <v>421</v>
      </c>
      <c r="B220" s="34" t="s">
        <v>3993</v>
      </c>
      <c r="C220" s="69">
        <v>27.97</v>
      </c>
      <c r="D220" s="69"/>
    </row>
    <row r="221" spans="1:17" ht="13.5" customHeight="1" x14ac:dyDescent="0.2">
      <c r="A221" s="738" t="s">
        <v>421</v>
      </c>
      <c r="B221" s="36" t="s">
        <v>3990</v>
      </c>
      <c r="C221" s="69">
        <v>99.99</v>
      </c>
      <c r="D221" s="69"/>
    </row>
    <row r="222" spans="1:17" ht="13.5" customHeight="1" x14ac:dyDescent="0.2">
      <c r="A222" s="738" t="s">
        <v>421</v>
      </c>
      <c r="B222" s="34" t="s">
        <v>4048</v>
      </c>
      <c r="C222" s="69">
        <v>139.9</v>
      </c>
      <c r="D222" s="69"/>
    </row>
    <row r="223" spans="1:17" ht="13.5" customHeight="1" x14ac:dyDescent="0.2">
      <c r="A223" s="738" t="s">
        <v>421</v>
      </c>
      <c r="B223" s="36" t="s">
        <v>4049</v>
      </c>
      <c r="C223" s="61">
        <v>329</v>
      </c>
      <c r="D223" s="69"/>
    </row>
    <row r="224" spans="1:17" ht="13.5" customHeight="1" x14ac:dyDescent="0.2">
      <c r="A224" s="738" t="s">
        <v>421</v>
      </c>
      <c r="B224" s="32" t="s">
        <v>4035</v>
      </c>
      <c r="C224" s="30">
        <v>90</v>
      </c>
      <c r="D224" s="69"/>
      <c r="I224" s="64"/>
      <c r="J224" s="64"/>
    </row>
    <row r="225" spans="2:12" ht="13.5" customHeight="1" x14ac:dyDescent="0.2">
      <c r="B225" s="63"/>
      <c r="C225" s="620">
        <f>SUM(C218:C224)</f>
        <v>841.76</v>
      </c>
      <c r="D225" s="12"/>
      <c r="I225" s="64"/>
      <c r="J225" s="64"/>
      <c r="K225" s="64"/>
      <c r="L225" s="64"/>
    </row>
    <row r="226" spans="2:12" ht="13.5" customHeight="1" x14ac:dyDescent="0.2">
      <c r="B226" s="63"/>
      <c r="C226" s="12"/>
      <c r="D226" s="12"/>
      <c r="F226" s="40">
        <f>SUM(C225,C212,C206,C200,C198,C193,C182,C176,C172,C166,C153,C137,C135,C128,C125,C123,C103,C88,C73,C67,C58)-SUM(D43,D36)</f>
        <v>-16670.989999999991</v>
      </c>
      <c r="I226" s="64"/>
      <c r="J226" s="64"/>
      <c r="K226" s="64"/>
      <c r="L226" s="64"/>
    </row>
    <row r="227" spans="2:12" ht="13.5" customHeight="1" x14ac:dyDescent="0.2">
      <c r="B227" s="63"/>
      <c r="C227" s="12"/>
      <c r="D227" s="12"/>
      <c r="K227" s="64"/>
      <c r="L227" s="64"/>
    </row>
    <row r="228" spans="2:12" ht="13.5" customHeight="1" x14ac:dyDescent="0.2">
      <c r="B228" s="63"/>
      <c r="C228" s="12"/>
      <c r="D228" s="12"/>
      <c r="K228" s="64"/>
      <c r="L228" s="64"/>
    </row>
    <row r="229" spans="2:12" ht="13.5" customHeight="1" x14ac:dyDescent="0.2">
      <c r="B229" s="63"/>
      <c r="C229" s="12"/>
      <c r="D229" s="12"/>
    </row>
    <row r="230" spans="2:12" ht="13.5" customHeight="1" x14ac:dyDescent="0.2">
      <c r="B230" s="63"/>
      <c r="C230" s="12"/>
      <c r="D230" s="12"/>
    </row>
    <row r="231" spans="2:12" ht="13.5" customHeight="1" x14ac:dyDescent="0.2">
      <c r="B231" s="63"/>
      <c r="C231" s="12"/>
      <c r="D231" s="12"/>
    </row>
    <row r="232" spans="2:12" ht="13.5" customHeight="1" x14ac:dyDescent="0.2">
      <c r="B232" s="63"/>
      <c r="C232" s="12"/>
      <c r="D232" s="12"/>
    </row>
    <row r="233" spans="2:12" ht="13.5" customHeight="1" x14ac:dyDescent="0.2">
      <c r="B233" s="63"/>
      <c r="C233" s="12"/>
      <c r="D233" s="12"/>
    </row>
    <row r="234" spans="2:12" ht="13.5" customHeight="1" x14ac:dyDescent="0.2">
      <c r="B234" s="63"/>
      <c r="C234" s="12"/>
      <c r="D234" s="12"/>
    </row>
    <row r="235" spans="2:12" ht="13.5" customHeight="1" x14ac:dyDescent="0.2">
      <c r="B235" s="63"/>
      <c r="C235" s="12"/>
      <c r="D235" s="12"/>
      <c r="I235" s="64"/>
      <c r="J235" s="64"/>
      <c r="K235" s="64"/>
      <c r="L235" s="64"/>
    </row>
    <row r="236" spans="2:12" ht="13.5" customHeight="1" x14ac:dyDescent="0.2">
      <c r="B236" s="63"/>
      <c r="C236" s="12"/>
      <c r="D236" s="12"/>
      <c r="K236" s="64"/>
      <c r="L236" s="64"/>
    </row>
    <row r="237" spans="2:12" ht="13.5" customHeight="1" x14ac:dyDescent="0.2">
      <c r="B237" s="63"/>
      <c r="C237" s="12"/>
      <c r="D237" s="12"/>
    </row>
    <row r="238" spans="2:12" ht="13.5" customHeight="1" x14ac:dyDescent="0.2">
      <c r="B238" s="63"/>
      <c r="C238" s="12"/>
      <c r="D238" s="12"/>
    </row>
    <row r="239" spans="2:12" ht="13.5" customHeight="1" x14ac:dyDescent="0.2">
      <c r="B239" s="63"/>
      <c r="C239" s="12"/>
      <c r="D239" s="12"/>
    </row>
    <row r="240" spans="2:12" ht="13.5" customHeight="1" x14ac:dyDescent="0.2">
      <c r="B240" s="63"/>
      <c r="C240" s="12"/>
      <c r="D240" s="12"/>
    </row>
    <row r="241" spans="2:4" ht="13.5" customHeight="1" x14ac:dyDescent="0.2">
      <c r="B241" s="63"/>
      <c r="C241" s="12"/>
      <c r="D241" s="12"/>
    </row>
    <row r="242" spans="2:4" ht="13.5" customHeight="1" x14ac:dyDescent="0.2">
      <c r="B242" s="63"/>
      <c r="C242" s="12"/>
      <c r="D242" s="12"/>
    </row>
    <row r="243" spans="2:4" ht="13.5" customHeight="1" x14ac:dyDescent="0.2">
      <c r="B243" s="63"/>
      <c r="C243" s="12"/>
      <c r="D243" s="12"/>
    </row>
    <row r="244" spans="2:4" ht="13.5" customHeight="1" x14ac:dyDescent="0.2">
      <c r="B244" s="63"/>
      <c r="C244" s="12"/>
      <c r="D244" s="12"/>
    </row>
    <row r="245" spans="2:4" ht="13.5" customHeight="1" x14ac:dyDescent="0.2">
      <c r="B245" s="63"/>
      <c r="C245" s="12"/>
      <c r="D245" s="12"/>
    </row>
    <row r="246" spans="2:4" ht="13.5" customHeight="1" x14ac:dyDescent="0.2">
      <c r="B246" s="63"/>
      <c r="C246" s="12"/>
      <c r="D246" s="12"/>
    </row>
    <row r="247" spans="2:4" ht="13.5" customHeight="1" x14ac:dyDescent="0.2">
      <c r="B247" s="63"/>
      <c r="C247" s="12"/>
      <c r="D247" s="12"/>
    </row>
    <row r="248" spans="2:4" ht="13.5" customHeight="1" x14ac:dyDescent="0.2">
      <c r="B248" s="63"/>
      <c r="C248" s="12"/>
      <c r="D248" s="12"/>
    </row>
    <row r="249" spans="2:4" ht="13.5" customHeight="1" x14ac:dyDescent="0.2">
      <c r="B249" s="63"/>
      <c r="C249" s="12"/>
      <c r="D249" s="12"/>
    </row>
    <row r="250" spans="2:4" ht="13.5" customHeight="1" x14ac:dyDescent="0.2">
      <c r="B250" s="63"/>
      <c r="C250" s="12"/>
      <c r="D250" s="12"/>
    </row>
    <row r="251" spans="2:4" ht="13.5" customHeight="1" x14ac:dyDescent="0.2">
      <c r="B251" s="63"/>
      <c r="C251" s="12"/>
      <c r="D251" s="12"/>
    </row>
    <row r="252" spans="2:4" ht="13.5" customHeight="1" x14ac:dyDescent="0.2">
      <c r="B252" s="64"/>
      <c r="C252" s="12"/>
      <c r="D252" s="12"/>
    </row>
    <row r="253" spans="2:4" ht="13.5" customHeight="1" x14ac:dyDescent="0.2">
      <c r="B253" s="63"/>
      <c r="C253" s="12"/>
      <c r="D253" s="12"/>
    </row>
    <row r="254" spans="2:4" ht="13.5" customHeight="1" x14ac:dyDescent="0.2">
      <c r="B254" s="63"/>
      <c r="C254" s="12"/>
      <c r="D254" s="12"/>
    </row>
    <row r="255" spans="2:4" ht="13.5" customHeight="1" x14ac:dyDescent="0.2">
      <c r="B255" s="85"/>
      <c r="C255" s="12"/>
      <c r="D255" s="12"/>
    </row>
    <row r="256" spans="2:4" ht="13.5" customHeight="1" x14ac:dyDescent="0.2">
      <c r="B256" s="63"/>
      <c r="C256" s="12"/>
      <c r="D256" s="12"/>
    </row>
    <row r="257" spans="2:4" ht="13.5" customHeight="1" x14ac:dyDescent="0.2">
      <c r="B257" s="63"/>
      <c r="C257" s="12"/>
      <c r="D257" s="12"/>
    </row>
    <row r="258" spans="2:4" ht="13.5" customHeight="1" x14ac:dyDescent="0.2">
      <c r="B258" s="64"/>
      <c r="C258" s="12"/>
      <c r="D258" s="12"/>
    </row>
    <row r="259" spans="2:4" ht="13.5" customHeight="1" x14ac:dyDescent="0.2">
      <c r="B259" s="63"/>
      <c r="C259" s="12"/>
      <c r="D259" s="12"/>
    </row>
    <row r="260" spans="2:4" ht="13.5" customHeight="1" x14ac:dyDescent="0.2">
      <c r="B260" s="63"/>
      <c r="C260" s="12"/>
      <c r="D260" s="12"/>
    </row>
    <row r="261" spans="2:4" ht="13.5" customHeight="1" x14ac:dyDescent="0.2">
      <c r="B261" s="64"/>
      <c r="C261" s="12"/>
      <c r="D261" s="12"/>
    </row>
    <row r="262" spans="2:4" ht="13.5" customHeight="1" x14ac:dyDescent="0.2">
      <c r="B262" s="63"/>
      <c r="C262" s="12"/>
      <c r="D262" s="12"/>
    </row>
    <row r="263" spans="2:4" ht="13.5" customHeight="1" x14ac:dyDescent="0.2">
      <c r="B263" s="63"/>
      <c r="C263" s="12"/>
      <c r="D263" s="12"/>
    </row>
    <row r="264" spans="2:4" ht="13.5" customHeight="1" x14ac:dyDescent="0.2">
      <c r="B264" s="64"/>
      <c r="C264" s="12"/>
      <c r="D264" s="12"/>
    </row>
    <row r="265" spans="2:4" ht="13.5" customHeight="1" x14ac:dyDescent="0.2">
      <c r="B265" s="63"/>
      <c r="C265" s="12"/>
      <c r="D265" s="12"/>
    </row>
    <row r="266" spans="2:4" ht="13.5" customHeight="1" x14ac:dyDescent="0.2">
      <c r="B266" s="63"/>
      <c r="C266" s="12"/>
      <c r="D266" s="12"/>
    </row>
    <row r="267" spans="2:4" ht="13.5" customHeight="1" x14ac:dyDescent="0.2">
      <c r="B267" s="63"/>
      <c r="C267" s="12"/>
      <c r="D267" s="12"/>
    </row>
    <row r="268" spans="2:4" ht="13.5" customHeight="1" x14ac:dyDescent="0.2">
      <c r="B268" s="86"/>
      <c r="C268" s="12"/>
      <c r="D268" s="12"/>
    </row>
    <row r="269" spans="2:4" ht="13.5" customHeight="1" x14ac:dyDescent="0.2">
      <c r="B269" s="85"/>
      <c r="C269" s="12"/>
      <c r="D269" s="12"/>
    </row>
    <row r="270" spans="2:4" ht="13.5" customHeight="1" x14ac:dyDescent="0.2">
      <c r="B270" s="87"/>
      <c r="C270" s="12"/>
      <c r="D270" s="12"/>
    </row>
    <row r="271" spans="2:4" ht="13.5" customHeight="1" x14ac:dyDescent="0.2">
      <c r="B271" s="88"/>
      <c r="C271" s="12"/>
      <c r="D271" s="12"/>
    </row>
    <row r="272" spans="2:4" ht="13.5" customHeight="1" x14ac:dyDescent="0.2">
      <c r="B272" s="56"/>
      <c r="C272" s="12"/>
      <c r="D272" s="12"/>
    </row>
    <row r="273" spans="2:4" ht="13.5" customHeight="1" x14ac:dyDescent="0.2">
      <c r="B273" s="56"/>
      <c r="C273" s="12"/>
      <c r="D273" s="12"/>
    </row>
    <row r="274" spans="2:4" ht="13.5" customHeight="1" x14ac:dyDescent="0.2">
      <c r="B274" s="56"/>
      <c r="C274" s="12"/>
      <c r="D274" s="12"/>
    </row>
    <row r="275" spans="2:4" ht="13.5" customHeight="1" x14ac:dyDescent="0.2">
      <c r="C275" s="12"/>
      <c r="D275" s="12"/>
    </row>
    <row r="276" spans="2:4" ht="13.5" customHeight="1" x14ac:dyDescent="0.2">
      <c r="B276" s="56"/>
      <c r="C276" s="12"/>
      <c r="D276" s="12"/>
    </row>
    <row r="277" spans="2:4" ht="13.5" customHeight="1" x14ac:dyDescent="0.2">
      <c r="B277" s="56"/>
      <c r="C277" s="12"/>
      <c r="D277" s="12"/>
    </row>
    <row r="278" spans="2:4" ht="13.5" customHeight="1" x14ac:dyDescent="0.2">
      <c r="B278" s="56"/>
      <c r="C278" s="12"/>
      <c r="D278" s="12"/>
    </row>
    <row r="279" spans="2:4" ht="13.5" customHeight="1" x14ac:dyDescent="0.2">
      <c r="B279" s="27"/>
      <c r="C279" s="12"/>
      <c r="D279" s="12"/>
    </row>
    <row r="280" spans="2:4" ht="13.5" customHeight="1" x14ac:dyDescent="0.2">
      <c r="B280" s="27"/>
      <c r="C280" s="12"/>
      <c r="D280" s="12"/>
    </row>
    <row r="281" spans="2:4" ht="13.5" customHeight="1" x14ac:dyDescent="0.2">
      <c r="C281" s="12"/>
      <c r="D281" s="12"/>
    </row>
    <row r="282" spans="2:4" ht="13.5" customHeight="1" x14ac:dyDescent="0.2">
      <c r="B282" s="56"/>
      <c r="C282" s="12"/>
      <c r="D282" s="12"/>
    </row>
    <row r="283" spans="2:4" ht="13.5" customHeight="1" x14ac:dyDescent="0.2">
      <c r="B283" s="56"/>
      <c r="C283" s="12"/>
      <c r="D283" s="12"/>
    </row>
    <row r="284" spans="2:4" ht="13.5" customHeight="1" x14ac:dyDescent="0.2">
      <c r="B284" s="56"/>
      <c r="C284" s="12"/>
      <c r="D284" s="12"/>
    </row>
    <row r="285" spans="2:4" ht="13.5" customHeight="1" x14ac:dyDescent="0.2">
      <c r="B285" s="56"/>
      <c r="C285" s="12"/>
      <c r="D285" s="12"/>
    </row>
    <row r="286" spans="2:4" ht="13.5" customHeight="1" x14ac:dyDescent="0.2">
      <c r="B286" s="94"/>
      <c r="C286" s="27"/>
      <c r="D286" s="27"/>
    </row>
    <row r="287" spans="2:4" ht="13.5" customHeight="1" x14ac:dyDescent="0.2"/>
    <row r="288" spans="2:4" ht="13.5" customHeight="1" x14ac:dyDescent="0.2"/>
    <row r="289" ht="13.5" customHeight="1" x14ac:dyDescent="0.2"/>
    <row r="290" ht="13.5" customHeight="1" x14ac:dyDescent="0.2"/>
    <row r="291" ht="13.5" customHeight="1" x14ac:dyDescent="0.2"/>
    <row r="292" ht="13.5" customHeight="1" x14ac:dyDescent="0.2"/>
    <row r="293" ht="13.5" customHeight="1" x14ac:dyDescent="0.2"/>
    <row r="294" ht="13.5" customHeight="1" x14ac:dyDescent="0.2"/>
    <row r="295" ht="13.5" customHeight="1" x14ac:dyDescent="0.2"/>
    <row r="296" ht="13.5" customHeight="1" x14ac:dyDescent="0.2"/>
  </sheetData>
  <sortState xmlns:xlrd2="http://schemas.microsoft.com/office/spreadsheetml/2017/richdata2" ref="A44:Q235">
    <sortCondition ref="A44:A235"/>
    <sortCondition ref="B44:B235"/>
  </sortState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AA266"/>
  <sheetViews>
    <sheetView topLeftCell="A171" zoomScale="80" zoomScaleNormal="80" workbookViewId="0">
      <selection activeCell="I189" sqref="I189"/>
    </sheetView>
  </sheetViews>
  <sheetFormatPr defaultColWidth="9" defaultRowHeight="12.75" x14ac:dyDescent="0.2"/>
  <cols>
    <col min="1" max="1" width="14" style="1" customWidth="1"/>
    <col min="2" max="2" width="1.875" style="1" customWidth="1"/>
    <col min="3" max="3" width="99.25" style="1" customWidth="1"/>
    <col min="4" max="4" width="12" style="1" customWidth="1"/>
    <col min="5" max="5" width="12.375" style="1" customWidth="1"/>
    <col min="6" max="6" width="10.75" style="1" customWidth="1"/>
    <col min="7" max="7" width="11.875" style="1" customWidth="1"/>
    <col min="8" max="8" width="13.625" style="1" customWidth="1"/>
    <col min="9" max="9" width="12.125" style="1" customWidth="1"/>
    <col min="10" max="10" width="13.875" style="1" customWidth="1"/>
    <col min="11" max="11" width="10.5" style="1" customWidth="1"/>
    <col min="12" max="12" width="11.375" style="1" customWidth="1"/>
    <col min="13" max="16384" width="9" style="1"/>
  </cols>
  <sheetData>
    <row r="1" spans="1:7" ht="13.5" customHeight="1" thickBot="1" x14ac:dyDescent="0.25">
      <c r="A1" s="1407" t="s">
        <v>4095</v>
      </c>
      <c r="B1" s="1407"/>
      <c r="C1" s="1408"/>
      <c r="D1" s="1409" t="s">
        <v>0</v>
      </c>
      <c r="E1" s="1410"/>
      <c r="F1" s="1410"/>
      <c r="G1" s="1411"/>
    </row>
    <row r="2" spans="1:7" ht="13.5" customHeight="1" thickBot="1" x14ac:dyDescent="0.25">
      <c r="A2" s="2" t="s">
        <v>2</v>
      </c>
      <c r="B2" s="3"/>
      <c r="C2" s="3" t="s">
        <v>2335</v>
      </c>
      <c r="D2" s="3" t="s">
        <v>4</v>
      </c>
      <c r="E2" s="3" t="s">
        <v>5</v>
      </c>
      <c r="F2" s="3" t="s">
        <v>6</v>
      </c>
      <c r="G2" s="5" t="s">
        <v>7</v>
      </c>
    </row>
    <row r="3" spans="1:7" ht="13.5" customHeight="1" x14ac:dyDescent="0.2">
      <c r="A3" s="8">
        <v>43922</v>
      </c>
      <c r="B3" s="56"/>
      <c r="C3" s="10" t="s">
        <v>8</v>
      </c>
      <c r="D3" s="11">
        <v>0</v>
      </c>
      <c r="E3" s="51"/>
      <c r="F3" s="12"/>
      <c r="G3" s="178">
        <v>1343.0399999999981</v>
      </c>
    </row>
    <row r="4" spans="1:7" ht="13.5" customHeight="1" x14ac:dyDescent="0.2">
      <c r="A4" s="180">
        <v>43929</v>
      </c>
      <c r="B4" s="56"/>
      <c r="C4" s="36" t="s">
        <v>4096</v>
      </c>
      <c r="D4" s="11"/>
      <c r="E4" s="30"/>
      <c r="F4" s="12">
        <v>250</v>
      </c>
      <c r="G4" s="182"/>
    </row>
    <row r="5" spans="1:7" ht="13.5" customHeight="1" x14ac:dyDescent="0.2">
      <c r="A5" s="180"/>
      <c r="B5" s="56"/>
      <c r="C5" s="36" t="s">
        <v>4097</v>
      </c>
      <c r="D5" s="11"/>
      <c r="E5" s="30"/>
      <c r="F5" s="12">
        <v>60</v>
      </c>
      <c r="G5" s="182">
        <v>1653.0399999999981</v>
      </c>
    </row>
    <row r="6" spans="1:7" ht="13.5" customHeight="1" x14ac:dyDescent="0.2">
      <c r="A6" s="180">
        <v>43930</v>
      </c>
      <c r="B6" s="56"/>
      <c r="C6" s="36" t="s">
        <v>4098</v>
      </c>
      <c r="D6" s="11"/>
      <c r="E6" s="30">
        <v>22.8</v>
      </c>
      <c r="F6" s="12"/>
      <c r="G6" s="182"/>
    </row>
    <row r="7" spans="1:7" ht="13.5" customHeight="1" x14ac:dyDescent="0.2">
      <c r="A7" s="180"/>
      <c r="B7" s="56"/>
      <c r="C7" s="36" t="s">
        <v>4099</v>
      </c>
      <c r="D7" s="11"/>
      <c r="E7" s="30">
        <v>600</v>
      </c>
      <c r="F7" s="12"/>
      <c r="G7" s="182"/>
    </row>
    <row r="8" spans="1:7" ht="13.5" customHeight="1" x14ac:dyDescent="0.2">
      <c r="A8" s="180"/>
      <c r="B8" s="56"/>
      <c r="C8" s="36" t="s">
        <v>4100</v>
      </c>
      <c r="D8" s="11"/>
      <c r="E8" s="30">
        <v>50</v>
      </c>
      <c r="F8" s="12"/>
      <c r="G8" s="182">
        <v>980.23999999999819</v>
      </c>
    </row>
    <row r="9" spans="1:7" ht="13.5" customHeight="1" x14ac:dyDescent="0.2">
      <c r="A9" s="180">
        <v>43934</v>
      </c>
      <c r="B9" s="56"/>
      <c r="C9" s="34" t="s">
        <v>4101</v>
      </c>
      <c r="D9" s="11"/>
      <c r="E9" s="30"/>
      <c r="F9" s="12">
        <v>200</v>
      </c>
      <c r="G9" s="182"/>
    </row>
    <row r="10" spans="1:7" ht="13.5" customHeight="1" x14ac:dyDescent="0.2">
      <c r="A10" s="180"/>
      <c r="B10" s="56"/>
      <c r="C10" s="36" t="s">
        <v>4102</v>
      </c>
      <c r="D10" s="11"/>
      <c r="E10" s="30"/>
      <c r="F10" s="12">
        <v>1640</v>
      </c>
      <c r="G10" s="182"/>
    </row>
    <row r="11" spans="1:7" ht="13.5" customHeight="1" x14ac:dyDescent="0.2">
      <c r="A11" s="180"/>
      <c r="B11" s="56"/>
      <c r="C11" s="36" t="s">
        <v>4103</v>
      </c>
      <c r="D11" s="11"/>
      <c r="E11" s="30"/>
      <c r="F11" s="30">
        <v>150</v>
      </c>
      <c r="G11" s="182"/>
    </row>
    <row r="12" spans="1:7" ht="13.5" customHeight="1" x14ac:dyDescent="0.2">
      <c r="A12" s="180"/>
      <c r="B12" s="56"/>
      <c r="C12" s="36" t="s">
        <v>4104</v>
      </c>
      <c r="D12" s="11"/>
      <c r="E12" s="30"/>
      <c r="F12" s="30">
        <v>1277.46</v>
      </c>
      <c r="G12" s="182"/>
    </row>
    <row r="13" spans="1:7" ht="13.5" customHeight="1" x14ac:dyDescent="0.2">
      <c r="A13" s="180"/>
      <c r="B13" s="56"/>
      <c r="C13" s="36" t="s">
        <v>4105</v>
      </c>
      <c r="D13" s="11"/>
      <c r="E13" s="30"/>
      <c r="F13" s="30">
        <v>2000</v>
      </c>
      <c r="G13" s="182"/>
    </row>
    <row r="14" spans="1:7" ht="13.5" customHeight="1" x14ac:dyDescent="0.2">
      <c r="A14" s="180"/>
      <c r="B14" s="56"/>
      <c r="C14" s="36" t="s">
        <v>4106</v>
      </c>
      <c r="D14" s="11"/>
      <c r="E14" s="165">
        <v>697.42</v>
      </c>
      <c r="F14" s="30"/>
      <c r="G14" s="182"/>
    </row>
    <row r="15" spans="1:7" ht="13.5" customHeight="1" x14ac:dyDescent="0.2">
      <c r="A15" s="180"/>
      <c r="B15" s="56"/>
      <c r="C15" s="34" t="s">
        <v>4107</v>
      </c>
      <c r="D15" s="11"/>
      <c r="E15" s="30">
        <v>600</v>
      </c>
      <c r="F15" s="30"/>
      <c r="G15" s="182"/>
    </row>
    <row r="16" spans="1:7" ht="13.5" customHeight="1" x14ac:dyDescent="0.2">
      <c r="A16" s="180"/>
      <c r="B16" s="56"/>
      <c r="C16" s="34" t="s">
        <v>4108</v>
      </c>
      <c r="D16" s="11"/>
      <c r="E16" s="30">
        <v>315</v>
      </c>
      <c r="F16" s="30"/>
      <c r="G16" s="182"/>
    </row>
    <row r="17" spans="1:7" ht="13.5" customHeight="1" x14ac:dyDescent="0.2">
      <c r="A17" s="180"/>
      <c r="B17" s="56"/>
      <c r="C17" s="34" t="s">
        <v>4109</v>
      </c>
      <c r="D17" s="11"/>
      <c r="E17" s="30">
        <v>63.7</v>
      </c>
      <c r="F17" s="30"/>
      <c r="G17" s="182">
        <v>4571.5799999999981</v>
      </c>
    </row>
    <row r="18" spans="1:7" ht="13.5" customHeight="1" x14ac:dyDescent="0.2">
      <c r="A18" s="180">
        <v>43935</v>
      </c>
      <c r="B18" s="56"/>
      <c r="C18" s="36" t="s">
        <v>4110</v>
      </c>
      <c r="D18" s="11"/>
      <c r="E18" s="165">
        <v>170</v>
      </c>
      <c r="F18" s="30"/>
      <c r="G18" s="182">
        <v>4401.5799999999981</v>
      </c>
    </row>
    <row r="19" spans="1:7" ht="13.5" customHeight="1" x14ac:dyDescent="0.2">
      <c r="A19" s="180"/>
      <c r="B19" s="56"/>
      <c r="C19" s="36" t="s">
        <v>4111</v>
      </c>
      <c r="D19" s="11"/>
      <c r="E19" s="30"/>
      <c r="F19" s="30">
        <v>200</v>
      </c>
      <c r="G19" s="182"/>
    </row>
    <row r="20" spans="1:7" ht="13.5" customHeight="1" x14ac:dyDescent="0.2">
      <c r="A20" s="180"/>
      <c r="B20" s="56"/>
      <c r="C20" s="36" t="s">
        <v>4112</v>
      </c>
      <c r="D20" s="11"/>
      <c r="E20" s="30">
        <v>12.65</v>
      </c>
      <c r="F20" s="30"/>
      <c r="G20" s="182"/>
    </row>
    <row r="21" spans="1:7" ht="13.5" customHeight="1" x14ac:dyDescent="0.2">
      <c r="A21" s="180"/>
      <c r="B21" s="56"/>
      <c r="C21" s="36" t="s">
        <v>4113</v>
      </c>
      <c r="D21" s="11"/>
      <c r="E21" s="165">
        <v>200</v>
      </c>
      <c r="F21" s="30"/>
      <c r="G21" s="182"/>
    </row>
    <row r="22" spans="1:7" ht="13.5" customHeight="1" x14ac:dyDescent="0.2">
      <c r="A22" s="180"/>
      <c r="B22" s="56"/>
      <c r="C22" s="36" t="s">
        <v>4114</v>
      </c>
      <c r="D22" s="11"/>
      <c r="E22" s="30">
        <v>28.62</v>
      </c>
      <c r="F22" s="30"/>
      <c r="G22" s="182"/>
    </row>
    <row r="23" spans="1:7" ht="13.5" customHeight="1" x14ac:dyDescent="0.2">
      <c r="A23" s="180"/>
      <c r="B23" s="56"/>
      <c r="C23" s="36" t="s">
        <v>4115</v>
      </c>
      <c r="D23" s="11"/>
      <c r="E23" s="30">
        <v>200</v>
      </c>
      <c r="F23" s="30"/>
      <c r="G23" s="182">
        <v>4160.3099999999986</v>
      </c>
    </row>
    <row r="24" spans="1:7" ht="13.5" customHeight="1" x14ac:dyDescent="0.2">
      <c r="A24" s="180">
        <v>43936</v>
      </c>
      <c r="B24" s="56"/>
      <c r="C24" s="36" t="s">
        <v>4116</v>
      </c>
      <c r="D24" s="11"/>
      <c r="E24" s="30"/>
      <c r="F24" s="30">
        <v>1040</v>
      </c>
      <c r="G24" s="182"/>
    </row>
    <row r="25" spans="1:7" ht="13.5" customHeight="1" x14ac:dyDescent="0.2">
      <c r="A25" s="180"/>
      <c r="B25" s="56"/>
      <c r="C25" s="36" t="s">
        <v>4117</v>
      </c>
      <c r="D25" s="11"/>
      <c r="E25" s="30">
        <v>14.68</v>
      </c>
      <c r="F25" s="30"/>
      <c r="G25" s="182"/>
    </row>
    <row r="26" spans="1:7" ht="13.5" customHeight="1" x14ac:dyDescent="0.2">
      <c r="A26" s="180"/>
      <c r="B26" s="56"/>
      <c r="C26" s="36" t="s">
        <v>4118</v>
      </c>
      <c r="D26" s="11"/>
      <c r="E26" s="30"/>
      <c r="F26" s="30">
        <v>2838.73</v>
      </c>
      <c r="G26" s="182"/>
    </row>
    <row r="27" spans="1:7" ht="13.5" customHeight="1" x14ac:dyDescent="0.2">
      <c r="A27" s="180"/>
      <c r="B27" s="56"/>
      <c r="C27" s="36" t="s">
        <v>4119</v>
      </c>
      <c r="D27" s="11"/>
      <c r="E27" s="30">
        <v>1240</v>
      </c>
      <c r="F27" s="12"/>
      <c r="G27" s="182">
        <v>6784.3599999999988</v>
      </c>
    </row>
    <row r="28" spans="1:7" ht="13.5" customHeight="1" x14ac:dyDescent="0.2">
      <c r="A28" s="180">
        <v>43938</v>
      </c>
      <c r="B28" s="56"/>
      <c r="C28" s="36" t="s">
        <v>4120</v>
      </c>
      <c r="D28" s="11"/>
      <c r="E28" s="30">
        <v>15</v>
      </c>
      <c r="F28" s="12"/>
      <c r="G28" s="182"/>
    </row>
    <row r="29" spans="1:7" ht="13.5" customHeight="1" x14ac:dyDescent="0.2">
      <c r="A29" s="180"/>
      <c r="B29" s="56"/>
      <c r="C29" s="36" t="s">
        <v>4121</v>
      </c>
      <c r="D29" s="11"/>
      <c r="E29" s="30"/>
      <c r="F29" s="12">
        <v>1110</v>
      </c>
      <c r="G29" s="182"/>
    </row>
    <row r="30" spans="1:7" ht="13.5" customHeight="1" x14ac:dyDescent="0.2">
      <c r="A30" s="180"/>
      <c r="B30" s="56"/>
      <c r="C30" s="36" t="s">
        <v>3860</v>
      </c>
      <c r="D30" s="11"/>
      <c r="E30" s="30">
        <v>5000</v>
      </c>
      <c r="F30" s="12"/>
      <c r="G30" s="182"/>
    </row>
    <row r="31" spans="1:7" ht="13.5" customHeight="1" x14ac:dyDescent="0.2">
      <c r="A31" s="180"/>
      <c r="B31" s="56"/>
      <c r="C31" s="36" t="s">
        <v>4122</v>
      </c>
      <c r="D31" s="11"/>
      <c r="E31" s="30">
        <v>31.35</v>
      </c>
      <c r="F31" s="12"/>
      <c r="G31" s="182"/>
    </row>
    <row r="32" spans="1:7" ht="13.5" customHeight="1" x14ac:dyDescent="0.2">
      <c r="A32" s="180"/>
      <c r="B32" s="56"/>
      <c r="C32" s="36" t="s">
        <v>4123</v>
      </c>
      <c r="D32" s="11"/>
      <c r="E32" s="30">
        <v>300</v>
      </c>
      <c r="F32" s="12"/>
      <c r="G32" s="182"/>
    </row>
    <row r="33" spans="1:7" ht="13.5" customHeight="1" x14ac:dyDescent="0.2">
      <c r="A33" s="180"/>
      <c r="B33" s="56"/>
      <c r="C33" s="36" t="s">
        <v>4124</v>
      </c>
      <c r="D33" s="11"/>
      <c r="E33" s="30"/>
      <c r="F33" s="12">
        <v>1680</v>
      </c>
      <c r="G33" s="182"/>
    </row>
    <row r="34" spans="1:7" ht="13.5" customHeight="1" x14ac:dyDescent="0.2">
      <c r="A34" s="180"/>
      <c r="B34" s="56"/>
      <c r="C34" s="36" t="s">
        <v>4125</v>
      </c>
      <c r="D34" s="11"/>
      <c r="E34" s="30">
        <v>525</v>
      </c>
      <c r="F34" s="12"/>
      <c r="G34" s="182"/>
    </row>
    <row r="35" spans="1:7" ht="13.5" customHeight="1" x14ac:dyDescent="0.2">
      <c r="A35" s="180"/>
      <c r="B35" s="56"/>
      <c r="C35" s="36" t="s">
        <v>4126</v>
      </c>
      <c r="D35" s="11"/>
      <c r="E35" s="30">
        <v>240</v>
      </c>
      <c r="F35" s="12"/>
      <c r="G35" s="182"/>
    </row>
    <row r="36" spans="1:7" ht="13.5" customHeight="1" x14ac:dyDescent="0.2">
      <c r="A36" s="180"/>
      <c r="B36" s="56"/>
      <c r="C36" s="36" t="s">
        <v>4127</v>
      </c>
      <c r="D36" s="11"/>
      <c r="E36" s="30">
        <v>2490</v>
      </c>
      <c r="F36" s="12"/>
      <c r="G36" s="182"/>
    </row>
    <row r="37" spans="1:7" ht="13.5" customHeight="1" x14ac:dyDescent="0.2">
      <c r="A37" s="180"/>
      <c r="B37" s="56"/>
      <c r="C37" s="36" t="s">
        <v>4128</v>
      </c>
      <c r="D37" s="11"/>
      <c r="E37" s="30"/>
      <c r="F37" s="12">
        <v>3690</v>
      </c>
      <c r="G37" s="182">
        <v>4663.0099999999984</v>
      </c>
    </row>
    <row r="38" spans="1:7" ht="13.5" customHeight="1" x14ac:dyDescent="0.2">
      <c r="A38" s="180">
        <v>43941</v>
      </c>
      <c r="B38" s="56"/>
      <c r="C38" s="36" t="s">
        <v>4114</v>
      </c>
      <c r="D38" s="11"/>
      <c r="E38" s="30">
        <v>20.7</v>
      </c>
      <c r="F38" s="12"/>
      <c r="G38" s="182"/>
    </row>
    <row r="39" spans="1:7" ht="13.5" customHeight="1" x14ac:dyDescent="0.2">
      <c r="A39" s="180"/>
      <c r="B39" s="56"/>
      <c r="C39" s="36" t="s">
        <v>4129</v>
      </c>
      <c r="D39" s="11"/>
      <c r="E39" s="30">
        <v>80</v>
      </c>
      <c r="F39" s="12"/>
      <c r="G39" s="182">
        <v>4562.3099999999986</v>
      </c>
    </row>
    <row r="40" spans="1:7" ht="13.5" customHeight="1" x14ac:dyDescent="0.2">
      <c r="A40" s="180">
        <v>43944</v>
      </c>
      <c r="B40" s="56"/>
      <c r="C40" s="36" t="s">
        <v>4130</v>
      </c>
      <c r="D40" s="11"/>
      <c r="E40" s="30">
        <v>20</v>
      </c>
      <c r="F40" s="12"/>
      <c r="G40" s="182">
        <v>4542.3099999999986</v>
      </c>
    </row>
    <row r="41" spans="1:7" ht="13.5" customHeight="1" x14ac:dyDescent="0.2">
      <c r="A41" s="180">
        <v>43948</v>
      </c>
      <c r="B41" s="56"/>
      <c r="C41" s="36" t="s">
        <v>4131</v>
      </c>
      <c r="D41" s="11"/>
      <c r="E41" s="30"/>
      <c r="F41" s="12">
        <v>220</v>
      </c>
      <c r="G41" s="182"/>
    </row>
    <row r="42" spans="1:7" ht="13.5" customHeight="1" x14ac:dyDescent="0.2">
      <c r="A42" s="180"/>
      <c r="B42" s="56"/>
      <c r="C42" s="36" t="s">
        <v>4132</v>
      </c>
      <c r="D42" s="11"/>
      <c r="E42" s="30"/>
      <c r="F42" s="12">
        <v>220</v>
      </c>
      <c r="G42" s="182"/>
    </row>
    <row r="43" spans="1:7" ht="13.5" customHeight="1" x14ac:dyDescent="0.2">
      <c r="A43" s="180"/>
      <c r="B43" s="56"/>
      <c r="C43" s="36" t="s">
        <v>4133</v>
      </c>
      <c r="D43" s="11"/>
      <c r="E43" s="30"/>
      <c r="F43" s="12">
        <v>220</v>
      </c>
      <c r="G43" s="182"/>
    </row>
    <row r="44" spans="1:7" ht="13.5" customHeight="1" x14ac:dyDescent="0.2">
      <c r="A44" s="180"/>
      <c r="B44" s="56"/>
      <c r="C44" s="36" t="s">
        <v>4134</v>
      </c>
      <c r="D44" s="11"/>
      <c r="E44" s="30"/>
      <c r="F44" s="12">
        <v>1200</v>
      </c>
      <c r="G44" s="182"/>
    </row>
    <row r="45" spans="1:7" ht="13.5" customHeight="1" x14ac:dyDescent="0.2">
      <c r="A45" s="180"/>
      <c r="B45" s="56"/>
      <c r="C45" s="36" t="s">
        <v>4135</v>
      </c>
      <c r="D45" s="11"/>
      <c r="E45" s="30">
        <v>3.4</v>
      </c>
      <c r="F45" s="12"/>
      <c r="G45" s="182"/>
    </row>
    <row r="46" spans="1:7" ht="13.5" customHeight="1" x14ac:dyDescent="0.2">
      <c r="A46" s="180"/>
      <c r="B46" s="56"/>
      <c r="C46" s="34" t="s">
        <v>4136</v>
      </c>
      <c r="D46" s="11"/>
      <c r="E46" s="30">
        <v>24</v>
      </c>
      <c r="F46" s="12"/>
      <c r="G46" s="182"/>
    </row>
    <row r="47" spans="1:7" ht="13.5" customHeight="1" x14ac:dyDescent="0.2">
      <c r="A47" s="180"/>
      <c r="B47" s="56"/>
      <c r="C47" s="36" t="s">
        <v>4137</v>
      </c>
      <c r="D47" s="11"/>
      <c r="E47" s="30"/>
      <c r="F47" s="12">
        <v>66</v>
      </c>
      <c r="G47" s="182"/>
    </row>
    <row r="48" spans="1:7" ht="13.5" customHeight="1" x14ac:dyDescent="0.2">
      <c r="A48" s="180"/>
      <c r="B48" s="56"/>
      <c r="C48" s="36" t="s">
        <v>3836</v>
      </c>
      <c r="D48" s="11"/>
      <c r="E48" s="552">
        <v>4000</v>
      </c>
      <c r="F48" s="12"/>
      <c r="G48" s="182">
        <v>2440.9099999999989</v>
      </c>
    </row>
    <row r="49" spans="1:27" s="64" customFormat="1" ht="13.5" customHeight="1" x14ac:dyDescent="0.2">
      <c r="A49" s="184">
        <v>43950</v>
      </c>
      <c r="B49" s="63"/>
      <c r="C49" s="32" t="s">
        <v>4138</v>
      </c>
      <c r="D49" s="50"/>
      <c r="E49" s="51"/>
      <c r="F49" s="13">
        <v>440</v>
      </c>
      <c r="G49" s="53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s="64" customFormat="1" ht="13.5" customHeight="1" x14ac:dyDescent="0.2">
      <c r="A50" s="184"/>
      <c r="B50" s="63"/>
      <c r="C50" s="63" t="s">
        <v>4139</v>
      </c>
      <c r="D50" s="50"/>
      <c r="E50" s="51">
        <v>25.7</v>
      </c>
      <c r="F50" s="13"/>
      <c r="G50" s="53">
        <v>2855.2099999999991</v>
      </c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s="64" customFormat="1" ht="13.5" customHeight="1" x14ac:dyDescent="0.2">
      <c r="A51" s="184">
        <v>43951</v>
      </c>
      <c r="B51" s="63"/>
      <c r="C51" s="32" t="s">
        <v>4140</v>
      </c>
      <c r="D51" s="50"/>
      <c r="E51" s="51">
        <v>420</v>
      </c>
      <c r="F51" s="13"/>
      <c r="G51" s="53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s="64" customFormat="1" ht="13.5" customHeight="1" x14ac:dyDescent="0.2">
      <c r="A52" s="184"/>
      <c r="B52" s="63"/>
      <c r="C52" s="63" t="s">
        <v>4141</v>
      </c>
      <c r="D52" s="50"/>
      <c r="E52" s="51">
        <v>100</v>
      </c>
      <c r="F52" s="13"/>
      <c r="G52" s="178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s="64" customFormat="1" ht="13.5" customHeight="1" x14ac:dyDescent="0.2">
      <c r="A53" s="184"/>
      <c r="B53" s="63"/>
      <c r="C53" s="63" t="s">
        <v>4142</v>
      </c>
      <c r="D53" s="50"/>
      <c r="E53" s="51">
        <v>1.75</v>
      </c>
      <c r="F53" s="13"/>
      <c r="G53" s="178">
        <v>2333.46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s="64" customFormat="1" ht="13.5" customHeight="1" thickBot="1" x14ac:dyDescent="0.25">
      <c r="A54" s="184"/>
      <c r="B54" s="63"/>
      <c r="C54" s="63"/>
      <c r="D54" s="50"/>
      <c r="E54" s="650">
        <f>-SUM(E6:E12,E15:E17,E20,E22:E47,E50:E53)</f>
        <v>-12444.35</v>
      </c>
      <c r="F54" s="651">
        <f>SUM(F4:F53)</f>
        <v>18502.190000000002</v>
      </c>
      <c r="G54" s="53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3.5" customHeight="1" thickBot="1" x14ac:dyDescent="0.25">
      <c r="A55" s="2" t="s">
        <v>2</v>
      </c>
      <c r="B55" s="3"/>
      <c r="C55" s="3" t="s">
        <v>536</v>
      </c>
      <c r="D55" s="3" t="s">
        <v>4</v>
      </c>
      <c r="E55" s="3" t="s">
        <v>5</v>
      </c>
      <c r="F55" s="3" t="s">
        <v>6</v>
      </c>
      <c r="G55" s="5" t="s">
        <v>7</v>
      </c>
    </row>
    <row r="56" spans="1:27" ht="13.5" customHeight="1" x14ac:dyDescent="0.2">
      <c r="A56" s="8">
        <v>43922</v>
      </c>
      <c r="B56" s="56"/>
      <c r="C56" s="10" t="s">
        <v>8</v>
      </c>
      <c r="D56" s="11"/>
      <c r="E56" s="51"/>
      <c r="F56" s="12"/>
      <c r="G56" s="205">
        <v>29203.500000000011</v>
      </c>
    </row>
    <row r="57" spans="1:27" ht="13.5" customHeight="1" x14ac:dyDescent="0.2">
      <c r="A57" s="171">
        <v>43923</v>
      </c>
      <c r="B57" s="46"/>
      <c r="C57" s="36" t="s">
        <v>4143</v>
      </c>
      <c r="D57" s="11"/>
      <c r="E57" s="30"/>
      <c r="F57" s="12">
        <v>1100</v>
      </c>
      <c r="G57" s="182">
        <v>30303.500000000011</v>
      </c>
    </row>
    <row r="58" spans="1:27" ht="13.5" customHeight="1" x14ac:dyDescent="0.2">
      <c r="A58" s="180"/>
      <c r="B58" s="56"/>
      <c r="C58" s="32" t="s">
        <v>1002</v>
      </c>
      <c r="D58" s="11"/>
      <c r="E58" s="30">
        <v>2146.42</v>
      </c>
      <c r="F58" s="12"/>
      <c r="G58" s="182">
        <v>28157.080000000009</v>
      </c>
    </row>
    <row r="59" spans="1:27" ht="13.5" customHeight="1" x14ac:dyDescent="0.2">
      <c r="A59" s="180"/>
      <c r="B59" s="56"/>
      <c r="C59" s="36" t="s">
        <v>4144</v>
      </c>
      <c r="D59" s="11"/>
      <c r="E59" s="30"/>
      <c r="F59" s="12">
        <v>60</v>
      </c>
      <c r="G59" s="182">
        <v>28217.080000000009</v>
      </c>
    </row>
    <row r="60" spans="1:27" ht="13.5" customHeight="1" x14ac:dyDescent="0.2">
      <c r="A60" s="180"/>
      <c r="B60" s="56"/>
      <c r="C60" s="36" t="s">
        <v>4145</v>
      </c>
      <c r="D60" s="11"/>
      <c r="E60" s="30"/>
      <c r="F60" s="12">
        <v>1140</v>
      </c>
      <c r="G60" s="182">
        <v>29357.080000000009</v>
      </c>
    </row>
    <row r="61" spans="1:27" ht="13.5" customHeight="1" x14ac:dyDescent="0.2">
      <c r="A61" s="180"/>
      <c r="B61" s="56"/>
      <c r="C61" s="36" t="s">
        <v>4146</v>
      </c>
      <c r="D61" s="11"/>
      <c r="E61" s="30"/>
      <c r="F61" s="12">
        <v>150</v>
      </c>
      <c r="G61" s="182">
        <v>29507.080000000009</v>
      </c>
    </row>
    <row r="62" spans="1:27" ht="13.5" customHeight="1" x14ac:dyDescent="0.2">
      <c r="A62" s="180"/>
      <c r="B62" s="56"/>
      <c r="C62" s="36" t="s">
        <v>4147</v>
      </c>
      <c r="D62" s="11"/>
      <c r="E62" s="30">
        <v>38</v>
      </c>
      <c r="F62" s="12"/>
      <c r="G62" s="182">
        <v>29469.080000000009</v>
      </c>
    </row>
    <row r="63" spans="1:27" s="64" customFormat="1" ht="13.5" customHeight="1" x14ac:dyDescent="0.2">
      <c r="A63" s="184"/>
      <c r="B63" s="63"/>
      <c r="C63" s="36" t="s">
        <v>4148</v>
      </c>
      <c r="D63" s="50"/>
      <c r="E63" s="51"/>
      <c r="F63" s="13">
        <v>250</v>
      </c>
      <c r="G63" s="182">
        <v>29719.080000000009</v>
      </c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s="64" customFormat="1" ht="13.5" customHeight="1" x14ac:dyDescent="0.2">
      <c r="A64" s="184"/>
      <c r="B64" s="63"/>
      <c r="C64" s="36" t="s">
        <v>4149</v>
      </c>
      <c r="D64" s="50"/>
      <c r="E64" s="51"/>
      <c r="F64" s="13">
        <v>250</v>
      </c>
      <c r="G64" s="182">
        <v>29969.080000000009</v>
      </c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s="64" customFormat="1" ht="13.5" customHeight="1" x14ac:dyDescent="0.2">
      <c r="A65" s="184"/>
      <c r="B65" s="63"/>
      <c r="C65" s="36" t="s">
        <v>4150</v>
      </c>
      <c r="D65" s="50"/>
      <c r="E65" s="51"/>
      <c r="F65" s="13">
        <v>100</v>
      </c>
      <c r="G65" s="182">
        <v>30069.080000000009</v>
      </c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s="64" customFormat="1" ht="13.5" customHeight="1" x14ac:dyDescent="0.2">
      <c r="A66" s="184"/>
      <c r="B66" s="63"/>
      <c r="C66" s="36" t="s">
        <v>4151</v>
      </c>
      <c r="D66" s="50"/>
      <c r="E66" s="51"/>
      <c r="F66" s="13">
        <v>100</v>
      </c>
      <c r="G66" s="182">
        <v>30169.080000000009</v>
      </c>
      <c r="H66" s="1"/>
      <c r="I66" s="740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s="64" customFormat="1" ht="13.5" customHeight="1" x14ac:dyDescent="0.2">
      <c r="A67" s="184"/>
      <c r="B67" s="63"/>
      <c r="C67" s="36" t="s">
        <v>4152</v>
      </c>
      <c r="D67" s="50"/>
      <c r="E67" s="51">
        <v>1000</v>
      </c>
      <c r="F67" s="13">
        <v>6</v>
      </c>
      <c r="G67" s="182">
        <v>29175.080000000009</v>
      </c>
      <c r="H67" s="1"/>
      <c r="I67" s="420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s="64" customFormat="1" ht="13.5" customHeight="1" x14ac:dyDescent="0.2">
      <c r="A68" s="184">
        <v>43924</v>
      </c>
      <c r="B68" s="63"/>
      <c r="C68" s="34" t="s">
        <v>4153</v>
      </c>
      <c r="D68" s="50"/>
      <c r="E68" s="51">
        <v>90</v>
      </c>
      <c r="F68" s="13"/>
      <c r="G68" s="182">
        <v>29085.080000000009</v>
      </c>
      <c r="H68" s="1"/>
      <c r="I68" s="420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s="64" customFormat="1" ht="13.5" customHeight="1" x14ac:dyDescent="0.2">
      <c r="A69" s="184"/>
      <c r="B69" s="63"/>
      <c r="C69" s="36" t="s">
        <v>4154</v>
      </c>
      <c r="D69" s="50"/>
      <c r="E69" s="51"/>
      <c r="F69" s="13">
        <v>2360</v>
      </c>
      <c r="G69" s="182">
        <v>31445.080000000009</v>
      </c>
      <c r="H69" s="1"/>
      <c r="I69" s="420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s="64" customFormat="1" ht="13.5" customHeight="1" x14ac:dyDescent="0.2">
      <c r="A70" s="184"/>
      <c r="B70" s="63"/>
      <c r="C70" s="34" t="s">
        <v>4155</v>
      </c>
      <c r="D70" s="50"/>
      <c r="E70" s="51">
        <v>102.06</v>
      </c>
      <c r="F70" s="13"/>
      <c r="G70" s="182">
        <v>31343.020000000008</v>
      </c>
      <c r="H70" s="1"/>
      <c r="I70" s="74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s="64" customFormat="1" ht="13.5" customHeight="1" x14ac:dyDescent="0.2">
      <c r="A71" s="184"/>
      <c r="B71" s="63"/>
      <c r="C71" s="34" t="s">
        <v>4156</v>
      </c>
      <c r="D71" s="50"/>
      <c r="E71" s="51"/>
      <c r="F71" s="13">
        <v>1340</v>
      </c>
      <c r="G71" s="182">
        <v>32683.020000000008</v>
      </c>
      <c r="H71" s="1"/>
      <c r="I71" s="74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s="64" customFormat="1" ht="13.5" customHeight="1" x14ac:dyDescent="0.2">
      <c r="A72" s="184">
        <v>43927</v>
      </c>
      <c r="B72" s="63"/>
      <c r="C72" s="36" t="s">
        <v>4157</v>
      </c>
      <c r="D72" s="50"/>
      <c r="E72" s="51"/>
      <c r="F72" s="13">
        <v>80</v>
      </c>
      <c r="G72" s="182">
        <v>32763.020000000008</v>
      </c>
      <c r="H72" s="1"/>
      <c r="I72" s="74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s="64" customFormat="1" ht="13.5" customHeight="1" x14ac:dyDescent="0.2">
      <c r="A73" s="184"/>
      <c r="B73" s="63"/>
      <c r="C73" s="36" t="s">
        <v>4158</v>
      </c>
      <c r="D73" s="50"/>
      <c r="E73" s="51"/>
      <c r="F73" s="13">
        <v>220</v>
      </c>
      <c r="G73" s="182">
        <v>32983.020000000004</v>
      </c>
      <c r="H73" s="1"/>
      <c r="I73" s="74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s="64" customFormat="1" ht="13.5" customHeight="1" x14ac:dyDescent="0.2">
      <c r="A74" s="184">
        <v>43929</v>
      </c>
      <c r="B74" s="63"/>
      <c r="C74" s="36" t="s">
        <v>3987</v>
      </c>
      <c r="D74" s="50"/>
      <c r="E74" s="51">
        <v>100</v>
      </c>
      <c r="F74" s="13"/>
      <c r="G74" s="182">
        <v>32883.020000000004</v>
      </c>
      <c r="H74" s="1"/>
      <c r="I74" s="74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s="64" customFormat="1" ht="13.5" customHeight="1" x14ac:dyDescent="0.2">
      <c r="A75" s="184"/>
      <c r="B75" s="63"/>
      <c r="C75" s="34" t="s">
        <v>4034</v>
      </c>
      <c r="D75" s="50"/>
      <c r="E75" s="51">
        <v>300</v>
      </c>
      <c r="F75" s="13"/>
      <c r="G75" s="182">
        <v>32583.020000000004</v>
      </c>
      <c r="H75" s="1"/>
      <c r="I75" s="74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s="64" customFormat="1" ht="13.5" customHeight="1" x14ac:dyDescent="0.2">
      <c r="A76" s="184">
        <v>43935</v>
      </c>
      <c r="B76" s="63"/>
      <c r="C76" s="742" t="s">
        <v>4159</v>
      </c>
      <c r="D76" s="50"/>
      <c r="E76" s="51"/>
      <c r="F76" s="13">
        <v>1590</v>
      </c>
      <c r="G76" s="182">
        <v>34173.020000000004</v>
      </c>
      <c r="H76" s="1"/>
      <c r="I76" s="137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s="64" customFormat="1" ht="13.5" customHeight="1" x14ac:dyDescent="0.2">
      <c r="A77" s="184"/>
      <c r="B77" s="63"/>
      <c r="C77" s="742" t="s">
        <v>4160</v>
      </c>
      <c r="D77" s="50"/>
      <c r="E77" s="51"/>
      <c r="F77" s="13">
        <v>90</v>
      </c>
      <c r="G77" s="182">
        <v>34263.020000000004</v>
      </c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s="64" customFormat="1" ht="13.5" customHeight="1" x14ac:dyDescent="0.2">
      <c r="A78" s="184">
        <v>43937</v>
      </c>
      <c r="B78" s="63"/>
      <c r="C78" s="742" t="s">
        <v>4161</v>
      </c>
      <c r="D78" s="50"/>
      <c r="E78" s="51"/>
      <c r="F78" s="13">
        <v>900</v>
      </c>
      <c r="G78" s="182">
        <v>35163.020000000004</v>
      </c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s="64" customFormat="1" ht="13.5" customHeight="1" x14ac:dyDescent="0.2">
      <c r="A79" s="184"/>
      <c r="B79" s="63"/>
      <c r="C79" s="742" t="s">
        <v>4162</v>
      </c>
      <c r="D79" s="50"/>
      <c r="E79" s="51"/>
      <c r="F79" s="13">
        <v>1341</v>
      </c>
      <c r="G79" s="182">
        <v>36504.020000000004</v>
      </c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s="64" customFormat="1" ht="13.5" customHeight="1" x14ac:dyDescent="0.2">
      <c r="A80" s="184">
        <v>43938</v>
      </c>
      <c r="B80" s="63"/>
      <c r="C80" s="742" t="s">
        <v>4163</v>
      </c>
      <c r="D80" s="50"/>
      <c r="E80" s="51"/>
      <c r="F80" s="13">
        <v>936</v>
      </c>
      <c r="G80" s="182">
        <v>37440.020000000004</v>
      </c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s="64" customFormat="1" ht="13.5" customHeight="1" x14ac:dyDescent="0.2">
      <c r="A81" s="184"/>
      <c r="B81" s="63"/>
      <c r="C81" s="34" t="s">
        <v>3872</v>
      </c>
      <c r="D81" s="50"/>
      <c r="E81" s="51">
        <v>100</v>
      </c>
      <c r="F81" s="13"/>
      <c r="G81" s="182">
        <v>37340.020000000004</v>
      </c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s="64" customFormat="1" ht="13.5" customHeight="1" x14ac:dyDescent="0.2">
      <c r="A82" s="184">
        <v>43941</v>
      </c>
      <c r="B82" s="63"/>
      <c r="C82" s="34" t="s">
        <v>4164</v>
      </c>
      <c r="D82" s="50"/>
      <c r="E82" s="51">
        <v>22.38</v>
      </c>
      <c r="F82" s="13"/>
      <c r="G82" s="182">
        <v>37317.640000000007</v>
      </c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s="64" customFormat="1" ht="13.5" customHeight="1" x14ac:dyDescent="0.2">
      <c r="A83" s="184">
        <v>43943</v>
      </c>
      <c r="B83" s="63"/>
      <c r="C83" s="138" t="s">
        <v>4165</v>
      </c>
      <c r="D83" s="50"/>
      <c r="E83" s="51">
        <v>38.1</v>
      </c>
      <c r="F83" s="13"/>
      <c r="G83" s="182">
        <v>37279.540000000008</v>
      </c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s="64" customFormat="1" ht="13.5" customHeight="1" x14ac:dyDescent="0.2">
      <c r="A84" s="184"/>
      <c r="B84" s="63"/>
      <c r="C84" s="34" t="s">
        <v>4166</v>
      </c>
      <c r="D84" s="50"/>
      <c r="E84" s="165">
        <v>3000</v>
      </c>
      <c r="F84" s="13"/>
      <c r="G84" s="182">
        <v>34279.540000000008</v>
      </c>
      <c r="H84" s="1"/>
      <c r="I84" s="18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s="64" customFormat="1" ht="13.5" customHeight="1" x14ac:dyDescent="0.2">
      <c r="A85" s="184">
        <v>43944</v>
      </c>
      <c r="B85" s="63"/>
      <c r="C85" s="34" t="s">
        <v>4167</v>
      </c>
      <c r="D85" s="50"/>
      <c r="E85" s="51">
        <v>38.1</v>
      </c>
      <c r="F85" s="13"/>
      <c r="G85" s="182">
        <v>34241.44000000001</v>
      </c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s="64" customFormat="1" ht="13.5" customHeight="1" x14ac:dyDescent="0.2">
      <c r="A86" s="184">
        <v>43945</v>
      </c>
      <c r="B86" s="63"/>
      <c r="C86" s="34" t="s">
        <v>4168</v>
      </c>
      <c r="D86" s="50"/>
      <c r="E86" s="51">
        <v>29.5</v>
      </c>
      <c r="F86" s="13"/>
      <c r="G86" s="182">
        <v>34211.94000000001</v>
      </c>
      <c r="H86" s="1"/>
      <c r="I86" s="18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s="64" customFormat="1" ht="13.5" customHeight="1" x14ac:dyDescent="0.2">
      <c r="A87" s="184"/>
      <c r="B87" s="63"/>
      <c r="C87" s="36" t="s">
        <v>4125</v>
      </c>
      <c r="D87" s="46"/>
      <c r="E87" s="69">
        <v>420</v>
      </c>
      <c r="F87" s="13"/>
      <c r="G87" s="182">
        <v>33791.94000000001</v>
      </c>
      <c r="H87" s="1"/>
      <c r="I87" s="18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s="64" customFormat="1" ht="13.5" customHeight="1" x14ac:dyDescent="0.2">
      <c r="A88" s="184"/>
      <c r="B88" s="63"/>
      <c r="C88" s="32" t="s">
        <v>4024</v>
      </c>
      <c r="D88" s="50"/>
      <c r="E88" s="51"/>
      <c r="F88" s="13">
        <v>1100</v>
      </c>
      <c r="G88" s="182">
        <v>34891.94000000001</v>
      </c>
      <c r="H88" s="1"/>
      <c r="I88" s="72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s="64" customFormat="1" ht="13.5" customHeight="1" x14ac:dyDescent="0.2">
      <c r="A89" s="180">
        <v>43948</v>
      </c>
      <c r="B89" s="56"/>
      <c r="C89" s="36" t="s">
        <v>3836</v>
      </c>
      <c r="D89" s="11"/>
      <c r="E89" s="30"/>
      <c r="F89" s="277">
        <v>4000</v>
      </c>
      <c r="G89" s="182">
        <v>38891.94000000001</v>
      </c>
      <c r="H89" s="1"/>
      <c r="I89" s="72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s="64" customFormat="1" ht="13.5" customHeight="1" x14ac:dyDescent="0.2">
      <c r="A90" s="184">
        <v>43950</v>
      </c>
      <c r="B90" s="63"/>
      <c r="C90" s="138" t="s">
        <v>4169</v>
      </c>
      <c r="D90" s="50"/>
      <c r="E90" s="51">
        <v>226</v>
      </c>
      <c r="F90" s="13"/>
      <c r="G90" s="182">
        <v>38665.94000000001</v>
      </c>
      <c r="H90" s="1"/>
      <c r="I90" s="72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s="64" customFormat="1" ht="13.5" customHeight="1" x14ac:dyDescent="0.2">
      <c r="A91" s="184"/>
      <c r="B91" s="63"/>
      <c r="C91" s="138" t="s">
        <v>4170</v>
      </c>
      <c r="D91" s="50"/>
      <c r="E91" s="51">
        <v>34.94</v>
      </c>
      <c r="F91" s="13"/>
      <c r="G91" s="205">
        <v>38631.000000000007</v>
      </c>
      <c r="H91" s="1"/>
      <c r="I91" s="72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s="64" customFormat="1" ht="13.5" customHeight="1" x14ac:dyDescent="0.2">
      <c r="A92" s="184"/>
      <c r="B92" s="63"/>
      <c r="C92" s="357"/>
      <c r="D92" s="50"/>
      <c r="E92" s="51"/>
      <c r="F92" s="13"/>
      <c r="G92" s="182"/>
      <c r="H92" s="1"/>
      <c r="I92" s="72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s="64" customFormat="1" ht="13.5" customHeight="1" x14ac:dyDescent="0.2">
      <c r="A93" s="184"/>
      <c r="B93" s="63"/>
      <c r="C93" s="357"/>
      <c r="D93" s="50"/>
      <c r="E93" s="51"/>
      <c r="F93" s="13"/>
      <c r="G93" s="182">
        <v>37000</v>
      </c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s="64" customFormat="1" ht="13.5" customHeight="1" x14ac:dyDescent="0.2">
      <c r="A94" s="184"/>
      <c r="B94" s="63"/>
      <c r="C94" s="357"/>
      <c r="D94" s="50"/>
      <c r="E94" s="51"/>
      <c r="F94" s="13"/>
      <c r="G94" s="182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s="64" customFormat="1" ht="13.5" customHeight="1" x14ac:dyDescent="0.2">
      <c r="A95" s="184">
        <v>43935</v>
      </c>
      <c r="B95" s="63"/>
      <c r="C95" s="36"/>
      <c r="D95" s="50"/>
      <c r="E95" s="51"/>
      <c r="F95" s="13">
        <v>1590</v>
      </c>
      <c r="G95" s="182">
        <v>1590</v>
      </c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s="64" customFormat="1" ht="13.5" customHeight="1" x14ac:dyDescent="0.2">
      <c r="A96" s="184"/>
      <c r="B96" s="63"/>
      <c r="C96" s="36"/>
      <c r="D96" s="50"/>
      <c r="E96" s="51"/>
      <c r="F96" s="13">
        <v>90</v>
      </c>
      <c r="G96" s="182">
        <v>1680</v>
      </c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s="64" customFormat="1" ht="13.5" customHeight="1" x14ac:dyDescent="0.2">
      <c r="A97" s="184">
        <v>43937</v>
      </c>
      <c r="B97" s="63"/>
      <c r="C97" s="36"/>
      <c r="D97" s="50"/>
      <c r="E97" s="51"/>
      <c r="F97" s="13">
        <v>900</v>
      </c>
      <c r="G97" s="182">
        <v>2580</v>
      </c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s="64" customFormat="1" ht="13.5" customHeight="1" x14ac:dyDescent="0.2">
      <c r="A98" s="184"/>
      <c r="B98" s="63"/>
      <c r="C98" s="36"/>
      <c r="D98" s="50"/>
      <c r="E98" s="51"/>
      <c r="F98" s="13">
        <v>1341</v>
      </c>
      <c r="G98" s="182">
        <v>3921</v>
      </c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s="64" customFormat="1" ht="13.5" customHeight="1" x14ac:dyDescent="0.2">
      <c r="A99" s="184">
        <v>43938</v>
      </c>
      <c r="B99" s="63"/>
      <c r="C99" s="36"/>
      <c r="D99" s="50"/>
      <c r="E99" s="51"/>
      <c r="F99" s="13">
        <v>936</v>
      </c>
      <c r="G99" s="182">
        <v>4857</v>
      </c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s="64" customFormat="1" ht="13.5" customHeight="1" x14ac:dyDescent="0.2">
      <c r="A100" s="184"/>
      <c r="B100" s="63"/>
      <c r="C100" s="357"/>
      <c r="D100" s="50"/>
      <c r="E100" s="51">
        <v>3000</v>
      </c>
      <c r="F100" s="13"/>
      <c r="G100" s="182">
        <v>1857</v>
      </c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s="64" customFormat="1" ht="13.5" customHeight="1" x14ac:dyDescent="0.2">
      <c r="A101" s="184"/>
      <c r="B101" s="63"/>
      <c r="C101" s="357"/>
      <c r="D101" s="50"/>
      <c r="E101" s="51">
        <v>226</v>
      </c>
      <c r="F101" s="13"/>
      <c r="G101" s="182">
        <v>1631</v>
      </c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s="64" customFormat="1" ht="13.5" customHeight="1" x14ac:dyDescent="0.2">
      <c r="A102" s="184"/>
      <c r="B102" s="63"/>
      <c r="C102" s="357"/>
      <c r="D102" s="50"/>
      <c r="E102" s="51"/>
      <c r="F102" s="13"/>
      <c r="G102" s="182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s="64" customFormat="1" ht="13.5" customHeight="1" x14ac:dyDescent="0.2">
      <c r="A103" s="184"/>
      <c r="B103" s="63"/>
      <c r="C103" s="63"/>
      <c r="D103" s="50"/>
      <c r="E103" s="51"/>
      <c r="F103" s="13"/>
      <c r="G103" s="205">
        <v>38631</v>
      </c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3.5" customHeight="1" thickBot="1" x14ac:dyDescent="0.25">
      <c r="A104" s="180"/>
      <c r="B104" s="56"/>
      <c r="C104" s="56"/>
      <c r="D104" s="11"/>
      <c r="E104" s="653">
        <f>-SUM(E58:E83,E85:E91)</f>
        <v>-4685.4999999999991</v>
      </c>
      <c r="F104" s="647">
        <f>SUM(F57:F88,F103)</f>
        <v>13113</v>
      </c>
      <c r="G104" s="182"/>
    </row>
    <row r="105" spans="1:27" ht="13.5" customHeight="1" thickBot="1" x14ac:dyDescent="0.25">
      <c r="A105" s="2" t="s">
        <v>2</v>
      </c>
      <c r="B105" s="3"/>
      <c r="C105" s="3" t="s">
        <v>3</v>
      </c>
      <c r="D105" s="3"/>
      <c r="E105" s="3"/>
      <c r="F105" s="3"/>
      <c r="G105" s="5" t="s">
        <v>7</v>
      </c>
    </row>
    <row r="106" spans="1:27" ht="13.5" customHeight="1" x14ac:dyDescent="0.2">
      <c r="A106" s="8">
        <v>43922</v>
      </c>
      <c r="B106" s="70"/>
      <c r="C106" s="10" t="s">
        <v>537</v>
      </c>
      <c r="D106" s="46"/>
      <c r="E106" s="67"/>
      <c r="F106" s="67"/>
      <c r="G106" s="205">
        <v>5896.63</v>
      </c>
    </row>
    <row r="107" spans="1:27" ht="13.5" customHeight="1" x14ac:dyDescent="0.2">
      <c r="A107" s="171">
        <v>43927</v>
      </c>
      <c r="B107" s="46"/>
      <c r="C107" s="34" t="s">
        <v>55</v>
      </c>
      <c r="D107" s="46"/>
      <c r="E107" s="51">
        <v>-400</v>
      </c>
      <c r="F107" s="69"/>
      <c r="G107" s="182"/>
    </row>
    <row r="108" spans="1:27" ht="13.5" customHeight="1" x14ac:dyDescent="0.2">
      <c r="A108" s="171"/>
      <c r="B108" s="46"/>
      <c r="C108" s="34" t="s">
        <v>867</v>
      </c>
      <c r="D108" s="46"/>
      <c r="E108" s="51">
        <v>-500</v>
      </c>
      <c r="F108" s="69"/>
      <c r="G108" s="182"/>
    </row>
    <row r="109" spans="1:27" ht="13.5" customHeight="1" x14ac:dyDescent="0.2">
      <c r="A109" s="171"/>
      <c r="B109" s="46"/>
      <c r="C109" s="36" t="s">
        <v>20</v>
      </c>
      <c r="D109" s="46" t="s">
        <v>488</v>
      </c>
      <c r="E109" s="51"/>
      <c r="F109" s="28">
        <v>0.04</v>
      </c>
      <c r="G109" s="182">
        <v>4996.67</v>
      </c>
    </row>
    <row r="110" spans="1:27" ht="13.5" customHeight="1" x14ac:dyDescent="0.2">
      <c r="A110" s="180" t="s">
        <v>4171</v>
      </c>
      <c r="B110" s="46"/>
      <c r="C110" s="34" t="s">
        <v>4172</v>
      </c>
      <c r="D110" s="46">
        <v>581000</v>
      </c>
      <c r="E110" s="51">
        <v>-1574</v>
      </c>
      <c r="F110" s="69"/>
      <c r="G110" s="182"/>
    </row>
    <row r="111" spans="1:27" ht="13.5" customHeight="1" x14ac:dyDescent="0.2">
      <c r="A111" s="180"/>
      <c r="B111" s="46"/>
      <c r="C111" s="36" t="s">
        <v>20</v>
      </c>
      <c r="D111" s="46" t="s">
        <v>488</v>
      </c>
      <c r="E111" s="51"/>
      <c r="F111" s="733">
        <v>0.09</v>
      </c>
      <c r="G111" s="182">
        <v>3422.76</v>
      </c>
    </row>
    <row r="112" spans="1:27" ht="13.5" customHeight="1" x14ac:dyDescent="0.2">
      <c r="A112" s="180" t="s">
        <v>4173</v>
      </c>
      <c r="B112" s="46"/>
      <c r="C112" s="34" t="s">
        <v>87</v>
      </c>
      <c r="D112" s="46" t="s">
        <v>488</v>
      </c>
      <c r="E112" s="51">
        <v>-124.92</v>
      </c>
      <c r="F112" s="69"/>
      <c r="G112" s="182"/>
    </row>
    <row r="113" spans="1:7" ht="13.5" customHeight="1" x14ac:dyDescent="0.2">
      <c r="A113" s="180"/>
      <c r="B113" s="9"/>
      <c r="C113" s="34" t="s">
        <v>68</v>
      </c>
      <c r="D113" s="46" t="s">
        <v>4174</v>
      </c>
      <c r="E113" s="51">
        <v>-127.69</v>
      </c>
      <c r="F113" s="61"/>
      <c r="G113" s="182"/>
    </row>
    <row r="114" spans="1:7" ht="13.5" customHeight="1" x14ac:dyDescent="0.2">
      <c r="A114" s="180"/>
      <c r="B114" s="9"/>
      <c r="C114" s="34" t="s">
        <v>4175</v>
      </c>
      <c r="D114" s="46" t="s">
        <v>1383</v>
      </c>
      <c r="E114" s="51">
        <v>-99.9</v>
      </c>
      <c r="F114" s="61"/>
      <c r="G114" s="182"/>
    </row>
    <row r="115" spans="1:7" ht="13.5" customHeight="1" x14ac:dyDescent="0.2">
      <c r="A115" s="180"/>
      <c r="B115" s="9"/>
      <c r="C115" s="34" t="s">
        <v>4051</v>
      </c>
      <c r="D115" s="46" t="s">
        <v>488</v>
      </c>
      <c r="E115" s="51">
        <v>-919.75</v>
      </c>
      <c r="F115" s="61"/>
      <c r="G115" s="182"/>
    </row>
    <row r="116" spans="1:7" ht="13.5" customHeight="1" x14ac:dyDescent="0.2">
      <c r="A116" s="180"/>
      <c r="B116" s="9"/>
      <c r="C116" s="36" t="s">
        <v>20</v>
      </c>
      <c r="D116" s="46" t="s">
        <v>488</v>
      </c>
      <c r="E116" s="61"/>
      <c r="F116" s="61">
        <v>0.1</v>
      </c>
      <c r="G116" s="182">
        <v>2150.6</v>
      </c>
    </row>
    <row r="117" spans="1:7" ht="13.5" customHeight="1" x14ac:dyDescent="0.2">
      <c r="A117" s="180" t="s">
        <v>4176</v>
      </c>
      <c r="B117" s="9"/>
      <c r="C117" s="36" t="s">
        <v>4106</v>
      </c>
      <c r="D117" s="46" t="s">
        <v>4177</v>
      </c>
      <c r="E117" s="61"/>
      <c r="F117" s="600">
        <v>697.42</v>
      </c>
      <c r="G117" s="182"/>
    </row>
    <row r="118" spans="1:7" ht="13.5" customHeight="1" x14ac:dyDescent="0.2">
      <c r="A118" s="180"/>
      <c r="B118" s="46"/>
      <c r="C118" s="36" t="s">
        <v>4110</v>
      </c>
      <c r="D118" s="46" t="s">
        <v>4178</v>
      </c>
      <c r="E118" s="69"/>
      <c r="F118" s="322">
        <v>170</v>
      </c>
      <c r="G118" s="182">
        <v>3018.02</v>
      </c>
    </row>
    <row r="119" spans="1:7" ht="13.5" customHeight="1" x14ac:dyDescent="0.2">
      <c r="A119" s="180" t="s">
        <v>4179</v>
      </c>
      <c r="B119" s="46"/>
      <c r="C119" s="34" t="s">
        <v>86</v>
      </c>
      <c r="D119" s="46" t="s">
        <v>488</v>
      </c>
      <c r="E119" s="69">
        <v>-75.900000000000006</v>
      </c>
      <c r="F119" s="69"/>
      <c r="G119" s="182"/>
    </row>
    <row r="120" spans="1:7" ht="13.5" customHeight="1" x14ac:dyDescent="0.2">
      <c r="A120" s="180"/>
      <c r="B120" s="46"/>
      <c r="C120" s="33" t="s">
        <v>81</v>
      </c>
      <c r="D120" s="46" t="s">
        <v>4180</v>
      </c>
      <c r="E120" s="69">
        <v>-52.35</v>
      </c>
      <c r="F120" s="69"/>
      <c r="G120" s="182"/>
    </row>
    <row r="121" spans="1:7" ht="13.5" customHeight="1" x14ac:dyDescent="0.2">
      <c r="A121" s="171"/>
      <c r="B121" s="46"/>
      <c r="C121" s="34" t="s">
        <v>673</v>
      </c>
      <c r="D121" s="46" t="s">
        <v>4181</v>
      </c>
      <c r="E121" s="69">
        <v>-99.98</v>
      </c>
      <c r="F121" s="69"/>
      <c r="G121" s="182"/>
    </row>
    <row r="122" spans="1:7" ht="13.5" customHeight="1" x14ac:dyDescent="0.2">
      <c r="A122" s="171"/>
      <c r="B122" s="46"/>
      <c r="C122" s="34" t="s">
        <v>4182</v>
      </c>
      <c r="D122" s="46" t="s">
        <v>3018</v>
      </c>
      <c r="E122" s="69">
        <v>-91.4</v>
      </c>
      <c r="F122" s="69"/>
      <c r="G122" s="182"/>
    </row>
    <row r="123" spans="1:7" ht="13.5" customHeight="1" x14ac:dyDescent="0.2">
      <c r="A123" s="171"/>
      <c r="B123" s="46"/>
      <c r="C123" s="36" t="s">
        <v>4113</v>
      </c>
      <c r="D123" s="46" t="s">
        <v>4183</v>
      </c>
      <c r="E123" s="69"/>
      <c r="F123" s="322">
        <v>200</v>
      </c>
      <c r="G123" s="182"/>
    </row>
    <row r="124" spans="1:7" ht="13.5" customHeight="1" x14ac:dyDescent="0.2">
      <c r="A124" s="171"/>
      <c r="B124" s="46"/>
      <c r="C124" s="34" t="s">
        <v>4184</v>
      </c>
      <c r="D124" s="46" t="s">
        <v>488</v>
      </c>
      <c r="E124" s="69">
        <v>-49.99</v>
      </c>
      <c r="F124" s="69"/>
      <c r="G124" s="182">
        <v>2848.4</v>
      </c>
    </row>
    <row r="125" spans="1:7" ht="13.5" customHeight="1" x14ac:dyDescent="0.2">
      <c r="A125" s="171" t="s">
        <v>4185</v>
      </c>
      <c r="B125" s="46"/>
      <c r="C125" s="34" t="s">
        <v>18</v>
      </c>
      <c r="D125" s="46" t="s">
        <v>4186</v>
      </c>
      <c r="E125" s="69">
        <v>-420.38</v>
      </c>
      <c r="F125" s="69"/>
      <c r="G125" s="182"/>
    </row>
    <row r="126" spans="1:7" ht="13.5" customHeight="1" x14ac:dyDescent="0.2">
      <c r="A126" s="171"/>
      <c r="B126" s="46"/>
      <c r="C126" s="36" t="s">
        <v>20</v>
      </c>
      <c r="D126" s="46"/>
      <c r="E126" s="69"/>
      <c r="F126" s="69">
        <v>0.05</v>
      </c>
      <c r="G126" s="182">
        <v>2428.0700000000002</v>
      </c>
    </row>
    <row r="127" spans="1:7" ht="13.5" customHeight="1" x14ac:dyDescent="0.2">
      <c r="A127" s="171" t="s">
        <v>4187</v>
      </c>
      <c r="B127" s="46"/>
      <c r="C127" s="34" t="s">
        <v>134</v>
      </c>
      <c r="D127" s="46" t="s">
        <v>1383</v>
      </c>
      <c r="E127" s="69">
        <v>-119</v>
      </c>
      <c r="F127" s="69"/>
      <c r="G127" s="182"/>
    </row>
    <row r="128" spans="1:7" ht="13.5" customHeight="1" x14ac:dyDescent="0.2">
      <c r="A128" s="171"/>
      <c r="B128" s="46"/>
      <c r="C128" s="34" t="s">
        <v>132</v>
      </c>
      <c r="D128" s="46" t="s">
        <v>1961</v>
      </c>
      <c r="E128" s="69">
        <v>-1379.58</v>
      </c>
      <c r="F128" s="69"/>
      <c r="G128" s="182">
        <v>929.49</v>
      </c>
    </row>
    <row r="129" spans="1:10" ht="13.5" customHeight="1" x14ac:dyDescent="0.2">
      <c r="A129" s="171">
        <v>43943</v>
      </c>
      <c r="B129" s="46"/>
      <c r="C129" s="36" t="s">
        <v>20</v>
      </c>
      <c r="D129" s="46" t="s">
        <v>488</v>
      </c>
      <c r="E129" s="69"/>
      <c r="F129" s="69">
        <v>0.21</v>
      </c>
      <c r="G129" s="182">
        <v>929.7</v>
      </c>
    </row>
    <row r="130" spans="1:10" ht="13.5" customHeight="1" x14ac:dyDescent="0.2">
      <c r="A130" s="171"/>
      <c r="B130" s="46"/>
      <c r="C130" s="33" t="s">
        <v>736</v>
      </c>
      <c r="D130" s="46" t="s">
        <v>488</v>
      </c>
      <c r="E130" s="28">
        <v>-44.09</v>
      </c>
      <c r="F130" s="69"/>
      <c r="G130" s="182"/>
    </row>
    <row r="131" spans="1:10" ht="13.5" customHeight="1" x14ac:dyDescent="0.2">
      <c r="A131" s="171"/>
      <c r="B131" s="46"/>
      <c r="C131" s="36" t="s">
        <v>129</v>
      </c>
      <c r="D131" s="46" t="s">
        <v>488</v>
      </c>
      <c r="E131" s="28">
        <v>-47.24</v>
      </c>
      <c r="F131" s="69"/>
      <c r="G131" s="182"/>
    </row>
    <row r="132" spans="1:10" ht="13.5" customHeight="1" x14ac:dyDescent="0.2">
      <c r="A132" s="171"/>
      <c r="B132" s="46"/>
      <c r="C132" s="36" t="s">
        <v>130</v>
      </c>
      <c r="D132" s="46" t="s">
        <v>488</v>
      </c>
      <c r="E132" s="28">
        <v>-143.62</v>
      </c>
      <c r="F132" s="69"/>
      <c r="G132" s="734">
        <v>694.75</v>
      </c>
    </row>
    <row r="133" spans="1:10" ht="13.5" customHeight="1" x14ac:dyDescent="0.2">
      <c r="A133" s="171" t="s">
        <v>4188</v>
      </c>
      <c r="B133" s="46"/>
      <c r="C133" s="34" t="s">
        <v>4166</v>
      </c>
      <c r="D133" s="46" t="s">
        <v>488</v>
      </c>
      <c r="E133" s="69"/>
      <c r="F133" s="322">
        <v>3000</v>
      </c>
      <c r="G133" s="182">
        <v>3694.75</v>
      </c>
    </row>
    <row r="134" spans="1:10" ht="13.5" customHeight="1" x14ac:dyDescent="0.2">
      <c r="A134" s="171" t="s">
        <v>4189</v>
      </c>
      <c r="B134" s="46"/>
      <c r="C134" s="34" t="s">
        <v>136</v>
      </c>
      <c r="D134" s="46" t="s">
        <v>488</v>
      </c>
      <c r="E134" s="69">
        <v>-45.9</v>
      </c>
      <c r="F134" s="69"/>
      <c r="G134" s="182"/>
    </row>
    <row r="135" spans="1:10" ht="13.5" customHeight="1" x14ac:dyDescent="0.2">
      <c r="A135" s="171"/>
      <c r="B135" s="46"/>
      <c r="C135" s="34" t="s">
        <v>3725</v>
      </c>
      <c r="D135" s="46" t="s">
        <v>488</v>
      </c>
      <c r="E135" s="69"/>
      <c r="F135" s="69">
        <v>300</v>
      </c>
      <c r="G135" s="182"/>
    </row>
    <row r="136" spans="1:10" ht="13.5" customHeight="1" x14ac:dyDescent="0.2">
      <c r="A136" s="171"/>
      <c r="B136" s="46"/>
      <c r="C136" s="34" t="s">
        <v>62</v>
      </c>
      <c r="D136" s="46" t="s">
        <v>488</v>
      </c>
      <c r="E136" s="69">
        <v>-1074.98</v>
      </c>
      <c r="F136" s="69"/>
      <c r="G136" s="182"/>
    </row>
    <row r="137" spans="1:10" ht="13.5" customHeight="1" x14ac:dyDescent="0.2">
      <c r="A137" s="171"/>
      <c r="B137" s="46"/>
      <c r="C137" s="36" t="s">
        <v>20</v>
      </c>
      <c r="D137" s="46"/>
      <c r="E137" s="28"/>
      <c r="F137" s="69">
        <v>0.02</v>
      </c>
      <c r="G137" s="182">
        <v>2873.89</v>
      </c>
    </row>
    <row r="138" spans="1:10" ht="13.5" customHeight="1" x14ac:dyDescent="0.2">
      <c r="A138" s="171">
        <v>43948</v>
      </c>
      <c r="B138" s="46"/>
      <c r="C138" s="34" t="s">
        <v>1897</v>
      </c>
      <c r="D138" s="46"/>
      <c r="E138" s="28">
        <v>-42.85</v>
      </c>
      <c r="F138" s="69"/>
      <c r="G138" s="182"/>
    </row>
    <row r="139" spans="1:10" ht="13.5" customHeight="1" x14ac:dyDescent="0.2">
      <c r="A139" s="171"/>
      <c r="B139" s="46"/>
      <c r="C139" s="34" t="s">
        <v>1905</v>
      </c>
      <c r="D139" s="46"/>
      <c r="E139" s="69">
        <v>-42.09</v>
      </c>
      <c r="F139" s="69"/>
      <c r="G139" s="205">
        <v>2788.95</v>
      </c>
    </row>
    <row r="140" spans="1:10" ht="13.5" customHeight="1" thickBot="1" x14ac:dyDescent="0.25">
      <c r="A140" s="171"/>
      <c r="B140" s="46"/>
      <c r="C140" s="34"/>
      <c r="D140" s="46"/>
      <c r="E140" s="654">
        <f>SUM(E107:E139)</f>
        <v>-7475.6100000000006</v>
      </c>
      <c r="F140" s="654">
        <f>SUM(F109:F116,F126:F130,F135:F139)</f>
        <v>300.51</v>
      </c>
      <c r="G140" s="182"/>
    </row>
    <row r="141" spans="1:10" ht="13.5" customHeight="1" thickBot="1" x14ac:dyDescent="0.25">
      <c r="A141" s="2" t="s">
        <v>2</v>
      </c>
      <c r="B141" s="3"/>
      <c r="C141" s="3" t="s">
        <v>481</v>
      </c>
      <c r="D141" s="3"/>
      <c r="E141" s="3"/>
      <c r="F141" s="3"/>
      <c r="G141" s="5" t="s">
        <v>7</v>
      </c>
      <c r="H141" s="1415" t="s">
        <v>482</v>
      </c>
      <c r="I141" s="1416"/>
      <c r="J141" s="1417"/>
    </row>
    <row r="142" spans="1:10" ht="13.5" customHeight="1" x14ac:dyDescent="0.2">
      <c r="A142" s="8">
        <v>43922</v>
      </c>
      <c r="B142" s="70"/>
      <c r="C142" s="10" t="s">
        <v>537</v>
      </c>
      <c r="D142" s="602"/>
      <c r="E142" s="67"/>
      <c r="F142" s="67"/>
      <c r="G142" s="205">
        <v>0</v>
      </c>
      <c r="H142" s="179"/>
      <c r="I142" s="57"/>
      <c r="J142" s="58">
        <v>9448.4199999999983</v>
      </c>
    </row>
    <row r="143" spans="1:10" ht="13.5" customHeight="1" x14ac:dyDescent="0.2">
      <c r="A143" s="171"/>
      <c r="B143" s="46" t="s">
        <v>483</v>
      </c>
      <c r="C143" s="34" t="s">
        <v>4190</v>
      </c>
      <c r="D143" s="711" t="s">
        <v>1383</v>
      </c>
      <c r="E143" s="557">
        <v>-1710</v>
      </c>
      <c r="F143" s="69"/>
      <c r="G143" s="182" t="s">
        <v>483</v>
      </c>
      <c r="H143" s="59"/>
      <c r="I143" s="60"/>
      <c r="J143" s="61">
        <v>9448.4199999999983</v>
      </c>
    </row>
    <row r="144" spans="1:10" ht="13.5" customHeight="1" x14ac:dyDescent="0.2">
      <c r="A144" s="171"/>
      <c r="B144" s="46" t="s">
        <v>483</v>
      </c>
      <c r="C144" s="36" t="s">
        <v>174</v>
      </c>
      <c r="D144" s="553" t="s">
        <v>488</v>
      </c>
      <c r="E144" s="69"/>
      <c r="F144" s="557">
        <v>1710</v>
      </c>
      <c r="G144" s="182">
        <v>0</v>
      </c>
      <c r="H144" s="59">
        <v>1710</v>
      </c>
      <c r="I144" s="60"/>
      <c r="J144" s="61">
        <v>7738.4199999999983</v>
      </c>
    </row>
    <row r="145" spans="1:12" ht="13.5" customHeight="1" x14ac:dyDescent="0.2">
      <c r="A145" s="171" t="s">
        <v>4191</v>
      </c>
      <c r="B145" s="46" t="s">
        <v>483</v>
      </c>
      <c r="C145" s="34" t="s">
        <v>199</v>
      </c>
      <c r="D145" s="553" t="s">
        <v>488</v>
      </c>
      <c r="E145" s="557">
        <v>-315.48</v>
      </c>
      <c r="F145" s="69"/>
      <c r="G145" s="182" t="s">
        <v>483</v>
      </c>
      <c r="H145" s="59"/>
      <c r="I145" s="60"/>
      <c r="J145" s="61">
        <v>7738.4199999999983</v>
      </c>
    </row>
    <row r="146" spans="1:12" ht="13.5" customHeight="1" x14ac:dyDescent="0.2">
      <c r="A146" s="171"/>
      <c r="B146" s="46" t="s">
        <v>483</v>
      </c>
      <c r="C146" s="36" t="s">
        <v>174</v>
      </c>
      <c r="D146" s="553" t="s">
        <v>488</v>
      </c>
      <c r="E146" s="69"/>
      <c r="F146" s="557">
        <v>315.48</v>
      </c>
      <c r="G146" s="182">
        <v>0</v>
      </c>
      <c r="H146" s="59">
        <v>315.48</v>
      </c>
      <c r="I146" s="60"/>
      <c r="J146" s="61">
        <v>7422.9399999999987</v>
      </c>
    </row>
    <row r="147" spans="1:12" ht="13.5" customHeight="1" x14ac:dyDescent="0.2">
      <c r="A147" s="171" t="s">
        <v>4192</v>
      </c>
      <c r="B147" s="46" t="s">
        <v>483</v>
      </c>
      <c r="C147" s="34" t="s">
        <v>3911</v>
      </c>
      <c r="D147" s="553" t="s">
        <v>4193</v>
      </c>
      <c r="E147" s="557">
        <v>-100</v>
      </c>
      <c r="F147" s="69"/>
      <c r="G147" s="182" t="s">
        <v>483</v>
      </c>
      <c r="H147" s="59"/>
      <c r="I147" s="60"/>
      <c r="J147" s="61">
        <v>7422.9399999999987</v>
      </c>
    </row>
    <row r="148" spans="1:12" ht="13.5" customHeight="1" x14ac:dyDescent="0.2">
      <c r="A148" s="171"/>
      <c r="B148" s="46" t="s">
        <v>483</v>
      </c>
      <c r="C148" s="36" t="s">
        <v>174</v>
      </c>
      <c r="D148" s="553" t="s">
        <v>488</v>
      </c>
      <c r="E148" s="69"/>
      <c r="F148" s="557">
        <v>100</v>
      </c>
      <c r="G148" s="182">
        <v>0</v>
      </c>
      <c r="H148" s="59">
        <v>100</v>
      </c>
      <c r="I148" s="60"/>
      <c r="J148" s="61">
        <v>7322.9399999999987</v>
      </c>
    </row>
    <row r="149" spans="1:12" ht="13.5" customHeight="1" x14ac:dyDescent="0.2">
      <c r="A149" s="171" t="s">
        <v>4194</v>
      </c>
      <c r="B149" s="46" t="s">
        <v>483</v>
      </c>
      <c r="C149" s="36" t="s">
        <v>180</v>
      </c>
      <c r="D149" s="11" t="s">
        <v>488</v>
      </c>
      <c r="E149" s="557">
        <v>-234.75</v>
      </c>
      <c r="F149" s="69"/>
      <c r="G149" s="182" t="s">
        <v>483</v>
      </c>
      <c r="H149" s="59"/>
      <c r="I149" s="60"/>
      <c r="J149" s="61">
        <v>7322.9399999999987</v>
      </c>
    </row>
    <row r="150" spans="1:12" ht="13.5" customHeight="1" x14ac:dyDescent="0.2">
      <c r="A150" s="171"/>
      <c r="B150" s="46" t="s">
        <v>483</v>
      </c>
      <c r="C150" s="34" t="s">
        <v>177</v>
      </c>
      <c r="D150" s="11" t="s">
        <v>488</v>
      </c>
      <c r="E150" s="557">
        <v>-86.76</v>
      </c>
      <c r="F150" s="69"/>
      <c r="G150" s="182"/>
      <c r="H150" s="59"/>
      <c r="I150" s="60"/>
      <c r="J150" s="61">
        <v>7322.9399999999987</v>
      </c>
      <c r="L150" s="1">
        <v>7323.2</v>
      </c>
    </row>
    <row r="151" spans="1:12" ht="13.5" customHeight="1" x14ac:dyDescent="0.2">
      <c r="A151" s="171"/>
      <c r="B151" s="46" t="s">
        <v>483</v>
      </c>
      <c r="C151" s="569" t="s">
        <v>4195</v>
      </c>
      <c r="D151" s="11" t="s">
        <v>4196</v>
      </c>
      <c r="E151" s="557">
        <v>-82.93</v>
      </c>
      <c r="F151" s="69" t="s">
        <v>483</v>
      </c>
      <c r="G151" s="182"/>
      <c r="H151" s="59"/>
      <c r="I151" s="60"/>
      <c r="J151" s="61">
        <v>7322.9399999999987</v>
      </c>
    </row>
    <row r="152" spans="1:12" ht="13.5" customHeight="1" x14ac:dyDescent="0.2">
      <c r="A152" s="171"/>
      <c r="B152" s="46" t="s">
        <v>483</v>
      </c>
      <c r="C152" s="34" t="s">
        <v>3731</v>
      </c>
      <c r="D152" s="11" t="s">
        <v>4197</v>
      </c>
      <c r="E152" s="557">
        <v>-661.17</v>
      </c>
      <c r="F152" s="69" t="s">
        <v>483</v>
      </c>
      <c r="G152" s="182"/>
      <c r="H152" s="59"/>
      <c r="I152" s="60"/>
      <c r="J152" s="61">
        <v>7322.9399999999987</v>
      </c>
    </row>
    <row r="153" spans="1:12" ht="13.5" customHeight="1" x14ac:dyDescent="0.2">
      <c r="A153" s="171"/>
      <c r="B153" s="46" t="s">
        <v>483</v>
      </c>
      <c r="C153" s="36" t="s">
        <v>174</v>
      </c>
      <c r="D153" s="11" t="s">
        <v>488</v>
      </c>
      <c r="E153" s="69"/>
      <c r="F153" s="557">
        <v>1065.6099999999999</v>
      </c>
      <c r="G153" s="182">
        <v>0</v>
      </c>
      <c r="H153" s="59">
        <v>1065.6099999999999</v>
      </c>
      <c r="I153" s="60"/>
      <c r="J153" s="61">
        <v>6257.329999999999</v>
      </c>
      <c r="L153" s="1">
        <v>6257.63</v>
      </c>
    </row>
    <row r="154" spans="1:12" ht="13.5" customHeight="1" x14ac:dyDescent="0.2">
      <c r="A154" s="171" t="s">
        <v>4198</v>
      </c>
      <c r="B154" s="46" t="s">
        <v>483</v>
      </c>
      <c r="C154" s="34" t="s">
        <v>3911</v>
      </c>
      <c r="D154" s="11" t="s">
        <v>2127</v>
      </c>
      <c r="E154" s="557">
        <v>-200</v>
      </c>
      <c r="F154" s="69"/>
      <c r="G154" s="182"/>
      <c r="H154" s="59"/>
      <c r="I154" s="60"/>
      <c r="J154" s="61">
        <v>6257.329999999999</v>
      </c>
    </row>
    <row r="155" spans="1:12" ht="13.5" customHeight="1" x14ac:dyDescent="0.2">
      <c r="A155" s="171"/>
      <c r="B155" s="46" t="s">
        <v>483</v>
      </c>
      <c r="C155" s="36" t="s">
        <v>174</v>
      </c>
      <c r="D155" s="11" t="s">
        <v>488</v>
      </c>
      <c r="E155" s="69"/>
      <c r="F155" s="557">
        <v>200</v>
      </c>
      <c r="G155" s="182">
        <v>0</v>
      </c>
      <c r="H155" s="59">
        <v>200</v>
      </c>
      <c r="I155" s="60"/>
      <c r="J155" s="61">
        <v>6057.329999999999</v>
      </c>
    </row>
    <row r="156" spans="1:12" ht="13.5" customHeight="1" x14ac:dyDescent="0.2">
      <c r="A156" s="171" t="s">
        <v>4199</v>
      </c>
      <c r="B156" s="46" t="s">
        <v>483</v>
      </c>
      <c r="C156" s="722" t="s">
        <v>4200</v>
      </c>
      <c r="D156" s="11" t="s">
        <v>4201</v>
      </c>
      <c r="E156" s="557">
        <v>-104.75</v>
      </c>
      <c r="F156" s="69"/>
      <c r="G156" s="182" t="s">
        <v>483</v>
      </c>
      <c r="H156" s="59"/>
      <c r="I156" s="60"/>
      <c r="J156" s="61">
        <v>6057.329999999999</v>
      </c>
    </row>
    <row r="157" spans="1:12" ht="13.5" customHeight="1" x14ac:dyDescent="0.2">
      <c r="A157" s="171"/>
      <c r="B157" s="46" t="s">
        <v>483</v>
      </c>
      <c r="C157" s="34" t="s">
        <v>4202</v>
      </c>
      <c r="D157" s="11" t="s">
        <v>488</v>
      </c>
      <c r="E157" s="69"/>
      <c r="F157" s="557">
        <v>4731.47</v>
      </c>
      <c r="G157" s="182" t="s">
        <v>483</v>
      </c>
      <c r="H157" s="59"/>
      <c r="I157" s="60"/>
      <c r="J157" s="61">
        <v>6057.329999999999</v>
      </c>
    </row>
    <row r="158" spans="1:12" ht="13.5" customHeight="1" x14ac:dyDescent="0.2">
      <c r="A158" s="171"/>
      <c r="B158" s="46" t="s">
        <v>483</v>
      </c>
      <c r="C158" s="36" t="s">
        <v>189</v>
      </c>
      <c r="D158" s="11" t="s">
        <v>488</v>
      </c>
      <c r="E158" s="557">
        <v>-4626.72</v>
      </c>
      <c r="F158" s="69"/>
      <c r="G158" s="182">
        <v>0</v>
      </c>
      <c r="H158" s="59"/>
      <c r="I158" s="60">
        <v>4626.72</v>
      </c>
      <c r="J158" s="61">
        <v>10684.05</v>
      </c>
      <c r="L158" s="1">
        <v>10684.55</v>
      </c>
    </row>
    <row r="159" spans="1:12" ht="13.5" customHeight="1" x14ac:dyDescent="0.2">
      <c r="A159" s="171" t="s">
        <v>4203</v>
      </c>
      <c r="B159" s="46" t="s">
        <v>483</v>
      </c>
      <c r="C159" s="32" t="s">
        <v>4204</v>
      </c>
      <c r="D159" s="11" t="s">
        <v>3927</v>
      </c>
      <c r="E159" s="557">
        <v>-789</v>
      </c>
      <c r="F159" s="69"/>
      <c r="G159" s="182"/>
      <c r="H159" s="59"/>
      <c r="I159" s="60"/>
      <c r="J159" s="61">
        <v>10684.05</v>
      </c>
      <c r="L159" s="1">
        <v>10684.59</v>
      </c>
    </row>
    <row r="160" spans="1:12" ht="13.5" customHeight="1" x14ac:dyDescent="0.2">
      <c r="A160" s="171"/>
      <c r="B160" s="46" t="s">
        <v>483</v>
      </c>
      <c r="C160" s="36" t="s">
        <v>174</v>
      </c>
      <c r="D160" s="11" t="s">
        <v>488</v>
      </c>
      <c r="E160" s="69"/>
      <c r="F160" s="557">
        <v>789</v>
      </c>
      <c r="G160" s="182">
        <v>0</v>
      </c>
      <c r="H160" s="59">
        <v>789</v>
      </c>
      <c r="I160" s="60"/>
      <c r="J160" s="61">
        <v>9895.0499999999993</v>
      </c>
    </row>
    <row r="161" spans="1:12" ht="13.5" customHeight="1" x14ac:dyDescent="0.2">
      <c r="A161" s="171" t="s">
        <v>4205</v>
      </c>
      <c r="B161" s="46" t="s">
        <v>483</v>
      </c>
      <c r="C161" s="34" t="s">
        <v>3504</v>
      </c>
      <c r="D161" s="11" t="s">
        <v>4206</v>
      </c>
      <c r="E161" s="557">
        <v>-433.84</v>
      </c>
      <c r="F161" s="69"/>
      <c r="G161" s="182" t="s">
        <v>483</v>
      </c>
      <c r="H161" s="59"/>
      <c r="I161" s="60"/>
      <c r="J161" s="61">
        <v>9895.0499999999993</v>
      </c>
    </row>
    <row r="162" spans="1:12" ht="13.5" customHeight="1" x14ac:dyDescent="0.2">
      <c r="A162" s="171"/>
      <c r="B162" s="46" t="s">
        <v>483</v>
      </c>
      <c r="C162" s="36" t="s">
        <v>174</v>
      </c>
      <c r="D162" s="11" t="s">
        <v>488</v>
      </c>
      <c r="E162" s="69"/>
      <c r="F162" s="557">
        <v>433.84</v>
      </c>
      <c r="G162" s="182">
        <v>0</v>
      </c>
      <c r="H162" s="59">
        <v>433.84</v>
      </c>
      <c r="I162" s="60"/>
      <c r="J162" s="61">
        <v>9461.2099999999991</v>
      </c>
    </row>
    <row r="163" spans="1:12" ht="13.5" customHeight="1" x14ac:dyDescent="0.2">
      <c r="A163" s="171" t="s">
        <v>4207</v>
      </c>
      <c r="B163" s="46" t="s">
        <v>483</v>
      </c>
      <c r="C163" s="34" t="s">
        <v>4078</v>
      </c>
      <c r="D163" s="11" t="s">
        <v>3378</v>
      </c>
      <c r="E163" s="557">
        <v>-599.29999999999995</v>
      </c>
      <c r="F163" s="69"/>
      <c r="G163" s="182"/>
      <c r="H163" s="59"/>
      <c r="I163" s="60"/>
      <c r="J163" s="61">
        <v>9461.2099999999991</v>
      </c>
      <c r="L163" s="18">
        <v>9461.89</v>
      </c>
    </row>
    <row r="164" spans="1:12" ht="13.5" customHeight="1" x14ac:dyDescent="0.2">
      <c r="A164" s="171"/>
      <c r="B164" s="46" t="s">
        <v>483</v>
      </c>
      <c r="C164" s="36" t="s">
        <v>174</v>
      </c>
      <c r="D164" s="11" t="s">
        <v>488</v>
      </c>
      <c r="E164" s="69"/>
      <c r="F164" s="557">
        <v>599.29999999999995</v>
      </c>
      <c r="G164" s="182">
        <v>0</v>
      </c>
      <c r="H164" s="59">
        <v>599.29999999999995</v>
      </c>
      <c r="I164" s="60"/>
      <c r="J164" s="61">
        <v>8861.91</v>
      </c>
    </row>
    <row r="165" spans="1:12" ht="13.5" customHeight="1" x14ac:dyDescent="0.2">
      <c r="A165" s="171" t="s">
        <v>4208</v>
      </c>
      <c r="B165" s="46" t="s">
        <v>483</v>
      </c>
      <c r="C165" s="34" t="s">
        <v>86</v>
      </c>
      <c r="D165" s="11" t="s">
        <v>488</v>
      </c>
      <c r="E165" s="557">
        <v>-92.5</v>
      </c>
      <c r="F165" s="69"/>
      <c r="G165" s="182" t="s">
        <v>483</v>
      </c>
      <c r="H165" s="59"/>
      <c r="I165" s="60"/>
      <c r="J165" s="61">
        <v>8861.91</v>
      </c>
    </row>
    <row r="166" spans="1:12" ht="13.5" customHeight="1" x14ac:dyDescent="0.2">
      <c r="A166" s="171"/>
      <c r="B166" s="46" t="s">
        <v>483</v>
      </c>
      <c r="C166" s="34" t="s">
        <v>3911</v>
      </c>
      <c r="D166" s="11" t="s">
        <v>2312</v>
      </c>
      <c r="E166" s="557">
        <v>-200</v>
      </c>
      <c r="F166" s="69"/>
      <c r="G166" s="182">
        <v>-292.5</v>
      </c>
      <c r="H166" s="59"/>
      <c r="I166" s="60"/>
      <c r="J166" s="61">
        <v>8861.91</v>
      </c>
      <c r="L166" s="1">
        <v>8862.6200000000008</v>
      </c>
    </row>
    <row r="167" spans="1:12" ht="13.5" customHeight="1" x14ac:dyDescent="0.2">
      <c r="A167" s="171"/>
      <c r="B167" s="46" t="s">
        <v>483</v>
      </c>
      <c r="C167" s="36" t="s">
        <v>174</v>
      </c>
      <c r="D167" s="11" t="s">
        <v>488</v>
      </c>
      <c r="E167" s="69"/>
      <c r="F167" s="557">
        <v>292.5</v>
      </c>
      <c r="G167" s="182">
        <v>0</v>
      </c>
      <c r="H167" s="59">
        <v>292.5</v>
      </c>
      <c r="I167" s="60"/>
      <c r="J167" s="61">
        <v>8569.41</v>
      </c>
    </row>
    <row r="168" spans="1:12" ht="13.5" customHeight="1" x14ac:dyDescent="0.2">
      <c r="A168" s="171" t="s">
        <v>4209</v>
      </c>
      <c r="B168" s="46" t="s">
        <v>483</v>
      </c>
      <c r="C168" s="32" t="s">
        <v>194</v>
      </c>
      <c r="D168" s="11" t="s">
        <v>488</v>
      </c>
      <c r="E168" s="557">
        <v>-30.75</v>
      </c>
      <c r="F168" s="69"/>
      <c r="G168" s="182" t="s">
        <v>483</v>
      </c>
      <c r="H168" s="59"/>
      <c r="I168" s="60"/>
      <c r="J168" s="61">
        <v>8569.41</v>
      </c>
    </row>
    <row r="169" spans="1:12" ht="13.5" customHeight="1" x14ac:dyDescent="0.2">
      <c r="A169" s="171"/>
      <c r="B169" s="46" t="s">
        <v>483</v>
      </c>
      <c r="C169" s="32" t="s">
        <v>195</v>
      </c>
      <c r="D169" s="11" t="s">
        <v>488</v>
      </c>
      <c r="E169" s="557">
        <v>-141.94</v>
      </c>
      <c r="F169" s="69"/>
      <c r="G169" s="182" t="s">
        <v>483</v>
      </c>
      <c r="H169" s="59"/>
      <c r="I169" s="60"/>
      <c r="J169" s="61">
        <v>8569.41</v>
      </c>
    </row>
    <row r="170" spans="1:12" ht="13.5" customHeight="1" x14ac:dyDescent="0.2">
      <c r="A170" s="171"/>
      <c r="B170" s="46" t="s">
        <v>483</v>
      </c>
      <c r="C170" s="34" t="s">
        <v>196</v>
      </c>
      <c r="D170" s="11" t="s">
        <v>488</v>
      </c>
      <c r="E170" s="557">
        <v>-885.44</v>
      </c>
      <c r="F170" s="69"/>
      <c r="G170" s="182" t="s">
        <v>483</v>
      </c>
      <c r="H170" s="59"/>
      <c r="I170" s="60"/>
      <c r="J170" s="61">
        <v>8569.41</v>
      </c>
    </row>
    <row r="171" spans="1:12" ht="13.5" customHeight="1" x14ac:dyDescent="0.2">
      <c r="A171" s="171"/>
      <c r="B171" s="46" t="s">
        <v>483</v>
      </c>
      <c r="C171" s="34" t="s">
        <v>197</v>
      </c>
      <c r="D171" s="11" t="s">
        <v>488</v>
      </c>
      <c r="E171" s="557">
        <v>-1475.73</v>
      </c>
      <c r="F171" s="69"/>
      <c r="G171" s="182"/>
      <c r="H171" s="59"/>
      <c r="I171" s="60"/>
      <c r="J171" s="61">
        <v>8569.41</v>
      </c>
      <c r="L171" s="1">
        <v>8570.2000000000007</v>
      </c>
    </row>
    <row r="172" spans="1:12" ht="13.5" customHeight="1" x14ac:dyDescent="0.2">
      <c r="A172" s="171"/>
      <c r="B172" s="46" t="s">
        <v>483</v>
      </c>
      <c r="C172" s="36" t="s">
        <v>174</v>
      </c>
      <c r="D172" s="11" t="s">
        <v>488</v>
      </c>
      <c r="E172" s="69"/>
      <c r="F172" s="557">
        <v>2533.86</v>
      </c>
      <c r="G172" s="182">
        <v>0</v>
      </c>
      <c r="H172" s="59">
        <v>2533.86</v>
      </c>
      <c r="I172" s="60"/>
      <c r="J172" s="61">
        <v>6035.5499999999993</v>
      </c>
    </row>
    <row r="173" spans="1:12" ht="13.5" customHeight="1" x14ac:dyDescent="0.2">
      <c r="A173" s="171" t="s">
        <v>4210</v>
      </c>
      <c r="B173" s="46" t="s">
        <v>483</v>
      </c>
      <c r="C173" s="34" t="s">
        <v>86</v>
      </c>
      <c r="D173" s="11" t="s">
        <v>488</v>
      </c>
      <c r="E173" s="557">
        <v>-12.5</v>
      </c>
      <c r="F173" s="69"/>
      <c r="G173" s="182" t="s">
        <v>483</v>
      </c>
      <c r="H173" s="59"/>
      <c r="I173" s="60"/>
      <c r="J173" s="61">
        <v>6035.5499999999993</v>
      </c>
    </row>
    <row r="174" spans="1:12" ht="13.5" customHeight="1" x14ac:dyDescent="0.2">
      <c r="A174" s="171"/>
      <c r="B174" s="46" t="s">
        <v>483</v>
      </c>
      <c r="C174" s="36" t="s">
        <v>174</v>
      </c>
      <c r="D174" s="11" t="s">
        <v>488</v>
      </c>
      <c r="E174" s="69"/>
      <c r="F174" s="557">
        <v>12.5</v>
      </c>
      <c r="G174" s="182">
        <v>0</v>
      </c>
      <c r="H174" s="59">
        <v>12.5</v>
      </c>
      <c r="I174" s="60"/>
      <c r="J174" s="61">
        <v>6023.0499999999993</v>
      </c>
    </row>
    <row r="175" spans="1:12" ht="13.5" customHeight="1" x14ac:dyDescent="0.2">
      <c r="A175" s="171" t="s">
        <v>4211</v>
      </c>
      <c r="B175" s="46" t="s">
        <v>483</v>
      </c>
      <c r="C175" s="32" t="s">
        <v>813</v>
      </c>
      <c r="D175" s="11" t="s">
        <v>4212</v>
      </c>
      <c r="E175" s="557">
        <v>-50</v>
      </c>
      <c r="F175" s="69"/>
      <c r="G175" s="182" t="s">
        <v>483</v>
      </c>
      <c r="H175" s="59"/>
      <c r="I175" s="60"/>
      <c r="J175" s="61">
        <v>6023.0499999999993</v>
      </c>
    </row>
    <row r="176" spans="1:12" ht="13.5" customHeight="1" x14ac:dyDescent="0.2">
      <c r="A176" s="171"/>
      <c r="B176" s="46" t="s">
        <v>483</v>
      </c>
      <c r="C176" s="36" t="s">
        <v>174</v>
      </c>
      <c r="D176" s="11" t="s">
        <v>488</v>
      </c>
      <c r="E176" s="69"/>
      <c r="F176" s="557">
        <v>50</v>
      </c>
      <c r="G176" s="205">
        <v>0</v>
      </c>
      <c r="H176" s="59">
        <v>50</v>
      </c>
      <c r="I176" s="60"/>
      <c r="J176" s="61">
        <v>5973.0499999999993</v>
      </c>
      <c r="L176" s="1">
        <v>5974.07</v>
      </c>
    </row>
    <row r="177" spans="1:10" ht="13.5" customHeight="1" x14ac:dyDescent="0.2">
      <c r="A177" s="171"/>
      <c r="B177" s="46"/>
      <c r="C177" s="36" t="s">
        <v>20</v>
      </c>
      <c r="D177" s="11"/>
      <c r="E177" s="69"/>
      <c r="F177" s="69"/>
      <c r="G177" s="182"/>
      <c r="H177" s="59"/>
      <c r="I177" s="60">
        <v>1.0200000000004366</v>
      </c>
      <c r="J177" s="186">
        <v>5974.07</v>
      </c>
    </row>
    <row r="178" spans="1:10" ht="13.5" customHeight="1" thickBot="1" x14ac:dyDescent="0.25">
      <c r="A178" s="171"/>
      <c r="B178" s="46"/>
      <c r="C178" s="34"/>
      <c r="D178" s="11"/>
      <c r="E178" s="654">
        <f>SUM(E143:E177)</f>
        <v>-12833.560000000001</v>
      </c>
      <c r="F178" s="654">
        <f>SUM(F144:F177)</f>
        <v>12833.560000000001</v>
      </c>
      <c r="G178" s="182"/>
      <c r="H178" s="179"/>
      <c r="I178" s="57"/>
      <c r="J178" s="67"/>
    </row>
    <row r="179" spans="1:10" ht="13.5" customHeight="1" thickBot="1" x14ac:dyDescent="0.25">
      <c r="A179" s="2" t="s">
        <v>2</v>
      </c>
      <c r="B179" s="3"/>
      <c r="C179" s="3" t="s">
        <v>525</v>
      </c>
      <c r="D179" s="3"/>
      <c r="E179" s="3"/>
      <c r="F179" s="3"/>
      <c r="G179" s="5" t="s">
        <v>7</v>
      </c>
    </row>
    <row r="180" spans="1:10" ht="13.5" customHeight="1" x14ac:dyDescent="0.2">
      <c r="A180" s="8">
        <v>43922</v>
      </c>
      <c r="B180" s="70"/>
      <c r="C180" s="10" t="s">
        <v>537</v>
      </c>
      <c r="D180" s="125"/>
      <c r="E180" s="67"/>
      <c r="F180" s="67"/>
      <c r="G180" s="205">
        <v>380.59999999999809</v>
      </c>
    </row>
    <row r="181" spans="1:10" ht="13.5" customHeight="1" x14ac:dyDescent="0.2">
      <c r="A181" s="171">
        <v>43927</v>
      </c>
      <c r="B181" s="46"/>
      <c r="C181" s="36" t="s">
        <v>530</v>
      </c>
      <c r="D181" s="11"/>
      <c r="E181" s="181">
        <v>930.05</v>
      </c>
      <c r="F181" s="69"/>
      <c r="G181" s="203">
        <v>-549.45000000000186</v>
      </c>
    </row>
    <row r="182" spans="1:10" ht="13.5" customHeight="1" x14ac:dyDescent="0.2">
      <c r="A182" s="171">
        <v>43928</v>
      </c>
      <c r="B182" s="46"/>
      <c r="C182" s="34" t="s">
        <v>3929</v>
      </c>
      <c r="D182" s="11"/>
      <c r="E182" s="181">
        <v>600</v>
      </c>
      <c r="F182" s="69"/>
      <c r="G182" s="203">
        <v>-1149.4500000000019</v>
      </c>
      <c r="I182" s="30">
        <f>SUM(G3,G56,G106,G142)</f>
        <v>36443.170000000006</v>
      </c>
      <c r="J182" s="33" t="s">
        <v>1798</v>
      </c>
    </row>
    <row r="183" spans="1:10" ht="13.5" customHeight="1" x14ac:dyDescent="0.2">
      <c r="A183" s="171"/>
      <c r="B183" s="46"/>
      <c r="C183" s="34" t="s">
        <v>3930</v>
      </c>
      <c r="D183" s="11"/>
      <c r="E183" s="557">
        <v>600</v>
      </c>
      <c r="F183" s="69"/>
      <c r="G183" s="203">
        <v>-1749.4500000000019</v>
      </c>
    </row>
    <row r="184" spans="1:10" ht="13.5" customHeight="1" x14ac:dyDescent="0.2">
      <c r="A184" s="171">
        <v>43928</v>
      </c>
      <c r="B184" s="46"/>
      <c r="C184" s="32" t="s">
        <v>3758</v>
      </c>
      <c r="D184" s="11"/>
      <c r="E184" s="30"/>
      <c r="F184" s="557">
        <v>2000</v>
      </c>
      <c r="G184" s="203">
        <v>250.54999999999814</v>
      </c>
      <c r="I184" s="30">
        <f>G53</f>
        <v>2333.46</v>
      </c>
      <c r="J184" s="33" t="s">
        <v>1799</v>
      </c>
    </row>
    <row r="185" spans="1:10" ht="13.5" customHeight="1" x14ac:dyDescent="0.2">
      <c r="A185" s="171">
        <v>43934</v>
      </c>
      <c r="B185" s="46"/>
      <c r="C185" s="34" t="s">
        <v>4213</v>
      </c>
      <c r="D185" s="229"/>
      <c r="E185" s="69"/>
      <c r="F185" s="557">
        <v>2000</v>
      </c>
      <c r="G185" s="203">
        <v>2250.5499999999984</v>
      </c>
    </row>
    <row r="186" spans="1:10" ht="13.5" customHeight="1" x14ac:dyDescent="0.2">
      <c r="A186" s="171">
        <v>43935</v>
      </c>
      <c r="B186" s="46"/>
      <c r="C186" s="36" t="s">
        <v>618</v>
      </c>
      <c r="D186" s="229"/>
      <c r="E186" s="557">
        <v>12.65</v>
      </c>
      <c r="F186" s="69"/>
      <c r="G186" s="203">
        <v>2237.8999999999983</v>
      </c>
      <c r="I186" s="30">
        <f>SUM(G91,G139,G176)</f>
        <v>41419.950000000004</v>
      </c>
      <c r="J186" s="33" t="s">
        <v>1797</v>
      </c>
    </row>
    <row r="187" spans="1:10" ht="13.5" customHeight="1" x14ac:dyDescent="0.2">
      <c r="A187" s="180">
        <v>43938</v>
      </c>
      <c r="B187" s="46"/>
      <c r="C187" s="34" t="s">
        <v>613</v>
      </c>
      <c r="D187" s="229"/>
      <c r="E187" s="557">
        <v>10.35</v>
      </c>
      <c r="F187" s="69"/>
      <c r="G187" s="203">
        <v>2227.5499999999984</v>
      </c>
    </row>
    <row r="188" spans="1:10" ht="13.5" customHeight="1" x14ac:dyDescent="0.2">
      <c r="A188" s="180"/>
      <c r="B188" s="46"/>
      <c r="C188" s="34" t="s">
        <v>613</v>
      </c>
      <c r="D188" s="230"/>
      <c r="E188" s="559">
        <v>21</v>
      </c>
      <c r="F188" s="61"/>
      <c r="G188" s="203">
        <v>2206.5499999999984</v>
      </c>
      <c r="I188" s="30">
        <f>SUM(F178,E178,F140,E140,F104,E104,F54,E54,)</f>
        <v>7310.2400000000034</v>
      </c>
      <c r="J188" s="33" t="s">
        <v>3517</v>
      </c>
    </row>
    <row r="189" spans="1:10" ht="13.5" customHeight="1" x14ac:dyDescent="0.2">
      <c r="A189" s="180">
        <v>43951</v>
      </c>
      <c r="B189" s="46"/>
      <c r="C189" s="34" t="s">
        <v>4087</v>
      </c>
      <c r="D189" s="229"/>
      <c r="E189" s="557">
        <v>1.75</v>
      </c>
      <c r="F189" s="69"/>
      <c r="G189" s="205">
        <v>2204.7999999999984</v>
      </c>
    </row>
    <row r="190" spans="1:10" ht="13.5" customHeight="1" thickBot="1" x14ac:dyDescent="0.25">
      <c r="A190" s="79"/>
      <c r="B190" s="79"/>
      <c r="C190" s="78" t="s">
        <v>4087</v>
      </c>
      <c r="D190" s="78"/>
      <c r="E190" s="78"/>
      <c r="F190" s="78"/>
      <c r="G190" s="182"/>
    </row>
    <row r="191" spans="1:10" ht="13.5" customHeight="1" thickBot="1" x14ac:dyDescent="0.25">
      <c r="A191" s="561" t="s">
        <v>2</v>
      </c>
      <c r="B191" s="562"/>
      <c r="C191" s="562" t="s">
        <v>534</v>
      </c>
      <c r="D191" s="563" t="s">
        <v>4</v>
      </c>
      <c r="E191" s="562" t="s">
        <v>5</v>
      </c>
      <c r="F191" s="562" t="s">
        <v>6</v>
      </c>
      <c r="G191" s="564" t="s">
        <v>7</v>
      </c>
    </row>
    <row r="192" spans="1:10" ht="13.5" customHeight="1" x14ac:dyDescent="0.2">
      <c r="A192" s="568">
        <v>43894</v>
      </c>
      <c r="B192" s="569"/>
      <c r="C192" s="570" t="s">
        <v>8</v>
      </c>
      <c r="D192" s="571"/>
      <c r="E192" s="572"/>
      <c r="F192" s="573"/>
      <c r="G192" s="574">
        <v>39200</v>
      </c>
      <c r="I192" s="30">
        <f>SUM(I182+I188-I184-I186)</f>
        <v>7.2759576141834259E-12</v>
      </c>
    </row>
    <row r="193" spans="1:7" ht="13.5" customHeight="1" x14ac:dyDescent="0.2">
      <c r="A193" s="171">
        <v>43928</v>
      </c>
      <c r="B193" s="46"/>
      <c r="C193" s="32" t="s">
        <v>3758</v>
      </c>
      <c r="D193" s="11"/>
      <c r="E193" s="30"/>
      <c r="F193" s="557">
        <v>2000</v>
      </c>
      <c r="G193" s="205">
        <v>41200</v>
      </c>
    </row>
    <row r="194" spans="1:7" ht="13.5" customHeight="1" thickBot="1" x14ac:dyDescent="0.25">
      <c r="A194" s="70"/>
      <c r="B194" s="70"/>
      <c r="C194" s="63"/>
      <c r="D194" s="50"/>
      <c r="E194" s="13"/>
      <c r="F194" s="13"/>
      <c r="G194" s="182"/>
    </row>
    <row r="195" spans="1:7" ht="13.5" customHeight="1" thickBot="1" x14ac:dyDescent="0.25">
      <c r="A195" s="213"/>
      <c r="B195" s="214"/>
      <c r="C195" s="215" t="s">
        <v>539</v>
      </c>
      <c r="D195" s="216"/>
      <c r="E195" s="187"/>
      <c r="F195" s="187"/>
      <c r="G195" s="217" t="s">
        <v>7</v>
      </c>
    </row>
    <row r="196" spans="1:7" ht="13.5" customHeight="1" x14ac:dyDescent="0.2">
      <c r="A196" s="74" t="s">
        <v>540</v>
      </c>
      <c r="B196" s="74"/>
      <c r="C196" s="218" t="s">
        <v>541</v>
      </c>
      <c r="D196" s="219"/>
      <c r="E196" s="220"/>
      <c r="F196" s="220"/>
      <c r="G196" s="75">
        <v>0</v>
      </c>
    </row>
    <row r="197" spans="1:7" ht="13.5" customHeight="1" x14ac:dyDescent="0.2">
      <c r="A197" s="221" t="s">
        <v>540</v>
      </c>
      <c r="B197" s="70"/>
      <c r="C197" s="63" t="s">
        <v>542</v>
      </c>
      <c r="D197" s="50"/>
      <c r="E197" s="13"/>
      <c r="F197" s="13"/>
      <c r="G197" s="75">
        <v>0</v>
      </c>
    </row>
    <row r="198" spans="1:7" ht="13.5" customHeight="1" x14ac:dyDescent="0.2">
      <c r="A198" s="70"/>
      <c r="B198" s="70"/>
      <c r="C198" s="222" t="s">
        <v>543</v>
      </c>
      <c r="D198" s="50"/>
      <c r="E198" s="13"/>
      <c r="F198" s="13"/>
      <c r="G198" s="14">
        <v>0</v>
      </c>
    </row>
    <row r="199" spans="1:7" ht="13.5" customHeight="1" x14ac:dyDescent="0.2">
      <c r="A199" s="70"/>
      <c r="B199" s="70"/>
      <c r="C199" s="63"/>
      <c r="D199" s="50"/>
      <c r="E199" s="13"/>
      <c r="F199" s="13"/>
      <c r="G199" s="14"/>
    </row>
    <row r="200" spans="1:7" ht="13.5" customHeight="1" x14ac:dyDescent="0.2">
      <c r="A200" s="70"/>
      <c r="B200" s="70"/>
      <c r="C200" s="222" t="s">
        <v>544</v>
      </c>
      <c r="D200" s="50"/>
      <c r="E200" s="13"/>
      <c r="F200" s="13"/>
      <c r="G200" s="14">
        <v>0</v>
      </c>
    </row>
    <row r="201" spans="1:7" ht="13.5" customHeight="1" x14ac:dyDescent="0.2">
      <c r="A201" s="70"/>
      <c r="B201" s="70"/>
      <c r="C201" s="63"/>
      <c r="D201" s="50"/>
      <c r="E201" s="13"/>
      <c r="F201" s="13"/>
      <c r="G201" s="75"/>
    </row>
    <row r="202" spans="1:7" ht="13.5" customHeight="1" x14ac:dyDescent="0.2">
      <c r="A202" s="76"/>
      <c r="B202" s="76"/>
      <c r="C202" s="222" t="s">
        <v>545</v>
      </c>
      <c r="D202" s="78"/>
      <c r="E202" s="78"/>
      <c r="F202" s="78"/>
      <c r="G202" s="14">
        <v>0</v>
      </c>
    </row>
    <row r="203" spans="1:7" ht="13.5" customHeight="1" x14ac:dyDescent="0.2">
      <c r="A203" s="76"/>
      <c r="B203" s="76"/>
      <c r="C203" s="78"/>
      <c r="D203" s="78"/>
      <c r="E203" s="78"/>
      <c r="F203" s="78"/>
      <c r="G203" s="75"/>
    </row>
    <row r="204" spans="1:7" ht="13.5" customHeight="1" x14ac:dyDescent="0.2">
      <c r="A204" s="70"/>
      <c r="B204" s="70"/>
      <c r="C204" s="63"/>
      <c r="D204" s="50"/>
      <c r="E204" s="13"/>
      <c r="F204" s="13"/>
      <c r="G204" s="75"/>
    </row>
    <row r="205" spans="1:7" ht="13.5" customHeight="1" x14ac:dyDescent="0.2">
      <c r="A205" s="70"/>
      <c r="B205" s="70"/>
      <c r="C205" s="63"/>
      <c r="D205" s="50"/>
      <c r="E205" s="13"/>
      <c r="F205" s="13"/>
      <c r="G205" s="182"/>
    </row>
    <row r="206" spans="1:7" ht="13.5" customHeight="1" x14ac:dyDescent="0.2">
      <c r="A206" s="70"/>
      <c r="B206" s="70"/>
      <c r="C206" s="63"/>
      <c r="D206" s="50"/>
      <c r="E206" s="13"/>
      <c r="F206" s="13"/>
      <c r="G206" s="182"/>
    </row>
    <row r="207" spans="1:7" ht="13.5" customHeight="1" x14ac:dyDescent="0.2">
      <c r="A207" s="70"/>
      <c r="B207" s="70"/>
      <c r="C207" s="63"/>
      <c r="D207" s="50"/>
      <c r="E207" s="13"/>
      <c r="F207" s="13"/>
      <c r="G207" s="182"/>
    </row>
    <row r="208" spans="1:7" ht="13.5" customHeight="1" x14ac:dyDescent="0.2">
      <c r="A208" s="70"/>
      <c r="B208" s="70"/>
      <c r="C208" s="63"/>
      <c r="D208" s="50"/>
      <c r="E208" s="13"/>
      <c r="F208" s="13"/>
      <c r="G208" s="182"/>
    </row>
    <row r="209" spans="1:7" ht="13.5" customHeight="1" x14ac:dyDescent="0.2">
      <c r="A209" s="70"/>
      <c r="B209" s="70"/>
      <c r="C209" s="63"/>
      <c r="D209" s="50"/>
      <c r="E209" s="13"/>
      <c r="F209" s="13"/>
      <c r="G209" s="182"/>
    </row>
    <row r="210" spans="1:7" ht="13.5" customHeight="1" x14ac:dyDescent="0.2">
      <c r="A210" s="70"/>
      <c r="B210" s="70"/>
      <c r="C210" s="63"/>
      <c r="D210" s="50"/>
      <c r="E210" s="13"/>
      <c r="F210" s="13"/>
      <c r="G210" s="182"/>
    </row>
    <row r="211" spans="1:7" ht="13.5" customHeight="1" x14ac:dyDescent="0.2">
      <c r="A211" s="70"/>
      <c r="B211" s="70"/>
      <c r="C211" s="63"/>
      <c r="D211" s="50"/>
      <c r="E211" s="13"/>
      <c r="F211" s="13"/>
      <c r="G211" s="182"/>
    </row>
    <row r="212" spans="1:7" ht="13.5" customHeight="1" x14ac:dyDescent="0.2">
      <c r="A212" s="70"/>
      <c r="B212" s="70"/>
      <c r="C212" s="63"/>
      <c r="D212" s="50"/>
      <c r="E212" s="13"/>
      <c r="F212" s="13"/>
      <c r="G212" s="182"/>
    </row>
    <row r="213" spans="1:7" ht="13.5" customHeight="1" x14ac:dyDescent="0.2">
      <c r="A213" s="70"/>
      <c r="B213" s="70"/>
      <c r="C213" s="63"/>
      <c r="D213" s="50"/>
      <c r="E213" s="13"/>
      <c r="F213" s="13"/>
      <c r="G213" s="182"/>
    </row>
    <row r="214" spans="1:7" ht="13.5" customHeight="1" x14ac:dyDescent="0.2">
      <c r="A214" s="70"/>
      <c r="B214" s="70"/>
      <c r="C214" s="63"/>
      <c r="D214" s="50"/>
      <c r="E214" s="13"/>
      <c r="F214" s="13"/>
      <c r="G214" s="182"/>
    </row>
    <row r="215" spans="1:7" ht="13.5" customHeight="1" x14ac:dyDescent="0.2">
      <c r="A215" s="70"/>
      <c r="B215" s="70"/>
      <c r="C215" s="63"/>
      <c r="D215" s="50"/>
      <c r="E215" s="13"/>
      <c r="F215" s="13"/>
      <c r="G215" s="182"/>
    </row>
    <row r="216" spans="1:7" ht="13.5" customHeight="1" x14ac:dyDescent="0.2">
      <c r="A216" s="70"/>
      <c r="B216" s="70"/>
      <c r="C216" s="63"/>
      <c r="D216" s="50"/>
      <c r="E216" s="13"/>
      <c r="F216" s="13"/>
      <c r="G216" s="182"/>
    </row>
    <row r="217" spans="1:7" ht="13.5" customHeight="1" x14ac:dyDescent="0.2">
      <c r="A217" s="70"/>
      <c r="B217" s="70"/>
      <c r="C217" s="63"/>
      <c r="D217" s="50"/>
      <c r="E217" s="13"/>
      <c r="F217" s="13"/>
      <c r="G217" s="182"/>
    </row>
    <row r="218" spans="1:7" ht="13.5" customHeight="1" x14ac:dyDescent="0.2">
      <c r="A218" s="70"/>
      <c r="B218" s="70"/>
      <c r="C218" s="63"/>
      <c r="D218" s="50"/>
      <c r="E218" s="13"/>
      <c r="F218" s="13"/>
      <c r="G218" s="182"/>
    </row>
    <row r="219" spans="1:7" ht="13.5" customHeight="1" x14ac:dyDescent="0.2">
      <c r="A219" s="70"/>
      <c r="B219" s="70"/>
      <c r="C219" s="63"/>
      <c r="D219" s="50"/>
      <c r="E219" s="13"/>
      <c r="F219" s="13"/>
      <c r="G219" s="182"/>
    </row>
    <row r="220" spans="1:7" ht="13.5" customHeight="1" x14ac:dyDescent="0.2">
      <c r="A220" s="70"/>
      <c r="B220" s="70"/>
      <c r="C220" s="63"/>
      <c r="D220" s="50"/>
      <c r="E220" s="13"/>
      <c r="F220" s="13"/>
      <c r="G220" s="182"/>
    </row>
    <row r="221" spans="1:7" ht="13.5" customHeight="1" x14ac:dyDescent="0.2">
      <c r="A221" s="70"/>
      <c r="B221" s="70"/>
      <c r="C221" s="63"/>
      <c r="D221" s="50"/>
      <c r="E221" s="13"/>
      <c r="F221" s="13"/>
      <c r="G221" s="182"/>
    </row>
    <row r="222" spans="1:7" ht="13.5" customHeight="1" x14ac:dyDescent="0.2">
      <c r="A222" s="70"/>
      <c r="B222" s="70"/>
      <c r="C222" s="63"/>
      <c r="D222" s="50"/>
      <c r="E222" s="13"/>
      <c r="F222" s="13"/>
      <c r="G222" s="182"/>
    </row>
    <row r="223" spans="1:7" ht="13.5" customHeight="1" x14ac:dyDescent="0.2">
      <c r="A223" s="70"/>
      <c r="B223" s="70"/>
      <c r="C223" s="63"/>
      <c r="D223" s="50"/>
      <c r="E223" s="13"/>
      <c r="F223" s="13"/>
      <c r="G223" s="182"/>
    </row>
    <row r="224" spans="1:7" ht="13.5" customHeight="1" x14ac:dyDescent="0.2">
      <c r="A224" s="70"/>
      <c r="B224" s="70"/>
      <c r="C224" s="63"/>
      <c r="D224" s="50"/>
      <c r="E224" s="13"/>
      <c r="F224" s="13"/>
      <c r="G224" s="182"/>
    </row>
    <row r="225" spans="1:7" ht="13.5" customHeight="1" x14ac:dyDescent="0.2">
      <c r="A225" s="70"/>
      <c r="B225" s="70"/>
      <c r="C225" s="63"/>
      <c r="D225" s="50"/>
      <c r="E225" s="13"/>
      <c r="F225" s="13"/>
      <c r="G225" s="182"/>
    </row>
    <row r="226" spans="1:7" ht="13.5" customHeight="1" x14ac:dyDescent="0.2">
      <c r="A226" s="70"/>
      <c r="B226" s="70"/>
      <c r="C226" s="63"/>
      <c r="D226" s="50"/>
      <c r="E226" s="13"/>
      <c r="F226" s="13"/>
      <c r="G226" s="182"/>
    </row>
    <row r="227" spans="1:7" ht="13.5" customHeight="1" x14ac:dyDescent="0.2">
      <c r="A227" s="70"/>
      <c r="B227" s="70"/>
      <c r="C227" s="63"/>
      <c r="D227" s="50"/>
      <c r="E227" s="13"/>
      <c r="F227" s="13"/>
      <c r="G227" s="182"/>
    </row>
    <row r="228" spans="1:7" ht="13.5" customHeight="1" x14ac:dyDescent="0.2">
      <c r="A228" s="70"/>
      <c r="B228" s="70"/>
      <c r="C228" s="63"/>
      <c r="D228" s="50"/>
      <c r="E228" s="13"/>
      <c r="F228" s="13"/>
      <c r="G228" s="182"/>
    </row>
    <row r="229" spans="1:7" ht="13.5" customHeight="1" x14ac:dyDescent="0.2">
      <c r="A229" s="70"/>
      <c r="B229" s="70"/>
      <c r="C229" s="63"/>
      <c r="D229" s="50"/>
      <c r="E229" s="13"/>
      <c r="F229" s="13"/>
      <c r="G229" s="182"/>
    </row>
    <row r="230" spans="1:7" ht="13.5" customHeight="1" x14ac:dyDescent="0.2">
      <c r="A230" s="70"/>
      <c r="B230" s="70"/>
      <c r="C230" s="63"/>
      <c r="D230" s="50"/>
      <c r="E230" s="13"/>
      <c r="F230" s="13"/>
      <c r="G230" s="182"/>
    </row>
    <row r="231" spans="1:7" ht="13.5" customHeight="1" x14ac:dyDescent="0.2">
      <c r="A231" s="70"/>
      <c r="B231" s="70"/>
      <c r="C231" s="63"/>
      <c r="D231" s="50"/>
      <c r="E231" s="13"/>
      <c r="F231" s="13"/>
      <c r="G231" s="182"/>
    </row>
    <row r="232" spans="1:7" ht="13.5" customHeight="1" x14ac:dyDescent="0.2">
      <c r="A232" s="131"/>
      <c r="B232" s="70"/>
      <c r="C232" s="64"/>
      <c r="D232" s="50"/>
      <c r="E232" s="13"/>
      <c r="F232" s="13"/>
      <c r="G232" s="182"/>
    </row>
    <row r="233" spans="1:7" ht="13.5" customHeight="1" x14ac:dyDescent="0.2">
      <c r="A233" s="70"/>
      <c r="B233" s="70"/>
      <c r="C233" s="63"/>
      <c r="D233" s="50"/>
      <c r="E233" s="13"/>
      <c r="F233" s="13"/>
      <c r="G233" s="182"/>
    </row>
    <row r="234" spans="1:7" ht="13.5" customHeight="1" x14ac:dyDescent="0.2">
      <c r="A234" s="70"/>
      <c r="B234" s="70"/>
      <c r="C234" s="63"/>
      <c r="D234" s="50"/>
      <c r="E234" s="13"/>
      <c r="F234" s="13"/>
      <c r="G234" s="182"/>
    </row>
    <row r="235" spans="1:7" ht="13.5" customHeight="1" x14ac:dyDescent="0.2">
      <c r="A235" s="131"/>
      <c r="B235" s="70"/>
      <c r="C235" s="85"/>
      <c r="D235" s="50"/>
      <c r="E235" s="13"/>
      <c r="F235" s="13"/>
      <c r="G235" s="182"/>
    </row>
    <row r="236" spans="1:7" ht="13.5" customHeight="1" x14ac:dyDescent="0.2">
      <c r="A236" s="131"/>
      <c r="B236" s="70"/>
      <c r="C236" s="63"/>
      <c r="D236" s="50"/>
      <c r="E236" s="13"/>
      <c r="F236" s="13"/>
      <c r="G236" s="182"/>
    </row>
    <row r="237" spans="1:7" ht="13.5" customHeight="1" x14ac:dyDescent="0.2">
      <c r="A237" s="131"/>
      <c r="B237" s="70"/>
      <c r="C237" s="63"/>
      <c r="D237" s="50"/>
      <c r="E237" s="13"/>
      <c r="F237" s="13"/>
      <c r="G237" s="182"/>
    </row>
    <row r="238" spans="1:7" ht="13.5" customHeight="1" x14ac:dyDescent="0.2">
      <c r="A238" s="131"/>
      <c r="B238" s="70"/>
      <c r="C238" s="64"/>
      <c r="D238" s="50"/>
      <c r="E238" s="13"/>
      <c r="F238" s="13"/>
      <c r="G238" s="182"/>
    </row>
    <row r="239" spans="1:7" ht="13.5" customHeight="1" x14ac:dyDescent="0.2">
      <c r="A239" s="70"/>
      <c r="B239" s="70"/>
      <c r="C239" s="63"/>
      <c r="D239" s="50"/>
      <c r="E239" s="13"/>
      <c r="F239" s="13"/>
      <c r="G239" s="182"/>
    </row>
    <row r="240" spans="1:7" ht="13.5" customHeight="1" x14ac:dyDescent="0.2">
      <c r="A240" s="131"/>
      <c r="B240" s="70"/>
      <c r="C240" s="63"/>
      <c r="D240" s="50"/>
      <c r="E240" s="13"/>
      <c r="F240" s="13"/>
      <c r="G240" s="182"/>
    </row>
    <row r="241" spans="1:7" ht="13.5" customHeight="1" x14ac:dyDescent="0.2">
      <c r="A241" s="131"/>
      <c r="B241" s="70"/>
      <c r="C241" s="64"/>
      <c r="D241" s="50"/>
      <c r="E241" s="13"/>
      <c r="F241" s="13"/>
      <c r="G241" s="182"/>
    </row>
    <row r="242" spans="1:7" ht="13.5" customHeight="1" x14ac:dyDescent="0.2">
      <c r="A242" s="70"/>
      <c r="B242" s="70"/>
      <c r="C242" s="63"/>
      <c r="D242" s="50"/>
      <c r="E242" s="13"/>
      <c r="F242" s="13"/>
      <c r="G242" s="182"/>
    </row>
    <row r="243" spans="1:7" ht="13.5" customHeight="1" x14ac:dyDescent="0.2">
      <c r="A243" s="131"/>
      <c r="B243" s="70"/>
      <c r="C243" s="63"/>
      <c r="D243" s="50"/>
      <c r="E243" s="13"/>
      <c r="F243" s="13"/>
      <c r="G243" s="182"/>
    </row>
    <row r="244" spans="1:7" ht="13.5" customHeight="1" x14ac:dyDescent="0.2">
      <c r="A244" s="131"/>
      <c r="B244" s="70"/>
      <c r="C244" s="64"/>
      <c r="D244" s="50"/>
      <c r="E244" s="13"/>
      <c r="F244" s="13"/>
      <c r="G244" s="182"/>
    </row>
    <row r="245" spans="1:7" ht="13.5" customHeight="1" x14ac:dyDescent="0.2">
      <c r="A245" s="70"/>
      <c r="B245" s="70"/>
      <c r="C245" s="63"/>
      <c r="D245" s="50"/>
      <c r="E245" s="13"/>
      <c r="F245" s="13"/>
      <c r="G245" s="182"/>
    </row>
    <row r="246" spans="1:7" ht="13.5" customHeight="1" x14ac:dyDescent="0.2">
      <c r="A246" s="70"/>
      <c r="B246" s="70"/>
      <c r="C246" s="63"/>
      <c r="D246" s="50"/>
      <c r="E246" s="13"/>
      <c r="F246" s="13"/>
      <c r="G246" s="182"/>
    </row>
    <row r="247" spans="1:7" ht="13.5" customHeight="1" x14ac:dyDescent="0.2">
      <c r="A247" s="70"/>
      <c r="B247" s="70"/>
      <c r="C247" s="63"/>
      <c r="D247" s="50"/>
      <c r="E247" s="13"/>
      <c r="F247" s="13"/>
      <c r="G247" s="182"/>
    </row>
    <row r="248" spans="1:7" ht="13.5" customHeight="1" x14ac:dyDescent="0.2">
      <c r="A248" s="131"/>
      <c r="B248" s="70"/>
      <c r="C248" s="86"/>
      <c r="D248" s="50"/>
      <c r="E248" s="13"/>
      <c r="F248" s="13"/>
      <c r="G248" s="182"/>
    </row>
    <row r="249" spans="1:7" ht="13.5" customHeight="1" x14ac:dyDescent="0.2">
      <c r="A249" s="131"/>
      <c r="B249" s="70"/>
      <c r="C249" s="85"/>
      <c r="D249" s="50"/>
      <c r="E249" s="13"/>
      <c r="F249" s="13"/>
      <c r="G249" s="182"/>
    </row>
    <row r="250" spans="1:7" ht="13.5" customHeight="1" x14ac:dyDescent="0.2">
      <c r="A250" s="131"/>
      <c r="B250" s="70"/>
      <c r="C250" s="87"/>
      <c r="D250" s="50"/>
      <c r="E250" s="13"/>
      <c r="F250" s="13"/>
      <c r="G250" s="182"/>
    </row>
    <row r="251" spans="1:7" ht="13.5" customHeight="1" x14ac:dyDescent="0.2">
      <c r="A251" s="131"/>
      <c r="B251" s="70"/>
      <c r="C251" s="88"/>
      <c r="D251" s="50"/>
      <c r="E251" s="13"/>
      <c r="F251" s="13"/>
      <c r="G251" s="182"/>
    </row>
    <row r="252" spans="1:7" ht="13.5" customHeight="1" x14ac:dyDescent="0.2">
      <c r="A252" s="91"/>
      <c r="B252" s="9"/>
      <c r="C252" s="56"/>
      <c r="D252" s="11"/>
      <c r="E252" s="12"/>
      <c r="F252" s="12"/>
      <c r="G252" s="182"/>
    </row>
    <row r="253" spans="1:7" ht="13.5" customHeight="1" x14ac:dyDescent="0.2">
      <c r="A253" s="9"/>
      <c r="B253" s="9"/>
      <c r="C253" s="56"/>
      <c r="D253" s="11"/>
      <c r="E253" s="12"/>
      <c r="F253" s="12"/>
      <c r="G253" s="182"/>
    </row>
    <row r="254" spans="1:7" ht="13.5" customHeight="1" x14ac:dyDescent="0.2">
      <c r="A254" s="9"/>
      <c r="B254" s="9"/>
      <c r="C254" s="56"/>
      <c r="D254" s="11"/>
      <c r="E254" s="12"/>
      <c r="F254" s="12"/>
      <c r="G254" s="182"/>
    </row>
    <row r="255" spans="1:7" ht="13.5" customHeight="1" x14ac:dyDescent="0.2">
      <c r="A255" s="91"/>
      <c r="B255" s="9"/>
      <c r="D255" s="11"/>
      <c r="E255" s="12"/>
      <c r="F255" s="12"/>
      <c r="G255" s="182"/>
    </row>
    <row r="256" spans="1:7" ht="13.5" customHeight="1" x14ac:dyDescent="0.2">
      <c r="A256" s="9"/>
      <c r="B256" s="9"/>
      <c r="C256" s="56"/>
      <c r="D256" s="11"/>
      <c r="E256" s="12"/>
      <c r="F256" s="12"/>
      <c r="G256" s="182"/>
    </row>
    <row r="257" spans="1:7" ht="13.5" customHeight="1" x14ac:dyDescent="0.2">
      <c r="A257" s="9"/>
      <c r="B257" s="9"/>
      <c r="C257" s="56"/>
      <c r="D257" s="11"/>
      <c r="E257" s="12"/>
      <c r="F257" s="12"/>
      <c r="G257" s="182"/>
    </row>
    <row r="258" spans="1:7" ht="13.5" customHeight="1" x14ac:dyDescent="0.2">
      <c r="A258" s="9"/>
      <c r="B258" s="9"/>
      <c r="C258" s="56"/>
      <c r="D258" s="11"/>
      <c r="E258" s="12"/>
      <c r="F258" s="12"/>
      <c r="G258" s="182"/>
    </row>
    <row r="259" spans="1:7" ht="13.5" customHeight="1" x14ac:dyDescent="0.2">
      <c r="A259" s="91"/>
      <c r="B259" s="9"/>
      <c r="C259" s="27"/>
      <c r="D259" s="11"/>
      <c r="E259" s="12"/>
      <c r="F259" s="12"/>
      <c r="G259" s="182"/>
    </row>
    <row r="260" spans="1:7" ht="13.5" customHeight="1" x14ac:dyDescent="0.2">
      <c r="A260" s="91"/>
      <c r="B260" s="9"/>
      <c r="C260" s="27"/>
      <c r="D260" s="11"/>
      <c r="E260" s="12"/>
      <c r="F260" s="12"/>
      <c r="G260" s="182"/>
    </row>
    <row r="261" spans="1:7" ht="13.5" customHeight="1" x14ac:dyDescent="0.2">
      <c r="A261" s="91"/>
      <c r="B261" s="9"/>
      <c r="D261" s="11"/>
      <c r="E261" s="12"/>
      <c r="F261" s="12"/>
      <c r="G261" s="182"/>
    </row>
    <row r="262" spans="1:7" ht="13.5" customHeight="1" x14ac:dyDescent="0.2">
      <c r="A262" s="9"/>
      <c r="B262" s="9"/>
      <c r="C262" s="56"/>
      <c r="D262" s="11"/>
      <c r="E262" s="12"/>
      <c r="F262" s="12"/>
      <c r="G262" s="182"/>
    </row>
    <row r="263" spans="1:7" ht="13.5" customHeight="1" x14ac:dyDescent="0.2">
      <c r="A263" s="9"/>
      <c r="B263" s="9"/>
      <c r="C263" s="56"/>
      <c r="D263" s="11"/>
      <c r="E263" s="12"/>
      <c r="F263" s="12"/>
      <c r="G263" s="182"/>
    </row>
    <row r="264" spans="1:7" ht="13.5" customHeight="1" x14ac:dyDescent="0.2">
      <c r="A264" s="9"/>
      <c r="B264" s="9"/>
      <c r="C264" s="56"/>
      <c r="D264" s="11"/>
      <c r="E264" s="12"/>
      <c r="F264" s="12"/>
      <c r="G264" s="182"/>
    </row>
    <row r="265" spans="1:7" ht="13.5" customHeight="1" x14ac:dyDescent="0.2">
      <c r="A265" s="9"/>
      <c r="B265" s="9"/>
      <c r="C265" s="56"/>
      <c r="D265" s="11"/>
      <c r="E265" s="12"/>
      <c r="F265" s="12"/>
      <c r="G265" s="182"/>
    </row>
    <row r="266" spans="1:7" x14ac:dyDescent="0.2">
      <c r="A266" s="132"/>
      <c r="B266" s="93"/>
      <c r="C266" s="94"/>
      <c r="D266" s="27"/>
      <c r="E266" s="27"/>
      <c r="F266" s="27"/>
      <c r="G266" s="182"/>
    </row>
  </sheetData>
  <mergeCells count="3">
    <mergeCell ref="A1:C1"/>
    <mergeCell ref="D1:G1"/>
    <mergeCell ref="H141:J141"/>
  </mergeCells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AA304"/>
  <sheetViews>
    <sheetView topLeftCell="A194" zoomScale="80" zoomScaleNormal="80" workbookViewId="0">
      <selection activeCell="C219" sqref="C219"/>
    </sheetView>
  </sheetViews>
  <sheetFormatPr defaultColWidth="9" defaultRowHeight="12.75" x14ac:dyDescent="0.2"/>
  <cols>
    <col min="1" max="1" width="14" style="1" customWidth="1"/>
    <col min="2" max="2" width="1.875" style="1" customWidth="1"/>
    <col min="3" max="3" width="87.75" style="1" customWidth="1"/>
    <col min="4" max="4" width="15.75" style="1" customWidth="1"/>
    <col min="5" max="5" width="12.375" style="1" customWidth="1"/>
    <col min="6" max="6" width="10.75" style="1" customWidth="1"/>
    <col min="7" max="7" width="11.875" style="1" customWidth="1"/>
    <col min="8" max="8" width="13.625" style="1" customWidth="1"/>
    <col min="9" max="9" width="12.125" style="1" customWidth="1"/>
    <col min="10" max="10" width="13.875" style="1" customWidth="1"/>
    <col min="11" max="11" width="9" style="1"/>
    <col min="12" max="12" width="10.5" style="1" customWidth="1"/>
    <col min="13" max="16384" width="9" style="1"/>
  </cols>
  <sheetData>
    <row r="1" spans="1:8" ht="13.5" customHeight="1" thickBot="1" x14ac:dyDescent="0.25">
      <c r="A1" s="1407" t="s">
        <v>4214</v>
      </c>
      <c r="B1" s="1407"/>
      <c r="C1" s="1408"/>
      <c r="D1" s="1409" t="s">
        <v>0</v>
      </c>
      <c r="E1" s="1410"/>
      <c r="F1" s="1410"/>
      <c r="G1" s="1411"/>
    </row>
    <row r="2" spans="1:8" ht="13.5" customHeight="1" thickBot="1" x14ac:dyDescent="0.25">
      <c r="A2" s="2" t="s">
        <v>2</v>
      </c>
      <c r="B2" s="3"/>
      <c r="C2" s="3" t="s">
        <v>2335</v>
      </c>
      <c r="D2" s="3" t="s">
        <v>4</v>
      </c>
      <c r="E2" s="3" t="s">
        <v>5</v>
      </c>
      <c r="F2" s="3" t="s">
        <v>6</v>
      </c>
      <c r="G2" s="5" t="s">
        <v>7</v>
      </c>
    </row>
    <row r="3" spans="1:8" ht="13.5" customHeight="1" x14ac:dyDescent="0.2">
      <c r="A3" s="8">
        <v>43952</v>
      </c>
      <c r="B3" s="56"/>
      <c r="C3" s="10" t="s">
        <v>8</v>
      </c>
      <c r="D3" s="11">
        <v>0</v>
      </c>
      <c r="E3" s="51"/>
      <c r="F3" s="12"/>
      <c r="G3" s="178">
        <v>2333.4599999999991</v>
      </c>
      <c r="H3" s="18">
        <v>2333.4599999999991</v>
      </c>
    </row>
    <row r="4" spans="1:8" ht="13.5" customHeight="1" x14ac:dyDescent="0.2">
      <c r="A4" s="180">
        <v>43955</v>
      </c>
      <c r="B4" s="56"/>
      <c r="C4" s="36" t="s">
        <v>4215</v>
      </c>
      <c r="D4" s="11"/>
      <c r="E4" s="30"/>
      <c r="F4" s="12">
        <v>250</v>
      </c>
      <c r="G4" s="182"/>
      <c r="H4" s="18">
        <v>2583.4599999999991</v>
      </c>
    </row>
    <row r="5" spans="1:8" ht="13.5" customHeight="1" x14ac:dyDescent="0.2">
      <c r="A5" s="180"/>
      <c r="B5" s="56"/>
      <c r="C5" s="36" t="s">
        <v>4216</v>
      </c>
      <c r="D5" s="11"/>
      <c r="E5" s="30"/>
      <c r="F5" s="12">
        <v>220</v>
      </c>
      <c r="G5" s="182"/>
      <c r="H5" s="18">
        <v>2803.4599999999991</v>
      </c>
    </row>
    <row r="6" spans="1:8" ht="13.5" customHeight="1" x14ac:dyDescent="0.2">
      <c r="A6" s="180"/>
      <c r="B6" s="56"/>
      <c r="C6" s="36" t="s">
        <v>4217</v>
      </c>
      <c r="D6" s="11"/>
      <c r="E6" s="30">
        <v>21.6</v>
      </c>
      <c r="F6" s="12"/>
      <c r="G6" s="182"/>
      <c r="H6" s="18">
        <v>2781.8599999999992</v>
      </c>
    </row>
    <row r="7" spans="1:8" ht="13.5" customHeight="1" x14ac:dyDescent="0.2">
      <c r="A7" s="180"/>
      <c r="B7" s="56"/>
      <c r="C7" s="36" t="s">
        <v>4218</v>
      </c>
      <c r="D7" s="11"/>
      <c r="E7" s="30"/>
      <c r="F7" s="12">
        <v>100</v>
      </c>
      <c r="G7" s="182"/>
      <c r="H7" s="18">
        <v>2881.8599999999992</v>
      </c>
    </row>
    <row r="8" spans="1:8" ht="13.5" customHeight="1" x14ac:dyDescent="0.2">
      <c r="A8" s="180"/>
      <c r="B8" s="56"/>
      <c r="C8" s="36" t="s">
        <v>4219</v>
      </c>
      <c r="D8" s="11"/>
      <c r="E8" s="30"/>
      <c r="F8" s="12">
        <v>1740</v>
      </c>
      <c r="G8" s="182"/>
      <c r="H8" s="18">
        <v>4621.8599999999988</v>
      </c>
    </row>
    <row r="9" spans="1:8" ht="13.5" customHeight="1" x14ac:dyDescent="0.2">
      <c r="A9" s="180"/>
      <c r="B9" s="56"/>
      <c r="C9" s="34" t="s">
        <v>4220</v>
      </c>
      <c r="D9" s="11"/>
      <c r="E9" s="30">
        <v>240</v>
      </c>
      <c r="F9" s="12"/>
      <c r="G9" s="182">
        <v>4381.8599999999988</v>
      </c>
      <c r="H9" s="18">
        <v>4381.8599999999988</v>
      </c>
    </row>
    <row r="10" spans="1:8" ht="13.5" customHeight="1" x14ac:dyDescent="0.2">
      <c r="A10" s="180">
        <v>43956</v>
      </c>
      <c r="B10" s="56"/>
      <c r="C10" s="36" t="s">
        <v>4099</v>
      </c>
      <c r="D10" s="11"/>
      <c r="E10" s="30">
        <v>600</v>
      </c>
      <c r="F10" s="12"/>
      <c r="G10" s="182"/>
      <c r="H10" s="18">
        <v>3781.8599999999988</v>
      </c>
    </row>
    <row r="11" spans="1:8" ht="13.5" customHeight="1" x14ac:dyDescent="0.2">
      <c r="A11" s="180"/>
      <c r="B11" s="56"/>
      <c r="C11" s="36" t="s">
        <v>4107</v>
      </c>
      <c r="D11" s="11"/>
      <c r="E11" s="30">
        <v>600</v>
      </c>
      <c r="F11" s="30"/>
      <c r="G11" s="182"/>
      <c r="H11" s="18">
        <v>3181.8599999999988</v>
      </c>
    </row>
    <row r="12" spans="1:8" ht="13.5" customHeight="1" x14ac:dyDescent="0.2">
      <c r="A12" s="180"/>
      <c r="B12" s="56"/>
      <c r="C12" s="36" t="s">
        <v>4221</v>
      </c>
      <c r="D12" s="11"/>
      <c r="E12" s="30">
        <v>59.45</v>
      </c>
      <c r="F12" s="30"/>
      <c r="G12" s="182"/>
      <c r="H12" s="18">
        <v>3122.4099999999989</v>
      </c>
    </row>
    <row r="13" spans="1:8" ht="13.5" customHeight="1" x14ac:dyDescent="0.2">
      <c r="A13" s="180"/>
      <c r="B13" s="56"/>
      <c r="C13" s="36" t="s">
        <v>4222</v>
      </c>
      <c r="D13" s="11"/>
      <c r="E13" s="30">
        <v>7.34</v>
      </c>
      <c r="F13" s="30"/>
      <c r="G13" s="182"/>
      <c r="H13" s="18">
        <v>3115.0699999999988</v>
      </c>
    </row>
    <row r="14" spans="1:8" ht="13.5" customHeight="1" x14ac:dyDescent="0.2">
      <c r="A14" s="180"/>
      <c r="B14" s="56"/>
      <c r="C14" s="36" t="s">
        <v>4223</v>
      </c>
      <c r="D14" s="11"/>
      <c r="E14" s="30"/>
      <c r="F14" s="30">
        <v>710</v>
      </c>
      <c r="G14" s="182">
        <v>3825.0699999999988</v>
      </c>
      <c r="H14" s="18">
        <v>3825.0699999999988</v>
      </c>
    </row>
    <row r="15" spans="1:8" ht="13.5" customHeight="1" x14ac:dyDescent="0.2">
      <c r="A15" s="180">
        <v>43957</v>
      </c>
      <c r="B15" s="56"/>
      <c r="C15" s="34" t="s">
        <v>4224</v>
      </c>
      <c r="D15" s="11"/>
      <c r="E15" s="30"/>
      <c r="F15" s="30">
        <v>1340</v>
      </c>
      <c r="G15" s="182"/>
      <c r="H15" s="18">
        <v>5165.0699999999988</v>
      </c>
    </row>
    <row r="16" spans="1:8" ht="13.5" customHeight="1" x14ac:dyDescent="0.2">
      <c r="A16" s="180"/>
      <c r="B16" s="56"/>
      <c r="C16" s="34" t="s">
        <v>4225</v>
      </c>
      <c r="D16" s="11"/>
      <c r="E16" s="30">
        <v>12</v>
      </c>
      <c r="F16" s="30"/>
      <c r="G16" s="182">
        <v>5153.0699999999988</v>
      </c>
      <c r="H16" s="18">
        <v>5153.0699999999988</v>
      </c>
    </row>
    <row r="17" spans="1:8" ht="13.5" customHeight="1" x14ac:dyDescent="0.2">
      <c r="A17" s="180">
        <v>43958</v>
      </c>
      <c r="B17" s="56"/>
      <c r="C17" s="34" t="s">
        <v>4226</v>
      </c>
      <c r="D17" s="11"/>
      <c r="E17" s="30"/>
      <c r="F17" s="30">
        <v>200</v>
      </c>
      <c r="G17" s="182"/>
      <c r="H17" s="18">
        <v>5353.0699999999988</v>
      </c>
    </row>
    <row r="18" spans="1:8" ht="13.5" customHeight="1" x14ac:dyDescent="0.2">
      <c r="A18" s="180"/>
      <c r="B18" s="56"/>
      <c r="C18" s="36" t="s">
        <v>4227</v>
      </c>
      <c r="D18" s="11"/>
      <c r="E18" s="30"/>
      <c r="F18" s="30">
        <v>80</v>
      </c>
      <c r="G18" s="182">
        <v>5433.0699999999988</v>
      </c>
      <c r="H18" s="18">
        <v>5433.0699999999988</v>
      </c>
    </row>
    <row r="19" spans="1:8" ht="13.5" customHeight="1" x14ac:dyDescent="0.2">
      <c r="A19" s="180">
        <v>43959</v>
      </c>
      <c r="B19" s="56"/>
      <c r="C19" s="36" t="s">
        <v>4228</v>
      </c>
      <c r="D19" s="11"/>
      <c r="E19" s="30"/>
      <c r="F19" s="30">
        <v>250</v>
      </c>
      <c r="G19" s="182"/>
      <c r="H19" s="18">
        <v>5683.0699999999988</v>
      </c>
    </row>
    <row r="20" spans="1:8" ht="13.5" customHeight="1" x14ac:dyDescent="0.2">
      <c r="A20" s="180"/>
      <c r="B20" s="56"/>
      <c r="C20" s="36" t="s">
        <v>4229</v>
      </c>
      <c r="D20" s="11"/>
      <c r="E20" s="30"/>
      <c r="F20" s="30">
        <v>60</v>
      </c>
      <c r="G20" s="182"/>
      <c r="H20" s="18">
        <v>5743.0699999999988</v>
      </c>
    </row>
    <row r="21" spans="1:8" ht="13.5" customHeight="1" x14ac:dyDescent="0.2">
      <c r="A21" s="180"/>
      <c r="B21" s="56"/>
      <c r="C21" s="36" t="s">
        <v>4230</v>
      </c>
      <c r="D21" s="11"/>
      <c r="E21" s="30">
        <v>2</v>
      </c>
      <c r="F21" s="30"/>
      <c r="G21" s="182"/>
      <c r="H21" s="18">
        <v>5741.0699999999988</v>
      </c>
    </row>
    <row r="22" spans="1:8" ht="13.5" customHeight="1" x14ac:dyDescent="0.2">
      <c r="A22" s="180"/>
      <c r="B22" s="56"/>
      <c r="C22" s="36" t="s">
        <v>4231</v>
      </c>
      <c r="D22" s="11"/>
      <c r="E22" s="30">
        <v>26</v>
      </c>
      <c r="F22" s="30"/>
      <c r="G22" s="182"/>
      <c r="H22" s="18">
        <v>5715.0699999999988</v>
      </c>
    </row>
    <row r="23" spans="1:8" ht="13.5" customHeight="1" x14ac:dyDescent="0.2">
      <c r="A23" s="180"/>
      <c r="B23" s="56"/>
      <c r="C23" s="36" t="s">
        <v>4232</v>
      </c>
      <c r="D23" s="11"/>
      <c r="E23" s="30">
        <v>8.9</v>
      </c>
      <c r="F23" s="30"/>
      <c r="G23" s="182"/>
      <c r="H23" s="18">
        <v>5706.1699999999992</v>
      </c>
    </row>
    <row r="24" spans="1:8" ht="13.5" customHeight="1" x14ac:dyDescent="0.2">
      <c r="A24" s="180"/>
      <c r="B24" s="56"/>
      <c r="C24" s="36" t="s">
        <v>4233</v>
      </c>
      <c r="D24" s="11"/>
      <c r="E24" s="30"/>
      <c r="F24" s="30">
        <v>1200</v>
      </c>
      <c r="G24" s="182"/>
      <c r="H24" s="18">
        <v>6906.1699999999992</v>
      </c>
    </row>
    <row r="25" spans="1:8" ht="13.5" customHeight="1" x14ac:dyDescent="0.2">
      <c r="A25" s="180"/>
      <c r="B25" s="56"/>
      <c r="C25" s="36" t="s">
        <v>4234</v>
      </c>
      <c r="D25" s="11"/>
      <c r="E25" s="30">
        <v>525</v>
      </c>
      <c r="F25" s="30"/>
      <c r="G25" s="182"/>
      <c r="H25" s="18">
        <v>6381.1699999999992</v>
      </c>
    </row>
    <row r="26" spans="1:8" ht="13.5" customHeight="1" x14ac:dyDescent="0.2">
      <c r="A26" s="180"/>
      <c r="B26" s="56"/>
      <c r="C26" s="36" t="s">
        <v>4235</v>
      </c>
      <c r="D26" s="11"/>
      <c r="E26" s="30"/>
      <c r="F26" s="30">
        <v>540</v>
      </c>
      <c r="G26" s="182"/>
      <c r="H26" s="18">
        <v>6921.1699999999992</v>
      </c>
    </row>
    <row r="27" spans="1:8" ht="13.5" customHeight="1" x14ac:dyDescent="0.2">
      <c r="A27" s="180"/>
      <c r="B27" s="56"/>
      <c r="C27" s="36" t="s">
        <v>4236</v>
      </c>
      <c r="D27" s="11"/>
      <c r="E27" s="30">
        <v>2490</v>
      </c>
      <c r="F27" s="12"/>
      <c r="G27" s="182">
        <v>4431.1699999999992</v>
      </c>
      <c r="H27" s="18">
        <v>4431.1699999999992</v>
      </c>
    </row>
    <row r="28" spans="1:8" ht="13.5" customHeight="1" x14ac:dyDescent="0.2">
      <c r="A28" s="180">
        <v>43962</v>
      </c>
      <c r="B28" s="56"/>
      <c r="C28" s="36" t="s">
        <v>4237</v>
      </c>
      <c r="D28" s="11"/>
      <c r="E28" s="30"/>
      <c r="F28" s="12">
        <v>60</v>
      </c>
      <c r="G28" s="182">
        <v>4491.1699999999992</v>
      </c>
      <c r="H28" s="18">
        <v>4491.1699999999992</v>
      </c>
    </row>
    <row r="29" spans="1:8" ht="13.5" customHeight="1" x14ac:dyDescent="0.2">
      <c r="A29" s="180">
        <v>43963</v>
      </c>
      <c r="B29" s="56"/>
      <c r="C29" s="36" t="s">
        <v>4238</v>
      </c>
      <c r="D29" s="11"/>
      <c r="E29" s="30"/>
      <c r="F29" s="12">
        <v>1750</v>
      </c>
      <c r="G29" s="182"/>
      <c r="H29" s="18">
        <v>6241.1699999999992</v>
      </c>
    </row>
    <row r="30" spans="1:8" ht="13.5" customHeight="1" x14ac:dyDescent="0.2">
      <c r="A30" s="180"/>
      <c r="B30" s="56"/>
      <c r="C30" s="36" t="s">
        <v>4239</v>
      </c>
      <c r="D30" s="11"/>
      <c r="E30" s="30"/>
      <c r="F30" s="12">
        <v>200</v>
      </c>
      <c r="G30" s="182"/>
      <c r="H30" s="18">
        <v>6441.1699999999992</v>
      </c>
    </row>
    <row r="31" spans="1:8" ht="13.5" customHeight="1" x14ac:dyDescent="0.2">
      <c r="A31" s="180"/>
      <c r="B31" s="56"/>
      <c r="C31" s="36" t="s">
        <v>4240</v>
      </c>
      <c r="D31" s="11"/>
      <c r="E31" s="165">
        <v>1750</v>
      </c>
      <c r="F31" s="12"/>
      <c r="G31" s="182"/>
      <c r="H31" s="18">
        <v>4691.1699999999992</v>
      </c>
    </row>
    <row r="32" spans="1:8" ht="13.5" customHeight="1" x14ac:dyDescent="0.2">
      <c r="A32" s="180"/>
      <c r="B32" s="56"/>
      <c r="C32" s="36" t="s">
        <v>4241</v>
      </c>
      <c r="D32" s="11"/>
      <c r="E32" s="30">
        <v>96.77</v>
      </c>
      <c r="F32" s="12"/>
      <c r="G32" s="182"/>
      <c r="H32" s="18">
        <v>4594.3999999999987</v>
      </c>
    </row>
    <row r="33" spans="1:27" s="64" customFormat="1" ht="13.5" customHeight="1" x14ac:dyDescent="0.2">
      <c r="A33" s="184"/>
      <c r="B33" s="63"/>
      <c r="C33" s="32" t="s">
        <v>4242</v>
      </c>
      <c r="D33" s="50"/>
      <c r="E33" s="51"/>
      <c r="F33" s="13">
        <v>100</v>
      </c>
      <c r="G33" s="53"/>
      <c r="H33" s="18">
        <v>4694.3999999999987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s="64" customFormat="1" ht="13.5" customHeight="1" x14ac:dyDescent="0.2">
      <c r="A34" s="184"/>
      <c r="B34" s="63"/>
      <c r="C34" s="63" t="s">
        <v>4243</v>
      </c>
      <c r="D34" s="50"/>
      <c r="E34" s="51"/>
      <c r="F34" s="13">
        <v>250</v>
      </c>
      <c r="G34" s="53"/>
      <c r="H34" s="18">
        <v>4944.3999999999987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s="64" customFormat="1" ht="13.5" customHeight="1" x14ac:dyDescent="0.2">
      <c r="A35" s="184"/>
      <c r="B35" s="63"/>
      <c r="C35" s="32" t="s">
        <v>4244</v>
      </c>
      <c r="D35" s="50"/>
      <c r="E35" s="51"/>
      <c r="F35" s="13">
        <v>1300</v>
      </c>
      <c r="G35" s="53"/>
      <c r="H35" s="18">
        <v>6244.3999999999987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s="64" customFormat="1" ht="13.5" customHeight="1" x14ac:dyDescent="0.2">
      <c r="A36" s="184"/>
      <c r="B36" s="63"/>
      <c r="C36" s="63" t="s">
        <v>4245</v>
      </c>
      <c r="D36" s="50"/>
      <c r="E36" s="51">
        <v>927</v>
      </c>
      <c r="F36" s="13"/>
      <c r="G36" s="53">
        <v>5317.3999999999987</v>
      </c>
      <c r="H36" s="18">
        <v>5317.3999999999987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s="64" customFormat="1" ht="13.5" customHeight="1" x14ac:dyDescent="0.2">
      <c r="A37" s="184">
        <v>43964</v>
      </c>
      <c r="B37" s="63"/>
      <c r="C37" s="32" t="s">
        <v>4029</v>
      </c>
      <c r="D37" s="50"/>
      <c r="E37" s="552">
        <v>3000</v>
      </c>
      <c r="F37" s="13"/>
      <c r="G37" s="53"/>
      <c r="H37" s="18">
        <v>2317.3999999999987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s="64" customFormat="1" ht="13.5" customHeight="1" x14ac:dyDescent="0.2">
      <c r="A38" s="184"/>
      <c r="B38" s="63"/>
      <c r="C38" s="32" t="s">
        <v>4246</v>
      </c>
      <c r="D38" s="50"/>
      <c r="E38" s="165">
        <v>400</v>
      </c>
      <c r="F38" s="13"/>
      <c r="G38" s="53">
        <v>1917.3999999999987</v>
      </c>
      <c r="H38" s="18">
        <v>1917.3999999999987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s="64" customFormat="1" ht="13.5" customHeight="1" x14ac:dyDescent="0.2">
      <c r="A39" s="184">
        <v>43965</v>
      </c>
      <c r="B39" s="63"/>
      <c r="C39" s="63" t="s">
        <v>4247</v>
      </c>
      <c r="D39" s="50"/>
      <c r="E39" s="51">
        <v>240</v>
      </c>
      <c r="F39" s="13"/>
      <c r="G39" s="53"/>
      <c r="H39" s="18">
        <v>1677.3999999999987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s="64" customFormat="1" ht="13.5" customHeight="1" x14ac:dyDescent="0.2">
      <c r="A40" s="184"/>
      <c r="B40" s="63"/>
      <c r="C40" s="32" t="s">
        <v>4248</v>
      </c>
      <c r="D40" s="50"/>
      <c r="E40" s="51">
        <v>172.5</v>
      </c>
      <c r="F40" s="13"/>
      <c r="G40" s="53">
        <v>1504.8999999999987</v>
      </c>
      <c r="H40" s="18">
        <v>1504.8999999999987</v>
      </c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s="64" customFormat="1" ht="13.5" customHeight="1" x14ac:dyDescent="0.2">
      <c r="A41" s="184">
        <v>43966</v>
      </c>
      <c r="B41" s="63"/>
      <c r="C41" s="32" t="s">
        <v>4249</v>
      </c>
      <c r="D41" s="50"/>
      <c r="E41" s="51"/>
      <c r="F41" s="277">
        <v>200</v>
      </c>
      <c r="G41" s="53"/>
      <c r="H41" s="18">
        <v>1704.8999999999987</v>
      </c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s="64" customFormat="1" ht="13.5" customHeight="1" x14ac:dyDescent="0.2">
      <c r="A42" s="184"/>
      <c r="B42" s="63"/>
      <c r="C42" s="63" t="s">
        <v>4250</v>
      </c>
      <c r="D42" s="50"/>
      <c r="E42" s="51">
        <v>525</v>
      </c>
      <c r="F42" s="13"/>
      <c r="G42" s="53">
        <v>1179.8999999999987</v>
      </c>
      <c r="H42" s="18">
        <v>1179.8999999999987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s="64" customFormat="1" ht="13.5" customHeight="1" x14ac:dyDescent="0.2">
      <c r="A43" s="184">
        <v>43969</v>
      </c>
      <c r="B43" s="63"/>
      <c r="C43" s="63" t="s">
        <v>4251</v>
      </c>
      <c r="D43" s="50"/>
      <c r="E43" s="51"/>
      <c r="F43" s="13">
        <v>2475</v>
      </c>
      <c r="G43" s="53"/>
      <c r="H43" s="18">
        <v>3654.8999999999987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s="64" customFormat="1" ht="13.5" customHeight="1" x14ac:dyDescent="0.2">
      <c r="A44" s="184"/>
      <c r="B44" s="63"/>
      <c r="C44" s="32" t="s">
        <v>4014</v>
      </c>
      <c r="D44" s="50"/>
      <c r="E44" s="165">
        <v>1800</v>
      </c>
      <c r="F44" s="13"/>
      <c r="G44" s="53">
        <v>1854.8999999999987</v>
      </c>
      <c r="H44" s="18">
        <v>1854.8999999999987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s="64" customFormat="1" ht="13.5" customHeight="1" x14ac:dyDescent="0.2">
      <c r="A45" s="184">
        <v>43971</v>
      </c>
      <c r="B45" s="63"/>
      <c r="C45" s="63" t="s">
        <v>4252</v>
      </c>
      <c r="D45" s="50"/>
      <c r="E45" s="51">
        <v>115.8</v>
      </c>
      <c r="F45" s="13"/>
      <c r="G45" s="53">
        <v>1739.0999999999988</v>
      </c>
      <c r="H45" s="18">
        <v>1739.0999999999988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s="64" customFormat="1" ht="13.5" customHeight="1" x14ac:dyDescent="0.2">
      <c r="A46" s="184">
        <v>43973</v>
      </c>
      <c r="B46" s="63"/>
      <c r="C46" s="63" t="s">
        <v>4253</v>
      </c>
      <c r="D46" s="50"/>
      <c r="E46" s="51">
        <v>12.8</v>
      </c>
      <c r="F46" s="13"/>
      <c r="G46" s="53"/>
      <c r="H46" s="18">
        <v>1726.2999999999988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s="64" customFormat="1" ht="13.5" customHeight="1" x14ac:dyDescent="0.2">
      <c r="A47" s="184"/>
      <c r="B47" s="63"/>
      <c r="C47" s="63" t="s">
        <v>4254</v>
      </c>
      <c r="D47" s="50"/>
      <c r="E47" s="51">
        <v>525</v>
      </c>
      <c r="F47" s="13"/>
      <c r="G47" s="53">
        <v>1201.2999999999988</v>
      </c>
      <c r="H47" s="18">
        <v>1201.2999999999988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s="64" customFormat="1" ht="13.5" customHeight="1" x14ac:dyDescent="0.2">
      <c r="A48" s="184">
        <v>43976</v>
      </c>
      <c r="B48" s="63"/>
      <c r="C48" s="63" t="s">
        <v>4255</v>
      </c>
      <c r="D48" s="50"/>
      <c r="E48" s="51">
        <v>35</v>
      </c>
      <c r="F48" s="13"/>
      <c r="G48" s="53"/>
      <c r="H48" s="18">
        <v>1166.2999999999988</v>
      </c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s="64" customFormat="1" ht="13.5" customHeight="1" x14ac:dyDescent="0.2">
      <c r="A49" s="184"/>
      <c r="B49" s="63"/>
      <c r="C49" s="63" t="s">
        <v>4256</v>
      </c>
      <c r="D49" s="50"/>
      <c r="E49" s="51">
        <v>2.7</v>
      </c>
      <c r="F49" s="13"/>
      <c r="G49" s="53"/>
      <c r="H49" s="18">
        <v>1163.5999999999988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s="64" customFormat="1" ht="13.5" customHeight="1" x14ac:dyDescent="0.2">
      <c r="A50" s="184"/>
      <c r="B50" s="63"/>
      <c r="C50" s="63" t="s">
        <v>4257</v>
      </c>
      <c r="D50" s="50"/>
      <c r="E50" s="51">
        <v>8.1</v>
      </c>
      <c r="F50" s="13"/>
      <c r="G50" s="53">
        <v>1155.4999999999989</v>
      </c>
      <c r="H50" s="18">
        <v>1155.4999999999989</v>
      </c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s="64" customFormat="1" ht="13.5" customHeight="1" x14ac:dyDescent="0.2">
      <c r="A51" s="184">
        <v>43977</v>
      </c>
      <c r="B51" s="63"/>
      <c r="C51" s="63" t="s">
        <v>4258</v>
      </c>
      <c r="D51" s="50"/>
      <c r="E51" s="51"/>
      <c r="F51" s="13">
        <v>1970</v>
      </c>
      <c r="G51" s="53"/>
      <c r="H51" s="18">
        <v>3125.4999999999991</v>
      </c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s="64" customFormat="1" ht="13.5" customHeight="1" x14ac:dyDescent="0.2">
      <c r="A52" s="184"/>
      <c r="B52" s="63"/>
      <c r="C52" s="32" t="s">
        <v>4259</v>
      </c>
      <c r="D52" s="50"/>
      <c r="E52" s="165">
        <v>1970</v>
      </c>
      <c r="F52" s="13"/>
      <c r="G52" s="53"/>
      <c r="H52" s="18">
        <v>1155.4999999999991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s="64" customFormat="1" ht="13.5" customHeight="1" x14ac:dyDescent="0.2">
      <c r="A53" s="184"/>
      <c r="B53" s="63"/>
      <c r="C53" s="63" t="s">
        <v>4260</v>
      </c>
      <c r="D53" s="50"/>
      <c r="E53" s="51">
        <v>25.5</v>
      </c>
      <c r="F53" s="13"/>
      <c r="G53" s="53"/>
      <c r="H53" s="18">
        <v>1129.9999999999991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s="64" customFormat="1" ht="13.5" customHeight="1" x14ac:dyDescent="0.2">
      <c r="A54" s="184"/>
      <c r="B54" s="63"/>
      <c r="C54" s="63" t="s">
        <v>4261</v>
      </c>
      <c r="D54" s="50"/>
      <c r="E54" s="51">
        <v>20</v>
      </c>
      <c r="F54" s="13"/>
      <c r="G54" s="53"/>
      <c r="H54" s="18">
        <v>1109.9999999999991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s="64" customFormat="1" ht="13.5" customHeight="1" x14ac:dyDescent="0.2">
      <c r="A55" s="184"/>
      <c r="B55" s="63"/>
      <c r="C55" s="32" t="s">
        <v>4262</v>
      </c>
      <c r="D55" s="50"/>
      <c r="E55" s="51"/>
      <c r="F55" s="277">
        <v>1000</v>
      </c>
      <c r="G55" s="53">
        <v>2109.9999999999991</v>
      </c>
      <c r="H55" s="18">
        <v>2109.9999999999991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s="64" customFormat="1" ht="13.5" customHeight="1" x14ac:dyDescent="0.2">
      <c r="A56" s="184">
        <v>43978</v>
      </c>
      <c r="B56" s="63"/>
      <c r="C56" s="63" t="s">
        <v>4263</v>
      </c>
      <c r="D56" s="50"/>
      <c r="E56" s="51">
        <v>98</v>
      </c>
      <c r="F56" s="13"/>
      <c r="G56" s="53">
        <v>2011.9999999999991</v>
      </c>
      <c r="H56" s="18">
        <v>2011.9999999999991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s="64" customFormat="1" ht="13.5" customHeight="1" x14ac:dyDescent="0.2">
      <c r="A57" s="184">
        <v>43979</v>
      </c>
      <c r="B57" s="63"/>
      <c r="C57" s="63" t="s">
        <v>4264</v>
      </c>
      <c r="D57" s="50"/>
      <c r="E57" s="51">
        <v>14.9</v>
      </c>
      <c r="F57" s="13"/>
      <c r="G57" s="53"/>
      <c r="H57" s="18">
        <v>1997.099999999999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s="64" customFormat="1" ht="13.5" customHeight="1" x14ac:dyDescent="0.2">
      <c r="A58" s="184"/>
      <c r="B58" s="63"/>
      <c r="C58" s="63" t="s">
        <v>4265</v>
      </c>
      <c r="D58" s="50"/>
      <c r="E58" s="51">
        <v>360</v>
      </c>
      <c r="F58" s="13"/>
      <c r="G58" s="53">
        <v>1637.099999999999</v>
      </c>
      <c r="H58" s="18">
        <v>1637.099999999999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s="64" customFormat="1" ht="13.5" customHeight="1" x14ac:dyDescent="0.2">
      <c r="A59" s="184">
        <v>43980</v>
      </c>
      <c r="B59" s="63"/>
      <c r="C59" s="63" t="s">
        <v>4266</v>
      </c>
      <c r="D59" s="50"/>
      <c r="E59" s="51">
        <v>48.5</v>
      </c>
      <c r="F59" s="13"/>
      <c r="G59" s="53">
        <v>1588.599999999999</v>
      </c>
      <c r="H59" s="18">
        <v>1588.599999999999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s="64" customFormat="1" ht="13.5" customHeight="1" x14ac:dyDescent="0.2">
      <c r="A60" s="184"/>
      <c r="B60" s="63"/>
      <c r="C60" s="63" t="s">
        <v>4267</v>
      </c>
      <c r="D60" s="50"/>
      <c r="E60" s="51">
        <v>36.6</v>
      </c>
      <c r="F60" s="13"/>
      <c r="G60" s="53">
        <v>1551.9999999999991</v>
      </c>
      <c r="H60" s="18">
        <v>1551.9999999999991</v>
      </c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s="64" customFormat="1" ht="13.5" customHeight="1" x14ac:dyDescent="0.2">
      <c r="A61" s="184"/>
      <c r="B61" s="63"/>
      <c r="C61" s="32" t="s">
        <v>4268</v>
      </c>
      <c r="D61" s="50"/>
      <c r="E61" s="51"/>
      <c r="F61" s="277">
        <v>1000</v>
      </c>
      <c r="G61" s="53">
        <v>2551.9999999999991</v>
      </c>
      <c r="H61" s="18">
        <v>2551.9999999999991</v>
      </c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s="64" customFormat="1" ht="13.5" customHeight="1" x14ac:dyDescent="0.2">
      <c r="A62" s="184"/>
      <c r="B62" s="63"/>
      <c r="C62" s="63" t="s">
        <v>4269</v>
      </c>
      <c r="D62" s="50"/>
      <c r="E62" s="51">
        <v>525</v>
      </c>
      <c r="F62" s="13"/>
      <c r="G62" s="178">
        <v>2026.9999999999991</v>
      </c>
      <c r="H62" s="18">
        <v>2026.9999999999991</v>
      </c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s="64" customFormat="1" ht="13.5" customHeight="1" thickBot="1" x14ac:dyDescent="0.25">
      <c r="A63" s="184"/>
      <c r="B63" s="63"/>
      <c r="C63" s="63"/>
      <c r="D63" s="50"/>
      <c r="E63" s="650">
        <f>-SUM(E6:E30,E32:E36,E39:E42,E45:E51,E53:E62)</f>
        <v>-8381.4600000000009</v>
      </c>
      <c r="F63" s="651">
        <f>SUM(F4:F40,F43:F54)</f>
        <v>14795</v>
      </c>
      <c r="G63" s="53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3.5" customHeight="1" thickBot="1" x14ac:dyDescent="0.25">
      <c r="A64" s="2" t="s">
        <v>2</v>
      </c>
      <c r="B64" s="3"/>
      <c r="C64" s="3" t="s">
        <v>536</v>
      </c>
      <c r="D64" s="3" t="s">
        <v>4</v>
      </c>
      <c r="E64" s="3" t="s">
        <v>5</v>
      </c>
      <c r="F64" s="3" t="s">
        <v>6</v>
      </c>
      <c r="G64" s="5" t="s">
        <v>7</v>
      </c>
    </row>
    <row r="65" spans="1:27" ht="13.5" customHeight="1" x14ac:dyDescent="0.2">
      <c r="A65" s="8">
        <v>43952</v>
      </c>
      <c r="B65" s="56"/>
      <c r="C65" s="10" t="s">
        <v>8</v>
      </c>
      <c r="D65" s="11"/>
      <c r="E65" s="51"/>
      <c r="F65" s="12"/>
      <c r="G65" s="205">
        <v>38631.000000000007</v>
      </c>
      <c r="H65" s="18">
        <v>38631.000000000007</v>
      </c>
    </row>
    <row r="66" spans="1:27" ht="13.5" customHeight="1" x14ac:dyDescent="0.2">
      <c r="A66" s="180"/>
      <c r="B66" s="56"/>
      <c r="C66" s="742" t="s">
        <v>4270</v>
      </c>
      <c r="D66" s="11"/>
      <c r="E66" s="30"/>
      <c r="F66" s="12">
        <v>900</v>
      </c>
      <c r="G66" s="182">
        <v>39531.000000000007</v>
      </c>
      <c r="H66" s="18">
        <v>39531.000000000007</v>
      </c>
    </row>
    <row r="67" spans="1:27" ht="13.5" customHeight="1" x14ac:dyDescent="0.2">
      <c r="A67" s="171">
        <v>43955</v>
      </c>
      <c r="B67" s="46"/>
      <c r="C67" s="742" t="s">
        <v>4271</v>
      </c>
      <c r="D67" s="11"/>
      <c r="E67" s="30"/>
      <c r="F67" s="12">
        <v>1590</v>
      </c>
      <c r="G67" s="182">
        <v>41121.000000000007</v>
      </c>
      <c r="H67" s="18">
        <v>41121.000000000007</v>
      </c>
    </row>
    <row r="68" spans="1:27" ht="13.5" customHeight="1" x14ac:dyDescent="0.2">
      <c r="A68" s="180">
        <v>43956</v>
      </c>
      <c r="B68" s="56"/>
      <c r="C68" s="742" t="s">
        <v>4272</v>
      </c>
      <c r="D68" s="11"/>
      <c r="E68" s="30"/>
      <c r="F68" s="12">
        <v>1100</v>
      </c>
      <c r="G68" s="182">
        <v>42221.000000000007</v>
      </c>
      <c r="H68" s="18">
        <v>42221.000000000007</v>
      </c>
    </row>
    <row r="69" spans="1:27" ht="13.5" customHeight="1" x14ac:dyDescent="0.2">
      <c r="A69" s="180">
        <v>43958</v>
      </c>
      <c r="B69" s="56"/>
      <c r="C69" s="36" t="s">
        <v>4273</v>
      </c>
      <c r="D69" s="11"/>
      <c r="E69" s="30">
        <v>49.99</v>
      </c>
      <c r="F69" s="12"/>
      <c r="G69" s="182">
        <v>42171.010000000009</v>
      </c>
      <c r="H69" s="18">
        <v>42171.010000000009</v>
      </c>
    </row>
    <row r="70" spans="1:27" ht="13.5" customHeight="1" x14ac:dyDescent="0.2">
      <c r="A70" s="180">
        <v>43960</v>
      </c>
      <c r="B70" s="56"/>
      <c r="C70" s="36" t="s">
        <v>4274</v>
      </c>
      <c r="D70" s="11"/>
      <c r="E70" s="30">
        <v>24.98</v>
      </c>
      <c r="F70" s="12"/>
      <c r="G70" s="182">
        <v>42146.030000000006</v>
      </c>
      <c r="H70" s="18">
        <v>42146.030000000006</v>
      </c>
    </row>
    <row r="71" spans="1:27" s="64" customFormat="1" ht="13.5" customHeight="1" x14ac:dyDescent="0.2">
      <c r="A71" s="184">
        <v>43963</v>
      </c>
      <c r="B71" s="63"/>
      <c r="C71" s="742" t="s">
        <v>4275</v>
      </c>
      <c r="D71" s="50"/>
      <c r="E71" s="51"/>
      <c r="F71" s="13">
        <v>1240</v>
      </c>
      <c r="G71" s="182">
        <v>43386.030000000006</v>
      </c>
      <c r="H71" s="18">
        <v>43386.030000000006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s="64" customFormat="1" ht="13.5" customHeight="1" x14ac:dyDescent="0.2">
      <c r="A72" s="184">
        <v>43964</v>
      </c>
      <c r="B72" s="63"/>
      <c r="C72" s="742" t="s">
        <v>4276</v>
      </c>
      <c r="D72" s="50"/>
      <c r="E72" s="51"/>
      <c r="F72" s="13">
        <v>1640</v>
      </c>
      <c r="G72" s="182">
        <v>45026.030000000006</v>
      </c>
      <c r="H72" s="18">
        <v>45026.030000000006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s="64" customFormat="1" ht="13.5" customHeight="1" x14ac:dyDescent="0.2">
      <c r="A73" s="184"/>
      <c r="B73" s="63"/>
      <c r="C73" s="742" t="s">
        <v>4277</v>
      </c>
      <c r="D73" s="50"/>
      <c r="E73" s="51"/>
      <c r="F73" s="13">
        <v>150</v>
      </c>
      <c r="G73" s="182">
        <v>45176.030000000006</v>
      </c>
      <c r="H73" s="18">
        <v>45176.030000000006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s="64" customFormat="1" ht="13.5" customHeight="1" x14ac:dyDescent="0.2">
      <c r="A74" s="184"/>
      <c r="B74" s="63"/>
      <c r="C74" s="34" t="s">
        <v>4034</v>
      </c>
      <c r="D74" s="50"/>
      <c r="E74" s="51">
        <v>420</v>
      </c>
      <c r="F74" s="13"/>
      <c r="G74" s="182">
        <v>44756.030000000006</v>
      </c>
      <c r="H74" s="18">
        <v>44756.030000000006</v>
      </c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s="64" customFormat="1" ht="13.5" customHeight="1" x14ac:dyDescent="0.2">
      <c r="A75" s="184"/>
      <c r="B75" s="63"/>
      <c r="C75" s="32" t="s">
        <v>2702</v>
      </c>
      <c r="D75" s="50"/>
      <c r="E75" s="51">
        <v>1200</v>
      </c>
      <c r="F75" s="13"/>
      <c r="G75" s="182">
        <v>43556.030000000006</v>
      </c>
      <c r="H75" s="18">
        <v>43556.030000000006</v>
      </c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s="64" customFormat="1" ht="13.5" customHeight="1" x14ac:dyDescent="0.2">
      <c r="A76" s="184"/>
      <c r="B76" s="63"/>
      <c r="C76" s="32" t="s">
        <v>1002</v>
      </c>
      <c r="D76" s="50"/>
      <c r="E76" s="51">
        <v>1762.23</v>
      </c>
      <c r="F76" s="13"/>
      <c r="G76" s="182">
        <v>41793.800000000003</v>
      </c>
      <c r="H76" s="18">
        <v>41793.800000000003</v>
      </c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s="64" customFormat="1" ht="13.5" customHeight="1" x14ac:dyDescent="0.2">
      <c r="A77" s="184"/>
      <c r="B77" s="63"/>
      <c r="C77" s="32" t="s">
        <v>4029</v>
      </c>
      <c r="D77" s="50"/>
      <c r="E77" s="51"/>
      <c r="F77" s="277">
        <v>3000</v>
      </c>
      <c r="G77" s="182">
        <v>44793.8</v>
      </c>
      <c r="H77" s="18">
        <v>44793.8</v>
      </c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s="64" customFormat="1" ht="13.5" customHeight="1" x14ac:dyDescent="0.2">
      <c r="A78" s="184"/>
      <c r="B78" s="63"/>
      <c r="C78" s="138" t="s">
        <v>4278</v>
      </c>
      <c r="D78" s="50"/>
      <c r="E78" s="51">
        <v>8000</v>
      </c>
      <c r="F78" s="13"/>
      <c r="G78" s="182">
        <v>36793.800000000003</v>
      </c>
      <c r="H78" s="18">
        <v>36793.800000000003</v>
      </c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s="64" customFormat="1" ht="13.5" customHeight="1" x14ac:dyDescent="0.2">
      <c r="A79" s="184">
        <v>43966</v>
      </c>
      <c r="B79" s="63"/>
      <c r="C79" s="32" t="s">
        <v>4249</v>
      </c>
      <c r="D79" s="50"/>
      <c r="E79" s="552">
        <v>200</v>
      </c>
      <c r="F79" s="13"/>
      <c r="G79" s="182">
        <v>36593.800000000003</v>
      </c>
      <c r="H79" s="18">
        <v>36593.800000000003</v>
      </c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s="64" customFormat="1" ht="13.5" customHeight="1" x14ac:dyDescent="0.2">
      <c r="A80" s="184">
        <v>43968</v>
      </c>
      <c r="B80" s="63"/>
      <c r="C80" s="34" t="s">
        <v>3872</v>
      </c>
      <c r="D80" s="50"/>
      <c r="E80" s="51">
        <v>100</v>
      </c>
      <c r="F80" s="13"/>
      <c r="G80" s="182">
        <v>36493.800000000003</v>
      </c>
      <c r="H80" s="18">
        <v>36493.800000000003</v>
      </c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s="64" customFormat="1" ht="13.5" customHeight="1" x14ac:dyDescent="0.2">
      <c r="A81" s="184">
        <v>43971</v>
      </c>
      <c r="B81" s="63"/>
      <c r="C81" s="34" t="s">
        <v>4279</v>
      </c>
      <c r="D81" s="50"/>
      <c r="E81" s="51">
        <v>54.8</v>
      </c>
      <c r="F81" s="13"/>
      <c r="G81" s="182">
        <v>36439</v>
      </c>
      <c r="H81" s="18">
        <v>36439</v>
      </c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s="64" customFormat="1" ht="13.5" customHeight="1" x14ac:dyDescent="0.2">
      <c r="A82" s="184"/>
      <c r="B82" s="63"/>
      <c r="C82" s="45" t="s">
        <v>4166</v>
      </c>
      <c r="D82" s="50"/>
      <c r="E82" s="165">
        <v>4000</v>
      </c>
      <c r="F82" s="13"/>
      <c r="G82" s="182">
        <v>32439</v>
      </c>
      <c r="H82" s="18">
        <v>32439</v>
      </c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s="64" customFormat="1" ht="13.5" customHeight="1" x14ac:dyDescent="0.2">
      <c r="A83" s="184"/>
      <c r="B83" s="63"/>
      <c r="C83" s="742" t="s">
        <v>4280</v>
      </c>
      <c r="D83" s="50"/>
      <c r="E83" s="51"/>
      <c r="F83" s="13">
        <v>936</v>
      </c>
      <c r="G83" s="182">
        <v>33375</v>
      </c>
      <c r="H83" s="18">
        <v>33375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s="64" customFormat="1" ht="13.5" customHeight="1" x14ac:dyDescent="0.2">
      <c r="A84" s="184"/>
      <c r="B84" s="63"/>
      <c r="C84" s="742" t="s">
        <v>4281</v>
      </c>
      <c r="D84" s="50"/>
      <c r="E84" s="51"/>
      <c r="F84" s="13">
        <v>150</v>
      </c>
      <c r="G84" s="182">
        <v>33525</v>
      </c>
      <c r="H84" s="18">
        <v>33525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s="64" customFormat="1" ht="13.5" customHeight="1" x14ac:dyDescent="0.2">
      <c r="A85" s="184"/>
      <c r="B85" s="63"/>
      <c r="C85" s="742" t="s">
        <v>4282</v>
      </c>
      <c r="D85" s="50"/>
      <c r="E85" s="51"/>
      <c r="F85" s="13">
        <v>1341</v>
      </c>
      <c r="G85" s="182">
        <v>34866</v>
      </c>
      <c r="H85" s="18">
        <v>34866</v>
      </c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s="64" customFormat="1" ht="13.5" customHeight="1" x14ac:dyDescent="0.2">
      <c r="A86" s="184"/>
      <c r="B86" s="63"/>
      <c r="C86" s="742" t="s">
        <v>4283</v>
      </c>
      <c r="D86" s="50"/>
      <c r="E86" s="51"/>
      <c r="F86" s="13">
        <v>1110</v>
      </c>
      <c r="G86" s="182">
        <v>35976</v>
      </c>
      <c r="H86" s="18">
        <v>35976</v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s="64" customFormat="1" ht="13.5" customHeight="1" x14ac:dyDescent="0.2">
      <c r="A87" s="184">
        <v>43976</v>
      </c>
      <c r="B87" s="63"/>
      <c r="C87" s="32" t="s">
        <v>4262</v>
      </c>
      <c r="D87" s="50"/>
      <c r="E87" s="552">
        <v>1000</v>
      </c>
      <c r="F87" s="13"/>
      <c r="G87" s="182">
        <v>34976</v>
      </c>
      <c r="H87" s="18">
        <v>34976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s="64" customFormat="1" ht="13.5" customHeight="1" x14ac:dyDescent="0.2">
      <c r="A88" s="184">
        <v>43980</v>
      </c>
      <c r="B88" s="63"/>
      <c r="C88" s="34" t="s">
        <v>4284</v>
      </c>
      <c r="D88" s="50"/>
      <c r="E88" s="51">
        <v>640</v>
      </c>
      <c r="F88" s="13"/>
      <c r="G88" s="182">
        <v>34336</v>
      </c>
      <c r="H88" s="18">
        <v>34336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s="64" customFormat="1" ht="13.5" customHeight="1" x14ac:dyDescent="0.2">
      <c r="A89" s="184"/>
      <c r="B89" s="63"/>
      <c r="C89" s="34" t="s">
        <v>4285</v>
      </c>
      <c r="D89" s="50"/>
      <c r="E89" s="51">
        <v>500</v>
      </c>
      <c r="F89" s="13"/>
      <c r="G89" s="182">
        <v>33836</v>
      </c>
      <c r="H89" s="18">
        <v>33836</v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s="64" customFormat="1" ht="13.5" customHeight="1" x14ac:dyDescent="0.2">
      <c r="A90" s="184"/>
      <c r="B90" s="63"/>
      <c r="C90" s="32" t="s">
        <v>4286</v>
      </c>
      <c r="D90" s="50"/>
      <c r="E90" s="51">
        <v>600</v>
      </c>
      <c r="F90" s="13"/>
      <c r="G90" s="182">
        <v>33236</v>
      </c>
      <c r="H90" s="18">
        <v>33236</v>
      </c>
      <c r="I90" s="18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s="64" customFormat="1" ht="13.5" customHeight="1" x14ac:dyDescent="0.2">
      <c r="A91" s="184"/>
      <c r="B91" s="63"/>
      <c r="C91" s="32" t="s">
        <v>4268</v>
      </c>
      <c r="D91" s="50"/>
      <c r="E91" s="552">
        <v>1000</v>
      </c>
      <c r="F91" s="13"/>
      <c r="G91" s="182">
        <v>32236</v>
      </c>
      <c r="H91" s="18">
        <v>32236</v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s="64" customFormat="1" ht="13.5" customHeight="1" x14ac:dyDescent="0.2">
      <c r="A92" s="184">
        <v>43982</v>
      </c>
      <c r="B92" s="63"/>
      <c r="C92" s="34" t="s">
        <v>4287</v>
      </c>
      <c r="D92" s="50"/>
      <c r="E92" s="51"/>
      <c r="F92" s="13">
        <v>5764</v>
      </c>
      <c r="G92" s="205">
        <v>38000</v>
      </c>
      <c r="H92" s="18">
        <v>38000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s="64" customFormat="1" ht="13.5" customHeight="1" x14ac:dyDescent="0.2">
      <c r="A93" s="184"/>
      <c r="B93" s="63"/>
      <c r="C93" s="63"/>
      <c r="D93" s="50"/>
      <c r="E93" s="51"/>
      <c r="F93" s="13"/>
      <c r="G93" s="182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s="64" customFormat="1" ht="13.5" customHeight="1" x14ac:dyDescent="0.2">
      <c r="A94" s="184"/>
      <c r="B94" s="63"/>
      <c r="C94" s="36"/>
      <c r="D94" s="50"/>
      <c r="E94" s="650">
        <f>-SUM(E69:E78,E80:E81,E88:E90,)</f>
        <v>-13352</v>
      </c>
      <c r="F94" s="651">
        <f>SUM(F66:F73,F83:F93)</f>
        <v>15921</v>
      </c>
      <c r="G94" s="182">
        <v>38000</v>
      </c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s="64" customFormat="1" ht="13.5" customHeight="1" x14ac:dyDescent="0.2">
      <c r="A95" s="184"/>
      <c r="B95" s="63"/>
      <c r="C95" s="63"/>
      <c r="D95" s="50"/>
      <c r="E95" s="51"/>
      <c r="F95" s="13"/>
      <c r="G95" s="182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s="64" customFormat="1" ht="13.5" customHeight="1" x14ac:dyDescent="0.2">
      <c r="A96" s="184"/>
      <c r="B96" s="63"/>
      <c r="C96" s="63"/>
      <c r="D96" s="50"/>
      <c r="E96" s="51"/>
      <c r="F96" s="13"/>
      <c r="G96" s="182">
        <v>1631</v>
      </c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s="64" customFormat="1" ht="13.5" customHeight="1" x14ac:dyDescent="0.2">
      <c r="A97" s="184">
        <v>43951</v>
      </c>
      <c r="B97" s="63"/>
      <c r="C97" s="63"/>
      <c r="D97" s="50"/>
      <c r="E97" s="51"/>
      <c r="F97" s="13">
        <v>900</v>
      </c>
      <c r="G97" s="182">
        <v>2531</v>
      </c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s="64" customFormat="1" ht="13.5" customHeight="1" x14ac:dyDescent="0.2">
      <c r="A98" s="184">
        <v>43955</v>
      </c>
      <c r="B98" s="63"/>
      <c r="C98" s="63"/>
      <c r="D98" s="50"/>
      <c r="E98" s="51"/>
      <c r="F98" s="13">
        <v>1590</v>
      </c>
      <c r="G98" s="182">
        <v>4121</v>
      </c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s="64" customFormat="1" ht="13.5" customHeight="1" x14ac:dyDescent="0.2">
      <c r="A99" s="184">
        <v>43956</v>
      </c>
      <c r="B99" s="63"/>
      <c r="C99" s="63"/>
      <c r="D99" s="50"/>
      <c r="E99" s="51"/>
      <c r="F99" s="13">
        <v>1100</v>
      </c>
      <c r="G99" s="182">
        <v>5221</v>
      </c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s="64" customFormat="1" ht="13.5" customHeight="1" x14ac:dyDescent="0.2">
      <c r="A100" s="184">
        <v>43963</v>
      </c>
      <c r="B100" s="63"/>
      <c r="C100" s="357"/>
      <c r="D100" s="50"/>
      <c r="E100" s="51"/>
      <c r="F100" s="13">
        <v>1240</v>
      </c>
      <c r="G100" s="182">
        <v>6461</v>
      </c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s="64" customFormat="1" ht="13.5" customHeight="1" x14ac:dyDescent="0.2">
      <c r="A101" s="184">
        <v>43964</v>
      </c>
      <c r="B101" s="63"/>
      <c r="C101" s="357"/>
      <c r="D101" s="50"/>
      <c r="E101" s="51"/>
      <c r="F101" s="13">
        <v>1790</v>
      </c>
      <c r="G101" s="182">
        <v>8251</v>
      </c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s="64" customFormat="1" ht="13.5" customHeight="1" x14ac:dyDescent="0.2">
      <c r="A102" s="184"/>
      <c r="B102" s="63"/>
      <c r="C102" s="138" t="s">
        <v>4288</v>
      </c>
      <c r="D102" s="50"/>
      <c r="E102" s="165">
        <v>1620</v>
      </c>
      <c r="F102" s="13"/>
      <c r="G102" s="182">
        <v>6631</v>
      </c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s="64" customFormat="1" ht="13.5" customHeight="1" x14ac:dyDescent="0.2">
      <c r="A103" s="184">
        <v>43971</v>
      </c>
      <c r="B103" s="63"/>
      <c r="C103" s="34" t="s">
        <v>4166</v>
      </c>
      <c r="D103" s="50" t="s">
        <v>3555</v>
      </c>
      <c r="E103" s="165">
        <v>4000</v>
      </c>
      <c r="F103" s="13"/>
      <c r="G103" s="182">
        <v>2631</v>
      </c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s="64" customFormat="1" ht="13.5" customHeight="1" x14ac:dyDescent="0.2">
      <c r="A104" s="184"/>
      <c r="B104" s="63"/>
      <c r="C104" s="357"/>
      <c r="D104" s="50"/>
      <c r="E104" s="51"/>
      <c r="F104" s="13">
        <v>936</v>
      </c>
      <c r="G104" s="182">
        <v>3567</v>
      </c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s="64" customFormat="1" ht="13.5" customHeight="1" x14ac:dyDescent="0.2">
      <c r="A105" s="184"/>
      <c r="B105" s="63"/>
      <c r="C105" s="357"/>
      <c r="D105" s="50"/>
      <c r="E105" s="51"/>
      <c r="F105" s="13">
        <v>150</v>
      </c>
      <c r="G105" s="182">
        <v>3717</v>
      </c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s="64" customFormat="1" ht="13.5" customHeight="1" x14ac:dyDescent="0.2">
      <c r="A106" s="184"/>
      <c r="B106" s="63"/>
      <c r="C106" s="357"/>
      <c r="D106" s="50"/>
      <c r="E106" s="51"/>
      <c r="F106" s="13">
        <v>1341</v>
      </c>
      <c r="G106" s="182">
        <v>5058</v>
      </c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s="64" customFormat="1" ht="13.5" customHeight="1" x14ac:dyDescent="0.2">
      <c r="A107" s="184">
        <v>43973</v>
      </c>
      <c r="B107" s="63"/>
      <c r="C107" s="357"/>
      <c r="D107" s="50"/>
      <c r="E107" s="51"/>
      <c r="F107" s="13">
        <v>1110</v>
      </c>
      <c r="G107" s="182">
        <v>6168</v>
      </c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s="64" customFormat="1" ht="13.5" customHeight="1" x14ac:dyDescent="0.2">
      <c r="A108" s="184">
        <v>43978</v>
      </c>
      <c r="B108" s="63"/>
      <c r="C108" s="138" t="s">
        <v>1002</v>
      </c>
      <c r="D108" s="50"/>
      <c r="E108" s="51">
        <v>168</v>
      </c>
      <c r="F108" s="13"/>
      <c r="G108" s="182">
        <v>6000</v>
      </c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s="64" customFormat="1" ht="13.5" customHeight="1" x14ac:dyDescent="0.2">
      <c r="A109" s="184">
        <v>43980</v>
      </c>
      <c r="B109" s="63"/>
      <c r="C109" s="138" t="s">
        <v>4289</v>
      </c>
      <c r="D109" s="50"/>
      <c r="E109" s="51">
        <v>3000</v>
      </c>
      <c r="F109" s="13"/>
      <c r="G109" s="182">
        <v>3000</v>
      </c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s="64" customFormat="1" ht="13.5" customHeight="1" x14ac:dyDescent="0.2">
      <c r="A110" s="184">
        <v>43999</v>
      </c>
      <c r="B110" s="63"/>
      <c r="C110" s="138"/>
      <c r="D110" s="50"/>
      <c r="E110" s="51"/>
      <c r="F110" s="13">
        <v>936</v>
      </c>
      <c r="G110" s="182">
        <v>3936</v>
      </c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s="64" customFormat="1" ht="13.5" customHeight="1" x14ac:dyDescent="0.2">
      <c r="A111" s="184">
        <v>44001</v>
      </c>
      <c r="B111" s="63"/>
      <c r="C111" s="138" t="s">
        <v>4290</v>
      </c>
      <c r="D111" s="50"/>
      <c r="E111" s="165">
        <v>1200</v>
      </c>
      <c r="F111" s="13"/>
      <c r="G111" s="182">
        <v>2736</v>
      </c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s="64" customFormat="1" ht="13.5" customHeight="1" x14ac:dyDescent="0.2">
      <c r="A112" s="184"/>
      <c r="B112" s="63"/>
      <c r="C112" s="138" t="s">
        <v>4291</v>
      </c>
      <c r="D112" s="50"/>
      <c r="E112" s="165">
        <v>240</v>
      </c>
      <c r="F112" s="13"/>
      <c r="G112" s="182">
        <v>2496</v>
      </c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s="64" customFormat="1" ht="13.5" customHeight="1" x14ac:dyDescent="0.2">
      <c r="A113" s="184">
        <v>44013</v>
      </c>
      <c r="B113" s="63"/>
      <c r="C113" s="138" t="s">
        <v>4292</v>
      </c>
      <c r="D113" s="50"/>
      <c r="E113" s="51"/>
      <c r="F113" s="13">
        <v>900</v>
      </c>
      <c r="G113" s="182">
        <v>3396</v>
      </c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s="64" customFormat="1" ht="13.5" customHeight="1" x14ac:dyDescent="0.2">
      <c r="A114" s="184"/>
      <c r="B114" s="63"/>
      <c r="C114" s="138" t="s">
        <v>4293</v>
      </c>
      <c r="D114" s="50"/>
      <c r="E114" s="51"/>
      <c r="F114" s="13">
        <v>4500</v>
      </c>
      <c r="G114" s="182">
        <v>7896</v>
      </c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s="64" customFormat="1" ht="13.5" customHeight="1" x14ac:dyDescent="0.2">
      <c r="A115" s="184"/>
      <c r="B115" s="63"/>
      <c r="C115" s="138" t="s">
        <v>4294</v>
      </c>
      <c r="D115" s="50"/>
      <c r="E115" s="51"/>
      <c r="F115" s="13">
        <v>1100</v>
      </c>
      <c r="G115" s="182">
        <v>8996</v>
      </c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s="64" customFormat="1" ht="13.5" customHeight="1" x14ac:dyDescent="0.2">
      <c r="A116" s="184">
        <v>44022</v>
      </c>
      <c r="B116" s="63"/>
      <c r="C116" s="138" t="s">
        <v>4295</v>
      </c>
      <c r="D116" s="50"/>
      <c r="E116" s="51"/>
      <c r="F116" s="13">
        <v>350</v>
      </c>
      <c r="G116" s="182">
        <v>9346</v>
      </c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s="64" customFormat="1" ht="13.5" customHeight="1" x14ac:dyDescent="0.2">
      <c r="A117" s="184">
        <v>44026</v>
      </c>
      <c r="B117" s="63"/>
      <c r="C117" s="138" t="s">
        <v>4296</v>
      </c>
      <c r="D117" s="50"/>
      <c r="E117" s="51"/>
      <c r="F117" s="13">
        <v>1240</v>
      </c>
      <c r="G117" s="182">
        <v>10586</v>
      </c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s="64" customFormat="1" ht="13.5" customHeight="1" x14ac:dyDescent="0.2">
      <c r="A118" s="184"/>
      <c r="B118" s="63"/>
      <c r="C118" s="138" t="s">
        <v>4296</v>
      </c>
      <c r="D118" s="50"/>
      <c r="E118" s="51"/>
      <c r="F118" s="13">
        <v>115</v>
      </c>
      <c r="G118" s="182">
        <v>10701</v>
      </c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s="64" customFormat="1" ht="13.5" customHeight="1" x14ac:dyDescent="0.2">
      <c r="A119" s="184">
        <v>44027</v>
      </c>
      <c r="B119" s="63"/>
      <c r="C119" s="138" t="s">
        <v>4297</v>
      </c>
      <c r="D119" s="50"/>
      <c r="E119" s="51"/>
      <c r="F119" s="13">
        <v>120</v>
      </c>
      <c r="G119" s="182">
        <v>10821</v>
      </c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s="64" customFormat="1" ht="13.5" customHeight="1" x14ac:dyDescent="0.2">
      <c r="A120" s="184"/>
      <c r="B120" s="63"/>
      <c r="C120" s="138" t="s">
        <v>4290</v>
      </c>
      <c r="D120" s="50"/>
      <c r="E120" s="165">
        <v>1200</v>
      </c>
      <c r="F120" s="13"/>
      <c r="G120" s="182">
        <v>9621</v>
      </c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13.5" customHeight="1" x14ac:dyDescent="0.2">
      <c r="A121" s="180"/>
      <c r="B121" s="56"/>
      <c r="C121" s="34" t="s">
        <v>4298</v>
      </c>
      <c r="D121" s="11"/>
      <c r="E121" s="30">
        <v>9621</v>
      </c>
      <c r="F121" s="12"/>
      <c r="G121" s="182">
        <v>0</v>
      </c>
    </row>
    <row r="122" spans="1:27" ht="13.5" customHeight="1" x14ac:dyDescent="0.2">
      <c r="A122" s="180">
        <v>44082</v>
      </c>
      <c r="B122" s="56"/>
      <c r="C122" s="34" t="s">
        <v>4299</v>
      </c>
      <c r="D122" s="11"/>
      <c r="E122" s="30"/>
      <c r="F122" s="12">
        <v>3500</v>
      </c>
      <c r="G122" s="182">
        <v>3500</v>
      </c>
    </row>
    <row r="123" spans="1:27" ht="13.5" customHeight="1" x14ac:dyDescent="0.2">
      <c r="A123" s="180"/>
      <c r="B123" s="56"/>
      <c r="C123" s="34" t="s">
        <v>4294</v>
      </c>
      <c r="D123" s="11"/>
      <c r="E123" s="30"/>
      <c r="F123" s="12">
        <v>1100</v>
      </c>
      <c r="G123" s="182">
        <v>4600</v>
      </c>
    </row>
    <row r="124" spans="1:27" ht="13.5" customHeight="1" x14ac:dyDescent="0.2">
      <c r="A124" s="180"/>
      <c r="B124" s="56"/>
      <c r="C124" s="34" t="s">
        <v>4298</v>
      </c>
      <c r="D124" s="11"/>
      <c r="E124" s="30">
        <v>3400</v>
      </c>
      <c r="F124" s="12"/>
      <c r="G124" s="182">
        <v>1200</v>
      </c>
    </row>
    <row r="125" spans="1:27" ht="13.5" customHeight="1" x14ac:dyDescent="0.2">
      <c r="A125" s="180"/>
      <c r="B125" s="56"/>
      <c r="C125" s="138" t="s">
        <v>4300</v>
      </c>
      <c r="D125" s="50"/>
      <c r="E125" s="165">
        <v>1200</v>
      </c>
      <c r="F125" s="12"/>
      <c r="G125" s="182">
        <v>0</v>
      </c>
    </row>
    <row r="126" spans="1:27" ht="13.5" customHeight="1" x14ac:dyDescent="0.2">
      <c r="A126" s="180">
        <v>44105</v>
      </c>
      <c r="B126" s="56"/>
      <c r="C126" s="34" t="s">
        <v>4294</v>
      </c>
      <c r="D126" s="11"/>
      <c r="E126" s="30"/>
      <c r="F126" s="12">
        <v>1100</v>
      </c>
      <c r="G126" s="182">
        <v>1100</v>
      </c>
    </row>
    <row r="127" spans="1:27" ht="13.5" customHeight="1" x14ac:dyDescent="0.2">
      <c r="A127" s="180"/>
      <c r="B127" s="56"/>
      <c r="C127" s="34" t="s">
        <v>4301</v>
      </c>
      <c r="D127" s="11"/>
      <c r="E127" s="30"/>
      <c r="F127" s="12">
        <v>220</v>
      </c>
      <c r="G127" s="182">
        <v>1320</v>
      </c>
    </row>
    <row r="128" spans="1:27" ht="13.5" customHeight="1" x14ac:dyDescent="0.2">
      <c r="A128" s="180"/>
      <c r="B128" s="56"/>
      <c r="C128" s="34" t="s">
        <v>4292</v>
      </c>
      <c r="D128" s="11"/>
      <c r="E128" s="30"/>
      <c r="F128" s="12">
        <v>900</v>
      </c>
      <c r="G128" s="182">
        <v>2220</v>
      </c>
    </row>
    <row r="129" spans="1:7" ht="13.5" customHeight="1" x14ac:dyDescent="0.2">
      <c r="A129" s="180"/>
      <c r="B129" s="56"/>
      <c r="C129" s="34" t="s">
        <v>4302</v>
      </c>
      <c r="D129" s="11"/>
      <c r="E129" s="30">
        <v>1250</v>
      </c>
      <c r="F129" s="12"/>
      <c r="G129" s="182">
        <v>970</v>
      </c>
    </row>
    <row r="130" spans="1:7" ht="13.5" customHeight="1" x14ac:dyDescent="0.2">
      <c r="A130" s="180"/>
      <c r="B130" s="56"/>
      <c r="C130" s="34" t="s">
        <v>4303</v>
      </c>
      <c r="D130" s="11"/>
      <c r="E130" s="30">
        <v>970</v>
      </c>
      <c r="F130" s="12"/>
      <c r="G130" s="182">
        <v>0</v>
      </c>
    </row>
    <row r="131" spans="1:7" ht="13.5" customHeight="1" x14ac:dyDescent="0.2">
      <c r="A131" s="180"/>
      <c r="B131" s="56"/>
      <c r="C131" s="34" t="s">
        <v>4304</v>
      </c>
      <c r="D131" s="11"/>
      <c r="E131" s="30"/>
      <c r="F131" s="12">
        <v>200</v>
      </c>
      <c r="G131" s="182">
        <v>200</v>
      </c>
    </row>
    <row r="132" spans="1:7" ht="13.5" customHeight="1" x14ac:dyDescent="0.2">
      <c r="A132" s="180"/>
      <c r="B132" s="56"/>
      <c r="C132" s="138" t="s">
        <v>4305</v>
      </c>
      <c r="D132" s="11"/>
      <c r="E132" s="30">
        <v>1200</v>
      </c>
      <c r="F132" s="12"/>
      <c r="G132" s="182">
        <v>-1000</v>
      </c>
    </row>
    <row r="133" spans="1:7" ht="13.5" customHeight="1" x14ac:dyDescent="0.2">
      <c r="A133" s="180">
        <v>44150</v>
      </c>
      <c r="B133" s="56"/>
      <c r="C133" s="138" t="s">
        <v>4306</v>
      </c>
      <c r="D133" s="11"/>
      <c r="E133" s="30">
        <v>1200</v>
      </c>
      <c r="F133" s="12"/>
      <c r="G133" s="182">
        <v>-2200</v>
      </c>
    </row>
    <row r="134" spans="1:7" ht="13.5" customHeight="1" x14ac:dyDescent="0.2">
      <c r="A134" s="180">
        <v>44161</v>
      </c>
      <c r="B134" s="56"/>
      <c r="C134" s="34" t="s">
        <v>4301</v>
      </c>
      <c r="D134" s="11"/>
      <c r="E134" s="30"/>
      <c r="F134" s="12">
        <v>220</v>
      </c>
      <c r="G134" s="182">
        <v>-1980</v>
      </c>
    </row>
    <row r="135" spans="1:7" ht="13.5" customHeight="1" x14ac:dyDescent="0.2">
      <c r="A135" s="180">
        <v>44165</v>
      </c>
      <c r="B135" s="56"/>
      <c r="C135" s="34" t="s">
        <v>4292</v>
      </c>
      <c r="D135" s="11"/>
      <c r="E135" s="30"/>
      <c r="F135" s="12">
        <v>900</v>
      </c>
      <c r="G135" s="182">
        <v>-1080</v>
      </c>
    </row>
    <row r="136" spans="1:7" ht="13.5" customHeight="1" x14ac:dyDescent="0.2">
      <c r="A136" s="180">
        <v>44168</v>
      </c>
      <c r="B136" s="56"/>
      <c r="C136" s="34" t="s">
        <v>4294</v>
      </c>
      <c r="D136" s="11"/>
      <c r="E136" s="30"/>
      <c r="F136" s="12">
        <v>1100</v>
      </c>
      <c r="G136" s="182">
        <v>20</v>
      </c>
    </row>
    <row r="137" spans="1:7" ht="13.5" customHeight="1" x14ac:dyDescent="0.2">
      <c r="A137" s="180">
        <v>44181</v>
      </c>
      <c r="B137" s="56"/>
      <c r="C137" s="138" t="s">
        <v>4296</v>
      </c>
      <c r="D137" s="11"/>
      <c r="E137" s="30"/>
      <c r="F137" s="12">
        <v>1240</v>
      </c>
      <c r="G137" s="182">
        <v>1260</v>
      </c>
    </row>
    <row r="138" spans="1:7" ht="13.5" customHeight="1" x14ac:dyDescent="0.2">
      <c r="A138" s="180"/>
      <c r="B138" s="56"/>
      <c r="C138" s="138" t="s">
        <v>4307</v>
      </c>
      <c r="D138" s="11"/>
      <c r="E138" s="30">
        <v>1200</v>
      </c>
      <c r="F138" s="12"/>
      <c r="G138" s="182">
        <v>60</v>
      </c>
    </row>
    <row r="139" spans="1:7" ht="13.5" customHeight="1" x14ac:dyDescent="0.2">
      <c r="A139" s="180">
        <v>44187</v>
      </c>
      <c r="B139" s="56"/>
      <c r="C139" s="34" t="s">
        <v>4301</v>
      </c>
      <c r="D139" s="11"/>
      <c r="E139" s="30"/>
      <c r="F139" s="12">
        <v>220</v>
      </c>
      <c r="G139" s="182">
        <v>280</v>
      </c>
    </row>
    <row r="140" spans="1:7" ht="13.5" customHeight="1" x14ac:dyDescent="0.2">
      <c r="A140" s="180"/>
      <c r="B140" s="56"/>
      <c r="C140" s="138" t="s">
        <v>4308</v>
      </c>
      <c r="D140" s="11"/>
      <c r="E140" s="30"/>
      <c r="F140" s="12">
        <v>945</v>
      </c>
      <c r="G140" s="182">
        <v>1225</v>
      </c>
    </row>
    <row r="141" spans="1:7" ht="13.5" customHeight="1" x14ac:dyDescent="0.2">
      <c r="A141" s="180">
        <v>44193</v>
      </c>
      <c r="B141" s="56"/>
      <c r="C141" s="138" t="s">
        <v>4309</v>
      </c>
      <c r="D141" s="11"/>
      <c r="E141" s="30"/>
      <c r="F141" s="12">
        <v>1100</v>
      </c>
      <c r="G141" s="182">
        <v>2325</v>
      </c>
    </row>
    <row r="142" spans="1:7" ht="13.5" customHeight="1" x14ac:dyDescent="0.2">
      <c r="A142" s="180"/>
      <c r="B142" s="56"/>
      <c r="C142" s="138" t="s">
        <v>4310</v>
      </c>
      <c r="D142" s="11"/>
      <c r="E142" s="30">
        <v>1000</v>
      </c>
      <c r="F142" s="12"/>
      <c r="G142" s="182">
        <v>1325</v>
      </c>
    </row>
    <row r="143" spans="1:7" ht="13.5" customHeight="1" x14ac:dyDescent="0.2">
      <c r="A143" s="180"/>
      <c r="B143" s="56"/>
      <c r="C143" s="138" t="s">
        <v>4311</v>
      </c>
      <c r="D143" s="11"/>
      <c r="E143" s="30">
        <v>1200</v>
      </c>
      <c r="F143" s="12"/>
      <c r="G143" s="182">
        <v>125</v>
      </c>
    </row>
    <row r="144" spans="1:7" ht="13.5" customHeight="1" x14ac:dyDescent="0.2">
      <c r="A144" s="180">
        <v>44200</v>
      </c>
      <c r="B144" s="56"/>
      <c r="C144" s="138" t="s">
        <v>4312</v>
      </c>
      <c r="D144" s="11"/>
      <c r="E144" s="30"/>
      <c r="F144" s="12">
        <v>3521.93</v>
      </c>
      <c r="G144" s="182">
        <v>3646.93</v>
      </c>
    </row>
    <row r="145" spans="1:8" ht="13.5" customHeight="1" x14ac:dyDescent="0.2">
      <c r="A145" s="180">
        <v>44202</v>
      </c>
      <c r="B145" s="56"/>
      <c r="C145" s="138" t="s">
        <v>4289</v>
      </c>
      <c r="D145" s="11"/>
      <c r="E145" s="30">
        <v>3643</v>
      </c>
      <c r="F145" s="12"/>
      <c r="G145" s="182">
        <v>3.9299999999998363</v>
      </c>
    </row>
    <row r="146" spans="1:8" ht="13.5" customHeight="1" x14ac:dyDescent="0.2">
      <c r="A146" s="180">
        <v>44182</v>
      </c>
      <c r="B146" s="56"/>
      <c r="C146" s="138" t="s">
        <v>4313</v>
      </c>
      <c r="D146" s="11"/>
      <c r="E146" s="30"/>
      <c r="F146" s="12">
        <v>220</v>
      </c>
      <c r="G146" s="182">
        <v>223.92999999999984</v>
      </c>
    </row>
    <row r="147" spans="1:8" ht="13.5" customHeight="1" x14ac:dyDescent="0.2">
      <c r="A147" s="180">
        <v>44219</v>
      </c>
      <c r="B147" s="56"/>
      <c r="C147" s="138" t="s">
        <v>4314</v>
      </c>
      <c r="D147" s="11"/>
      <c r="E147" s="30"/>
      <c r="F147" s="12">
        <v>42.8</v>
      </c>
      <c r="G147" s="182">
        <v>266.72999999999985</v>
      </c>
    </row>
    <row r="148" spans="1:8" ht="13.5" customHeight="1" x14ac:dyDescent="0.2">
      <c r="A148" s="180">
        <v>44228</v>
      </c>
      <c r="B148" s="56"/>
      <c r="C148" s="138" t="s">
        <v>4309</v>
      </c>
      <c r="D148" s="11"/>
      <c r="E148" s="30"/>
      <c r="F148" s="12">
        <v>1304.4100000000001</v>
      </c>
      <c r="G148" s="182">
        <v>1571.1399999999999</v>
      </c>
    </row>
    <row r="149" spans="1:8" ht="13.5" customHeight="1" x14ac:dyDescent="0.2">
      <c r="A149" s="180"/>
      <c r="B149" s="56"/>
      <c r="C149" s="138" t="s">
        <v>4315</v>
      </c>
      <c r="D149" s="11"/>
      <c r="E149" s="30">
        <v>1200</v>
      </c>
      <c r="F149" s="12"/>
      <c r="G149" s="182">
        <v>371.13999999999987</v>
      </c>
    </row>
    <row r="150" spans="1:8" ht="13.5" customHeight="1" x14ac:dyDescent="0.2">
      <c r="A150" s="180">
        <v>44230</v>
      </c>
      <c r="B150" s="56"/>
      <c r="C150" s="138" t="s">
        <v>4294</v>
      </c>
      <c r="D150" s="11"/>
      <c r="E150" s="30"/>
      <c r="F150" s="12">
        <v>1100</v>
      </c>
      <c r="G150" s="182">
        <v>1471.1399999999999</v>
      </c>
    </row>
    <row r="151" spans="1:8" ht="13.5" customHeight="1" x14ac:dyDescent="0.2">
      <c r="A151" s="180"/>
      <c r="B151" s="56"/>
      <c r="C151" s="138" t="s">
        <v>4316</v>
      </c>
      <c r="D151" s="11"/>
      <c r="E151" s="30"/>
      <c r="F151" s="12">
        <v>1640</v>
      </c>
      <c r="G151" s="182">
        <v>3111.14</v>
      </c>
    </row>
    <row r="152" spans="1:8" ht="13.5" customHeight="1" x14ac:dyDescent="0.2">
      <c r="A152" s="180">
        <v>44232</v>
      </c>
      <c r="B152" s="56"/>
      <c r="C152" s="138" t="s">
        <v>4313</v>
      </c>
      <c r="D152" s="11"/>
      <c r="E152" s="30"/>
      <c r="F152" s="12">
        <v>220</v>
      </c>
      <c r="G152" s="182">
        <v>3331.14</v>
      </c>
    </row>
    <row r="153" spans="1:8" ht="13.5" customHeight="1" x14ac:dyDescent="0.2">
      <c r="A153" s="180"/>
      <c r="B153" s="56"/>
      <c r="C153" s="138"/>
      <c r="D153" s="11"/>
      <c r="E153" s="30"/>
      <c r="F153" s="12"/>
      <c r="G153" s="182"/>
    </row>
    <row r="154" spans="1:8" ht="13.5" customHeight="1" x14ac:dyDescent="0.2">
      <c r="A154" s="180"/>
      <c r="B154" s="56"/>
      <c r="C154" s="138"/>
      <c r="D154" s="11"/>
      <c r="E154" s="30"/>
      <c r="F154" s="12"/>
      <c r="G154" s="182"/>
    </row>
    <row r="155" spans="1:8" ht="13.5" customHeight="1" x14ac:dyDescent="0.2">
      <c r="A155" s="180"/>
      <c r="B155" s="56"/>
      <c r="C155" s="138"/>
      <c r="D155" s="11"/>
      <c r="E155" s="30"/>
      <c r="F155" s="12"/>
      <c r="G155" s="182"/>
    </row>
    <row r="156" spans="1:8" ht="13.5" customHeight="1" thickBot="1" x14ac:dyDescent="0.25">
      <c r="A156" s="180"/>
      <c r="B156" s="56"/>
      <c r="C156" s="56"/>
      <c r="D156" s="11"/>
      <c r="E156" s="653"/>
      <c r="F156" s="647"/>
      <c r="G156" s="182"/>
    </row>
    <row r="157" spans="1:8" ht="13.5" customHeight="1" thickBot="1" x14ac:dyDescent="0.25">
      <c r="A157" s="2" t="s">
        <v>2</v>
      </c>
      <c r="B157" s="3"/>
      <c r="C157" s="3" t="s">
        <v>3</v>
      </c>
      <c r="D157" s="3"/>
      <c r="E157" s="3"/>
      <c r="F157" s="3"/>
      <c r="G157" s="5" t="s">
        <v>7</v>
      </c>
    </row>
    <row r="158" spans="1:8" ht="13.5" customHeight="1" x14ac:dyDescent="0.2">
      <c r="A158" s="8">
        <v>43952</v>
      </c>
      <c r="B158" s="70"/>
      <c r="C158" s="10" t="s">
        <v>537</v>
      </c>
      <c r="D158" s="46"/>
      <c r="E158" s="67"/>
      <c r="F158" s="67"/>
      <c r="G158" s="205">
        <v>2788.95</v>
      </c>
      <c r="H158" s="18">
        <v>2788.95</v>
      </c>
    </row>
    <row r="159" spans="1:8" ht="13.5" customHeight="1" x14ac:dyDescent="0.2">
      <c r="A159" s="171" t="s">
        <v>4317</v>
      </c>
      <c r="B159" s="46"/>
      <c r="C159" s="34" t="s">
        <v>2462</v>
      </c>
      <c r="D159" s="46" t="s">
        <v>1750</v>
      </c>
      <c r="E159" s="69">
        <v>-55.01</v>
      </c>
      <c r="F159" s="69"/>
      <c r="G159" s="182">
        <v>2733.94</v>
      </c>
      <c r="H159" s="18">
        <v>2733.9399999999996</v>
      </c>
    </row>
    <row r="160" spans="1:8" ht="13.5" customHeight="1" x14ac:dyDescent="0.2">
      <c r="A160" s="171" t="s">
        <v>4318</v>
      </c>
      <c r="B160" s="46"/>
      <c r="C160" s="34" t="s">
        <v>55</v>
      </c>
      <c r="D160" s="46" t="s">
        <v>3369</v>
      </c>
      <c r="E160" s="69">
        <v>-400</v>
      </c>
      <c r="F160" s="69"/>
      <c r="G160" s="182"/>
      <c r="H160" s="18">
        <v>2333.9399999999996</v>
      </c>
    </row>
    <row r="161" spans="1:8" ht="13.5" customHeight="1" x14ac:dyDescent="0.2">
      <c r="A161" s="171"/>
      <c r="B161" s="46"/>
      <c r="C161" s="36" t="s">
        <v>20</v>
      </c>
      <c r="D161" s="46" t="s">
        <v>488</v>
      </c>
      <c r="E161" s="69"/>
      <c r="F161" s="69">
        <v>0.01</v>
      </c>
      <c r="G161" s="182">
        <v>2333.9499999999998</v>
      </c>
      <c r="H161" s="18">
        <v>2333.9499999999998</v>
      </c>
    </row>
    <row r="162" spans="1:8" ht="13.5" customHeight="1" x14ac:dyDescent="0.2">
      <c r="A162" s="180" t="s">
        <v>4319</v>
      </c>
      <c r="B162" s="46"/>
      <c r="C162" s="34" t="s">
        <v>62</v>
      </c>
      <c r="D162" s="46" t="s">
        <v>590</v>
      </c>
      <c r="E162" s="69">
        <v>-491.13</v>
      </c>
      <c r="F162" s="69"/>
      <c r="G162" s="182"/>
      <c r="H162" s="18">
        <v>1842.8199999999997</v>
      </c>
    </row>
    <row r="163" spans="1:8" ht="13.5" customHeight="1" x14ac:dyDescent="0.2">
      <c r="A163" s="180"/>
      <c r="B163" s="46"/>
      <c r="C163" s="34" t="s">
        <v>4175</v>
      </c>
      <c r="D163" s="46" t="s">
        <v>4320</v>
      </c>
      <c r="E163" s="61">
        <v>-99.9</v>
      </c>
      <c r="F163" s="61"/>
      <c r="G163" s="182"/>
      <c r="H163" s="18">
        <v>1742.9199999999996</v>
      </c>
    </row>
    <row r="164" spans="1:8" ht="13.5" customHeight="1" x14ac:dyDescent="0.2">
      <c r="A164" s="180"/>
      <c r="B164" s="46"/>
      <c r="C164" s="34" t="s">
        <v>68</v>
      </c>
      <c r="D164" s="46" t="s">
        <v>780</v>
      </c>
      <c r="E164" s="69">
        <v>-119</v>
      </c>
      <c r="F164" s="69"/>
      <c r="G164" s="182"/>
      <c r="H164" s="18">
        <v>1623.9199999999996</v>
      </c>
    </row>
    <row r="165" spans="1:8" ht="13.5" customHeight="1" x14ac:dyDescent="0.2">
      <c r="A165" s="180"/>
      <c r="B165" s="9"/>
      <c r="C165" s="34" t="s">
        <v>4051</v>
      </c>
      <c r="D165" s="46" t="s">
        <v>4321</v>
      </c>
      <c r="E165" s="61">
        <v>-904.57</v>
      </c>
      <c r="F165" s="61"/>
      <c r="G165" s="734"/>
      <c r="H165" s="18">
        <v>719.34999999999957</v>
      </c>
    </row>
    <row r="166" spans="1:8" ht="13.5" customHeight="1" x14ac:dyDescent="0.2">
      <c r="A166" s="180"/>
      <c r="B166" s="9"/>
      <c r="C166" s="36" t="s">
        <v>20</v>
      </c>
      <c r="D166" s="46"/>
      <c r="E166" s="61"/>
      <c r="F166" s="61">
        <v>0.06</v>
      </c>
      <c r="G166" s="734">
        <v>719.41</v>
      </c>
      <c r="H166" s="18">
        <v>719.40999999999951</v>
      </c>
    </row>
    <row r="167" spans="1:8" ht="13.5" customHeight="1" x14ac:dyDescent="0.2">
      <c r="A167" s="180" t="s">
        <v>4322</v>
      </c>
      <c r="B167" s="9"/>
      <c r="C167" s="34" t="s">
        <v>87</v>
      </c>
      <c r="D167" s="46" t="s">
        <v>488</v>
      </c>
      <c r="E167" s="61">
        <v>-169.23</v>
      </c>
      <c r="F167" s="61"/>
      <c r="G167" s="734"/>
      <c r="H167" s="18">
        <v>550.1799999999995</v>
      </c>
    </row>
    <row r="168" spans="1:8" ht="13.5" customHeight="1" x14ac:dyDescent="0.2">
      <c r="A168" s="180"/>
      <c r="B168" s="9"/>
      <c r="C168" s="36" t="s">
        <v>20</v>
      </c>
      <c r="D168" s="46"/>
      <c r="E168" s="61"/>
      <c r="F168" s="61">
        <v>0.01</v>
      </c>
      <c r="G168" s="734">
        <v>550.19000000000005</v>
      </c>
      <c r="H168" s="18">
        <v>550.18999999999949</v>
      </c>
    </row>
    <row r="169" spans="1:8" ht="13.5" customHeight="1" x14ac:dyDescent="0.2">
      <c r="A169" s="180">
        <v>43964</v>
      </c>
      <c r="B169" s="9"/>
      <c r="C169" s="32" t="s">
        <v>4246</v>
      </c>
      <c r="D169" s="46"/>
      <c r="E169" s="61"/>
      <c r="F169" s="600">
        <v>400</v>
      </c>
      <c r="G169" s="734">
        <v>950.19</v>
      </c>
      <c r="H169" s="18">
        <v>950.18999999999949</v>
      </c>
    </row>
    <row r="170" spans="1:8" ht="13.5" customHeight="1" x14ac:dyDescent="0.2">
      <c r="A170" s="180" t="s">
        <v>4323</v>
      </c>
      <c r="B170" s="9"/>
      <c r="C170" s="34" t="s">
        <v>2093</v>
      </c>
      <c r="D170" s="46" t="s">
        <v>510</v>
      </c>
      <c r="E170" s="61">
        <v>-42.1</v>
      </c>
      <c r="F170" s="61"/>
      <c r="G170" s="182"/>
      <c r="H170" s="18">
        <v>908.08999999999946</v>
      </c>
    </row>
    <row r="171" spans="1:8" ht="13.5" customHeight="1" x14ac:dyDescent="0.2">
      <c r="A171" s="180"/>
      <c r="B171" s="9"/>
      <c r="C171" s="34" t="s">
        <v>2092</v>
      </c>
      <c r="D171" s="46" t="s">
        <v>4324</v>
      </c>
      <c r="E171" s="61">
        <v>-42.86</v>
      </c>
      <c r="F171" s="61"/>
      <c r="G171" s="182">
        <v>865.23</v>
      </c>
      <c r="H171" s="18">
        <v>865.22999999999945</v>
      </c>
    </row>
    <row r="172" spans="1:8" ht="13.5" customHeight="1" x14ac:dyDescent="0.2">
      <c r="A172" s="180" t="s">
        <v>4325</v>
      </c>
      <c r="B172" s="46"/>
      <c r="C172" s="34" t="s">
        <v>86</v>
      </c>
      <c r="D172" s="46" t="s">
        <v>488</v>
      </c>
      <c r="E172" s="69">
        <v>-75.900000000000006</v>
      </c>
      <c r="F172" s="69"/>
      <c r="G172" s="182"/>
      <c r="H172" s="18">
        <v>789.32999999999947</v>
      </c>
    </row>
    <row r="173" spans="1:8" ht="13.5" customHeight="1" x14ac:dyDescent="0.2">
      <c r="A173" s="180"/>
      <c r="B173" s="46"/>
      <c r="C173" s="34" t="s">
        <v>673</v>
      </c>
      <c r="D173" s="46" t="s">
        <v>3378</v>
      </c>
      <c r="E173" s="69">
        <v>-99.98</v>
      </c>
      <c r="F173" s="69"/>
      <c r="G173" s="182"/>
      <c r="H173" s="18">
        <v>689.34999999999945</v>
      </c>
    </row>
    <row r="174" spans="1:8" ht="13.5" customHeight="1" x14ac:dyDescent="0.2">
      <c r="A174" s="180"/>
      <c r="B174" s="46"/>
      <c r="C174" s="33" t="s">
        <v>81</v>
      </c>
      <c r="D174" s="46" t="s">
        <v>780</v>
      </c>
      <c r="E174" s="69">
        <v>-52.35</v>
      </c>
      <c r="F174" s="69"/>
      <c r="G174" s="182">
        <v>637</v>
      </c>
      <c r="H174" s="18">
        <v>636.99999999999943</v>
      </c>
    </row>
    <row r="175" spans="1:8" ht="13.5" customHeight="1" x14ac:dyDescent="0.2">
      <c r="A175" s="171" t="s">
        <v>4326</v>
      </c>
      <c r="B175" s="46"/>
      <c r="C175" s="34" t="s">
        <v>18</v>
      </c>
      <c r="D175" s="46" t="s">
        <v>2987</v>
      </c>
      <c r="E175" s="69">
        <v>-419.96</v>
      </c>
      <c r="F175" s="69"/>
      <c r="G175" s="182"/>
      <c r="H175" s="18">
        <v>217.03999999999945</v>
      </c>
    </row>
    <row r="176" spans="1:8" ht="13.5" customHeight="1" x14ac:dyDescent="0.2">
      <c r="A176" s="171"/>
      <c r="B176" s="46"/>
      <c r="C176" s="36" t="s">
        <v>20</v>
      </c>
      <c r="D176" s="46" t="s">
        <v>488</v>
      </c>
      <c r="E176" s="69"/>
      <c r="F176" s="69">
        <v>0.02</v>
      </c>
      <c r="G176" s="182">
        <v>217.06</v>
      </c>
      <c r="H176" s="18">
        <v>217.05999999999946</v>
      </c>
    </row>
    <row r="177" spans="1:14" ht="13.5" customHeight="1" x14ac:dyDescent="0.2">
      <c r="A177" s="171" t="s">
        <v>4327</v>
      </c>
      <c r="B177" s="46"/>
      <c r="C177" s="34" t="s">
        <v>3725</v>
      </c>
      <c r="D177" s="46" t="s">
        <v>488</v>
      </c>
      <c r="E177" s="69"/>
      <c r="F177" s="69">
        <v>300</v>
      </c>
      <c r="G177" s="182">
        <v>517.05999999999995</v>
      </c>
      <c r="H177" s="18">
        <v>517.05999999999949</v>
      </c>
    </row>
    <row r="178" spans="1:14" ht="13.5" customHeight="1" x14ac:dyDescent="0.2">
      <c r="A178" s="171"/>
      <c r="B178" s="46"/>
      <c r="C178" s="34" t="s">
        <v>132</v>
      </c>
      <c r="D178" s="46" t="s">
        <v>3749</v>
      </c>
      <c r="E178" s="69">
        <v>-1675.23</v>
      </c>
      <c r="F178" s="69"/>
      <c r="G178" s="182">
        <v>-1158.17</v>
      </c>
      <c r="H178" s="18">
        <v>-1158.1700000000005</v>
      </c>
    </row>
    <row r="179" spans="1:14" ht="13.5" customHeight="1" x14ac:dyDescent="0.2">
      <c r="A179" s="171"/>
      <c r="B179" s="46"/>
      <c r="C179" s="34" t="s">
        <v>134</v>
      </c>
      <c r="D179" s="46" t="s">
        <v>495</v>
      </c>
      <c r="E179" s="69">
        <v>-119</v>
      </c>
      <c r="F179" s="69"/>
      <c r="G179" s="182">
        <v>-1277.17</v>
      </c>
      <c r="H179" s="18">
        <v>-1277.1700000000005</v>
      </c>
    </row>
    <row r="180" spans="1:14" ht="13.5" customHeight="1" x14ac:dyDescent="0.2">
      <c r="A180" s="171"/>
      <c r="B180" s="46"/>
      <c r="C180" s="34" t="s">
        <v>4166</v>
      </c>
      <c r="D180" s="46" t="s">
        <v>488</v>
      </c>
      <c r="E180" s="69"/>
      <c r="F180" s="322">
        <v>4000</v>
      </c>
      <c r="G180" s="182">
        <v>2722.83</v>
      </c>
      <c r="H180" s="18">
        <v>2722.8299999999995</v>
      </c>
    </row>
    <row r="181" spans="1:14" ht="13.5" customHeight="1" x14ac:dyDescent="0.2">
      <c r="A181" s="171" t="s">
        <v>4328</v>
      </c>
      <c r="B181" s="46"/>
      <c r="C181" s="33" t="s">
        <v>736</v>
      </c>
      <c r="D181" s="46" t="s">
        <v>488</v>
      </c>
      <c r="E181" s="69">
        <v>-43.68</v>
      </c>
      <c r="F181" s="69"/>
      <c r="G181" s="182"/>
      <c r="H181" s="18">
        <v>2679.1499999999996</v>
      </c>
    </row>
    <row r="182" spans="1:14" ht="13.5" customHeight="1" x14ac:dyDescent="0.2">
      <c r="A182" s="171"/>
      <c r="B182" s="46"/>
      <c r="C182" s="36" t="s">
        <v>129</v>
      </c>
      <c r="D182" s="46" t="s">
        <v>488</v>
      </c>
      <c r="E182" s="69">
        <v>-46.8</v>
      </c>
      <c r="F182" s="69"/>
      <c r="G182" s="182"/>
      <c r="H182" s="18">
        <v>2632.3499999999995</v>
      </c>
    </row>
    <row r="183" spans="1:14" ht="13.5" customHeight="1" x14ac:dyDescent="0.2">
      <c r="A183" s="171"/>
      <c r="B183" s="46"/>
      <c r="C183" s="36" t="s">
        <v>130</v>
      </c>
      <c r="D183" s="46" t="s">
        <v>488</v>
      </c>
      <c r="E183" s="69">
        <v>-149</v>
      </c>
      <c r="F183" s="69"/>
      <c r="G183" s="182"/>
      <c r="H183" s="18">
        <v>2483.3499999999995</v>
      </c>
    </row>
    <row r="184" spans="1:14" ht="13.5" customHeight="1" x14ac:dyDescent="0.2">
      <c r="A184" s="171"/>
      <c r="B184" s="46"/>
      <c r="C184" s="36" t="s">
        <v>20</v>
      </c>
      <c r="D184" s="46" t="s">
        <v>488</v>
      </c>
      <c r="E184" s="69"/>
      <c r="F184" s="69">
        <v>0.02</v>
      </c>
      <c r="G184" s="182">
        <v>2483.37</v>
      </c>
      <c r="H184" s="18">
        <v>2483.3699999999994</v>
      </c>
    </row>
    <row r="185" spans="1:14" ht="13.5" customHeight="1" x14ac:dyDescent="0.2">
      <c r="A185" s="171" t="s">
        <v>4329</v>
      </c>
      <c r="B185" s="46"/>
      <c r="C185" s="34" t="s">
        <v>136</v>
      </c>
      <c r="D185" s="46" t="s">
        <v>488</v>
      </c>
      <c r="E185" s="69">
        <v>-45.9</v>
      </c>
      <c r="F185" s="69"/>
      <c r="G185" s="182">
        <v>2437.4699999999998</v>
      </c>
      <c r="H185" s="18">
        <v>2437.4699999999993</v>
      </c>
    </row>
    <row r="186" spans="1:14" ht="13.5" customHeight="1" x14ac:dyDescent="0.2">
      <c r="A186" s="171" t="s">
        <v>4330</v>
      </c>
      <c r="B186" s="46"/>
      <c r="C186" s="33" t="s">
        <v>4331</v>
      </c>
      <c r="D186" s="46" t="s">
        <v>488</v>
      </c>
      <c r="E186" s="69">
        <v>-52.5</v>
      </c>
      <c r="F186" s="69"/>
      <c r="G186" s="205">
        <v>2384.9699999999998</v>
      </c>
      <c r="H186" s="18">
        <v>2384.9699999999993</v>
      </c>
      <c r="I186" s="1">
        <v>47070</v>
      </c>
    </row>
    <row r="187" spans="1:14" ht="13.5" customHeight="1" thickBot="1" x14ac:dyDescent="0.25">
      <c r="A187" s="171"/>
      <c r="B187" s="46"/>
      <c r="C187" s="34"/>
      <c r="D187" s="46"/>
      <c r="E187" s="654">
        <f>SUM(E159:E186)</f>
        <v>-5104.1000000000004</v>
      </c>
      <c r="F187" s="654">
        <f>SUM(F161:F168,F176:F179,F184)</f>
        <v>300.12</v>
      </c>
      <c r="G187" s="182"/>
      <c r="L187" s="18">
        <v>48727.48</v>
      </c>
      <c r="N187" t="s">
        <v>4332</v>
      </c>
    </row>
    <row r="188" spans="1:14" ht="13.5" customHeight="1" thickBot="1" x14ac:dyDescent="0.25">
      <c r="A188" s="2" t="s">
        <v>2</v>
      </c>
      <c r="B188" s="3"/>
      <c r="C188" s="3" t="s">
        <v>481</v>
      </c>
      <c r="D188" s="3"/>
      <c r="E188" s="3"/>
      <c r="F188" s="3"/>
      <c r="G188" s="5" t="s">
        <v>7</v>
      </c>
      <c r="H188" s="1415" t="s">
        <v>482</v>
      </c>
      <c r="I188" s="1416"/>
      <c r="J188" s="1417"/>
    </row>
    <row r="189" spans="1:14" ht="13.5" customHeight="1" x14ac:dyDescent="0.2">
      <c r="A189" s="8">
        <v>43952</v>
      </c>
      <c r="B189" s="70"/>
      <c r="C189" s="10" t="s">
        <v>537</v>
      </c>
      <c r="D189" s="11"/>
      <c r="E189" s="67"/>
      <c r="F189" s="67"/>
      <c r="G189" s="205">
        <v>0</v>
      </c>
      <c r="H189" s="179"/>
      <c r="I189" s="57"/>
      <c r="J189" s="58">
        <v>5974.07</v>
      </c>
      <c r="K189" s="18">
        <v>0</v>
      </c>
    </row>
    <row r="190" spans="1:14" ht="13.5" customHeight="1" x14ac:dyDescent="0.2">
      <c r="A190" s="171" t="s">
        <v>4333</v>
      </c>
      <c r="B190" s="46" t="s">
        <v>483</v>
      </c>
      <c r="C190" s="34" t="s">
        <v>199</v>
      </c>
      <c r="D190" s="11" t="s">
        <v>488</v>
      </c>
      <c r="E190" s="183">
        <v>-211.9</v>
      </c>
      <c r="F190" s="69"/>
      <c r="G190" s="182"/>
      <c r="H190" s="59"/>
      <c r="I190" s="60"/>
      <c r="J190" s="61">
        <v>5974.07</v>
      </c>
      <c r="K190" s="18">
        <v>-211.9</v>
      </c>
      <c r="L190" s="1">
        <v>5974.07</v>
      </c>
    </row>
    <row r="191" spans="1:14" ht="13.5" customHeight="1" x14ac:dyDescent="0.2">
      <c r="A191" s="171"/>
      <c r="B191" s="46" t="s">
        <v>483</v>
      </c>
      <c r="C191" s="36" t="s">
        <v>174</v>
      </c>
      <c r="D191" s="11" t="s">
        <v>488</v>
      </c>
      <c r="E191" s="69"/>
      <c r="F191" s="183">
        <v>211.9</v>
      </c>
      <c r="G191" s="182">
        <v>0</v>
      </c>
      <c r="H191" s="59">
        <v>211.9</v>
      </c>
      <c r="I191" s="60"/>
      <c r="J191" s="61">
        <v>5762.17</v>
      </c>
      <c r="K191" s="18">
        <v>0</v>
      </c>
    </row>
    <row r="192" spans="1:14" ht="13.5" customHeight="1" x14ac:dyDescent="0.2">
      <c r="A192" s="171" t="s">
        <v>4334</v>
      </c>
      <c r="B192" s="46" t="s">
        <v>483</v>
      </c>
      <c r="C192" s="34" t="s">
        <v>177</v>
      </c>
      <c r="D192" s="11" t="s">
        <v>488</v>
      </c>
      <c r="E192" s="183">
        <v>-86.76</v>
      </c>
      <c r="F192" s="69"/>
      <c r="G192" s="182"/>
      <c r="H192" s="59"/>
      <c r="I192" s="60"/>
      <c r="J192" s="61">
        <v>5762.17</v>
      </c>
      <c r="K192" s="18">
        <v>-86.76</v>
      </c>
    </row>
    <row r="193" spans="1:12" ht="13.5" customHeight="1" x14ac:dyDescent="0.2">
      <c r="A193" s="171"/>
      <c r="B193" s="46" t="s">
        <v>483</v>
      </c>
      <c r="C193" s="36" t="s">
        <v>174</v>
      </c>
      <c r="D193" s="11" t="s">
        <v>488</v>
      </c>
      <c r="E193" s="69"/>
      <c r="F193" s="183">
        <v>86.76</v>
      </c>
      <c r="G193" s="182">
        <v>0</v>
      </c>
      <c r="H193" s="59">
        <v>86.76</v>
      </c>
      <c r="I193" s="60"/>
      <c r="J193" s="61">
        <v>5675.41</v>
      </c>
      <c r="K193" s="18">
        <v>0</v>
      </c>
    </row>
    <row r="194" spans="1:12" ht="13.5" customHeight="1" x14ac:dyDescent="0.2">
      <c r="A194" s="171" t="s">
        <v>4335</v>
      </c>
      <c r="B194" s="46" t="s">
        <v>483</v>
      </c>
      <c r="C194" s="36" t="s">
        <v>180</v>
      </c>
      <c r="D194" s="11" t="s">
        <v>488</v>
      </c>
      <c r="E194" s="183">
        <v>-181.88</v>
      </c>
      <c r="F194" s="69"/>
      <c r="G194" s="182"/>
      <c r="H194" s="59"/>
      <c r="I194" s="60"/>
      <c r="J194" s="61">
        <v>5675.41</v>
      </c>
      <c r="K194" s="18">
        <v>-181.88</v>
      </c>
      <c r="L194" s="18">
        <v>5675.48</v>
      </c>
    </row>
    <row r="195" spans="1:12" ht="13.5" customHeight="1" x14ac:dyDescent="0.2">
      <c r="A195" s="171"/>
      <c r="B195" s="46" t="s">
        <v>483</v>
      </c>
      <c r="C195" s="34" t="s">
        <v>3731</v>
      </c>
      <c r="D195" s="11" t="s">
        <v>4336</v>
      </c>
      <c r="E195" s="183">
        <v>-661.17</v>
      </c>
      <c r="F195" s="69"/>
      <c r="G195" s="182" t="s">
        <v>483</v>
      </c>
      <c r="H195" s="59"/>
      <c r="I195" s="60"/>
      <c r="J195" s="61">
        <v>5675.41</v>
      </c>
      <c r="K195" s="18">
        <v>-843.05</v>
      </c>
    </row>
    <row r="196" spans="1:12" ht="13.5" customHeight="1" x14ac:dyDescent="0.2">
      <c r="A196" s="171"/>
      <c r="B196" s="46" t="s">
        <v>483</v>
      </c>
      <c r="C196" s="36" t="s">
        <v>174</v>
      </c>
      <c r="D196" s="11" t="s">
        <v>488</v>
      </c>
      <c r="E196" s="69"/>
      <c r="F196" s="183">
        <v>843.05</v>
      </c>
      <c r="G196" s="182">
        <v>0</v>
      </c>
      <c r="H196" s="59">
        <v>843.05</v>
      </c>
      <c r="I196" s="60"/>
      <c r="J196" s="61">
        <v>4832.3599999999997</v>
      </c>
      <c r="K196" s="18">
        <v>0</v>
      </c>
    </row>
    <row r="197" spans="1:12" ht="13.5" customHeight="1" x14ac:dyDescent="0.2">
      <c r="A197" s="171" t="s">
        <v>4337</v>
      </c>
      <c r="B197" s="46" t="s">
        <v>483</v>
      </c>
      <c r="C197" s="34" t="s">
        <v>4338</v>
      </c>
      <c r="D197" s="11" t="s">
        <v>488</v>
      </c>
      <c r="E197" s="69"/>
      <c r="F197" s="183">
        <v>4731.47</v>
      </c>
      <c r="G197" s="182" t="s">
        <v>483</v>
      </c>
      <c r="H197" s="59"/>
      <c r="I197" s="60"/>
      <c r="J197" s="61">
        <v>4832.3599999999997</v>
      </c>
      <c r="K197" s="18">
        <v>4731.47</v>
      </c>
    </row>
    <row r="198" spans="1:12" ht="13.5" customHeight="1" x14ac:dyDescent="0.2">
      <c r="A198" s="171"/>
      <c r="B198" s="46" t="s">
        <v>483</v>
      </c>
      <c r="C198" s="45" t="s">
        <v>4087</v>
      </c>
      <c r="D198" s="11" t="s">
        <v>488</v>
      </c>
      <c r="E198" s="183">
        <v>-127.7</v>
      </c>
      <c r="F198" s="69"/>
      <c r="G198" s="182" t="s">
        <v>483</v>
      </c>
      <c r="H198" s="59"/>
      <c r="I198" s="60"/>
      <c r="J198" s="61">
        <v>4832.3599999999997</v>
      </c>
      <c r="K198" s="18">
        <v>4603.7700000000004</v>
      </c>
    </row>
    <row r="199" spans="1:12" ht="13.5" customHeight="1" x14ac:dyDescent="0.2">
      <c r="A199" s="171"/>
      <c r="B199" s="46" t="s">
        <v>483</v>
      </c>
      <c r="C199" s="45" t="s">
        <v>613</v>
      </c>
      <c r="D199" s="11" t="s">
        <v>4339</v>
      </c>
      <c r="E199" s="183">
        <v>-63</v>
      </c>
      <c r="F199" s="69"/>
      <c r="G199" s="182" t="s">
        <v>483</v>
      </c>
      <c r="H199" s="59"/>
      <c r="I199" s="60"/>
      <c r="J199" s="61">
        <v>4832.3599999999997</v>
      </c>
      <c r="K199" s="18">
        <v>4540.7700000000004</v>
      </c>
    </row>
    <row r="200" spans="1:12" ht="13.5" customHeight="1" x14ac:dyDescent="0.2">
      <c r="A200" s="171"/>
      <c r="B200" s="46" t="s">
        <v>483</v>
      </c>
      <c r="C200" s="36" t="s">
        <v>189</v>
      </c>
      <c r="D200" s="11" t="s">
        <v>488</v>
      </c>
      <c r="E200" s="183">
        <v>-4540.7700000000004</v>
      </c>
      <c r="F200" s="69"/>
      <c r="G200" s="182">
        <v>0</v>
      </c>
      <c r="H200" s="59"/>
      <c r="I200" s="60">
        <v>4540.7700000000004</v>
      </c>
      <c r="J200" s="61">
        <v>9373.130000000001</v>
      </c>
      <c r="K200" s="18">
        <v>0</v>
      </c>
    </row>
    <row r="201" spans="1:12" ht="13.5" customHeight="1" x14ac:dyDescent="0.2">
      <c r="A201" s="171" t="s">
        <v>4340</v>
      </c>
      <c r="B201" s="46" t="s">
        <v>483</v>
      </c>
      <c r="C201" s="45" t="s">
        <v>4341</v>
      </c>
      <c r="D201" s="11" t="s">
        <v>3369</v>
      </c>
      <c r="E201" s="183">
        <v>-203.5</v>
      </c>
      <c r="F201" s="69"/>
      <c r="G201" s="182" t="s">
        <v>483</v>
      </c>
      <c r="H201" s="59"/>
      <c r="I201" s="60"/>
      <c r="J201" s="61">
        <v>9373.130000000001</v>
      </c>
      <c r="K201" s="18">
        <v>-203.5</v>
      </c>
    </row>
    <row r="202" spans="1:12" ht="13.5" customHeight="1" x14ac:dyDescent="0.2">
      <c r="A202" s="171"/>
      <c r="B202" s="46" t="s">
        <v>591</v>
      </c>
      <c r="C202" s="36" t="s">
        <v>4240</v>
      </c>
      <c r="D202" s="11" t="s">
        <v>4342</v>
      </c>
      <c r="E202" s="183"/>
      <c r="F202" s="322">
        <v>1750</v>
      </c>
      <c r="G202" s="182" t="s">
        <v>483</v>
      </c>
      <c r="H202" s="59"/>
      <c r="I202" s="60"/>
      <c r="J202" s="61">
        <v>9373.130000000001</v>
      </c>
      <c r="K202" s="18">
        <v>1546.5</v>
      </c>
    </row>
    <row r="203" spans="1:12" ht="13.5" customHeight="1" x14ac:dyDescent="0.2">
      <c r="A203" s="171"/>
      <c r="B203" s="46" t="s">
        <v>483</v>
      </c>
      <c r="C203" s="34" t="s">
        <v>4343</v>
      </c>
      <c r="D203" s="11" t="s">
        <v>488</v>
      </c>
      <c r="E203" s="183">
        <v>-745</v>
      </c>
      <c r="F203" s="69"/>
      <c r="G203" s="182"/>
      <c r="H203" s="59"/>
      <c r="I203" s="60"/>
      <c r="J203" s="61">
        <v>9373.130000000001</v>
      </c>
      <c r="K203" s="18">
        <v>801.5</v>
      </c>
    </row>
    <row r="204" spans="1:12" ht="13.5" customHeight="1" x14ac:dyDescent="0.2">
      <c r="A204" s="171"/>
      <c r="B204" s="46" t="s">
        <v>483</v>
      </c>
      <c r="C204" s="36" t="s">
        <v>174</v>
      </c>
      <c r="D204" s="11" t="s">
        <v>488</v>
      </c>
      <c r="E204" s="69"/>
      <c r="F204" s="183">
        <v>948.5</v>
      </c>
      <c r="G204" s="182">
        <v>1750</v>
      </c>
      <c r="H204" s="59">
        <v>948.5</v>
      </c>
      <c r="I204" s="60"/>
      <c r="J204" s="61">
        <v>8424.630000000001</v>
      </c>
      <c r="K204" s="18">
        <v>1750</v>
      </c>
    </row>
    <row r="205" spans="1:12" ht="13.5" customHeight="1" x14ac:dyDescent="0.2">
      <c r="A205" s="171" t="s">
        <v>4344</v>
      </c>
      <c r="B205" s="46" t="s">
        <v>483</v>
      </c>
      <c r="C205" s="36" t="s">
        <v>189</v>
      </c>
      <c r="D205" s="11" t="s">
        <v>488</v>
      </c>
      <c r="E205" s="183">
        <v>-1750</v>
      </c>
      <c r="F205" s="69"/>
      <c r="G205" s="182">
        <v>0</v>
      </c>
      <c r="H205" s="59"/>
      <c r="I205" s="60">
        <v>1750</v>
      </c>
      <c r="J205" s="61">
        <v>10174.630000000001</v>
      </c>
      <c r="K205" s="18">
        <v>0</v>
      </c>
    </row>
    <row r="206" spans="1:12" ht="13.5" customHeight="1" x14ac:dyDescent="0.2">
      <c r="A206" s="171" t="s">
        <v>4345</v>
      </c>
      <c r="B206" s="46" t="s">
        <v>483</v>
      </c>
      <c r="C206" s="32" t="s">
        <v>4204</v>
      </c>
      <c r="D206" s="11" t="s">
        <v>4346</v>
      </c>
      <c r="E206" s="183">
        <v>-789</v>
      </c>
      <c r="F206" s="69"/>
      <c r="G206" s="182" t="s">
        <v>483</v>
      </c>
      <c r="H206" s="59"/>
      <c r="I206" s="60"/>
      <c r="J206" s="61">
        <v>10174.630000000001</v>
      </c>
      <c r="K206" s="18">
        <v>-789</v>
      </c>
    </row>
    <row r="207" spans="1:12" ht="13.5" customHeight="1" x14ac:dyDescent="0.2">
      <c r="A207" s="171"/>
      <c r="B207" s="46" t="s">
        <v>483</v>
      </c>
      <c r="C207" s="36" t="s">
        <v>174</v>
      </c>
      <c r="D207" s="11" t="s">
        <v>488</v>
      </c>
      <c r="E207" s="69"/>
      <c r="F207" s="183">
        <v>789</v>
      </c>
      <c r="G207" s="182">
        <v>0</v>
      </c>
      <c r="H207" s="59">
        <v>789</v>
      </c>
      <c r="I207" s="60"/>
      <c r="J207" s="61">
        <v>9385.630000000001</v>
      </c>
      <c r="K207" s="18">
        <v>0</v>
      </c>
      <c r="L207" s="18">
        <v>9385.94</v>
      </c>
    </row>
    <row r="208" spans="1:12" ht="13.5" customHeight="1" x14ac:dyDescent="0.2">
      <c r="A208" s="171" t="s">
        <v>4347</v>
      </c>
      <c r="B208" s="46" t="s">
        <v>591</v>
      </c>
      <c r="C208" s="32" t="s">
        <v>4014</v>
      </c>
      <c r="D208" s="11" t="s">
        <v>4348</v>
      </c>
      <c r="E208" s="183"/>
      <c r="F208" s="322">
        <v>1800</v>
      </c>
      <c r="G208" s="182" t="s">
        <v>483</v>
      </c>
      <c r="H208" s="59"/>
      <c r="I208" s="60"/>
      <c r="J208" s="61">
        <v>9385.630000000001</v>
      </c>
      <c r="K208" s="18">
        <v>1800</v>
      </c>
      <c r="L208" s="18"/>
    </row>
    <row r="209" spans="1:12" ht="13.5" customHeight="1" x14ac:dyDescent="0.2">
      <c r="A209" s="171"/>
      <c r="B209" s="46" t="s">
        <v>483</v>
      </c>
      <c r="C209" s="34" t="s">
        <v>3504</v>
      </c>
      <c r="D209" s="11" t="s">
        <v>4349</v>
      </c>
      <c r="E209" s="183">
        <v>-433.84</v>
      </c>
      <c r="F209" s="69"/>
      <c r="G209" s="182" t="s">
        <v>483</v>
      </c>
      <c r="H209" s="59"/>
      <c r="I209" s="60"/>
      <c r="J209" s="61">
        <v>9385.630000000001</v>
      </c>
      <c r="K209" s="18">
        <v>1366.16</v>
      </c>
      <c r="L209" s="18"/>
    </row>
    <row r="210" spans="1:12" ht="13.5" customHeight="1" x14ac:dyDescent="0.2">
      <c r="A210" s="171"/>
      <c r="B210" s="46" t="s">
        <v>483</v>
      </c>
      <c r="C210" s="36" t="s">
        <v>174</v>
      </c>
      <c r="D210" s="11" t="s">
        <v>488</v>
      </c>
      <c r="E210" s="69"/>
      <c r="F210" s="183">
        <v>433.84</v>
      </c>
      <c r="G210" s="182">
        <v>1800</v>
      </c>
      <c r="H210" s="59">
        <v>433.84</v>
      </c>
      <c r="I210" s="60"/>
      <c r="J210" s="61">
        <v>8951.7900000000009</v>
      </c>
      <c r="K210" s="18">
        <v>1800</v>
      </c>
      <c r="L210" s="18"/>
    </row>
    <row r="211" spans="1:12" ht="13.5" customHeight="1" x14ac:dyDescent="0.2">
      <c r="A211" s="171" t="s">
        <v>4350</v>
      </c>
      <c r="B211" s="46" t="s">
        <v>483</v>
      </c>
      <c r="C211" s="34" t="s">
        <v>4078</v>
      </c>
      <c r="D211" s="11" t="s">
        <v>3912</v>
      </c>
      <c r="E211" s="183">
        <v>-585.74</v>
      </c>
      <c r="F211" s="69"/>
      <c r="G211" s="182">
        <v>1214.26</v>
      </c>
      <c r="H211" s="59"/>
      <c r="I211" s="60"/>
      <c r="J211" s="61">
        <v>8951.7900000000009</v>
      </c>
      <c r="K211" s="18">
        <v>1214.26</v>
      </c>
      <c r="L211" s="18">
        <v>8952.15</v>
      </c>
    </row>
    <row r="212" spans="1:12" ht="13.5" customHeight="1" x14ac:dyDescent="0.2">
      <c r="A212" s="171"/>
      <c r="B212" s="46" t="s">
        <v>483</v>
      </c>
      <c r="C212" s="36" t="s">
        <v>189</v>
      </c>
      <c r="D212" s="11" t="s">
        <v>488</v>
      </c>
      <c r="E212" s="183">
        <v>-1214.26</v>
      </c>
      <c r="F212" s="69"/>
      <c r="G212" s="182">
        <v>0</v>
      </c>
      <c r="H212" s="59"/>
      <c r="I212" s="60">
        <v>1214.26</v>
      </c>
      <c r="J212" s="61">
        <v>10166.050000000001</v>
      </c>
      <c r="K212" s="18">
        <v>0</v>
      </c>
      <c r="L212" s="18"/>
    </row>
    <row r="213" spans="1:12" ht="13.5" customHeight="1" x14ac:dyDescent="0.2">
      <c r="A213" s="171" t="s">
        <v>4351</v>
      </c>
      <c r="B213" s="46" t="s">
        <v>483</v>
      </c>
      <c r="C213" s="34" t="s">
        <v>86</v>
      </c>
      <c r="D213" s="11" t="s">
        <v>488</v>
      </c>
      <c r="E213" s="183">
        <v>-92.5</v>
      </c>
      <c r="F213" s="69"/>
      <c r="G213" s="182" t="s">
        <v>483</v>
      </c>
      <c r="H213" s="59"/>
      <c r="I213" s="60"/>
      <c r="J213" s="61">
        <v>10166.050000000001</v>
      </c>
      <c r="K213" s="18">
        <v>-92.5</v>
      </c>
      <c r="L213" s="18"/>
    </row>
    <row r="214" spans="1:12" ht="13.5" customHeight="1" x14ac:dyDescent="0.2">
      <c r="A214" s="171"/>
      <c r="B214" s="46" t="s">
        <v>483</v>
      </c>
      <c r="C214" s="36" t="s">
        <v>174</v>
      </c>
      <c r="D214" s="11" t="s">
        <v>488</v>
      </c>
      <c r="E214" s="69"/>
      <c r="F214" s="183">
        <v>92.5</v>
      </c>
      <c r="G214" s="182">
        <v>0</v>
      </c>
      <c r="H214" s="59">
        <v>92.5</v>
      </c>
      <c r="I214" s="60"/>
      <c r="J214" s="61">
        <v>10073.550000000001</v>
      </c>
      <c r="K214" s="18">
        <v>0</v>
      </c>
      <c r="L214" s="18"/>
    </row>
    <row r="215" spans="1:12" ht="13.5" customHeight="1" x14ac:dyDescent="0.2">
      <c r="A215" s="171" t="s">
        <v>4352</v>
      </c>
      <c r="B215" s="46" t="s">
        <v>591</v>
      </c>
      <c r="C215" s="32" t="s">
        <v>4259</v>
      </c>
      <c r="D215" s="11" t="s">
        <v>4353</v>
      </c>
      <c r="E215" s="183"/>
      <c r="F215" s="322">
        <v>1970</v>
      </c>
      <c r="G215" s="182">
        <v>1970</v>
      </c>
      <c r="H215" s="59"/>
      <c r="I215" s="60"/>
      <c r="J215" s="61">
        <v>10073.550000000001</v>
      </c>
      <c r="K215" s="18">
        <v>1970</v>
      </c>
      <c r="L215" s="18"/>
    </row>
    <row r="216" spans="1:12" ht="13.5" customHeight="1" x14ac:dyDescent="0.2">
      <c r="A216" s="171" t="s">
        <v>4354</v>
      </c>
      <c r="B216" s="46" t="s">
        <v>483</v>
      </c>
      <c r="C216" s="34" t="s">
        <v>86</v>
      </c>
      <c r="D216" s="11" t="s">
        <v>488</v>
      </c>
      <c r="E216" s="183">
        <v>-12.5</v>
      </c>
      <c r="F216" s="69"/>
      <c r="G216" s="182" t="s">
        <v>483</v>
      </c>
      <c r="H216" s="59"/>
      <c r="I216" s="60"/>
      <c r="J216" s="61">
        <v>10073.550000000001</v>
      </c>
      <c r="K216" s="18">
        <v>1957.5</v>
      </c>
      <c r="L216" s="18"/>
    </row>
    <row r="217" spans="1:12" ht="13.5" customHeight="1" x14ac:dyDescent="0.2">
      <c r="A217" s="171"/>
      <c r="B217" s="46" t="s">
        <v>483</v>
      </c>
      <c r="C217" s="36" t="s">
        <v>189</v>
      </c>
      <c r="D217" s="11" t="s">
        <v>488</v>
      </c>
      <c r="E217" s="183">
        <v>-1957.5</v>
      </c>
      <c r="F217" s="69"/>
      <c r="G217" s="182">
        <v>0</v>
      </c>
      <c r="H217" s="59"/>
      <c r="I217" s="60">
        <v>1957.5</v>
      </c>
      <c r="J217" s="61">
        <v>12031.050000000001</v>
      </c>
      <c r="K217" s="18">
        <v>0</v>
      </c>
      <c r="L217" s="18"/>
    </row>
    <row r="218" spans="1:12" ht="13.5" customHeight="1" x14ac:dyDescent="0.2">
      <c r="A218" s="171" t="s">
        <v>4355</v>
      </c>
      <c r="B218" s="46" t="s">
        <v>483</v>
      </c>
      <c r="C218" s="32" t="s">
        <v>813</v>
      </c>
      <c r="D218" s="11" t="s">
        <v>484</v>
      </c>
      <c r="E218" s="183">
        <v>-50</v>
      </c>
      <c r="F218" s="69"/>
      <c r="G218" s="182" t="s">
        <v>483</v>
      </c>
      <c r="H218" s="59"/>
      <c r="I218" s="60"/>
      <c r="J218" s="61">
        <v>12031.050000000001</v>
      </c>
      <c r="K218" s="18">
        <v>-50</v>
      </c>
    </row>
    <row r="219" spans="1:12" ht="13.5" customHeight="1" x14ac:dyDescent="0.2">
      <c r="A219" s="171"/>
      <c r="B219" s="46" t="s">
        <v>483</v>
      </c>
      <c r="C219" s="36" t="s">
        <v>174</v>
      </c>
      <c r="D219" s="11" t="s">
        <v>488</v>
      </c>
      <c r="E219" s="69"/>
      <c r="F219" s="183">
        <v>50</v>
      </c>
      <c r="G219" s="205">
        <v>0</v>
      </c>
      <c r="H219" s="59">
        <v>50</v>
      </c>
      <c r="I219" s="60"/>
      <c r="J219" s="61">
        <v>11981.050000000001</v>
      </c>
      <c r="K219" s="18">
        <v>0</v>
      </c>
      <c r="L219" s="124">
        <v>54393.72</v>
      </c>
    </row>
    <row r="220" spans="1:12" ht="13.5" customHeight="1" x14ac:dyDescent="0.2">
      <c r="A220" s="171"/>
      <c r="B220" s="46"/>
      <c r="C220" s="36" t="s">
        <v>20</v>
      </c>
      <c r="D220" s="11"/>
      <c r="E220" s="69"/>
      <c r="F220" s="69"/>
      <c r="G220" s="182"/>
      <c r="H220" s="59"/>
      <c r="I220" s="60">
        <v>0.69999999999890861</v>
      </c>
      <c r="J220" s="186">
        <v>11981.75</v>
      </c>
      <c r="K220" s="18">
        <v>0</v>
      </c>
    </row>
    <row r="221" spans="1:12" ht="13.5" customHeight="1" thickBot="1" x14ac:dyDescent="0.25">
      <c r="A221" s="171"/>
      <c r="B221" s="46"/>
      <c r="C221" s="34"/>
      <c r="D221" s="11"/>
      <c r="E221" s="654">
        <f>SUM(E190:E220)</f>
        <v>-13707.02</v>
      </c>
      <c r="F221" s="654">
        <f>SUM(F191:F201,F204,F207,F210:F214,F219)</f>
        <v>8187.02</v>
      </c>
      <c r="G221" s="182"/>
      <c r="H221" s="179"/>
      <c r="I221" s="57"/>
      <c r="J221" s="67"/>
    </row>
    <row r="222" spans="1:12" ht="13.5" customHeight="1" thickBot="1" x14ac:dyDescent="0.25">
      <c r="A222" s="2" t="s">
        <v>2</v>
      </c>
      <c r="B222" s="3"/>
      <c r="C222" s="3" t="s">
        <v>525</v>
      </c>
      <c r="D222" s="3"/>
      <c r="E222" s="3"/>
      <c r="F222" s="3"/>
      <c r="G222" s="5" t="s">
        <v>7</v>
      </c>
    </row>
    <row r="223" spans="1:12" ht="13.5" customHeight="1" x14ac:dyDescent="0.2">
      <c r="A223" s="8">
        <v>43952</v>
      </c>
      <c r="B223" s="70"/>
      <c r="C223" s="10" t="s">
        <v>537</v>
      </c>
      <c r="D223" s="125"/>
      <c r="E223" s="67"/>
      <c r="F223" s="67"/>
      <c r="G223" s="205">
        <v>2204.7999999999984</v>
      </c>
      <c r="H223" s="18"/>
    </row>
    <row r="224" spans="1:12" customFormat="1" ht="13.5" customHeight="1" x14ac:dyDescent="0.2">
      <c r="A224" s="180">
        <v>43955</v>
      </c>
      <c r="B224" s="221"/>
      <c r="C224" s="36" t="s">
        <v>4219</v>
      </c>
      <c r="D224" s="11"/>
      <c r="E224" s="30"/>
      <c r="F224" s="183">
        <v>1740</v>
      </c>
      <c r="G224" s="203">
        <v>3944.7999999999984</v>
      </c>
    </row>
    <row r="225" spans="1:10" customFormat="1" ht="13.5" customHeight="1" x14ac:dyDescent="0.2">
      <c r="A225" s="180"/>
      <c r="B225" s="46"/>
      <c r="C225" s="34" t="s">
        <v>3929</v>
      </c>
      <c r="D225" s="11"/>
      <c r="E225" s="181">
        <v>600</v>
      </c>
      <c r="F225" s="12"/>
      <c r="G225" s="203">
        <v>3344.7999999999984</v>
      </c>
    </row>
    <row r="226" spans="1:10" customFormat="1" ht="13.5" customHeight="1" x14ac:dyDescent="0.2">
      <c r="A226" s="180"/>
      <c r="B226" s="46"/>
      <c r="C226" s="34" t="s">
        <v>3930</v>
      </c>
      <c r="D226" s="11"/>
      <c r="E226" s="181">
        <v>600</v>
      </c>
      <c r="F226" s="12"/>
      <c r="G226" s="203">
        <v>2744.7999999999984</v>
      </c>
    </row>
    <row r="227" spans="1:10" ht="13.5" customHeight="1" x14ac:dyDescent="0.2">
      <c r="A227" s="171">
        <v>43959</v>
      </c>
      <c r="B227" s="46"/>
      <c r="C227" s="36" t="s">
        <v>815</v>
      </c>
      <c r="D227" s="11"/>
      <c r="E227" s="181">
        <v>930.05</v>
      </c>
      <c r="F227" s="69"/>
      <c r="G227" s="203">
        <v>1814.7499999999984</v>
      </c>
    </row>
    <row r="228" spans="1:10" ht="13.5" customHeight="1" x14ac:dyDescent="0.2">
      <c r="A228" s="171">
        <v>43969</v>
      </c>
      <c r="B228" s="46"/>
      <c r="C228" s="63" t="s">
        <v>4251</v>
      </c>
      <c r="D228" s="229"/>
      <c r="E228" s="69"/>
      <c r="F228" s="183">
        <v>675</v>
      </c>
      <c r="G228" s="205">
        <v>2489.7499999999982</v>
      </c>
      <c r="I228" s="30">
        <f>SUM(G3,G65,G158,G189)</f>
        <v>43753.41</v>
      </c>
      <c r="J228" s="33" t="s">
        <v>1798</v>
      </c>
    </row>
    <row r="229" spans="1:10" ht="13.5" customHeight="1" thickBot="1" x14ac:dyDescent="0.25">
      <c r="A229" s="79"/>
      <c r="B229" s="79"/>
      <c r="C229" s="78"/>
      <c r="D229" s="78"/>
      <c r="E229" s="13"/>
      <c r="F229" s="13"/>
      <c r="G229" s="182"/>
    </row>
    <row r="230" spans="1:10" ht="13.5" customHeight="1" thickBot="1" x14ac:dyDescent="0.25">
      <c r="A230" s="561" t="s">
        <v>2</v>
      </c>
      <c r="B230" s="562"/>
      <c r="C230" s="562" t="s">
        <v>534</v>
      </c>
      <c r="D230" s="563" t="s">
        <v>4</v>
      </c>
      <c r="E230" s="562" t="s">
        <v>5</v>
      </c>
      <c r="F230" s="562" t="s">
        <v>6</v>
      </c>
      <c r="G230" s="564" t="s">
        <v>7</v>
      </c>
      <c r="I230" s="30">
        <f>G62</f>
        <v>2026.9999999999991</v>
      </c>
      <c r="J230" s="33" t="s">
        <v>1799</v>
      </c>
    </row>
    <row r="231" spans="1:10" ht="13.5" customHeight="1" x14ac:dyDescent="0.2">
      <c r="A231" s="568">
        <v>43928</v>
      </c>
      <c r="B231" s="569"/>
      <c r="C231" s="570" t="s">
        <v>8</v>
      </c>
      <c r="D231" s="571"/>
      <c r="E231" s="572"/>
      <c r="F231" s="573"/>
      <c r="G231" s="574">
        <v>41200</v>
      </c>
    </row>
    <row r="232" spans="1:10" ht="13.5" customHeight="1" thickBot="1" x14ac:dyDescent="0.25">
      <c r="A232" s="70"/>
      <c r="B232" s="70"/>
      <c r="C232" s="63"/>
      <c r="D232" s="50"/>
      <c r="E232" s="13"/>
      <c r="F232" s="13"/>
      <c r="G232" s="182"/>
      <c r="I232" s="30">
        <f>SUM(G92,G186,G219)</f>
        <v>40384.97</v>
      </c>
      <c r="J232" s="33" t="s">
        <v>1797</v>
      </c>
    </row>
    <row r="233" spans="1:10" ht="13.5" customHeight="1" thickBot="1" x14ac:dyDescent="0.25">
      <c r="A233" s="213"/>
      <c r="B233" s="214"/>
      <c r="C233" s="215" t="s">
        <v>539</v>
      </c>
      <c r="D233" s="216"/>
      <c r="E233" s="187"/>
      <c r="F233" s="187"/>
      <c r="G233" s="217" t="s">
        <v>7</v>
      </c>
    </row>
    <row r="234" spans="1:10" ht="13.5" customHeight="1" x14ac:dyDescent="0.2">
      <c r="A234" s="74" t="s">
        <v>540</v>
      </c>
      <c r="B234" s="74"/>
      <c r="C234" s="218" t="s">
        <v>541</v>
      </c>
      <c r="D234" s="219"/>
      <c r="E234" s="220"/>
      <c r="F234" s="220"/>
      <c r="G234" s="75">
        <v>0</v>
      </c>
      <c r="I234" s="30">
        <f>SUM(F221,E221,F187,E187,F94,E94,F63,E63,)</f>
        <v>-1341.4400000000005</v>
      </c>
      <c r="J234" s="33" t="s">
        <v>3517</v>
      </c>
    </row>
    <row r="235" spans="1:10" ht="13.5" customHeight="1" x14ac:dyDescent="0.2">
      <c r="A235" s="221" t="s">
        <v>540</v>
      </c>
      <c r="B235" s="70"/>
      <c r="C235" s="63" t="s">
        <v>542</v>
      </c>
      <c r="D235" s="50"/>
      <c r="E235" s="13"/>
      <c r="F235" s="13"/>
      <c r="G235" s="75">
        <v>0</v>
      </c>
    </row>
    <row r="236" spans="1:10" ht="13.5" customHeight="1" x14ac:dyDescent="0.2">
      <c r="A236" s="70"/>
      <c r="B236" s="70"/>
      <c r="C236" s="222" t="s">
        <v>543</v>
      </c>
      <c r="D236" s="50"/>
      <c r="E236" s="13"/>
      <c r="F236" s="13"/>
      <c r="G236" s="14">
        <v>0</v>
      </c>
    </row>
    <row r="237" spans="1:10" ht="13.5" customHeight="1" x14ac:dyDescent="0.2">
      <c r="A237" s="70"/>
      <c r="B237" s="70"/>
      <c r="C237" s="63"/>
      <c r="D237" s="50"/>
      <c r="E237" s="13"/>
      <c r="F237" s="13"/>
      <c r="G237" s="14"/>
    </row>
    <row r="238" spans="1:10" ht="13.5" customHeight="1" x14ac:dyDescent="0.2">
      <c r="A238" s="70"/>
      <c r="B238" s="70"/>
      <c r="C238" s="222" t="s">
        <v>544</v>
      </c>
      <c r="D238" s="50"/>
      <c r="E238" s="13"/>
      <c r="F238" s="13"/>
      <c r="G238" s="14">
        <v>0</v>
      </c>
      <c r="I238" s="30">
        <f>SUM(I228+I234-I230-I232)</f>
        <v>0</v>
      </c>
    </row>
    <row r="239" spans="1:10" ht="13.5" customHeight="1" x14ac:dyDescent="0.2">
      <c r="A239" s="70"/>
      <c r="B239" s="70"/>
      <c r="C239" s="63"/>
      <c r="D239" s="50"/>
      <c r="E239" s="13"/>
      <c r="F239" s="13"/>
      <c r="G239" s="75"/>
    </row>
    <row r="240" spans="1:10" ht="13.5" customHeight="1" x14ac:dyDescent="0.2">
      <c r="A240" s="76"/>
      <c r="B240" s="76"/>
      <c r="C240" s="222" t="s">
        <v>545</v>
      </c>
      <c r="D240" s="78"/>
      <c r="E240" s="78"/>
      <c r="F240" s="78"/>
      <c r="G240" s="14">
        <v>0</v>
      </c>
    </row>
    <row r="241" spans="1:7" ht="13.5" customHeight="1" x14ac:dyDescent="0.2">
      <c r="A241" s="76"/>
      <c r="B241" s="76"/>
      <c r="C241" s="78"/>
      <c r="D241" s="78"/>
      <c r="E241" s="78"/>
      <c r="F241" s="78"/>
      <c r="G241" s="75"/>
    </row>
    <row r="242" spans="1:7" ht="13.5" customHeight="1" x14ac:dyDescent="0.2">
      <c r="A242" s="70"/>
      <c r="B242" s="70"/>
      <c r="C242" s="63"/>
      <c r="D242" s="50"/>
      <c r="E242" s="13"/>
      <c r="F242" s="13"/>
      <c r="G242" s="75"/>
    </row>
    <row r="243" spans="1:7" ht="13.5" customHeight="1" x14ac:dyDescent="0.2">
      <c r="A243" s="70"/>
      <c r="B243" s="70"/>
      <c r="C243" s="63"/>
      <c r="D243" s="50"/>
      <c r="E243" s="13"/>
      <c r="F243" s="13"/>
      <c r="G243" s="182"/>
    </row>
    <row r="244" spans="1:7" ht="13.5" customHeight="1" x14ac:dyDescent="0.2">
      <c r="A244" s="70"/>
      <c r="B244" s="70"/>
      <c r="C244" s="63"/>
      <c r="D244" s="50"/>
      <c r="E244" s="13"/>
      <c r="F244" s="13"/>
      <c r="G244" s="182"/>
    </row>
    <row r="245" spans="1:7" ht="13.5" customHeight="1" x14ac:dyDescent="0.2">
      <c r="A245" s="70"/>
      <c r="B245" s="70"/>
      <c r="C245" s="63"/>
      <c r="D245" s="50"/>
      <c r="E245" s="13"/>
      <c r="F245" s="13"/>
      <c r="G245" s="182"/>
    </row>
    <row r="246" spans="1:7" ht="13.5" customHeight="1" x14ac:dyDescent="0.2">
      <c r="A246" s="70"/>
      <c r="B246" s="70"/>
      <c r="C246" s="63"/>
      <c r="D246" s="50"/>
      <c r="E246" s="13"/>
      <c r="F246" s="13"/>
      <c r="G246" s="182"/>
    </row>
    <row r="247" spans="1:7" ht="13.5" customHeight="1" x14ac:dyDescent="0.2">
      <c r="A247" s="70"/>
      <c r="B247" s="70"/>
      <c r="C247" s="63"/>
      <c r="D247" s="50"/>
      <c r="E247" s="13"/>
      <c r="F247" s="13"/>
      <c r="G247" s="182"/>
    </row>
    <row r="248" spans="1:7" ht="13.5" customHeight="1" x14ac:dyDescent="0.2">
      <c r="A248" s="70"/>
      <c r="B248" s="70"/>
      <c r="C248" s="63"/>
      <c r="D248" s="50"/>
      <c r="E248" s="13"/>
      <c r="F248" s="13"/>
      <c r="G248" s="182"/>
    </row>
    <row r="249" spans="1:7" ht="13.5" customHeight="1" x14ac:dyDescent="0.2">
      <c r="A249" s="70"/>
      <c r="B249" s="70"/>
      <c r="C249" s="63"/>
      <c r="D249" s="50"/>
      <c r="E249" s="13"/>
      <c r="F249" s="13"/>
      <c r="G249" s="182"/>
    </row>
    <row r="250" spans="1:7" ht="13.5" customHeight="1" x14ac:dyDescent="0.2">
      <c r="A250" s="70"/>
      <c r="B250" s="70"/>
      <c r="C250" s="63"/>
      <c r="D250" s="50"/>
      <c r="E250" s="13"/>
      <c r="F250" s="13"/>
      <c r="G250" s="182"/>
    </row>
    <row r="251" spans="1:7" ht="13.5" customHeight="1" x14ac:dyDescent="0.2">
      <c r="A251" s="70"/>
      <c r="B251" s="70"/>
      <c r="C251" s="63"/>
      <c r="D251" s="50"/>
      <c r="E251" s="13"/>
      <c r="F251" s="13"/>
      <c r="G251" s="182"/>
    </row>
    <row r="252" spans="1:7" ht="13.5" customHeight="1" x14ac:dyDescent="0.2">
      <c r="A252" s="70"/>
      <c r="B252" s="70"/>
      <c r="C252" s="63"/>
      <c r="D252" s="50"/>
      <c r="E252" s="13"/>
      <c r="F252" s="13"/>
      <c r="G252" s="182"/>
    </row>
    <row r="253" spans="1:7" ht="13.5" customHeight="1" x14ac:dyDescent="0.2">
      <c r="A253" s="70"/>
      <c r="B253" s="70"/>
      <c r="C253" s="63"/>
      <c r="D253" s="50"/>
      <c r="E253" s="13"/>
      <c r="F253" s="13"/>
      <c r="G253" s="182"/>
    </row>
    <row r="254" spans="1:7" ht="13.5" customHeight="1" x14ac:dyDescent="0.2">
      <c r="A254" s="70"/>
      <c r="B254" s="70"/>
      <c r="C254" s="63"/>
      <c r="D254" s="50"/>
      <c r="E254" s="13"/>
      <c r="F254" s="13"/>
      <c r="G254" s="182"/>
    </row>
    <row r="255" spans="1:7" ht="13.5" customHeight="1" x14ac:dyDescent="0.2">
      <c r="A255" s="70"/>
      <c r="B255" s="70"/>
      <c r="C255" s="63"/>
      <c r="D255" s="50"/>
      <c r="E255" s="13"/>
      <c r="F255" s="13"/>
      <c r="G255" s="182"/>
    </row>
    <row r="256" spans="1:7" ht="13.5" customHeight="1" x14ac:dyDescent="0.2">
      <c r="A256" s="70"/>
      <c r="B256" s="70"/>
      <c r="C256" s="63"/>
      <c r="D256" s="50"/>
      <c r="E256" s="13"/>
      <c r="F256" s="13"/>
      <c r="G256" s="182"/>
    </row>
    <row r="257" spans="1:7" ht="13.5" customHeight="1" x14ac:dyDescent="0.2">
      <c r="A257" s="70"/>
      <c r="B257" s="70"/>
      <c r="C257" s="63"/>
      <c r="D257" s="50"/>
      <c r="E257" s="13"/>
      <c r="F257" s="13"/>
      <c r="G257" s="182"/>
    </row>
    <row r="258" spans="1:7" ht="13.5" customHeight="1" x14ac:dyDescent="0.2">
      <c r="A258" s="70"/>
      <c r="B258" s="70"/>
      <c r="C258" s="63"/>
      <c r="D258" s="50"/>
      <c r="E258" s="13"/>
      <c r="F258" s="13"/>
      <c r="G258" s="182"/>
    </row>
    <row r="259" spans="1:7" ht="13.5" customHeight="1" x14ac:dyDescent="0.2">
      <c r="A259" s="70"/>
      <c r="B259" s="70"/>
      <c r="C259" s="63"/>
      <c r="D259" s="50"/>
      <c r="E259" s="13"/>
      <c r="F259" s="13"/>
      <c r="G259" s="182"/>
    </row>
    <row r="260" spans="1:7" ht="13.5" customHeight="1" x14ac:dyDescent="0.2">
      <c r="A260" s="70"/>
      <c r="B260" s="70"/>
      <c r="C260" s="63"/>
      <c r="D260" s="50"/>
      <c r="E260" s="13"/>
      <c r="F260" s="13"/>
      <c r="G260" s="182"/>
    </row>
    <row r="261" spans="1:7" ht="13.5" customHeight="1" x14ac:dyDescent="0.2">
      <c r="A261" s="70"/>
      <c r="B261" s="70"/>
      <c r="C261" s="63"/>
      <c r="D261" s="50"/>
      <c r="E261" s="13"/>
      <c r="F261" s="13"/>
      <c r="G261" s="182"/>
    </row>
    <row r="262" spans="1:7" ht="13.5" customHeight="1" x14ac:dyDescent="0.2">
      <c r="A262" s="70"/>
      <c r="B262" s="70"/>
      <c r="C262" s="63"/>
      <c r="D262" s="50"/>
      <c r="E262" s="13"/>
      <c r="F262" s="13"/>
      <c r="G262" s="182"/>
    </row>
    <row r="263" spans="1:7" ht="13.5" customHeight="1" x14ac:dyDescent="0.2">
      <c r="A263" s="70"/>
      <c r="B263" s="70"/>
      <c r="C263" s="63"/>
      <c r="D263" s="50"/>
      <c r="E263" s="13"/>
      <c r="F263" s="13"/>
      <c r="G263" s="182"/>
    </row>
    <row r="264" spans="1:7" ht="13.5" customHeight="1" x14ac:dyDescent="0.2">
      <c r="A264" s="70"/>
      <c r="B264" s="70"/>
      <c r="C264" s="63"/>
      <c r="D264" s="50"/>
      <c r="E264" s="13"/>
      <c r="F264" s="13"/>
      <c r="G264" s="182"/>
    </row>
    <row r="265" spans="1:7" ht="13.5" customHeight="1" x14ac:dyDescent="0.2">
      <c r="A265" s="70"/>
      <c r="B265" s="70"/>
      <c r="C265" s="63"/>
      <c r="D265" s="50"/>
      <c r="E265" s="13"/>
      <c r="F265" s="13"/>
      <c r="G265" s="182"/>
    </row>
    <row r="266" spans="1:7" ht="13.5" customHeight="1" x14ac:dyDescent="0.2">
      <c r="A266" s="70"/>
      <c r="B266" s="70"/>
      <c r="C266" s="63"/>
      <c r="D266" s="50"/>
      <c r="E266" s="13"/>
      <c r="F266" s="13"/>
      <c r="G266" s="182"/>
    </row>
    <row r="267" spans="1:7" ht="13.5" customHeight="1" x14ac:dyDescent="0.2">
      <c r="A267" s="70"/>
      <c r="B267" s="70"/>
      <c r="C267" s="63"/>
      <c r="D267" s="50"/>
      <c r="E267" s="13"/>
      <c r="F267" s="13"/>
      <c r="G267" s="182"/>
    </row>
    <row r="268" spans="1:7" ht="13.5" customHeight="1" x14ac:dyDescent="0.2">
      <c r="A268" s="70"/>
      <c r="B268" s="70"/>
      <c r="C268" s="63"/>
      <c r="D268" s="50"/>
      <c r="E268" s="13"/>
      <c r="F268" s="13"/>
      <c r="G268" s="182"/>
    </row>
    <row r="269" spans="1:7" ht="13.5" customHeight="1" x14ac:dyDescent="0.2">
      <c r="A269" s="70"/>
      <c r="B269" s="70"/>
      <c r="C269" s="63"/>
      <c r="D269" s="50"/>
      <c r="E269" s="13"/>
      <c r="F269" s="13"/>
      <c r="G269" s="182"/>
    </row>
    <row r="270" spans="1:7" ht="13.5" customHeight="1" x14ac:dyDescent="0.2">
      <c r="A270" s="131"/>
      <c r="B270" s="70"/>
      <c r="C270" s="64"/>
      <c r="D270" s="50"/>
      <c r="E270" s="13"/>
      <c r="F270" s="13"/>
      <c r="G270" s="182"/>
    </row>
    <row r="271" spans="1:7" ht="13.5" customHeight="1" x14ac:dyDescent="0.2">
      <c r="A271" s="70"/>
      <c r="B271" s="70"/>
      <c r="C271" s="63"/>
      <c r="D271" s="50"/>
      <c r="E271" s="13"/>
      <c r="F271" s="13"/>
      <c r="G271" s="182"/>
    </row>
    <row r="272" spans="1:7" ht="13.5" customHeight="1" x14ac:dyDescent="0.2">
      <c r="A272" s="70"/>
      <c r="B272" s="70"/>
      <c r="C272" s="63"/>
      <c r="D272" s="50"/>
      <c r="E272" s="13"/>
      <c r="F272" s="13"/>
      <c r="G272" s="182"/>
    </row>
    <row r="273" spans="1:7" ht="13.5" customHeight="1" x14ac:dyDescent="0.2">
      <c r="A273" s="131"/>
      <c r="B273" s="70"/>
      <c r="C273" s="85"/>
      <c r="D273" s="50"/>
      <c r="E273" s="13"/>
      <c r="F273" s="13"/>
      <c r="G273" s="182"/>
    </row>
    <row r="274" spans="1:7" ht="13.5" customHeight="1" x14ac:dyDescent="0.2">
      <c r="A274" s="131"/>
      <c r="B274" s="70"/>
      <c r="C274" s="63"/>
      <c r="D274" s="50"/>
      <c r="E274" s="13"/>
      <c r="F274" s="13"/>
      <c r="G274" s="182"/>
    </row>
    <row r="275" spans="1:7" ht="13.5" customHeight="1" x14ac:dyDescent="0.2">
      <c r="A275" s="131"/>
      <c r="B275" s="70"/>
      <c r="C275" s="63"/>
      <c r="D275" s="50"/>
      <c r="E275" s="13"/>
      <c r="F275" s="13"/>
      <c r="G275" s="182"/>
    </row>
    <row r="276" spans="1:7" ht="13.5" customHeight="1" x14ac:dyDescent="0.2">
      <c r="A276" s="131"/>
      <c r="B276" s="70"/>
      <c r="C276" s="64"/>
      <c r="D276" s="50"/>
      <c r="E276" s="13"/>
      <c r="F276" s="13"/>
      <c r="G276" s="182"/>
    </row>
    <row r="277" spans="1:7" ht="13.5" customHeight="1" x14ac:dyDescent="0.2">
      <c r="A277" s="70"/>
      <c r="B277" s="70"/>
      <c r="C277" s="63"/>
      <c r="D277" s="50"/>
      <c r="E277" s="13"/>
      <c r="F277" s="13"/>
      <c r="G277" s="182"/>
    </row>
    <row r="278" spans="1:7" ht="13.5" customHeight="1" x14ac:dyDescent="0.2">
      <c r="A278" s="131"/>
      <c r="B278" s="70"/>
      <c r="C278" s="63"/>
      <c r="D278" s="50"/>
      <c r="E278" s="13"/>
      <c r="F278" s="13"/>
      <c r="G278" s="182"/>
    </row>
    <row r="279" spans="1:7" ht="13.5" customHeight="1" x14ac:dyDescent="0.2">
      <c r="A279" s="131"/>
      <c r="B279" s="70"/>
      <c r="C279" s="64"/>
      <c r="D279" s="50"/>
      <c r="E279" s="13"/>
      <c r="F279" s="13"/>
      <c r="G279" s="182"/>
    </row>
    <row r="280" spans="1:7" ht="13.5" customHeight="1" x14ac:dyDescent="0.2">
      <c r="A280" s="70"/>
      <c r="B280" s="70"/>
      <c r="C280" s="63"/>
      <c r="D280" s="50"/>
      <c r="E280" s="13"/>
      <c r="F280" s="13"/>
      <c r="G280" s="182"/>
    </row>
    <row r="281" spans="1:7" ht="13.5" customHeight="1" x14ac:dyDescent="0.2">
      <c r="A281" s="131"/>
      <c r="B281" s="70"/>
      <c r="C281" s="63"/>
      <c r="D281" s="50"/>
      <c r="E281" s="13"/>
      <c r="F281" s="13"/>
      <c r="G281" s="182"/>
    </row>
    <row r="282" spans="1:7" ht="13.5" customHeight="1" x14ac:dyDescent="0.2">
      <c r="A282" s="131"/>
      <c r="B282" s="70"/>
      <c r="C282" s="64"/>
      <c r="D282" s="50"/>
      <c r="E282" s="13"/>
      <c r="F282" s="13"/>
      <c r="G282" s="182"/>
    </row>
    <row r="283" spans="1:7" ht="13.5" customHeight="1" x14ac:dyDescent="0.2">
      <c r="A283" s="70"/>
      <c r="B283" s="70"/>
      <c r="C283" s="63"/>
      <c r="D283" s="50"/>
      <c r="E283" s="13"/>
      <c r="F283" s="13"/>
      <c r="G283" s="182"/>
    </row>
    <row r="284" spans="1:7" ht="13.5" customHeight="1" x14ac:dyDescent="0.2">
      <c r="A284" s="70"/>
      <c r="B284" s="70"/>
      <c r="C284" s="63"/>
      <c r="D284" s="50"/>
      <c r="E284" s="13"/>
      <c r="F284" s="13"/>
      <c r="G284" s="182"/>
    </row>
    <row r="285" spans="1:7" ht="13.5" customHeight="1" x14ac:dyDescent="0.2">
      <c r="A285" s="70"/>
      <c r="B285" s="70"/>
      <c r="C285" s="63"/>
      <c r="D285" s="50"/>
      <c r="E285" s="13"/>
      <c r="F285" s="13"/>
      <c r="G285" s="182"/>
    </row>
    <row r="286" spans="1:7" ht="13.5" customHeight="1" x14ac:dyDescent="0.2">
      <c r="A286" s="131"/>
      <c r="B286" s="70"/>
      <c r="C286" s="86"/>
      <c r="D286" s="50"/>
      <c r="E286" s="13"/>
      <c r="F286" s="13"/>
      <c r="G286" s="182"/>
    </row>
    <row r="287" spans="1:7" ht="13.5" customHeight="1" x14ac:dyDescent="0.2">
      <c r="A287" s="131"/>
      <c r="B287" s="70"/>
      <c r="C287" s="85"/>
      <c r="D287" s="50"/>
      <c r="E287" s="13"/>
      <c r="F287" s="13"/>
      <c r="G287" s="182"/>
    </row>
    <row r="288" spans="1:7" ht="13.5" customHeight="1" x14ac:dyDescent="0.2">
      <c r="A288" s="131"/>
      <c r="B288" s="70"/>
      <c r="C288" s="87"/>
      <c r="D288" s="50"/>
      <c r="E288" s="13"/>
      <c r="F288" s="13"/>
      <c r="G288" s="182"/>
    </row>
    <row r="289" spans="1:7" ht="13.5" customHeight="1" x14ac:dyDescent="0.2">
      <c r="A289" s="131"/>
      <c r="B289" s="70"/>
      <c r="C289" s="88"/>
      <c r="D289" s="50"/>
      <c r="E289" s="13"/>
      <c r="F289" s="13"/>
      <c r="G289" s="182"/>
    </row>
    <row r="290" spans="1:7" ht="13.5" customHeight="1" x14ac:dyDescent="0.2">
      <c r="A290" s="91"/>
      <c r="B290" s="9"/>
      <c r="C290" s="56"/>
      <c r="D290" s="11"/>
      <c r="E290" s="12"/>
      <c r="F290" s="12"/>
      <c r="G290" s="182"/>
    </row>
    <row r="291" spans="1:7" ht="13.5" customHeight="1" x14ac:dyDescent="0.2">
      <c r="A291" s="9"/>
      <c r="B291" s="9"/>
      <c r="C291" s="56"/>
      <c r="D291" s="11"/>
      <c r="E291" s="12"/>
      <c r="F291" s="12"/>
      <c r="G291" s="182"/>
    </row>
    <row r="292" spans="1:7" ht="13.5" customHeight="1" x14ac:dyDescent="0.2">
      <c r="A292" s="9"/>
      <c r="B292" s="9"/>
      <c r="C292" s="56"/>
      <c r="D292" s="11"/>
      <c r="E292" s="12"/>
      <c r="F292" s="12"/>
      <c r="G292" s="182"/>
    </row>
    <row r="293" spans="1:7" ht="13.5" customHeight="1" x14ac:dyDescent="0.2">
      <c r="A293" s="91"/>
      <c r="B293" s="9"/>
      <c r="D293" s="11"/>
      <c r="E293" s="12"/>
      <c r="F293" s="12"/>
      <c r="G293" s="182"/>
    </row>
    <row r="294" spans="1:7" ht="13.5" customHeight="1" x14ac:dyDescent="0.2">
      <c r="A294" s="9"/>
      <c r="B294" s="9"/>
      <c r="C294" s="56"/>
      <c r="D294" s="11"/>
      <c r="E294" s="12"/>
      <c r="F294" s="12"/>
      <c r="G294" s="182"/>
    </row>
    <row r="295" spans="1:7" ht="13.5" customHeight="1" x14ac:dyDescent="0.2">
      <c r="A295" s="9"/>
      <c r="B295" s="9"/>
      <c r="C295" s="56"/>
      <c r="D295" s="11"/>
      <c r="E295" s="12"/>
      <c r="F295" s="12"/>
      <c r="G295" s="182"/>
    </row>
    <row r="296" spans="1:7" ht="13.5" customHeight="1" x14ac:dyDescent="0.2">
      <c r="A296" s="9"/>
      <c r="B296" s="9"/>
      <c r="C296" s="56"/>
      <c r="D296" s="11"/>
      <c r="E296" s="12"/>
      <c r="F296" s="12"/>
      <c r="G296" s="182"/>
    </row>
    <row r="297" spans="1:7" ht="13.5" customHeight="1" x14ac:dyDescent="0.2">
      <c r="A297" s="91"/>
      <c r="B297" s="9"/>
      <c r="C297" s="27"/>
      <c r="D297" s="11"/>
      <c r="E297" s="12"/>
      <c r="F297" s="12"/>
      <c r="G297" s="182"/>
    </row>
    <row r="298" spans="1:7" ht="13.5" customHeight="1" x14ac:dyDescent="0.2">
      <c r="A298" s="91"/>
      <c r="B298" s="9"/>
      <c r="C298" s="27"/>
      <c r="D298" s="11"/>
      <c r="E298" s="12"/>
      <c r="F298" s="12"/>
      <c r="G298" s="182"/>
    </row>
    <row r="299" spans="1:7" ht="13.5" customHeight="1" x14ac:dyDescent="0.2">
      <c r="A299" s="91"/>
      <c r="B299" s="9"/>
      <c r="D299" s="11"/>
      <c r="E299" s="12"/>
      <c r="F299" s="12"/>
      <c r="G299" s="182"/>
    </row>
    <row r="300" spans="1:7" ht="13.5" customHeight="1" x14ac:dyDescent="0.2">
      <c r="A300" s="9"/>
      <c r="B300" s="9"/>
      <c r="C300" s="56"/>
      <c r="D300" s="11"/>
      <c r="E300" s="12"/>
      <c r="F300" s="12"/>
      <c r="G300" s="182"/>
    </row>
    <row r="301" spans="1:7" ht="13.5" customHeight="1" x14ac:dyDescent="0.2">
      <c r="A301" s="9"/>
      <c r="B301" s="9"/>
      <c r="C301" s="56"/>
      <c r="D301" s="11"/>
      <c r="E301" s="12"/>
      <c r="F301" s="12"/>
      <c r="G301" s="182"/>
    </row>
    <row r="302" spans="1:7" ht="13.5" customHeight="1" x14ac:dyDescent="0.2">
      <c r="A302" s="9"/>
      <c r="B302" s="9"/>
      <c r="C302" s="56"/>
      <c r="D302" s="11"/>
      <c r="E302" s="12"/>
      <c r="F302" s="12"/>
      <c r="G302" s="182"/>
    </row>
    <row r="303" spans="1:7" ht="13.5" customHeight="1" x14ac:dyDescent="0.2">
      <c r="A303" s="9"/>
      <c r="B303" s="9"/>
      <c r="C303" s="56"/>
      <c r="D303" s="11"/>
      <c r="E303" s="12"/>
      <c r="F303" s="12"/>
      <c r="G303" s="182"/>
    </row>
    <row r="304" spans="1:7" x14ac:dyDescent="0.2">
      <c r="A304" s="132"/>
      <c r="B304" s="93"/>
      <c r="C304" s="94"/>
      <c r="D304" s="27"/>
      <c r="E304" s="27"/>
      <c r="F304" s="27"/>
      <c r="G304" s="182"/>
    </row>
  </sheetData>
  <mergeCells count="3">
    <mergeCell ref="A1:C1"/>
    <mergeCell ref="D1:G1"/>
    <mergeCell ref="H188:J188"/>
  </mergeCells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W190"/>
  <sheetViews>
    <sheetView topLeftCell="B20" zoomScale="80" zoomScaleNormal="80" workbookViewId="0">
      <selection activeCell="C36" sqref="C36"/>
    </sheetView>
  </sheetViews>
  <sheetFormatPr defaultColWidth="9" defaultRowHeight="12.75" x14ac:dyDescent="0.2"/>
  <cols>
    <col min="1" max="1" width="14" style="1" customWidth="1"/>
    <col min="2" max="2" width="1.875" style="1" customWidth="1"/>
    <col min="3" max="3" width="99.25" style="1" customWidth="1"/>
    <col min="4" max="4" width="12" style="1" customWidth="1"/>
    <col min="5" max="5" width="12.375" style="1" customWidth="1"/>
    <col min="6" max="6" width="10.75" style="1" customWidth="1"/>
    <col min="7" max="7" width="11.875" style="1" customWidth="1"/>
    <col min="8" max="8" width="10.875" style="1" customWidth="1"/>
    <col min="9" max="16384" width="9" style="1"/>
  </cols>
  <sheetData>
    <row r="1" spans="1:7" ht="13.5" customHeight="1" thickBot="1" x14ac:dyDescent="0.25">
      <c r="A1" s="1407" t="s">
        <v>4356</v>
      </c>
      <c r="B1" s="1407"/>
      <c r="C1" s="1408"/>
      <c r="D1" s="1409" t="s">
        <v>0</v>
      </c>
      <c r="E1" s="1410"/>
      <c r="F1" s="1410"/>
      <c r="G1" s="1411"/>
    </row>
    <row r="2" spans="1:7" ht="13.5" customHeight="1" thickBot="1" x14ac:dyDescent="0.25">
      <c r="A2" s="2" t="s">
        <v>2</v>
      </c>
      <c r="B2" s="3"/>
      <c r="C2" s="3" t="s">
        <v>2335</v>
      </c>
      <c r="D2" s="3" t="s">
        <v>4</v>
      </c>
      <c r="E2" s="3" t="s">
        <v>5</v>
      </c>
      <c r="F2" s="3" t="s">
        <v>6</v>
      </c>
      <c r="G2" s="5" t="s">
        <v>7</v>
      </c>
    </row>
    <row r="3" spans="1:7" ht="13.5" customHeight="1" x14ac:dyDescent="0.2">
      <c r="A3" s="8">
        <v>43983</v>
      </c>
      <c r="B3" s="56"/>
      <c r="C3" s="10" t="s">
        <v>8</v>
      </c>
      <c r="D3" s="11">
        <v>0</v>
      </c>
      <c r="E3" s="51"/>
      <c r="F3" s="12"/>
      <c r="G3" s="178">
        <v>2026.9999999999991</v>
      </c>
    </row>
    <row r="4" spans="1:7" ht="13.5" customHeight="1" x14ac:dyDescent="0.2">
      <c r="A4" s="180">
        <v>43983</v>
      </c>
      <c r="B4" s="56"/>
      <c r="C4" s="36" t="s">
        <v>4357</v>
      </c>
      <c r="D4" s="11"/>
      <c r="E4" s="30"/>
      <c r="F4" s="12">
        <v>250</v>
      </c>
      <c r="G4" s="182"/>
    </row>
    <row r="5" spans="1:7" ht="13.5" customHeight="1" x14ac:dyDescent="0.2">
      <c r="A5" s="180"/>
      <c r="B5" s="56"/>
      <c r="C5" s="36" t="s">
        <v>4358</v>
      </c>
      <c r="D5" s="11"/>
      <c r="E5" s="30"/>
      <c r="F5" s="12">
        <v>200</v>
      </c>
      <c r="G5" s="182">
        <v>2476.9999999999991</v>
      </c>
    </row>
    <row r="6" spans="1:7" ht="13.5" customHeight="1" x14ac:dyDescent="0.2">
      <c r="A6" s="180">
        <v>43984</v>
      </c>
      <c r="B6" s="56"/>
      <c r="C6" s="36" t="s">
        <v>4359</v>
      </c>
      <c r="D6" s="11"/>
      <c r="E6" s="30"/>
      <c r="F6" s="12">
        <v>1510</v>
      </c>
      <c r="G6" s="182"/>
    </row>
    <row r="7" spans="1:7" ht="13.5" customHeight="1" x14ac:dyDescent="0.2">
      <c r="A7" s="180"/>
      <c r="B7" s="56"/>
      <c r="C7" s="36" t="s">
        <v>4360</v>
      </c>
      <c r="D7" s="11"/>
      <c r="E7" s="165">
        <v>1093</v>
      </c>
      <c r="F7" s="12"/>
      <c r="G7" s="182"/>
    </row>
    <row r="8" spans="1:7" ht="13.5" customHeight="1" x14ac:dyDescent="0.2">
      <c r="A8" s="180"/>
      <c r="B8" s="56"/>
      <c r="C8" s="36" t="s">
        <v>4361</v>
      </c>
      <c r="D8" s="11"/>
      <c r="E8" s="30">
        <v>35.4</v>
      </c>
      <c r="F8" s="12"/>
      <c r="G8" s="182">
        <v>2858.599999999999</v>
      </c>
    </row>
    <row r="9" spans="1:7" ht="13.5" customHeight="1" x14ac:dyDescent="0.2">
      <c r="A9" s="180">
        <v>43985</v>
      </c>
      <c r="B9" s="56"/>
      <c r="C9" s="34" t="s">
        <v>4362</v>
      </c>
      <c r="D9" s="11"/>
      <c r="E9" s="30"/>
      <c r="F9" s="12">
        <v>1340</v>
      </c>
      <c r="G9" s="182"/>
    </row>
    <row r="10" spans="1:7" ht="13.5" customHeight="1" x14ac:dyDescent="0.2">
      <c r="A10" s="180"/>
      <c r="B10" s="56"/>
      <c r="C10" s="36" t="s">
        <v>4363</v>
      </c>
      <c r="D10" s="11"/>
      <c r="E10" s="30"/>
      <c r="F10" s="12">
        <v>220</v>
      </c>
      <c r="G10" s="182"/>
    </row>
    <row r="11" spans="1:7" ht="13.5" customHeight="1" x14ac:dyDescent="0.2">
      <c r="A11" s="180"/>
      <c r="B11" s="56"/>
      <c r="C11" s="36" t="s">
        <v>4364</v>
      </c>
      <c r="D11" s="11"/>
      <c r="E11" s="30"/>
      <c r="F11" s="30">
        <v>3068</v>
      </c>
      <c r="G11" s="182"/>
    </row>
    <row r="12" spans="1:7" ht="13.5" customHeight="1" x14ac:dyDescent="0.2">
      <c r="A12" s="180"/>
      <c r="B12" s="56"/>
      <c r="C12" s="36" t="s">
        <v>4365</v>
      </c>
      <c r="D12" s="11"/>
      <c r="E12" s="30">
        <v>315</v>
      </c>
      <c r="F12" s="30"/>
      <c r="G12" s="182"/>
    </row>
    <row r="13" spans="1:7" ht="13.5" customHeight="1" x14ac:dyDescent="0.2">
      <c r="A13" s="180"/>
      <c r="B13" s="56"/>
      <c r="C13" s="41" t="s">
        <v>4366</v>
      </c>
      <c r="D13" s="11"/>
      <c r="E13" s="30"/>
      <c r="F13" s="30">
        <v>100</v>
      </c>
      <c r="G13" s="182"/>
    </row>
    <row r="14" spans="1:7" ht="13.5" customHeight="1" x14ac:dyDescent="0.2">
      <c r="A14" s="180"/>
      <c r="B14" s="56"/>
      <c r="C14" s="36" t="s">
        <v>4367</v>
      </c>
      <c r="D14" s="11"/>
      <c r="E14" s="30">
        <v>7.65</v>
      </c>
      <c r="F14" s="30"/>
      <c r="G14" s="182">
        <v>7263.9499999999989</v>
      </c>
    </row>
    <row r="15" spans="1:7" ht="13.5" customHeight="1" x14ac:dyDescent="0.2">
      <c r="A15" s="180">
        <v>43990</v>
      </c>
      <c r="B15" s="56"/>
      <c r="C15" s="34" t="s">
        <v>4368</v>
      </c>
      <c r="D15" s="11"/>
      <c r="E15" s="30">
        <v>7</v>
      </c>
      <c r="F15" s="30"/>
      <c r="G15" s="182"/>
    </row>
    <row r="16" spans="1:7" ht="13.5" customHeight="1" x14ac:dyDescent="0.2">
      <c r="A16" s="180"/>
      <c r="B16" s="56"/>
      <c r="C16" s="34" t="s">
        <v>4369</v>
      </c>
      <c r="D16" s="11"/>
      <c r="E16" s="165">
        <v>1534</v>
      </c>
      <c r="F16" s="30"/>
      <c r="G16" s="182">
        <v>5722.9499999999989</v>
      </c>
    </row>
    <row r="17" spans="1:7" ht="13.5" customHeight="1" x14ac:dyDescent="0.2">
      <c r="A17" s="180">
        <v>43991</v>
      </c>
      <c r="B17" s="56"/>
      <c r="C17" s="34" t="s">
        <v>4370</v>
      </c>
      <c r="D17" s="11"/>
      <c r="E17" s="30"/>
      <c r="F17" s="30">
        <v>1740</v>
      </c>
      <c r="G17" s="182"/>
    </row>
    <row r="18" spans="1:7" ht="13.5" customHeight="1" x14ac:dyDescent="0.2">
      <c r="A18" s="180"/>
      <c r="B18" s="56"/>
      <c r="C18" s="36" t="s">
        <v>4371</v>
      </c>
      <c r="D18" s="11"/>
      <c r="E18" s="165">
        <v>1740</v>
      </c>
      <c r="F18" s="30"/>
      <c r="G18" s="182"/>
    </row>
    <row r="19" spans="1:7" ht="13.5" customHeight="1" x14ac:dyDescent="0.2">
      <c r="A19" s="180"/>
      <c r="B19" s="56"/>
      <c r="C19" s="36" t="s">
        <v>4372</v>
      </c>
      <c r="D19" s="11"/>
      <c r="E19" s="30"/>
      <c r="F19" s="30">
        <v>550</v>
      </c>
      <c r="G19" s="182"/>
    </row>
    <row r="20" spans="1:7" ht="13.5" customHeight="1" x14ac:dyDescent="0.2">
      <c r="A20" s="180"/>
      <c r="B20" s="56"/>
      <c r="C20" s="36" t="s">
        <v>4373</v>
      </c>
      <c r="D20" s="11"/>
      <c r="E20" s="30">
        <v>2490</v>
      </c>
      <c r="F20" s="30"/>
      <c r="G20" s="182"/>
    </row>
    <row r="21" spans="1:7" ht="13.5" customHeight="1" x14ac:dyDescent="0.2">
      <c r="A21" s="180"/>
      <c r="B21" s="56"/>
      <c r="C21" s="36" t="s">
        <v>4374</v>
      </c>
      <c r="D21" s="11"/>
      <c r="E21" s="30">
        <v>100</v>
      </c>
      <c r="F21" s="30"/>
      <c r="G21" s="182">
        <v>3682.9499999999989</v>
      </c>
    </row>
    <row r="22" spans="1:7" ht="13.5" customHeight="1" x14ac:dyDescent="0.2">
      <c r="A22" s="180">
        <v>43992</v>
      </c>
      <c r="B22" s="56"/>
      <c r="C22" s="36" t="s">
        <v>4375</v>
      </c>
      <c r="D22" s="11"/>
      <c r="E22" s="30"/>
      <c r="F22" s="30">
        <v>250</v>
      </c>
      <c r="G22" s="182"/>
    </row>
    <row r="23" spans="1:7" ht="13.5" customHeight="1" x14ac:dyDescent="0.2">
      <c r="A23" s="180"/>
      <c r="B23" s="56"/>
      <c r="C23" s="36" t="s">
        <v>4376</v>
      </c>
      <c r="D23" s="11"/>
      <c r="E23" s="30"/>
      <c r="F23" s="30">
        <v>60</v>
      </c>
      <c r="G23" s="182"/>
    </row>
    <row r="24" spans="1:7" ht="13.5" customHeight="1" x14ac:dyDescent="0.2">
      <c r="A24" s="180"/>
      <c r="B24" s="56"/>
      <c r="C24" s="36" t="s">
        <v>4377</v>
      </c>
      <c r="D24" s="11"/>
      <c r="E24" s="30"/>
      <c r="F24" s="30">
        <v>60</v>
      </c>
      <c r="G24" s="182"/>
    </row>
    <row r="25" spans="1:7" ht="13.5" customHeight="1" x14ac:dyDescent="0.2">
      <c r="A25" s="180"/>
      <c r="B25" s="56"/>
      <c r="C25" s="36" t="s">
        <v>4378</v>
      </c>
      <c r="D25" s="11"/>
      <c r="E25" s="30">
        <v>8.48</v>
      </c>
      <c r="F25" s="30"/>
      <c r="G25" s="182"/>
    </row>
    <row r="26" spans="1:7" ht="13.5" customHeight="1" x14ac:dyDescent="0.2">
      <c r="A26" s="180"/>
      <c r="B26" s="56"/>
      <c r="C26" s="36" t="s">
        <v>4379</v>
      </c>
      <c r="D26" s="11"/>
      <c r="E26" s="30">
        <v>73.34</v>
      </c>
      <c r="F26" s="30"/>
      <c r="G26" s="182"/>
    </row>
    <row r="27" spans="1:7" ht="13.5" customHeight="1" x14ac:dyDescent="0.2">
      <c r="A27" s="180"/>
      <c r="B27" s="56"/>
      <c r="C27" s="36" t="s">
        <v>4380</v>
      </c>
      <c r="D27" s="11"/>
      <c r="E27" s="30">
        <v>14.68</v>
      </c>
      <c r="F27" s="30"/>
      <c r="G27" s="182"/>
    </row>
    <row r="28" spans="1:7" ht="13.5" customHeight="1" x14ac:dyDescent="0.2">
      <c r="A28" s="180"/>
      <c r="B28" s="56"/>
      <c r="C28" s="36" t="s">
        <v>4381</v>
      </c>
      <c r="D28" s="11"/>
      <c r="E28" s="30"/>
      <c r="F28" s="30">
        <v>80</v>
      </c>
      <c r="G28" s="182"/>
    </row>
    <row r="29" spans="1:7" ht="13.5" customHeight="1" x14ac:dyDescent="0.2">
      <c r="A29" s="180"/>
      <c r="B29" s="56"/>
      <c r="C29" s="36" t="s">
        <v>4382</v>
      </c>
      <c r="D29" s="11"/>
      <c r="E29" s="30"/>
      <c r="F29" s="30">
        <v>888</v>
      </c>
      <c r="G29" s="182"/>
    </row>
    <row r="30" spans="1:7" ht="13.5" customHeight="1" x14ac:dyDescent="0.2">
      <c r="A30" s="180"/>
      <c r="B30" s="56"/>
      <c r="C30" s="36" t="s">
        <v>4383</v>
      </c>
      <c r="D30" s="11"/>
      <c r="E30" s="30">
        <v>27</v>
      </c>
      <c r="F30" s="30"/>
      <c r="G30" s="182"/>
    </row>
    <row r="31" spans="1:7" ht="13.5" customHeight="1" x14ac:dyDescent="0.2">
      <c r="A31" s="180"/>
      <c r="B31" s="56"/>
      <c r="C31" s="36" t="s">
        <v>4384</v>
      </c>
      <c r="D31" s="11"/>
      <c r="E31" s="30">
        <v>18.760000000000002</v>
      </c>
      <c r="F31" s="30"/>
      <c r="G31" s="182"/>
    </row>
    <row r="32" spans="1:7" ht="13.5" customHeight="1" x14ac:dyDescent="0.2">
      <c r="A32" s="180"/>
      <c r="B32" s="56"/>
      <c r="C32" s="36" t="s">
        <v>4385</v>
      </c>
      <c r="D32" s="11"/>
      <c r="E32" s="30">
        <v>24</v>
      </c>
      <c r="F32" s="30"/>
      <c r="G32" s="182"/>
    </row>
    <row r="33" spans="1:7" ht="13.5" customHeight="1" x14ac:dyDescent="0.2">
      <c r="A33" s="180"/>
      <c r="B33" s="56"/>
      <c r="C33" s="36" t="s">
        <v>4386</v>
      </c>
      <c r="D33" s="11"/>
      <c r="E33" s="30"/>
      <c r="F33" s="30">
        <v>30</v>
      </c>
      <c r="G33" s="182"/>
    </row>
    <row r="34" spans="1:7" ht="13.5" customHeight="1" x14ac:dyDescent="0.2">
      <c r="A34" s="180"/>
      <c r="B34" s="56"/>
      <c r="C34" s="36" t="s">
        <v>4387</v>
      </c>
      <c r="D34" s="11"/>
      <c r="E34" s="30"/>
      <c r="F34" s="30">
        <v>1500</v>
      </c>
      <c r="G34" s="182"/>
    </row>
    <row r="35" spans="1:7" ht="13.5" customHeight="1" x14ac:dyDescent="0.2">
      <c r="A35" s="180"/>
      <c r="B35" s="56"/>
      <c r="C35" s="36" t="s">
        <v>4388</v>
      </c>
      <c r="D35" s="11"/>
      <c r="E35" s="30"/>
      <c r="F35" s="30">
        <v>100</v>
      </c>
      <c r="G35" s="182"/>
    </row>
    <row r="36" spans="1:7" ht="13.5" customHeight="1" x14ac:dyDescent="0.2">
      <c r="A36" s="180"/>
      <c r="B36" s="56"/>
      <c r="C36" s="36" t="s">
        <v>4389</v>
      </c>
      <c r="D36" s="11"/>
      <c r="E36" s="30"/>
      <c r="F36" s="30">
        <v>675</v>
      </c>
      <c r="G36" s="182"/>
    </row>
    <row r="37" spans="1:7" ht="13.5" customHeight="1" x14ac:dyDescent="0.2">
      <c r="A37" s="180"/>
      <c r="B37" s="56"/>
      <c r="C37" s="36" t="s">
        <v>4390</v>
      </c>
      <c r="D37" s="11"/>
      <c r="E37" s="30"/>
      <c r="F37" s="30">
        <v>200</v>
      </c>
      <c r="G37" s="182"/>
    </row>
    <row r="38" spans="1:7" ht="13.5" customHeight="1" x14ac:dyDescent="0.2">
      <c r="A38" s="180"/>
      <c r="B38" s="56"/>
      <c r="C38" s="36" t="s">
        <v>3836</v>
      </c>
      <c r="D38" s="11"/>
      <c r="E38" s="552">
        <v>4000</v>
      </c>
      <c r="F38" s="30"/>
      <c r="G38" s="182">
        <v>3359.6899999999987</v>
      </c>
    </row>
    <row r="39" spans="1:7" ht="13.5" customHeight="1" x14ac:dyDescent="0.2">
      <c r="A39" s="180">
        <v>43993</v>
      </c>
      <c r="B39" s="56"/>
      <c r="C39" s="36" t="s">
        <v>4391</v>
      </c>
      <c r="D39" s="11"/>
      <c r="E39" s="165">
        <v>875</v>
      </c>
      <c r="F39" s="30"/>
      <c r="G39" s="182"/>
    </row>
    <row r="40" spans="1:7" ht="13.5" customHeight="1" x14ac:dyDescent="0.2">
      <c r="A40" s="180"/>
      <c r="B40" s="56"/>
      <c r="C40" s="36" t="s">
        <v>4392</v>
      </c>
      <c r="D40" s="11"/>
      <c r="E40" s="30"/>
      <c r="F40" s="30">
        <v>1500</v>
      </c>
      <c r="G40" s="182"/>
    </row>
    <row r="41" spans="1:7" ht="13.5" customHeight="1" x14ac:dyDescent="0.2">
      <c r="A41" s="180"/>
      <c r="B41" s="56"/>
      <c r="C41" s="36" t="s">
        <v>4393</v>
      </c>
      <c r="D41" s="11"/>
      <c r="E41" s="30">
        <v>5</v>
      </c>
      <c r="F41" s="30"/>
      <c r="G41" s="182"/>
    </row>
    <row r="42" spans="1:7" ht="13.5" customHeight="1" x14ac:dyDescent="0.2">
      <c r="A42" s="180"/>
      <c r="B42" s="56"/>
      <c r="C42" s="36" t="s">
        <v>4394</v>
      </c>
      <c r="D42" s="11"/>
      <c r="E42" s="30">
        <v>240</v>
      </c>
      <c r="F42" s="30"/>
      <c r="G42" s="182"/>
    </row>
    <row r="43" spans="1:7" ht="13.5" customHeight="1" x14ac:dyDescent="0.2">
      <c r="A43" s="180"/>
      <c r="B43" s="56"/>
      <c r="C43" s="36" t="s">
        <v>4395</v>
      </c>
      <c r="D43" s="11"/>
      <c r="E43" s="30">
        <v>80</v>
      </c>
      <c r="F43" s="30"/>
      <c r="G43" s="182">
        <v>3659.6899999999987</v>
      </c>
    </row>
    <row r="44" spans="1:7" ht="13.5" customHeight="1" x14ac:dyDescent="0.2">
      <c r="A44" s="180">
        <v>43994</v>
      </c>
      <c r="B44" s="56"/>
      <c r="C44" s="36" t="s">
        <v>4396</v>
      </c>
      <c r="D44" s="11"/>
      <c r="E44" s="30">
        <v>3.75</v>
      </c>
      <c r="F44" s="30"/>
      <c r="G44" s="182"/>
    </row>
    <row r="45" spans="1:7" ht="13.5" customHeight="1" x14ac:dyDescent="0.2">
      <c r="A45" s="180"/>
      <c r="B45" s="56"/>
      <c r="C45" s="36" t="s">
        <v>4397</v>
      </c>
      <c r="D45" s="11"/>
      <c r="E45" s="30">
        <v>525</v>
      </c>
      <c r="F45" s="30"/>
      <c r="G45" s="182">
        <v>3130.9399999999987</v>
      </c>
    </row>
    <row r="46" spans="1:7" ht="13.5" customHeight="1" x14ac:dyDescent="0.2">
      <c r="A46" s="180">
        <v>43997</v>
      </c>
      <c r="B46" s="56"/>
      <c r="C46" s="36" t="s">
        <v>4398</v>
      </c>
      <c r="D46" s="11"/>
      <c r="E46" s="30">
        <v>350</v>
      </c>
      <c r="F46" s="12"/>
      <c r="G46" s="182">
        <v>2780.9399999999987</v>
      </c>
    </row>
    <row r="47" spans="1:7" ht="13.5" customHeight="1" x14ac:dyDescent="0.2">
      <c r="A47" s="180">
        <v>43998</v>
      </c>
      <c r="B47" s="56"/>
      <c r="C47" s="36" t="s">
        <v>4399</v>
      </c>
      <c r="D47" s="11"/>
      <c r="E47" s="30">
        <v>7.45</v>
      </c>
      <c r="F47" s="12"/>
      <c r="G47" s="182"/>
    </row>
    <row r="48" spans="1:7" ht="13.5" customHeight="1" x14ac:dyDescent="0.2">
      <c r="A48" s="180"/>
      <c r="B48" s="56"/>
      <c r="C48" s="36" t="s">
        <v>4400</v>
      </c>
      <c r="D48" s="11"/>
      <c r="E48" s="30">
        <v>50</v>
      </c>
      <c r="F48" s="12"/>
      <c r="G48" s="182"/>
    </row>
    <row r="49" spans="1:7" ht="13.5" customHeight="1" x14ac:dyDescent="0.2">
      <c r="A49" s="180"/>
      <c r="B49" s="56"/>
      <c r="C49" s="36" t="s">
        <v>4401</v>
      </c>
      <c r="D49" s="11"/>
      <c r="E49" s="30">
        <v>21.94</v>
      </c>
      <c r="F49" s="12"/>
      <c r="G49" s="182"/>
    </row>
    <row r="50" spans="1:7" ht="13.5" customHeight="1" x14ac:dyDescent="0.2">
      <c r="A50" s="180"/>
      <c r="B50" s="56"/>
      <c r="C50" s="36" t="s">
        <v>4402</v>
      </c>
      <c r="D50" s="11"/>
      <c r="E50" s="30">
        <v>7</v>
      </c>
      <c r="F50" s="12"/>
      <c r="G50" s="182"/>
    </row>
    <row r="51" spans="1:7" ht="13.5" customHeight="1" x14ac:dyDescent="0.2">
      <c r="A51" s="180"/>
      <c r="B51" s="56"/>
      <c r="C51" s="36" t="s">
        <v>4403</v>
      </c>
      <c r="D51" s="11"/>
      <c r="E51" s="30">
        <v>10.9</v>
      </c>
      <c r="F51" s="12"/>
      <c r="G51" s="182">
        <v>2683.6499999999987</v>
      </c>
    </row>
    <row r="52" spans="1:7" ht="13.5" customHeight="1" x14ac:dyDescent="0.2">
      <c r="A52" s="180">
        <v>44000</v>
      </c>
      <c r="B52" s="56"/>
      <c r="C52" s="36" t="s">
        <v>4404</v>
      </c>
      <c r="D52" s="11"/>
      <c r="E52" s="30">
        <v>6.25</v>
      </c>
      <c r="F52" s="12"/>
      <c r="G52" s="182"/>
    </row>
    <row r="53" spans="1:7" ht="13.5" customHeight="1" x14ac:dyDescent="0.2">
      <c r="A53" s="180"/>
      <c r="B53" s="56"/>
      <c r="C53" s="36" t="s">
        <v>4405</v>
      </c>
      <c r="D53" s="11"/>
      <c r="E53" s="30">
        <v>25</v>
      </c>
      <c r="F53" s="12"/>
      <c r="G53" s="182"/>
    </row>
    <row r="54" spans="1:7" ht="13.5" customHeight="1" x14ac:dyDescent="0.2">
      <c r="A54" s="180"/>
      <c r="B54" s="56"/>
      <c r="C54" s="36" t="s">
        <v>4406</v>
      </c>
      <c r="D54" s="11"/>
      <c r="E54" s="30"/>
      <c r="F54" s="12">
        <v>196.87</v>
      </c>
      <c r="G54" s="182"/>
    </row>
    <row r="55" spans="1:7" ht="13.5" customHeight="1" x14ac:dyDescent="0.2">
      <c r="A55" s="180"/>
      <c r="B55" s="56"/>
      <c r="C55" s="36" t="s">
        <v>4407</v>
      </c>
      <c r="D55" s="11"/>
      <c r="E55" s="30"/>
      <c r="F55" s="12">
        <v>2906.25</v>
      </c>
      <c r="G55" s="182">
        <v>5755.5199999999986</v>
      </c>
    </row>
    <row r="56" spans="1:7" ht="13.5" customHeight="1" x14ac:dyDescent="0.2">
      <c r="A56" s="180">
        <v>44001</v>
      </c>
      <c r="B56" s="56"/>
      <c r="C56" s="36" t="s">
        <v>4408</v>
      </c>
      <c r="D56" s="11"/>
      <c r="E56" s="165">
        <v>3103.13</v>
      </c>
      <c r="F56" s="12"/>
      <c r="G56" s="182"/>
    </row>
    <row r="57" spans="1:7" ht="13.5" customHeight="1" x14ac:dyDescent="0.2">
      <c r="A57" s="180"/>
      <c r="B57" s="56"/>
      <c r="C57" s="36" t="s">
        <v>4409</v>
      </c>
      <c r="D57" s="11"/>
      <c r="E57" s="30">
        <v>23.6</v>
      </c>
      <c r="F57" s="12"/>
      <c r="G57" s="182"/>
    </row>
    <row r="58" spans="1:7" ht="13.5" customHeight="1" x14ac:dyDescent="0.2">
      <c r="A58" s="180"/>
      <c r="B58" s="56"/>
      <c r="C58" s="36" t="s">
        <v>4410</v>
      </c>
      <c r="D58" s="11"/>
      <c r="E58" s="30">
        <v>525</v>
      </c>
      <c r="F58" s="12"/>
      <c r="G58" s="182">
        <v>2103.7899999999986</v>
      </c>
    </row>
    <row r="59" spans="1:7" ht="13.5" customHeight="1" x14ac:dyDescent="0.2">
      <c r="A59" s="180">
        <v>44005</v>
      </c>
      <c r="B59" s="56"/>
      <c r="C59" s="36" t="s">
        <v>4411</v>
      </c>
      <c r="D59" s="11"/>
      <c r="E59" s="30">
        <v>78</v>
      </c>
      <c r="F59" s="12"/>
      <c r="G59" s="182"/>
    </row>
    <row r="60" spans="1:7" ht="13.5" customHeight="1" x14ac:dyDescent="0.2">
      <c r="A60" s="180"/>
      <c r="B60" s="56"/>
      <c r="C60" s="36" t="s">
        <v>4412</v>
      </c>
      <c r="D60" s="11"/>
      <c r="E60" s="30">
        <v>7.5</v>
      </c>
      <c r="F60" s="12"/>
      <c r="G60" s="182">
        <v>2018.2899999999986</v>
      </c>
    </row>
    <row r="61" spans="1:7" ht="13.5" customHeight="1" x14ac:dyDescent="0.2">
      <c r="A61" s="180">
        <v>44006</v>
      </c>
      <c r="B61" s="56"/>
      <c r="C61" s="36" t="s">
        <v>4413</v>
      </c>
      <c r="D61" s="11"/>
      <c r="E61" s="30">
        <v>24.66</v>
      </c>
      <c r="F61" s="12"/>
      <c r="G61" s="182"/>
    </row>
    <row r="62" spans="1:7" ht="13.5" customHeight="1" x14ac:dyDescent="0.2">
      <c r="A62" s="180"/>
      <c r="B62" s="56"/>
      <c r="C62" s="36" t="s">
        <v>4414</v>
      </c>
      <c r="D62" s="11"/>
      <c r="E62" s="165">
        <v>200</v>
      </c>
      <c r="F62" s="12"/>
      <c r="G62" s="182"/>
    </row>
    <row r="63" spans="1:7" ht="13.5" customHeight="1" x14ac:dyDescent="0.2">
      <c r="A63" s="180"/>
      <c r="B63" s="56"/>
      <c r="C63" s="36" t="s">
        <v>4415</v>
      </c>
      <c r="D63" s="11"/>
      <c r="E63" s="30">
        <v>5</v>
      </c>
      <c r="F63" s="12"/>
      <c r="G63" s="182"/>
    </row>
    <row r="64" spans="1:7" ht="13.5" customHeight="1" x14ac:dyDescent="0.2">
      <c r="A64" s="180"/>
      <c r="B64" s="56"/>
      <c r="C64" s="36" t="s">
        <v>4416</v>
      </c>
      <c r="D64" s="11"/>
      <c r="E64" s="30">
        <v>69.7</v>
      </c>
      <c r="F64" s="12"/>
      <c r="G64" s="182">
        <v>1718.9299999999985</v>
      </c>
    </row>
    <row r="65" spans="1:23" ht="13.5" customHeight="1" x14ac:dyDescent="0.2">
      <c r="A65" s="180">
        <v>44007</v>
      </c>
      <c r="B65" s="56"/>
      <c r="C65" s="36" t="s">
        <v>4417</v>
      </c>
      <c r="D65" s="11"/>
      <c r="E65" s="30">
        <v>10</v>
      </c>
      <c r="F65" s="12"/>
      <c r="G65" s="182"/>
    </row>
    <row r="66" spans="1:23" ht="13.5" customHeight="1" x14ac:dyDescent="0.2">
      <c r="A66" s="180"/>
      <c r="B66" s="56"/>
      <c r="C66" s="36" t="s">
        <v>4418</v>
      </c>
      <c r="D66" s="11"/>
      <c r="E66" s="30">
        <v>82</v>
      </c>
      <c r="F66" s="12"/>
      <c r="G66" s="182">
        <v>1626.9299999999985</v>
      </c>
    </row>
    <row r="67" spans="1:23" ht="13.5" customHeight="1" x14ac:dyDescent="0.2">
      <c r="A67" s="180">
        <v>44008</v>
      </c>
      <c r="B67" s="56"/>
      <c r="C67" s="36" t="s">
        <v>4419</v>
      </c>
      <c r="D67" s="11"/>
      <c r="E67" s="30">
        <v>246.12</v>
      </c>
      <c r="F67" s="12"/>
      <c r="G67" s="182"/>
    </row>
    <row r="68" spans="1:23" ht="13.5" customHeight="1" x14ac:dyDescent="0.2">
      <c r="A68" s="180"/>
      <c r="B68" s="56"/>
      <c r="C68" s="36" t="s">
        <v>4420</v>
      </c>
      <c r="D68" s="11"/>
      <c r="E68" s="30">
        <v>14</v>
      </c>
      <c r="F68" s="12"/>
      <c r="G68" s="182"/>
    </row>
    <row r="69" spans="1:23" ht="13.5" customHeight="1" x14ac:dyDescent="0.2">
      <c r="A69" s="180"/>
      <c r="B69" s="56"/>
      <c r="C69" s="36" t="s">
        <v>4421</v>
      </c>
      <c r="D69" s="11"/>
      <c r="E69" s="30">
        <v>49.22</v>
      </c>
      <c r="F69" s="12"/>
      <c r="G69" s="182"/>
    </row>
    <row r="70" spans="1:23" ht="13.5" customHeight="1" x14ac:dyDescent="0.2">
      <c r="A70" s="180"/>
      <c r="B70" s="56"/>
      <c r="C70" s="36" t="s">
        <v>4422</v>
      </c>
      <c r="D70" s="11"/>
      <c r="E70" s="30">
        <v>14.9</v>
      </c>
      <c r="F70" s="12"/>
      <c r="G70" s="182"/>
    </row>
    <row r="71" spans="1:23" ht="13.5" customHeight="1" x14ac:dyDescent="0.2">
      <c r="A71" s="180"/>
      <c r="B71" s="56"/>
      <c r="C71" s="36" t="s">
        <v>4423</v>
      </c>
      <c r="D71" s="11"/>
      <c r="E71" s="30">
        <v>4.37</v>
      </c>
      <c r="F71" s="12"/>
      <c r="G71" s="182"/>
    </row>
    <row r="72" spans="1:23" ht="13.5" customHeight="1" x14ac:dyDescent="0.2">
      <c r="A72" s="180"/>
      <c r="B72" s="56"/>
      <c r="C72" s="36" t="s">
        <v>4424</v>
      </c>
      <c r="D72" s="11"/>
      <c r="E72" s="30">
        <v>8</v>
      </c>
      <c r="F72" s="12"/>
      <c r="G72" s="182"/>
    </row>
    <row r="73" spans="1:23" ht="13.5" customHeight="1" x14ac:dyDescent="0.2">
      <c r="A73" s="180"/>
      <c r="B73" s="56"/>
      <c r="C73" s="36" t="s">
        <v>4425</v>
      </c>
      <c r="D73" s="11"/>
      <c r="E73" s="30"/>
      <c r="F73" s="12">
        <v>1740</v>
      </c>
      <c r="G73" s="182"/>
    </row>
    <row r="74" spans="1:23" ht="13.5" customHeight="1" x14ac:dyDescent="0.2">
      <c r="A74" s="180"/>
      <c r="B74" s="56"/>
      <c r="C74" s="36" t="s">
        <v>4014</v>
      </c>
      <c r="D74" s="11"/>
      <c r="E74" s="165">
        <v>1740</v>
      </c>
      <c r="F74" s="12"/>
      <c r="G74" s="182"/>
    </row>
    <row r="75" spans="1:23" ht="13.5" customHeight="1" x14ac:dyDescent="0.2">
      <c r="A75" s="180"/>
      <c r="B75" s="56"/>
      <c r="C75" s="36" t="s">
        <v>4426</v>
      </c>
      <c r="D75" s="11"/>
      <c r="E75" s="30"/>
      <c r="F75" s="277">
        <v>1000</v>
      </c>
      <c r="G75" s="182"/>
    </row>
    <row r="76" spans="1:23" ht="13.5" customHeight="1" x14ac:dyDescent="0.2">
      <c r="A76" s="180"/>
      <c r="B76" s="56"/>
      <c r="C76" s="36" t="s">
        <v>4427</v>
      </c>
      <c r="D76" s="11"/>
      <c r="E76" s="30">
        <v>5.51</v>
      </c>
      <c r="F76" s="12"/>
      <c r="G76" s="182"/>
    </row>
    <row r="77" spans="1:23" ht="13.5" customHeight="1" x14ac:dyDescent="0.2">
      <c r="A77" s="180"/>
      <c r="B77" s="56"/>
      <c r="C77" s="36" t="s">
        <v>4428</v>
      </c>
      <c r="D77" s="11"/>
      <c r="E77" s="30">
        <v>525</v>
      </c>
      <c r="F77" s="12"/>
      <c r="G77" s="182"/>
    </row>
    <row r="78" spans="1:23" ht="13.5" customHeight="1" x14ac:dyDescent="0.2">
      <c r="A78" s="180"/>
      <c r="B78" s="56"/>
      <c r="C78" s="36" t="s">
        <v>4429</v>
      </c>
      <c r="D78" s="11"/>
      <c r="E78" s="30">
        <v>320</v>
      </c>
      <c r="F78" s="12"/>
      <c r="G78" s="182"/>
    </row>
    <row r="79" spans="1:23" ht="13.5" customHeight="1" x14ac:dyDescent="0.2">
      <c r="A79" s="180"/>
      <c r="B79" s="56"/>
      <c r="C79" s="36" t="s">
        <v>4430</v>
      </c>
      <c r="D79" s="11"/>
      <c r="E79" s="30">
        <v>80</v>
      </c>
      <c r="F79" s="12"/>
      <c r="G79" s="205">
        <v>1359.8099999999986</v>
      </c>
    </row>
    <row r="80" spans="1:23" s="64" customFormat="1" ht="13.5" customHeight="1" thickBot="1" x14ac:dyDescent="0.25">
      <c r="A80" s="184"/>
      <c r="B80" s="63"/>
      <c r="C80" s="63"/>
      <c r="D80" s="50"/>
      <c r="E80" s="650">
        <f>-SUM(E8:E15,E20:E37,E41:E54,E57:E61,E63:E72,E76:E79)</f>
        <v>-6546.1799999999994</v>
      </c>
      <c r="F80" s="651">
        <f>SUM(F4:F74,)</f>
        <v>19164.120000000003</v>
      </c>
      <c r="G80" s="53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</row>
    <row r="81" spans="1:7" ht="13.5" customHeight="1" thickBot="1" x14ac:dyDescent="0.25">
      <c r="A81" s="2" t="s">
        <v>2</v>
      </c>
      <c r="B81" s="3"/>
      <c r="C81" s="3" t="s">
        <v>536</v>
      </c>
      <c r="D81" s="3" t="s">
        <v>4</v>
      </c>
      <c r="E81" s="3" t="s">
        <v>5</v>
      </c>
      <c r="F81" s="3" t="s">
        <v>6</v>
      </c>
      <c r="G81" s="5" t="s">
        <v>7</v>
      </c>
    </row>
    <row r="82" spans="1:7" ht="13.5" customHeight="1" x14ac:dyDescent="0.2">
      <c r="A82" s="8">
        <v>43983</v>
      </c>
      <c r="B82" s="56"/>
      <c r="C82" s="10" t="s">
        <v>8</v>
      </c>
      <c r="D82" s="11"/>
      <c r="E82" s="51"/>
      <c r="F82" s="12"/>
      <c r="G82" s="205">
        <v>38000</v>
      </c>
    </row>
    <row r="83" spans="1:7" ht="13.5" customHeight="1" x14ac:dyDescent="0.2">
      <c r="A83" s="171"/>
      <c r="B83" s="46"/>
      <c r="C83" s="36" t="s">
        <v>4431</v>
      </c>
      <c r="D83" s="11"/>
      <c r="E83" s="30">
        <v>280</v>
      </c>
      <c r="F83" s="12"/>
      <c r="G83" s="182">
        <v>37720</v>
      </c>
    </row>
    <row r="84" spans="1:7" ht="13.5" customHeight="1" x14ac:dyDescent="0.2">
      <c r="A84" s="180"/>
      <c r="B84" s="56"/>
      <c r="C84" s="32" t="s">
        <v>1553</v>
      </c>
      <c r="D84" s="11"/>
      <c r="E84" s="30">
        <v>2000</v>
      </c>
      <c r="F84" s="12"/>
      <c r="G84" s="182">
        <v>35720</v>
      </c>
    </row>
    <row r="85" spans="1:7" ht="13.5" customHeight="1" x14ac:dyDescent="0.2">
      <c r="A85" s="180"/>
      <c r="B85" s="56"/>
      <c r="C85" s="742" t="s">
        <v>4432</v>
      </c>
      <c r="D85" s="11"/>
      <c r="E85" s="30"/>
      <c r="F85" s="12">
        <v>900</v>
      </c>
      <c r="G85" s="182">
        <v>36620</v>
      </c>
    </row>
    <row r="86" spans="1:7" ht="13.5" customHeight="1" x14ac:dyDescent="0.2">
      <c r="A86" s="180"/>
      <c r="B86" s="56"/>
      <c r="C86" s="36" t="s">
        <v>1002</v>
      </c>
      <c r="D86" s="11"/>
      <c r="E86" s="30">
        <v>4177.6100000000006</v>
      </c>
      <c r="F86" s="12"/>
      <c r="G86" s="182">
        <v>32442.39</v>
      </c>
    </row>
    <row r="87" spans="1:7" ht="13.5" customHeight="1" x14ac:dyDescent="0.2">
      <c r="A87" s="180">
        <v>43990</v>
      </c>
      <c r="B87" s="56"/>
      <c r="C87" s="742" t="s">
        <v>4433</v>
      </c>
      <c r="D87" s="11"/>
      <c r="E87" s="30"/>
      <c r="F87" s="12">
        <v>1100</v>
      </c>
      <c r="G87" s="182">
        <v>33542.39</v>
      </c>
    </row>
    <row r="88" spans="1:7" ht="13.5" customHeight="1" x14ac:dyDescent="0.2">
      <c r="A88" s="180">
        <v>43991</v>
      </c>
      <c r="B88" s="56"/>
      <c r="C88" s="742" t="s">
        <v>4434</v>
      </c>
      <c r="D88" s="11"/>
      <c r="E88" s="30"/>
      <c r="F88" s="12">
        <v>115</v>
      </c>
      <c r="G88" s="182">
        <v>33657.39</v>
      </c>
    </row>
    <row r="89" spans="1:7" ht="13.5" customHeight="1" x14ac:dyDescent="0.2">
      <c r="A89" s="180">
        <v>43992</v>
      </c>
      <c r="B89" s="56"/>
      <c r="C89" s="742" t="s">
        <v>4435</v>
      </c>
      <c r="D89" s="50"/>
      <c r="E89" s="51"/>
      <c r="F89" s="13">
        <v>1240</v>
      </c>
      <c r="G89" s="182">
        <v>34897.39</v>
      </c>
    </row>
    <row r="90" spans="1:7" ht="13.5" customHeight="1" x14ac:dyDescent="0.2">
      <c r="A90" s="180"/>
      <c r="B90" s="56"/>
      <c r="C90" s="36" t="s">
        <v>3836</v>
      </c>
      <c r="D90" s="11"/>
      <c r="E90" s="30"/>
      <c r="F90" s="277">
        <v>4000</v>
      </c>
      <c r="G90" s="182">
        <v>38897.39</v>
      </c>
    </row>
    <row r="91" spans="1:7" ht="13.5" customHeight="1" x14ac:dyDescent="0.2">
      <c r="A91" s="180"/>
      <c r="B91" s="56"/>
      <c r="C91" s="742" t="s">
        <v>4436</v>
      </c>
      <c r="D91" s="11"/>
      <c r="E91" s="30"/>
      <c r="F91" s="12">
        <v>1640</v>
      </c>
      <c r="G91" s="182">
        <v>40537.39</v>
      </c>
    </row>
    <row r="92" spans="1:7" ht="13.5" customHeight="1" x14ac:dyDescent="0.2">
      <c r="A92" s="180"/>
      <c r="B92" s="56"/>
      <c r="C92" s="742" t="s">
        <v>4437</v>
      </c>
      <c r="D92" s="11"/>
      <c r="E92" s="30"/>
      <c r="F92" s="12">
        <v>150</v>
      </c>
      <c r="G92" s="182">
        <v>40687.39</v>
      </c>
    </row>
    <row r="93" spans="1:7" ht="13.5" customHeight="1" x14ac:dyDescent="0.2">
      <c r="A93" s="180">
        <v>43997</v>
      </c>
      <c r="B93" s="56"/>
      <c r="C93" s="742" t="s">
        <v>4438</v>
      </c>
      <c r="D93" s="11"/>
      <c r="E93" s="30"/>
      <c r="F93" s="12">
        <v>100</v>
      </c>
      <c r="G93" s="182">
        <v>40787.39</v>
      </c>
    </row>
    <row r="94" spans="1:7" ht="13.5" customHeight="1" x14ac:dyDescent="0.2">
      <c r="A94" s="180"/>
      <c r="B94" s="56"/>
      <c r="C94" s="742" t="s">
        <v>4439</v>
      </c>
      <c r="D94" s="11"/>
      <c r="E94" s="30"/>
      <c r="F94" s="12">
        <v>250</v>
      </c>
      <c r="G94" s="182">
        <v>41037.39</v>
      </c>
    </row>
    <row r="95" spans="1:7" ht="13.5" customHeight="1" x14ac:dyDescent="0.2">
      <c r="A95" s="180"/>
      <c r="B95" s="56"/>
      <c r="C95" s="36" t="s">
        <v>4440</v>
      </c>
      <c r="D95" s="11"/>
      <c r="E95" s="30">
        <v>99.5</v>
      </c>
      <c r="F95" s="12"/>
      <c r="G95" s="182">
        <v>40937.89</v>
      </c>
    </row>
    <row r="96" spans="1:7" ht="13.5" customHeight="1" x14ac:dyDescent="0.2">
      <c r="A96" s="180">
        <v>43998</v>
      </c>
      <c r="B96" s="56"/>
      <c r="C96" s="36" t="s">
        <v>4441</v>
      </c>
      <c r="D96" s="11"/>
      <c r="E96" s="30">
        <v>640</v>
      </c>
      <c r="F96" s="12"/>
      <c r="G96" s="182">
        <v>40297.89</v>
      </c>
    </row>
    <row r="97" spans="1:23" ht="13.5" customHeight="1" x14ac:dyDescent="0.2">
      <c r="A97" s="180">
        <v>43999</v>
      </c>
      <c r="B97" s="56"/>
      <c r="C97" s="742" t="s">
        <v>4442</v>
      </c>
      <c r="D97" s="11"/>
      <c r="E97" s="30"/>
      <c r="F97" s="12">
        <v>999</v>
      </c>
      <c r="G97" s="182">
        <v>41296.89</v>
      </c>
    </row>
    <row r="98" spans="1:23" ht="13.5" customHeight="1" x14ac:dyDescent="0.2">
      <c r="A98" s="180"/>
      <c r="B98" s="56"/>
      <c r="C98" s="742" t="s">
        <v>4443</v>
      </c>
      <c r="D98" s="11"/>
      <c r="E98" s="30"/>
      <c r="F98" s="12">
        <v>120</v>
      </c>
      <c r="G98" s="182">
        <v>41416.89</v>
      </c>
    </row>
    <row r="99" spans="1:23" ht="13.5" customHeight="1" x14ac:dyDescent="0.2">
      <c r="A99" s="180"/>
      <c r="B99" s="56"/>
      <c r="C99" s="742" t="s">
        <v>4444</v>
      </c>
      <c r="D99" s="11"/>
      <c r="E99" s="30"/>
      <c r="F99" s="13">
        <v>936</v>
      </c>
      <c r="G99" s="182">
        <v>42352.89</v>
      </c>
    </row>
    <row r="100" spans="1:23" s="64" customFormat="1" ht="13.5" customHeight="1" x14ac:dyDescent="0.2">
      <c r="A100" s="184">
        <v>43999</v>
      </c>
      <c r="B100" s="63"/>
      <c r="C100" s="34" t="s">
        <v>3872</v>
      </c>
      <c r="D100" s="50"/>
      <c r="E100" s="51">
        <v>100</v>
      </c>
      <c r="F100" s="13"/>
      <c r="G100" s="182">
        <v>42252.89</v>
      </c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</row>
    <row r="101" spans="1:23" ht="13.5" customHeight="1" x14ac:dyDescent="0.2">
      <c r="A101" s="180">
        <v>44001</v>
      </c>
      <c r="B101" s="56"/>
      <c r="C101" s="32" t="s">
        <v>2702</v>
      </c>
      <c r="D101" s="11"/>
      <c r="E101" s="30">
        <v>1200</v>
      </c>
      <c r="F101" s="13"/>
      <c r="G101" s="182">
        <v>41052.89</v>
      </c>
    </row>
    <row r="102" spans="1:23" ht="13.5" customHeight="1" x14ac:dyDescent="0.2">
      <c r="A102" s="180"/>
      <c r="B102" s="56"/>
      <c r="C102" s="34" t="s">
        <v>4034</v>
      </c>
      <c r="D102" s="11"/>
      <c r="E102" s="30">
        <v>240</v>
      </c>
      <c r="F102" s="13"/>
      <c r="G102" s="182">
        <v>40812.89</v>
      </c>
    </row>
    <row r="103" spans="1:23" ht="13.5" customHeight="1" x14ac:dyDescent="0.2">
      <c r="A103" s="180"/>
      <c r="B103" s="56"/>
      <c r="C103" s="34" t="s">
        <v>4445</v>
      </c>
      <c r="D103" s="11"/>
      <c r="E103" s="30">
        <v>22.94</v>
      </c>
      <c r="F103" s="13"/>
      <c r="G103" s="182">
        <v>40789.949999999997</v>
      </c>
    </row>
    <row r="104" spans="1:23" ht="13.5" customHeight="1" x14ac:dyDescent="0.2">
      <c r="A104" s="180">
        <v>44002</v>
      </c>
      <c r="B104" s="56"/>
      <c r="C104" s="34" t="s">
        <v>4446</v>
      </c>
      <c r="D104" s="11"/>
      <c r="E104" s="30"/>
      <c r="F104" s="13">
        <v>200</v>
      </c>
      <c r="G104" s="182">
        <v>40989.949999999997</v>
      </c>
    </row>
    <row r="105" spans="1:23" s="64" customFormat="1" ht="13.5" customHeight="1" x14ac:dyDescent="0.2">
      <c r="A105" s="184">
        <v>44004</v>
      </c>
      <c r="B105" s="63"/>
      <c r="C105" s="34" t="s">
        <v>4447</v>
      </c>
      <c r="D105" s="50"/>
      <c r="E105" s="51">
        <v>54.8</v>
      </c>
      <c r="F105" s="13"/>
      <c r="G105" s="182">
        <v>40935.149999999994</v>
      </c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</row>
    <row r="106" spans="1:23" s="64" customFormat="1" ht="13.5" customHeight="1" x14ac:dyDescent="0.2">
      <c r="A106" s="184"/>
      <c r="B106" s="63"/>
      <c r="C106" s="34" t="s">
        <v>4448</v>
      </c>
      <c r="D106" s="50"/>
      <c r="E106" s="51">
        <v>25.7</v>
      </c>
      <c r="F106" s="13"/>
      <c r="G106" s="182">
        <v>40909.449999999997</v>
      </c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</row>
    <row r="107" spans="1:23" s="64" customFormat="1" ht="13.5" customHeight="1" x14ac:dyDescent="0.2">
      <c r="A107" s="184"/>
      <c r="B107" s="63"/>
      <c r="C107" s="34" t="s">
        <v>4449</v>
      </c>
      <c r="D107" s="50"/>
      <c r="E107" s="51">
        <v>299</v>
      </c>
      <c r="F107" s="13"/>
      <c r="G107" s="182">
        <v>40610.449999999997</v>
      </c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</row>
    <row r="108" spans="1:23" s="64" customFormat="1" ht="13.5" customHeight="1" x14ac:dyDescent="0.2">
      <c r="A108" s="184"/>
      <c r="B108" s="63"/>
      <c r="C108" s="34" t="s">
        <v>4450</v>
      </c>
      <c r="D108" s="50"/>
      <c r="E108" s="51">
        <v>481.9</v>
      </c>
      <c r="F108" s="13"/>
      <c r="G108" s="182">
        <v>40128.549999999996</v>
      </c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</row>
    <row r="109" spans="1:23" s="64" customFormat="1" ht="13.5" customHeight="1" x14ac:dyDescent="0.2">
      <c r="A109" s="184"/>
      <c r="B109" s="63"/>
      <c r="C109" s="138" t="s">
        <v>4451</v>
      </c>
      <c r="D109" s="50"/>
      <c r="E109" s="51">
        <v>183.25</v>
      </c>
      <c r="F109" s="13"/>
      <c r="G109" s="182">
        <v>39945.299999999996</v>
      </c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</row>
    <row r="110" spans="1:23" ht="13.5" customHeight="1" x14ac:dyDescent="0.2">
      <c r="A110" s="180"/>
      <c r="B110" s="56"/>
      <c r="C110" s="36" t="s">
        <v>4030</v>
      </c>
      <c r="D110" s="11"/>
      <c r="E110" s="552">
        <v>4000</v>
      </c>
      <c r="F110" s="13"/>
      <c r="G110" s="182">
        <v>35945.299999999996</v>
      </c>
    </row>
    <row r="111" spans="1:23" ht="13.5" customHeight="1" x14ac:dyDescent="0.2">
      <c r="A111" s="180"/>
      <c r="B111" s="56"/>
      <c r="C111" s="36" t="s">
        <v>4452</v>
      </c>
      <c r="D111" s="11"/>
      <c r="E111" s="30">
        <v>449.3</v>
      </c>
      <c r="F111" s="13"/>
      <c r="G111" s="182">
        <v>35495.999999999993</v>
      </c>
    </row>
    <row r="112" spans="1:23" ht="13.5" customHeight="1" x14ac:dyDescent="0.2">
      <c r="A112" s="180">
        <v>44008</v>
      </c>
      <c r="B112" s="56"/>
      <c r="C112" s="36" t="s">
        <v>4426</v>
      </c>
      <c r="D112" s="11"/>
      <c r="E112" s="552">
        <v>1000</v>
      </c>
      <c r="F112" s="12"/>
      <c r="G112" s="205">
        <v>34495.999999999993</v>
      </c>
    </row>
    <row r="113" spans="1:7" ht="13.5" customHeight="1" x14ac:dyDescent="0.2">
      <c r="A113" s="180"/>
      <c r="B113" s="56"/>
      <c r="C113" s="36"/>
      <c r="D113" s="11"/>
      <c r="E113" s="30"/>
      <c r="F113" s="12"/>
      <c r="G113" s="182"/>
    </row>
    <row r="114" spans="1:7" ht="13.5" customHeight="1" x14ac:dyDescent="0.2">
      <c r="A114" s="180"/>
      <c r="B114" s="56"/>
      <c r="C114" s="56"/>
      <c r="D114" s="11"/>
      <c r="E114" s="30"/>
      <c r="F114" s="12"/>
      <c r="G114" s="182">
        <v>34496</v>
      </c>
    </row>
    <row r="115" spans="1:7" ht="13.5" customHeight="1" thickBot="1" x14ac:dyDescent="0.25">
      <c r="A115" s="180"/>
      <c r="B115" s="56"/>
      <c r="C115" s="56"/>
      <c r="D115" s="11"/>
      <c r="E115" s="653">
        <f>-SUM(E83:E109,E111,)</f>
        <v>-10254</v>
      </c>
      <c r="F115" s="647">
        <f>SUM(F85:F89,F91:F114,)</f>
        <v>7750</v>
      </c>
      <c r="G115" s="182"/>
    </row>
    <row r="116" spans="1:7" ht="13.5" customHeight="1" thickBot="1" x14ac:dyDescent="0.25">
      <c r="A116" s="2" t="s">
        <v>2</v>
      </c>
      <c r="B116" s="3"/>
      <c r="C116" s="3" t="s">
        <v>3</v>
      </c>
      <c r="D116" s="3"/>
      <c r="E116" s="3"/>
      <c r="F116" s="3"/>
      <c r="G116" s="5" t="s">
        <v>7</v>
      </c>
    </row>
    <row r="117" spans="1:7" ht="13.5" customHeight="1" x14ac:dyDescent="0.2">
      <c r="A117" s="8">
        <v>43983</v>
      </c>
      <c r="B117" s="70"/>
      <c r="C117" s="10" t="s">
        <v>537</v>
      </c>
      <c r="D117" s="46"/>
      <c r="E117" s="67"/>
      <c r="F117" s="67"/>
      <c r="G117" s="205">
        <v>2384.9699999999998</v>
      </c>
    </row>
    <row r="118" spans="1:7" ht="13.5" customHeight="1" x14ac:dyDescent="0.2">
      <c r="A118" s="171"/>
      <c r="B118" s="46"/>
      <c r="C118" s="34" t="s">
        <v>4453</v>
      </c>
      <c r="D118" s="46"/>
      <c r="E118" s="28">
        <v>-371.04</v>
      </c>
      <c r="F118" s="69"/>
      <c r="G118" s="182"/>
    </row>
    <row r="119" spans="1:7" ht="13.5" customHeight="1" x14ac:dyDescent="0.2">
      <c r="A119" s="171"/>
      <c r="B119" s="46"/>
      <c r="C119" s="34" t="s">
        <v>4454</v>
      </c>
      <c r="D119" s="46"/>
      <c r="E119" s="28">
        <v>-210.48</v>
      </c>
      <c r="F119" s="69"/>
      <c r="G119" s="182"/>
    </row>
    <row r="120" spans="1:7" ht="13.5" customHeight="1" x14ac:dyDescent="0.2">
      <c r="A120" s="171"/>
      <c r="B120" s="46"/>
      <c r="C120" s="36" t="s">
        <v>20</v>
      </c>
      <c r="D120" s="46"/>
      <c r="E120" s="69"/>
      <c r="F120" s="69">
        <v>0.01</v>
      </c>
      <c r="G120" s="182">
        <v>1803.46</v>
      </c>
    </row>
    <row r="121" spans="1:7" ht="13.5" customHeight="1" x14ac:dyDescent="0.2">
      <c r="A121" s="180">
        <v>43990</v>
      </c>
      <c r="B121" s="46"/>
      <c r="C121" s="34" t="s">
        <v>55</v>
      </c>
      <c r="D121" s="46"/>
      <c r="E121" s="69">
        <v>-400</v>
      </c>
      <c r="F121" s="69"/>
      <c r="G121" s="182">
        <v>1403.46</v>
      </c>
    </row>
    <row r="122" spans="1:7" ht="13.5" customHeight="1" x14ac:dyDescent="0.2">
      <c r="A122" s="180"/>
      <c r="B122" s="9"/>
      <c r="C122" s="34" t="s">
        <v>4369</v>
      </c>
      <c r="D122" s="46"/>
      <c r="E122" s="61"/>
      <c r="F122" s="600">
        <v>1534</v>
      </c>
      <c r="G122" s="182">
        <v>2937.46</v>
      </c>
    </row>
    <row r="123" spans="1:7" ht="13.5" customHeight="1" x14ac:dyDescent="0.2">
      <c r="A123" s="180">
        <v>43992</v>
      </c>
      <c r="B123" s="9"/>
      <c r="C123" s="34" t="s">
        <v>4051</v>
      </c>
      <c r="D123" s="46"/>
      <c r="E123" s="61">
        <v>-1186.82</v>
      </c>
      <c r="F123" s="61"/>
      <c r="G123" s="182"/>
    </row>
    <row r="124" spans="1:7" ht="13.5" customHeight="1" x14ac:dyDescent="0.2">
      <c r="A124" s="180"/>
      <c r="B124" s="9"/>
      <c r="C124" s="34" t="s">
        <v>68</v>
      </c>
      <c r="D124" s="46"/>
      <c r="E124" s="61">
        <v>-119</v>
      </c>
      <c r="F124" s="61"/>
      <c r="G124" s="182"/>
    </row>
    <row r="125" spans="1:7" ht="13.5" customHeight="1" x14ac:dyDescent="0.2">
      <c r="A125" s="180"/>
      <c r="B125" s="9"/>
      <c r="C125" s="34" t="s">
        <v>4175</v>
      </c>
      <c r="D125" s="46"/>
      <c r="E125" s="61">
        <v>-99.9</v>
      </c>
      <c r="F125" s="61"/>
      <c r="G125" s="182"/>
    </row>
    <row r="126" spans="1:7" ht="13.5" customHeight="1" x14ac:dyDescent="0.2">
      <c r="A126" s="180"/>
      <c r="B126" s="46"/>
      <c r="C126" s="36" t="s">
        <v>20</v>
      </c>
      <c r="D126" s="46" t="s">
        <v>488</v>
      </c>
      <c r="E126" s="69"/>
      <c r="F126" s="69">
        <v>7.0000000000000007E-2</v>
      </c>
      <c r="G126" s="182">
        <v>1531.81</v>
      </c>
    </row>
    <row r="127" spans="1:7" ht="13.5" customHeight="1" x14ac:dyDescent="0.2">
      <c r="A127" s="180" t="s">
        <v>4455</v>
      </c>
      <c r="B127" s="46"/>
      <c r="C127" s="34" t="s">
        <v>87</v>
      </c>
      <c r="D127" s="46" t="s">
        <v>488</v>
      </c>
      <c r="E127" s="69">
        <v>-124.92</v>
      </c>
      <c r="F127" s="69"/>
      <c r="G127" s="182"/>
    </row>
    <row r="128" spans="1:7" ht="13.5" customHeight="1" x14ac:dyDescent="0.2">
      <c r="A128" s="180"/>
      <c r="B128" s="46"/>
      <c r="C128" s="36" t="s">
        <v>4391</v>
      </c>
      <c r="D128" s="46" t="s">
        <v>4456</v>
      </c>
      <c r="E128" s="69"/>
      <c r="F128" s="322">
        <v>875</v>
      </c>
      <c r="G128" s="182">
        <v>2281.89</v>
      </c>
    </row>
    <row r="129" spans="1:7" ht="13.5" customHeight="1" x14ac:dyDescent="0.2">
      <c r="A129" s="171" t="s">
        <v>4457</v>
      </c>
      <c r="B129" s="46"/>
      <c r="C129" s="34" t="s">
        <v>86</v>
      </c>
      <c r="D129" s="46" t="s">
        <v>488</v>
      </c>
      <c r="E129" s="69">
        <v>-75.900000000000006</v>
      </c>
      <c r="F129" s="69"/>
      <c r="G129" s="182"/>
    </row>
    <row r="130" spans="1:7" ht="13.5" customHeight="1" x14ac:dyDescent="0.2">
      <c r="A130" s="171"/>
      <c r="B130" s="46"/>
      <c r="C130" s="34" t="s">
        <v>62</v>
      </c>
      <c r="D130" s="46" t="s">
        <v>1356</v>
      </c>
      <c r="E130" s="69">
        <v>-454.31</v>
      </c>
      <c r="F130" s="69"/>
      <c r="G130" s="182"/>
    </row>
    <row r="131" spans="1:7" ht="13.5" customHeight="1" x14ac:dyDescent="0.2">
      <c r="A131" s="171"/>
      <c r="B131" s="46"/>
      <c r="C131" s="34" t="s">
        <v>673</v>
      </c>
      <c r="D131" s="46" t="s">
        <v>4458</v>
      </c>
      <c r="E131" s="69">
        <v>-99.98</v>
      </c>
      <c r="F131" s="69"/>
      <c r="G131" s="182"/>
    </row>
    <row r="132" spans="1:7" ht="13.5" customHeight="1" x14ac:dyDescent="0.2">
      <c r="A132" s="171"/>
      <c r="B132" s="46"/>
      <c r="C132" s="33" t="s">
        <v>81</v>
      </c>
      <c r="D132" s="46" t="s">
        <v>4459</v>
      </c>
      <c r="E132" s="69">
        <v>-52.35</v>
      </c>
      <c r="F132" s="69"/>
      <c r="G132" s="182"/>
    </row>
    <row r="133" spans="1:7" ht="13.5" customHeight="1" x14ac:dyDescent="0.2">
      <c r="A133" s="171"/>
      <c r="B133" s="46"/>
      <c r="C133" s="34" t="s">
        <v>2268</v>
      </c>
      <c r="D133" s="46" t="s">
        <v>4460</v>
      </c>
      <c r="E133" s="69">
        <v>-42.86</v>
      </c>
      <c r="F133" s="69"/>
      <c r="G133" s="182"/>
    </row>
    <row r="134" spans="1:7" ht="13.5" customHeight="1" x14ac:dyDescent="0.2">
      <c r="A134" s="171"/>
      <c r="B134" s="46"/>
      <c r="C134" s="34" t="s">
        <v>2266</v>
      </c>
      <c r="D134" s="46" t="s">
        <v>4461</v>
      </c>
      <c r="E134" s="69">
        <v>-42.1</v>
      </c>
      <c r="F134" s="69"/>
      <c r="G134" s="182"/>
    </row>
    <row r="135" spans="1:7" ht="13.5" customHeight="1" x14ac:dyDescent="0.2">
      <c r="A135" s="171">
        <v>43998</v>
      </c>
      <c r="B135" s="46"/>
      <c r="C135" s="36" t="s">
        <v>4414</v>
      </c>
      <c r="D135" s="46"/>
      <c r="E135" s="69"/>
      <c r="F135" s="322">
        <v>200</v>
      </c>
      <c r="G135" s="182">
        <v>1714.39</v>
      </c>
    </row>
    <row r="136" spans="1:7" ht="13.5" customHeight="1" x14ac:dyDescent="0.2">
      <c r="A136" s="171">
        <v>43999</v>
      </c>
      <c r="B136" s="46"/>
      <c r="C136" s="34" t="s">
        <v>18</v>
      </c>
      <c r="D136" s="46"/>
      <c r="E136" s="69">
        <v>-420.71</v>
      </c>
      <c r="F136" s="69"/>
      <c r="G136" s="182"/>
    </row>
    <row r="137" spans="1:7" ht="13.5" customHeight="1" x14ac:dyDescent="0.2">
      <c r="A137" s="171"/>
      <c r="B137" s="46"/>
      <c r="C137" s="36" t="s">
        <v>20</v>
      </c>
      <c r="D137" s="46"/>
      <c r="E137" s="69"/>
      <c r="F137" s="69">
        <v>0.02</v>
      </c>
      <c r="G137" s="182">
        <v>1293.7</v>
      </c>
    </row>
    <row r="138" spans="1:7" ht="13.5" customHeight="1" x14ac:dyDescent="0.2">
      <c r="A138" s="171" t="s">
        <v>4462</v>
      </c>
      <c r="B138" s="46"/>
      <c r="C138" s="33" t="s">
        <v>736</v>
      </c>
      <c r="D138" s="46" t="s">
        <v>488</v>
      </c>
      <c r="E138" s="69">
        <v>-43.61</v>
      </c>
      <c r="F138" s="69"/>
      <c r="G138" s="182"/>
    </row>
    <row r="139" spans="1:7" ht="13.5" customHeight="1" x14ac:dyDescent="0.2">
      <c r="A139" s="171"/>
      <c r="B139" s="46"/>
      <c r="C139" s="36" t="s">
        <v>129</v>
      </c>
      <c r="D139" s="46" t="s">
        <v>488</v>
      </c>
      <c r="E139" s="69">
        <v>-46.72</v>
      </c>
      <c r="F139" s="69"/>
      <c r="G139" s="182"/>
    </row>
    <row r="140" spans="1:7" ht="13.5" customHeight="1" x14ac:dyDescent="0.2">
      <c r="A140" s="171"/>
      <c r="B140" s="46"/>
      <c r="C140" s="36" t="s">
        <v>130</v>
      </c>
      <c r="D140" s="46" t="s">
        <v>488</v>
      </c>
      <c r="E140" s="69">
        <v>-122.6</v>
      </c>
      <c r="F140" s="69"/>
      <c r="G140" s="182"/>
    </row>
    <row r="141" spans="1:7" ht="13.5" customHeight="1" x14ac:dyDescent="0.2">
      <c r="A141" s="171"/>
      <c r="B141" s="46"/>
      <c r="C141" s="34" t="s">
        <v>134</v>
      </c>
      <c r="D141" s="46" t="s">
        <v>590</v>
      </c>
      <c r="E141" s="69">
        <v>-119</v>
      </c>
      <c r="F141" s="69"/>
      <c r="G141" s="182"/>
    </row>
    <row r="142" spans="1:7" ht="13.5" customHeight="1" x14ac:dyDescent="0.2">
      <c r="A142" s="171"/>
      <c r="B142" s="46"/>
      <c r="C142" s="34" t="s">
        <v>132</v>
      </c>
      <c r="D142" s="46" t="s">
        <v>793</v>
      </c>
      <c r="E142" s="69">
        <v>-2904.51</v>
      </c>
      <c r="F142" s="69"/>
      <c r="G142" s="182"/>
    </row>
    <row r="143" spans="1:7" ht="13.5" customHeight="1" x14ac:dyDescent="0.2">
      <c r="A143" s="171"/>
      <c r="B143" s="46"/>
      <c r="C143" s="36" t="s">
        <v>20</v>
      </c>
      <c r="D143" s="46" t="s">
        <v>488</v>
      </c>
      <c r="E143" s="69"/>
      <c r="F143" s="69">
        <v>0.01</v>
      </c>
      <c r="G143" s="182"/>
    </row>
    <row r="144" spans="1:7" ht="13.5" customHeight="1" x14ac:dyDescent="0.2">
      <c r="A144" s="171"/>
      <c r="B144" s="46"/>
      <c r="C144" s="36" t="s">
        <v>20</v>
      </c>
      <c r="D144" s="46"/>
      <c r="E144" s="69"/>
      <c r="F144" s="69">
        <v>0.03</v>
      </c>
      <c r="G144" s="182">
        <v>-1942.7</v>
      </c>
    </row>
    <row r="145" spans="1:7" ht="13.5" customHeight="1" x14ac:dyDescent="0.2">
      <c r="A145" s="171" t="s">
        <v>4463</v>
      </c>
      <c r="B145" s="46"/>
      <c r="C145" s="36" t="s">
        <v>4030</v>
      </c>
      <c r="D145" s="46" t="s">
        <v>488</v>
      </c>
      <c r="E145" s="69"/>
      <c r="F145" s="601">
        <v>4000</v>
      </c>
      <c r="G145" s="182"/>
    </row>
    <row r="146" spans="1:7" ht="13.5" customHeight="1" x14ac:dyDescent="0.2">
      <c r="A146" s="171"/>
      <c r="B146" s="46"/>
      <c r="C146" s="34" t="s">
        <v>3725</v>
      </c>
      <c r="D146" s="46" t="s">
        <v>488</v>
      </c>
      <c r="E146" s="69"/>
      <c r="F146" s="69">
        <v>280</v>
      </c>
      <c r="G146" s="182">
        <v>2337.3000000000002</v>
      </c>
    </row>
    <row r="147" spans="1:7" ht="13.5" customHeight="1" x14ac:dyDescent="0.2">
      <c r="A147" s="171">
        <v>44006</v>
      </c>
      <c r="B147" s="46"/>
      <c r="C147" s="34" t="s">
        <v>136</v>
      </c>
      <c r="D147" s="46"/>
      <c r="E147" s="69">
        <v>-45.9</v>
      </c>
      <c r="F147" s="69"/>
      <c r="G147" s="182"/>
    </row>
    <row r="148" spans="1:7" ht="13.5" customHeight="1" x14ac:dyDescent="0.2">
      <c r="A148" s="171">
        <v>44012</v>
      </c>
      <c r="B148" s="46"/>
      <c r="C148" s="34" t="s">
        <v>4464</v>
      </c>
      <c r="D148" s="46"/>
      <c r="E148" s="69">
        <v>-441.31</v>
      </c>
      <c r="F148" s="69"/>
      <c r="G148" s="205">
        <v>1850.09</v>
      </c>
    </row>
    <row r="149" spans="1:7" ht="13.5" customHeight="1" thickBot="1" x14ac:dyDescent="0.25">
      <c r="A149" s="171"/>
      <c r="B149" s="46"/>
      <c r="C149" s="34"/>
      <c r="D149" s="46"/>
      <c r="E149" s="654">
        <f>SUM(E118:E148)</f>
        <v>-7424.02</v>
      </c>
      <c r="F149" s="654">
        <f>SUM(F120,F126,F137,F143:F144,F146:F148)</f>
        <v>280.14</v>
      </c>
      <c r="G149" s="182"/>
    </row>
    <row r="150" spans="1:7" ht="13.5" customHeight="1" thickBot="1" x14ac:dyDescent="0.25">
      <c r="A150" s="2" t="s">
        <v>2</v>
      </c>
      <c r="B150" s="3"/>
      <c r="C150" s="3" t="s">
        <v>481</v>
      </c>
      <c r="D150" s="3"/>
      <c r="E150" s="3"/>
      <c r="F150" s="3"/>
      <c r="G150" s="5" t="s">
        <v>7</v>
      </c>
    </row>
    <row r="151" spans="1:7" ht="13.5" customHeight="1" x14ac:dyDescent="0.2">
      <c r="A151" s="8">
        <v>43983</v>
      </c>
      <c r="B151" s="70"/>
      <c r="C151" s="10" t="s">
        <v>537</v>
      </c>
      <c r="D151" s="602"/>
      <c r="E151" s="67"/>
      <c r="F151" s="67"/>
      <c r="G151" s="205">
        <v>0</v>
      </c>
    </row>
    <row r="152" spans="1:7" ht="13.5" customHeight="1" x14ac:dyDescent="0.2">
      <c r="A152" s="171"/>
      <c r="B152" s="46"/>
      <c r="C152" s="34" t="s">
        <v>174</v>
      </c>
      <c r="D152" s="744"/>
      <c r="E152" s="69"/>
      <c r="F152" s="557">
        <v>11981.75</v>
      </c>
      <c r="G152" s="203">
        <v>11981.75</v>
      </c>
    </row>
    <row r="153" spans="1:7" ht="13.5" customHeight="1" x14ac:dyDescent="0.2">
      <c r="A153" s="171" t="s">
        <v>4465</v>
      </c>
      <c r="B153" s="46" t="s">
        <v>483</v>
      </c>
      <c r="C153" s="34" t="s">
        <v>199</v>
      </c>
      <c r="D153" s="553" t="s">
        <v>488</v>
      </c>
      <c r="E153" s="557">
        <v>-211.07</v>
      </c>
      <c r="F153" s="69" t="s">
        <v>483</v>
      </c>
      <c r="G153" s="182"/>
    </row>
    <row r="154" spans="1:7" ht="13.5" customHeight="1" x14ac:dyDescent="0.2">
      <c r="A154" s="171"/>
      <c r="B154" s="46" t="s">
        <v>483</v>
      </c>
      <c r="C154" s="32" t="s">
        <v>194</v>
      </c>
      <c r="D154" s="553" t="s">
        <v>488</v>
      </c>
      <c r="E154" s="557">
        <v>-43.75</v>
      </c>
      <c r="F154" s="69" t="s">
        <v>483</v>
      </c>
      <c r="G154" s="182"/>
    </row>
    <row r="155" spans="1:7" ht="13.5" customHeight="1" x14ac:dyDescent="0.2">
      <c r="A155" s="171"/>
      <c r="B155" s="46" t="s">
        <v>483</v>
      </c>
      <c r="C155" s="32" t="s">
        <v>195</v>
      </c>
      <c r="D155" s="553" t="s">
        <v>488</v>
      </c>
      <c r="E155" s="557">
        <v>-201.94</v>
      </c>
      <c r="F155" s="69"/>
      <c r="G155" s="182">
        <v>11524.99</v>
      </c>
    </row>
    <row r="156" spans="1:7" ht="13.5" customHeight="1" x14ac:dyDescent="0.2">
      <c r="A156" s="171" t="s">
        <v>4466</v>
      </c>
      <c r="B156" s="46" t="s">
        <v>591</v>
      </c>
      <c r="C156" s="36" t="s">
        <v>4359</v>
      </c>
      <c r="D156" s="553" t="s">
        <v>4467</v>
      </c>
      <c r="E156" s="557"/>
      <c r="F156" s="322">
        <v>1093</v>
      </c>
      <c r="G156" s="182">
        <v>12617.99</v>
      </c>
    </row>
    <row r="157" spans="1:7" ht="13.5" customHeight="1" x14ac:dyDescent="0.2">
      <c r="A157" s="171" t="s">
        <v>4468</v>
      </c>
      <c r="B157" s="46" t="s">
        <v>483</v>
      </c>
      <c r="C157" s="34" t="s">
        <v>3911</v>
      </c>
      <c r="D157" s="553" t="s">
        <v>4324</v>
      </c>
      <c r="E157" s="557">
        <v>-224</v>
      </c>
      <c r="F157" s="69"/>
      <c r="G157" s="182">
        <v>12393.99</v>
      </c>
    </row>
    <row r="158" spans="1:7" ht="13.5" customHeight="1" x14ac:dyDescent="0.2">
      <c r="A158" s="171" t="s">
        <v>4469</v>
      </c>
      <c r="B158" s="46" t="s">
        <v>483</v>
      </c>
      <c r="C158" s="34" t="s">
        <v>177</v>
      </c>
      <c r="D158" s="553" t="s">
        <v>777</v>
      </c>
      <c r="E158" s="557">
        <v>-86.76</v>
      </c>
      <c r="F158" s="69"/>
      <c r="G158" s="182">
        <v>12307.23</v>
      </c>
    </row>
    <row r="159" spans="1:7" ht="13.5" customHeight="1" x14ac:dyDescent="0.2">
      <c r="A159" s="171" t="s">
        <v>4470</v>
      </c>
      <c r="B159" s="46" t="s">
        <v>483</v>
      </c>
      <c r="C159" s="34" t="s">
        <v>180</v>
      </c>
      <c r="D159" s="553" t="s">
        <v>488</v>
      </c>
      <c r="E159" s="557">
        <v>-234.75</v>
      </c>
      <c r="F159" s="69"/>
      <c r="G159" s="182" t="s">
        <v>483</v>
      </c>
    </row>
    <row r="160" spans="1:7" ht="13.5" customHeight="1" x14ac:dyDescent="0.2">
      <c r="A160" s="171"/>
      <c r="B160" s="46" t="s">
        <v>483</v>
      </c>
      <c r="C160" s="34" t="s">
        <v>3731</v>
      </c>
      <c r="D160" s="553" t="s">
        <v>4471</v>
      </c>
      <c r="E160" s="557">
        <v>-661.17</v>
      </c>
      <c r="F160" s="69"/>
      <c r="G160" s="182">
        <v>11411.31</v>
      </c>
    </row>
    <row r="161" spans="1:7" ht="13.5" customHeight="1" x14ac:dyDescent="0.2">
      <c r="A161" s="171" t="s">
        <v>4472</v>
      </c>
      <c r="B161" s="46" t="s">
        <v>483</v>
      </c>
      <c r="C161" s="34" t="s">
        <v>4473</v>
      </c>
      <c r="D161" s="553" t="s">
        <v>4474</v>
      </c>
      <c r="E161" s="557">
        <v>-96</v>
      </c>
      <c r="F161" s="69"/>
      <c r="G161" s="182" t="s">
        <v>483</v>
      </c>
    </row>
    <row r="162" spans="1:7" ht="13.5" customHeight="1" x14ac:dyDescent="0.2">
      <c r="A162" s="171"/>
      <c r="B162" s="46" t="s">
        <v>483</v>
      </c>
      <c r="C162" s="34" t="s">
        <v>4475</v>
      </c>
      <c r="D162" s="553" t="s">
        <v>488</v>
      </c>
      <c r="E162" s="557">
        <v>-600</v>
      </c>
      <c r="F162" s="69"/>
      <c r="G162" s="182"/>
    </row>
    <row r="163" spans="1:7" ht="13.5" customHeight="1" x14ac:dyDescent="0.2">
      <c r="A163" s="171"/>
      <c r="B163" s="46"/>
      <c r="C163" s="36" t="s">
        <v>4371</v>
      </c>
      <c r="D163" s="553"/>
      <c r="E163" s="557"/>
      <c r="F163" s="322">
        <v>1740</v>
      </c>
      <c r="G163" s="182">
        <v>12455.31</v>
      </c>
    </row>
    <row r="164" spans="1:7" ht="13.5" customHeight="1" x14ac:dyDescent="0.2">
      <c r="A164" s="171">
        <v>43992</v>
      </c>
      <c r="B164" s="46"/>
      <c r="C164" s="34" t="s">
        <v>4476</v>
      </c>
      <c r="D164" s="11"/>
      <c r="E164" s="557">
        <v>-525.85</v>
      </c>
      <c r="F164" s="69"/>
      <c r="G164" s="182"/>
    </row>
    <row r="165" spans="1:7" ht="13.5" customHeight="1" x14ac:dyDescent="0.2">
      <c r="A165" s="171"/>
      <c r="B165" s="46" t="s">
        <v>483</v>
      </c>
      <c r="C165" s="34" t="s">
        <v>4477</v>
      </c>
      <c r="D165" s="11" t="s">
        <v>4478</v>
      </c>
      <c r="E165" s="557">
        <v>-600</v>
      </c>
      <c r="F165" s="69"/>
      <c r="G165" s="182">
        <v>11329.46</v>
      </c>
    </row>
    <row r="166" spans="1:7" ht="13.5" customHeight="1" x14ac:dyDescent="0.2">
      <c r="A166" s="171" t="s">
        <v>4479</v>
      </c>
      <c r="B166" s="46" t="s">
        <v>483</v>
      </c>
      <c r="C166" s="34" t="s">
        <v>4480</v>
      </c>
      <c r="D166" s="11" t="s">
        <v>488</v>
      </c>
      <c r="E166" s="69"/>
      <c r="F166" s="557">
        <v>4731.47</v>
      </c>
      <c r="G166" s="182">
        <v>16060.93</v>
      </c>
    </row>
    <row r="167" spans="1:7" ht="13.5" customHeight="1" x14ac:dyDescent="0.2">
      <c r="A167" s="171" t="s">
        <v>4481</v>
      </c>
      <c r="B167" s="46" t="s">
        <v>483</v>
      </c>
      <c r="C167" s="36" t="s">
        <v>4204</v>
      </c>
      <c r="D167" s="11" t="s">
        <v>2139</v>
      </c>
      <c r="E167" s="557">
        <v>-789</v>
      </c>
      <c r="F167" s="69"/>
      <c r="G167" s="182"/>
    </row>
    <row r="168" spans="1:7" ht="13.5" customHeight="1" x14ac:dyDescent="0.2">
      <c r="A168" s="171"/>
      <c r="B168" s="46" t="s">
        <v>483</v>
      </c>
      <c r="C168" s="34" t="s">
        <v>4482</v>
      </c>
      <c r="D168" s="11" t="s">
        <v>4483</v>
      </c>
      <c r="E168" s="557">
        <v>-81.45</v>
      </c>
      <c r="F168" s="69"/>
      <c r="G168" s="182">
        <v>15190.48</v>
      </c>
    </row>
    <row r="169" spans="1:7" ht="13.5" customHeight="1" x14ac:dyDescent="0.2">
      <c r="A169" s="171" t="s">
        <v>4484</v>
      </c>
      <c r="B169" s="46" t="s">
        <v>483</v>
      </c>
      <c r="C169" s="34" t="s">
        <v>4078</v>
      </c>
      <c r="D169" s="11" t="s">
        <v>3369</v>
      </c>
      <c r="E169" s="557">
        <v>-585.74</v>
      </c>
      <c r="F169" s="69"/>
      <c r="G169" s="182" t="s">
        <v>483</v>
      </c>
    </row>
    <row r="170" spans="1:7" ht="13.5" customHeight="1" x14ac:dyDescent="0.2">
      <c r="A170" s="171"/>
      <c r="B170" s="46" t="s">
        <v>591</v>
      </c>
      <c r="C170" s="36" t="s">
        <v>4408</v>
      </c>
      <c r="D170" s="11" t="s">
        <v>4485</v>
      </c>
      <c r="E170" s="557"/>
      <c r="F170" s="322">
        <v>3103.13</v>
      </c>
      <c r="G170" s="182">
        <v>17707.87</v>
      </c>
    </row>
    <row r="171" spans="1:7" ht="13.5" customHeight="1" x14ac:dyDescent="0.2">
      <c r="A171" s="171" t="s">
        <v>4486</v>
      </c>
      <c r="B171" s="46" t="s">
        <v>483</v>
      </c>
      <c r="C171" s="34" t="s">
        <v>86</v>
      </c>
      <c r="D171" s="11" t="s">
        <v>488</v>
      </c>
      <c r="E171" s="557">
        <v>-92.5</v>
      </c>
      <c r="F171" s="69"/>
      <c r="G171" s="182" t="s">
        <v>483</v>
      </c>
    </row>
    <row r="172" spans="1:7" ht="13.5" customHeight="1" x14ac:dyDescent="0.2">
      <c r="A172" s="171"/>
      <c r="B172" s="46" t="s">
        <v>483</v>
      </c>
      <c r="C172" s="34" t="s">
        <v>3504</v>
      </c>
      <c r="D172" s="11" t="s">
        <v>4487</v>
      </c>
      <c r="E172" s="557">
        <v>-433.84</v>
      </c>
      <c r="F172" s="69"/>
      <c r="G172" s="182">
        <v>17181.53</v>
      </c>
    </row>
    <row r="173" spans="1:7" ht="13.5" customHeight="1" x14ac:dyDescent="0.2">
      <c r="A173" s="171" t="s">
        <v>4488</v>
      </c>
      <c r="B173" s="46" t="s">
        <v>483</v>
      </c>
      <c r="C173" s="36" t="s">
        <v>194</v>
      </c>
      <c r="D173" s="11" t="s">
        <v>488</v>
      </c>
      <c r="E173" s="557">
        <v>-82.33</v>
      </c>
      <c r="F173" s="69"/>
      <c r="G173" s="182" t="s">
        <v>483</v>
      </c>
    </row>
    <row r="174" spans="1:7" ht="13.5" customHeight="1" x14ac:dyDescent="0.2">
      <c r="A174" s="171"/>
      <c r="B174" s="46" t="s">
        <v>483</v>
      </c>
      <c r="C174" s="36" t="s">
        <v>195</v>
      </c>
      <c r="D174" s="11" t="s">
        <v>488</v>
      </c>
      <c r="E174" s="557">
        <v>-379.99</v>
      </c>
      <c r="F174" s="69"/>
      <c r="G174" s="182">
        <v>16719.21</v>
      </c>
    </row>
    <row r="175" spans="1:7" ht="13.5" customHeight="1" x14ac:dyDescent="0.2">
      <c r="A175" s="171" t="s">
        <v>4489</v>
      </c>
      <c r="B175" s="46" t="s">
        <v>483</v>
      </c>
      <c r="C175" s="34" t="s">
        <v>86</v>
      </c>
      <c r="D175" s="11" t="s">
        <v>488</v>
      </c>
      <c r="E175" s="557">
        <v>-12.5</v>
      </c>
      <c r="F175" s="69"/>
      <c r="G175" s="182" t="s">
        <v>483</v>
      </c>
    </row>
    <row r="176" spans="1:7" ht="13.5" customHeight="1" x14ac:dyDescent="0.2">
      <c r="A176" s="171"/>
      <c r="B176" s="46" t="s">
        <v>483</v>
      </c>
      <c r="C176" s="34" t="s">
        <v>4490</v>
      </c>
      <c r="D176" s="11" t="s">
        <v>4491</v>
      </c>
      <c r="E176" s="557">
        <v>-260.64999999999998</v>
      </c>
      <c r="F176" s="69"/>
      <c r="G176" s="182">
        <v>16446.060000000001</v>
      </c>
    </row>
    <row r="177" spans="1:9" ht="13.5" customHeight="1" x14ac:dyDescent="0.2">
      <c r="A177" s="171" t="s">
        <v>4492</v>
      </c>
      <c r="B177" s="46" t="s">
        <v>591</v>
      </c>
      <c r="C177" s="36" t="s">
        <v>4014</v>
      </c>
      <c r="D177" s="11" t="s">
        <v>4493</v>
      </c>
      <c r="E177" s="557"/>
      <c r="F177" s="322">
        <v>1740</v>
      </c>
      <c r="G177" s="182">
        <v>18186.060000000001</v>
      </c>
    </row>
    <row r="178" spans="1:9" ht="13.5" customHeight="1" x14ac:dyDescent="0.2">
      <c r="A178" s="171" t="s">
        <v>4494</v>
      </c>
      <c r="B178" s="46" t="s">
        <v>483</v>
      </c>
      <c r="C178" s="32" t="s">
        <v>813</v>
      </c>
      <c r="D178" s="11" t="s">
        <v>4495</v>
      </c>
      <c r="E178" s="557">
        <v>-50</v>
      </c>
      <c r="F178" s="69"/>
      <c r="G178" s="205">
        <v>18136.060000000001</v>
      </c>
    </row>
    <row r="179" spans="1:9" x14ac:dyDescent="0.2">
      <c r="E179" s="765">
        <f>SUM(E153:E178)</f>
        <v>-6253.2899999999991</v>
      </c>
      <c r="F179" s="765">
        <f>SUM(F152,F166,)</f>
        <v>16713.22</v>
      </c>
    </row>
    <row r="180" spans="1:9" x14ac:dyDescent="0.2">
      <c r="H180" s="30">
        <f>SUM(G3,G82,G117,G151)</f>
        <v>42411.97</v>
      </c>
      <c r="I180" s="33" t="s">
        <v>1798</v>
      </c>
    </row>
    <row r="182" spans="1:9" x14ac:dyDescent="0.2">
      <c r="H182" s="30">
        <f>G79</f>
        <v>1359.8099999999986</v>
      </c>
      <c r="I182" s="33" t="s">
        <v>1799</v>
      </c>
    </row>
    <row r="183" spans="1:9" x14ac:dyDescent="0.2">
      <c r="C183" s="40"/>
    </row>
    <row r="184" spans="1:9" x14ac:dyDescent="0.2">
      <c r="H184" s="30">
        <f>SUM(G112,G148,G178)</f>
        <v>54482.149999999994</v>
      </c>
      <c r="I184" s="33" t="s">
        <v>1797</v>
      </c>
    </row>
    <row r="185" spans="1:9" x14ac:dyDescent="0.2">
      <c r="D185" s="1">
        <f>SUM(E187-E189)</f>
        <v>400</v>
      </c>
    </row>
    <row r="186" spans="1:9" x14ac:dyDescent="0.2">
      <c r="H186" s="30">
        <f>SUM(F179,E179,F149,E149,F115,E115,F80,E80,)</f>
        <v>13429.990000000005</v>
      </c>
      <c r="I186" s="33" t="s">
        <v>3517</v>
      </c>
    </row>
    <row r="187" spans="1:9" x14ac:dyDescent="0.2">
      <c r="E187" s="1">
        <v>13429.99</v>
      </c>
    </row>
    <row r="189" spans="1:9" x14ac:dyDescent="0.2">
      <c r="E189" s="1">
        <v>13029.99</v>
      </c>
    </row>
    <row r="190" spans="1:9" x14ac:dyDescent="0.2">
      <c r="H190" s="30">
        <f>SUM(H180+H186-H182-H184)</f>
        <v>1.4551915228366852E-11</v>
      </c>
    </row>
  </sheetData>
  <mergeCells count="2">
    <mergeCell ref="A1:C1"/>
    <mergeCell ref="D1:G1"/>
  </mergeCells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X256"/>
  <sheetViews>
    <sheetView topLeftCell="A161" zoomScale="85" zoomScaleNormal="85" workbookViewId="0">
      <selection activeCell="F191" sqref="F191"/>
    </sheetView>
  </sheetViews>
  <sheetFormatPr defaultColWidth="9" defaultRowHeight="12.75" x14ac:dyDescent="0.2"/>
  <cols>
    <col min="1" max="1" width="14" style="1" customWidth="1"/>
    <col min="2" max="2" width="1.875" style="1" customWidth="1"/>
    <col min="3" max="3" width="99.25" style="1" customWidth="1"/>
    <col min="4" max="4" width="12" style="1" customWidth="1"/>
    <col min="5" max="5" width="12.375" style="1" customWidth="1"/>
    <col min="6" max="6" width="10.75" style="1" customWidth="1"/>
    <col min="7" max="7" width="11.875" style="1" customWidth="1"/>
    <col min="8" max="9" width="9.375" style="1" bestFit="1" customWidth="1"/>
    <col min="10" max="16384" width="9" style="1"/>
  </cols>
  <sheetData>
    <row r="1" spans="1:8" ht="13.5" customHeight="1" thickBot="1" x14ac:dyDescent="0.25">
      <c r="A1" s="1407" t="s">
        <v>4497</v>
      </c>
      <c r="B1" s="1407"/>
      <c r="C1" s="1408"/>
      <c r="D1" s="1409" t="s">
        <v>0</v>
      </c>
      <c r="E1" s="1410"/>
      <c r="F1" s="1410"/>
      <c r="G1" s="1411"/>
    </row>
    <row r="2" spans="1:8" ht="13.5" customHeight="1" thickBot="1" x14ac:dyDescent="0.25">
      <c r="A2" s="2" t="s">
        <v>2</v>
      </c>
      <c r="B2" s="3"/>
      <c r="C2" s="3" t="s">
        <v>2335</v>
      </c>
      <c r="D2" s="3" t="s">
        <v>4</v>
      </c>
      <c r="E2" s="3" t="s">
        <v>5</v>
      </c>
      <c r="F2" s="3" t="s">
        <v>6</v>
      </c>
      <c r="G2" s="5" t="s">
        <v>7</v>
      </c>
    </row>
    <row r="3" spans="1:8" ht="13.5" customHeight="1" x14ac:dyDescent="0.2">
      <c r="A3" s="8">
        <v>44013</v>
      </c>
      <c r="B3" s="56"/>
      <c r="C3" s="10" t="s">
        <v>8</v>
      </c>
      <c r="D3" s="11">
        <v>0</v>
      </c>
      <c r="E3" s="51"/>
      <c r="F3" s="12"/>
      <c r="G3" s="178">
        <v>1359.8099999999986</v>
      </c>
      <c r="H3" s="18">
        <v>1359.8099999999986</v>
      </c>
    </row>
    <row r="4" spans="1:8" ht="13.5" customHeight="1" x14ac:dyDescent="0.2">
      <c r="A4" s="180">
        <v>44013</v>
      </c>
      <c r="B4" s="56"/>
      <c r="C4" s="36" t="s">
        <v>4498</v>
      </c>
      <c r="D4" s="11"/>
      <c r="E4" s="30"/>
      <c r="F4" s="12">
        <v>220</v>
      </c>
      <c r="G4" s="182"/>
      <c r="H4" s="18">
        <v>1579.8099999999986</v>
      </c>
    </row>
    <row r="5" spans="1:8" ht="13.5" customHeight="1" x14ac:dyDescent="0.2">
      <c r="A5" s="180"/>
      <c r="B5" s="56"/>
      <c r="C5" s="36" t="s">
        <v>4499</v>
      </c>
      <c r="D5" s="11"/>
      <c r="E5" s="30"/>
      <c r="F5" s="12">
        <v>1740</v>
      </c>
      <c r="G5" s="182"/>
      <c r="H5" s="18">
        <v>3319.8099999999986</v>
      </c>
    </row>
    <row r="6" spans="1:8" ht="13.5" customHeight="1" x14ac:dyDescent="0.2">
      <c r="A6" s="180"/>
      <c r="B6" s="56"/>
      <c r="C6" s="36" t="s">
        <v>4500</v>
      </c>
      <c r="D6" s="11"/>
      <c r="E6" s="30">
        <v>72</v>
      </c>
      <c r="F6" s="12"/>
      <c r="G6" s="182"/>
      <c r="H6" s="18">
        <v>3247.8099999999986</v>
      </c>
    </row>
    <row r="7" spans="1:8" ht="13.5" customHeight="1" x14ac:dyDescent="0.2">
      <c r="A7" s="180"/>
      <c r="B7" s="56"/>
      <c r="C7" s="36" t="s">
        <v>4501</v>
      </c>
      <c r="D7" s="11"/>
      <c r="E7" s="30"/>
      <c r="F7" s="12">
        <v>250</v>
      </c>
      <c r="G7" s="182">
        <v>3497.8099999999986</v>
      </c>
      <c r="H7" s="18">
        <v>3497.8099999999986</v>
      </c>
    </row>
    <row r="8" spans="1:8" ht="13.5" customHeight="1" x14ac:dyDescent="0.2">
      <c r="A8" s="180">
        <v>44014</v>
      </c>
      <c r="B8" s="56"/>
      <c r="C8" s="36" t="s">
        <v>4360</v>
      </c>
      <c r="D8" s="11"/>
      <c r="E8" s="165">
        <v>1740</v>
      </c>
      <c r="F8" s="12"/>
      <c r="G8" s="182"/>
      <c r="H8" s="18">
        <v>1757.8099999999986</v>
      </c>
    </row>
    <row r="9" spans="1:8" ht="13.5" customHeight="1" x14ac:dyDescent="0.2">
      <c r="A9" s="180"/>
      <c r="B9" s="56"/>
      <c r="C9" s="34" t="s">
        <v>4362</v>
      </c>
      <c r="D9" s="11"/>
      <c r="E9" s="30"/>
      <c r="F9" s="12">
        <v>1340</v>
      </c>
      <c r="G9" s="182">
        <v>3097.8099999999986</v>
      </c>
      <c r="H9" s="18">
        <v>3097.8099999999986</v>
      </c>
    </row>
    <row r="10" spans="1:8" ht="13.5" customHeight="1" x14ac:dyDescent="0.2">
      <c r="A10" s="180">
        <v>44015</v>
      </c>
      <c r="B10" s="56"/>
      <c r="C10" s="36" t="s">
        <v>4502</v>
      </c>
      <c r="D10" s="11"/>
      <c r="E10" s="30"/>
      <c r="F10" s="12">
        <v>100</v>
      </c>
      <c r="G10" s="182"/>
      <c r="H10" s="18">
        <v>3197.8099999999986</v>
      </c>
    </row>
    <row r="11" spans="1:8" ht="13.5" customHeight="1" x14ac:dyDescent="0.2">
      <c r="A11" s="180"/>
      <c r="B11" s="56"/>
      <c r="C11" s="36" t="s">
        <v>4503</v>
      </c>
      <c r="D11" s="11"/>
      <c r="E11" s="30"/>
      <c r="F11" s="30">
        <v>300</v>
      </c>
      <c r="G11" s="182"/>
      <c r="H11" s="18">
        <v>3497.8099999999986</v>
      </c>
    </row>
    <row r="12" spans="1:8" ht="13.5" customHeight="1" x14ac:dyDescent="0.2">
      <c r="A12" s="180"/>
      <c r="B12" s="56"/>
      <c r="C12" s="36" t="s">
        <v>4504</v>
      </c>
      <c r="D12" s="11"/>
      <c r="E12" s="30">
        <v>525</v>
      </c>
      <c r="F12" s="30"/>
      <c r="G12" s="182">
        <v>2972.8099999999986</v>
      </c>
      <c r="H12" s="18">
        <v>2972.8099999999986</v>
      </c>
    </row>
    <row r="13" spans="1:8" ht="13.5" customHeight="1" x14ac:dyDescent="0.2">
      <c r="A13" s="180">
        <v>44018</v>
      </c>
      <c r="B13" s="56"/>
      <c r="C13" s="36" t="s">
        <v>4505</v>
      </c>
      <c r="D13" s="11"/>
      <c r="E13" s="30">
        <v>25.2</v>
      </c>
      <c r="F13" s="30"/>
      <c r="G13" s="182"/>
      <c r="H13" s="18">
        <v>2947.6099999999988</v>
      </c>
    </row>
    <row r="14" spans="1:8" ht="13.5" customHeight="1" x14ac:dyDescent="0.2">
      <c r="A14" s="180"/>
      <c r="B14" s="56"/>
      <c r="C14" s="36" t="s">
        <v>4506</v>
      </c>
      <c r="D14" s="11"/>
      <c r="E14" s="30">
        <v>4</v>
      </c>
      <c r="F14" s="30"/>
      <c r="G14" s="182"/>
      <c r="H14" s="18">
        <v>2943.6099999999988</v>
      </c>
    </row>
    <row r="15" spans="1:8" ht="13.5" customHeight="1" x14ac:dyDescent="0.2">
      <c r="A15" s="180"/>
      <c r="B15" s="56"/>
      <c r="C15" s="34" t="s">
        <v>4507</v>
      </c>
      <c r="D15" s="11"/>
      <c r="E15" s="30">
        <v>4.2</v>
      </c>
      <c r="F15" s="30"/>
      <c r="G15" s="182"/>
      <c r="H15" s="18">
        <v>2939.4099999999989</v>
      </c>
    </row>
    <row r="16" spans="1:8" ht="13.5" customHeight="1" x14ac:dyDescent="0.2">
      <c r="A16" s="180"/>
      <c r="B16" s="56"/>
      <c r="C16" s="34" t="s">
        <v>4508</v>
      </c>
      <c r="D16" s="11"/>
      <c r="E16" s="30">
        <v>56</v>
      </c>
      <c r="F16" s="30"/>
      <c r="G16" s="182">
        <v>2883.4099999999989</v>
      </c>
      <c r="H16" s="18">
        <v>2883.4099999999989</v>
      </c>
    </row>
    <row r="17" spans="1:8" ht="13.5" customHeight="1" x14ac:dyDescent="0.2">
      <c r="A17" s="180">
        <v>44019</v>
      </c>
      <c r="B17" s="56"/>
      <c r="C17" s="34" t="s">
        <v>4509</v>
      </c>
      <c r="D17" s="11"/>
      <c r="E17" s="30"/>
      <c r="F17" s="30">
        <v>200</v>
      </c>
      <c r="G17" s="182"/>
      <c r="H17" s="18">
        <v>3083.4099999999989</v>
      </c>
    </row>
    <row r="18" spans="1:8" ht="13.5" customHeight="1" x14ac:dyDescent="0.2">
      <c r="A18" s="180"/>
      <c r="B18" s="56"/>
      <c r="C18" s="34" t="s">
        <v>4510</v>
      </c>
      <c r="D18" s="11"/>
      <c r="E18" s="30"/>
      <c r="F18" s="30">
        <v>80</v>
      </c>
      <c r="G18" s="182"/>
      <c r="H18" s="18">
        <v>3163.4099999999989</v>
      </c>
    </row>
    <row r="19" spans="1:8" ht="13.5" customHeight="1" x14ac:dyDescent="0.2">
      <c r="A19" s="180"/>
      <c r="B19" s="56"/>
      <c r="C19" s="34" t="s">
        <v>4511</v>
      </c>
      <c r="D19" s="11"/>
      <c r="E19" s="30"/>
      <c r="F19" s="30">
        <v>250</v>
      </c>
      <c r="G19" s="182"/>
      <c r="H19" s="18">
        <v>3413.4099999999989</v>
      </c>
    </row>
    <row r="20" spans="1:8" ht="13.5" customHeight="1" x14ac:dyDescent="0.2">
      <c r="A20" s="180"/>
      <c r="B20" s="56"/>
      <c r="C20" s="34" t="s">
        <v>4512</v>
      </c>
      <c r="D20" s="11"/>
      <c r="E20" s="30"/>
      <c r="F20" s="30">
        <v>60</v>
      </c>
      <c r="G20" s="182">
        <v>3473.4099999999989</v>
      </c>
      <c r="H20" s="18">
        <v>3473.4099999999989</v>
      </c>
    </row>
    <row r="21" spans="1:8" ht="13.5" customHeight="1" x14ac:dyDescent="0.2">
      <c r="A21" s="180">
        <v>44021</v>
      </c>
      <c r="B21" s="56"/>
      <c r="C21" s="34" t="s">
        <v>4513</v>
      </c>
      <c r="D21" s="11"/>
      <c r="E21" s="30"/>
      <c r="F21" s="30">
        <v>60</v>
      </c>
      <c r="G21" s="182"/>
      <c r="H21" s="18">
        <v>3533.4099999999989</v>
      </c>
    </row>
    <row r="22" spans="1:8" ht="13.5" customHeight="1" x14ac:dyDescent="0.2">
      <c r="A22" s="180"/>
      <c r="B22" s="56"/>
      <c r="C22" s="34" t="s">
        <v>4514</v>
      </c>
      <c r="D22" s="11"/>
      <c r="E22" s="30">
        <v>2.5</v>
      </c>
      <c r="F22" s="30"/>
      <c r="G22" s="182"/>
      <c r="H22" s="18">
        <v>3530.9099999999989</v>
      </c>
    </row>
    <row r="23" spans="1:8" ht="13.5" customHeight="1" x14ac:dyDescent="0.2">
      <c r="A23" s="180"/>
      <c r="B23" s="56"/>
      <c r="C23" s="34" t="s">
        <v>4515</v>
      </c>
      <c r="D23" s="11"/>
      <c r="E23" s="30">
        <v>320</v>
      </c>
      <c r="F23" s="30"/>
      <c r="G23" s="182"/>
      <c r="H23" s="18">
        <v>3210.9099999999989</v>
      </c>
    </row>
    <row r="24" spans="1:8" ht="13.5" customHeight="1" x14ac:dyDescent="0.2">
      <c r="A24" s="180"/>
      <c r="B24" s="56"/>
      <c r="C24" s="34" t="s">
        <v>4516</v>
      </c>
      <c r="D24" s="11"/>
      <c r="E24" s="30">
        <v>80</v>
      </c>
      <c r="F24" s="30"/>
      <c r="G24" s="182">
        <v>3130.9099999999989</v>
      </c>
      <c r="H24" s="18">
        <v>3130.9099999999989</v>
      </c>
    </row>
    <row r="25" spans="1:8" ht="13.5" customHeight="1" x14ac:dyDescent="0.2">
      <c r="A25" s="180">
        <v>44022</v>
      </c>
      <c r="B25" s="56"/>
      <c r="C25" s="34" t="s">
        <v>4517</v>
      </c>
      <c r="D25" s="11"/>
      <c r="E25" s="30"/>
      <c r="F25" s="30">
        <v>900</v>
      </c>
      <c r="G25" s="182"/>
      <c r="H25" s="18">
        <v>4030.9099999999989</v>
      </c>
    </row>
    <row r="26" spans="1:8" ht="13.5" customHeight="1" x14ac:dyDescent="0.2">
      <c r="A26" s="180"/>
      <c r="B26" s="56"/>
      <c r="C26" s="34" t="s">
        <v>4518</v>
      </c>
      <c r="D26" s="11"/>
      <c r="E26" s="165">
        <v>400</v>
      </c>
      <c r="F26" s="30"/>
      <c r="G26" s="182"/>
      <c r="H26" s="18">
        <v>3630.9099999999989</v>
      </c>
    </row>
    <row r="27" spans="1:8" ht="13.5" customHeight="1" x14ac:dyDescent="0.2">
      <c r="A27" s="180"/>
      <c r="B27" s="56"/>
      <c r="C27" s="34" t="s">
        <v>4519</v>
      </c>
      <c r="D27" s="11"/>
      <c r="E27" s="30"/>
      <c r="F27" s="30">
        <v>1400</v>
      </c>
      <c r="G27" s="182"/>
      <c r="H27" s="18">
        <v>5030.9099999999989</v>
      </c>
    </row>
    <row r="28" spans="1:8" ht="13.5" customHeight="1" x14ac:dyDescent="0.2">
      <c r="A28" s="180"/>
      <c r="B28" s="56"/>
      <c r="C28" s="34" t="s">
        <v>4496</v>
      </c>
      <c r="D28" s="11"/>
      <c r="E28" s="30"/>
      <c r="F28" s="30">
        <v>100</v>
      </c>
      <c r="G28" s="182"/>
      <c r="H28" s="18">
        <v>5130.9099999999989</v>
      </c>
    </row>
    <row r="29" spans="1:8" ht="13.5" customHeight="1" x14ac:dyDescent="0.2">
      <c r="A29" s="180"/>
      <c r="B29" s="56"/>
      <c r="C29" s="34" t="s">
        <v>4520</v>
      </c>
      <c r="D29" s="11"/>
      <c r="E29" s="30"/>
      <c r="F29" s="30">
        <v>200</v>
      </c>
      <c r="G29" s="182"/>
      <c r="H29" s="18">
        <v>5330.9099999999989</v>
      </c>
    </row>
    <row r="30" spans="1:8" ht="13.5" customHeight="1" x14ac:dyDescent="0.2">
      <c r="A30" s="180"/>
      <c r="B30" s="56"/>
      <c r="C30" s="34" t="s">
        <v>4521</v>
      </c>
      <c r="D30" s="11"/>
      <c r="E30" s="30">
        <v>525</v>
      </c>
      <c r="F30" s="30"/>
      <c r="G30" s="182"/>
      <c r="H30" s="18">
        <v>4805.9099999999989</v>
      </c>
    </row>
    <row r="31" spans="1:8" ht="13.5" customHeight="1" x14ac:dyDescent="0.2">
      <c r="A31" s="180"/>
      <c r="B31" s="56"/>
      <c r="C31" s="34" t="s">
        <v>4522</v>
      </c>
      <c r="D31" s="11"/>
      <c r="E31" s="30"/>
      <c r="F31" s="30">
        <v>2000</v>
      </c>
      <c r="G31" s="182"/>
      <c r="H31" s="18">
        <v>6805.9099999999989</v>
      </c>
    </row>
    <row r="32" spans="1:8" ht="13.5" customHeight="1" x14ac:dyDescent="0.2">
      <c r="A32" s="180"/>
      <c r="B32" s="56"/>
      <c r="C32" s="34" t="s">
        <v>4523</v>
      </c>
      <c r="D32" s="11"/>
      <c r="E32" s="30"/>
      <c r="F32" s="30">
        <v>732</v>
      </c>
      <c r="G32" s="182"/>
      <c r="H32" s="18">
        <v>7537.9099999999989</v>
      </c>
    </row>
    <row r="33" spans="1:8" ht="13.5" customHeight="1" x14ac:dyDescent="0.2">
      <c r="A33" s="180"/>
      <c r="B33" s="56"/>
      <c r="C33" s="34" t="s">
        <v>4524</v>
      </c>
      <c r="D33" s="11"/>
      <c r="E33" s="30">
        <v>319.95</v>
      </c>
      <c r="F33" s="30"/>
      <c r="G33" s="182">
        <v>7217.9599999999991</v>
      </c>
      <c r="H33" s="18">
        <v>7217.9599999999991</v>
      </c>
    </row>
    <row r="34" spans="1:8" ht="13.5" customHeight="1" x14ac:dyDescent="0.2">
      <c r="A34" s="180">
        <v>44025</v>
      </c>
      <c r="B34" s="56"/>
      <c r="C34" s="36" t="s">
        <v>4525</v>
      </c>
      <c r="D34" s="11"/>
      <c r="E34" s="30">
        <v>8.91</v>
      </c>
      <c r="F34" s="30"/>
      <c r="G34" s="182">
        <v>7209.0499999999993</v>
      </c>
      <c r="H34" s="18">
        <v>7209.0499999999993</v>
      </c>
    </row>
    <row r="35" spans="1:8" ht="13.5" customHeight="1" x14ac:dyDescent="0.2">
      <c r="A35" s="180">
        <v>44026</v>
      </c>
      <c r="B35" s="56"/>
      <c r="C35" s="36" t="s">
        <v>4526</v>
      </c>
      <c r="D35" s="11"/>
      <c r="E35" s="165">
        <v>200</v>
      </c>
      <c r="F35" s="30"/>
      <c r="G35" s="182"/>
      <c r="H35" s="18">
        <v>7009.0499999999993</v>
      </c>
    </row>
    <row r="36" spans="1:8" ht="13.5" customHeight="1" x14ac:dyDescent="0.2">
      <c r="A36" s="180"/>
      <c r="B36" s="56"/>
      <c r="C36" s="36" t="s">
        <v>4527</v>
      </c>
      <c r="D36" s="11"/>
      <c r="E36" s="30">
        <v>18</v>
      </c>
      <c r="F36" s="30"/>
      <c r="G36" s="182"/>
      <c r="H36" s="18">
        <v>6991.0499999999993</v>
      </c>
    </row>
    <row r="37" spans="1:8" ht="13.5" customHeight="1" x14ac:dyDescent="0.2">
      <c r="A37" s="180"/>
      <c r="B37" s="56"/>
      <c r="C37" s="36" t="s">
        <v>4528</v>
      </c>
      <c r="D37" s="11"/>
      <c r="E37" s="30"/>
      <c r="F37" s="30">
        <v>34.85</v>
      </c>
      <c r="G37" s="182"/>
      <c r="H37" s="18">
        <v>7025.9</v>
      </c>
    </row>
    <row r="38" spans="1:8" ht="13.5" customHeight="1" x14ac:dyDescent="0.2">
      <c r="A38" s="180"/>
      <c r="B38" s="56"/>
      <c r="C38" s="36" t="s">
        <v>4529</v>
      </c>
      <c r="D38" s="11"/>
      <c r="E38" s="30"/>
      <c r="F38" s="30">
        <v>21</v>
      </c>
      <c r="G38" s="182">
        <v>7046.9</v>
      </c>
      <c r="H38" s="18">
        <v>7046.9</v>
      </c>
    </row>
    <row r="39" spans="1:8" ht="13.5" customHeight="1" x14ac:dyDescent="0.2">
      <c r="A39" s="180">
        <v>44028</v>
      </c>
      <c r="B39" s="56"/>
      <c r="C39" s="36" t="s">
        <v>4530</v>
      </c>
      <c r="D39" s="11"/>
      <c r="E39" s="30">
        <v>13.9</v>
      </c>
      <c r="F39" s="30"/>
      <c r="G39" s="182"/>
      <c r="H39" s="18">
        <v>7033</v>
      </c>
    </row>
    <row r="40" spans="1:8" ht="13.5" customHeight="1" x14ac:dyDescent="0.2">
      <c r="A40" s="180"/>
      <c r="B40" s="56"/>
      <c r="C40" s="36" t="s">
        <v>4531</v>
      </c>
      <c r="D40" s="11"/>
      <c r="E40" s="30">
        <v>9.9</v>
      </c>
      <c r="F40" s="30"/>
      <c r="G40" s="182"/>
      <c r="H40" s="18">
        <v>7023.1</v>
      </c>
    </row>
    <row r="41" spans="1:8" ht="13.5" customHeight="1" x14ac:dyDescent="0.2">
      <c r="A41" s="180"/>
      <c r="B41" s="56"/>
      <c r="C41" s="36" t="s">
        <v>4532</v>
      </c>
      <c r="D41" s="11"/>
      <c r="E41" s="30">
        <v>17.5</v>
      </c>
      <c r="F41" s="30"/>
      <c r="G41" s="182"/>
      <c r="H41" s="18">
        <v>7005.6</v>
      </c>
    </row>
    <row r="42" spans="1:8" ht="13.5" customHeight="1" x14ac:dyDescent="0.2">
      <c r="A42" s="180"/>
      <c r="B42" s="56"/>
      <c r="C42" s="36" t="s">
        <v>4533</v>
      </c>
      <c r="D42" s="11"/>
      <c r="E42" s="30"/>
      <c r="F42" s="30">
        <v>4137.5</v>
      </c>
      <c r="G42" s="182"/>
      <c r="H42" s="18">
        <v>11143.1</v>
      </c>
    </row>
    <row r="43" spans="1:8" ht="13.5" customHeight="1" x14ac:dyDescent="0.2">
      <c r="A43" s="180"/>
      <c r="B43" s="56"/>
      <c r="C43" s="36" t="s">
        <v>4534</v>
      </c>
      <c r="D43" s="11"/>
      <c r="E43" s="30">
        <v>48.5</v>
      </c>
      <c r="F43" s="12"/>
      <c r="G43" s="182">
        <v>11094.6</v>
      </c>
      <c r="H43" s="18">
        <v>11094.6</v>
      </c>
    </row>
    <row r="44" spans="1:8" ht="13.5" customHeight="1" x14ac:dyDescent="0.2">
      <c r="A44" s="180">
        <v>44029</v>
      </c>
      <c r="B44" s="56"/>
      <c r="C44" s="36" t="s">
        <v>4535</v>
      </c>
      <c r="D44" s="11"/>
      <c r="E44" s="30">
        <v>18.399999999999999</v>
      </c>
      <c r="F44" s="12"/>
      <c r="G44" s="182"/>
      <c r="H44" s="18">
        <v>11076.2</v>
      </c>
    </row>
    <row r="45" spans="1:8" ht="13.5" customHeight="1" x14ac:dyDescent="0.2">
      <c r="A45" s="180"/>
      <c r="B45" s="56"/>
      <c r="C45" s="36" t="s">
        <v>4536</v>
      </c>
      <c r="D45" s="11"/>
      <c r="E45" s="30">
        <v>525</v>
      </c>
      <c r="F45" s="12"/>
      <c r="G45" s="182">
        <v>10551.2</v>
      </c>
      <c r="H45" s="18">
        <v>10551.2</v>
      </c>
    </row>
    <row r="46" spans="1:8" ht="13.5" customHeight="1" x14ac:dyDescent="0.2">
      <c r="A46" s="180">
        <v>44032</v>
      </c>
      <c r="B46" s="56"/>
      <c r="C46" s="36" t="s">
        <v>4537</v>
      </c>
      <c r="D46" s="11"/>
      <c r="E46" s="165">
        <v>4135</v>
      </c>
      <c r="F46" s="12"/>
      <c r="G46" s="182">
        <v>6416.2000000000007</v>
      </c>
      <c r="H46" s="18">
        <v>6416.2000000000007</v>
      </c>
    </row>
    <row r="47" spans="1:8" ht="13.5" customHeight="1" x14ac:dyDescent="0.2">
      <c r="A47" s="180">
        <v>44034</v>
      </c>
      <c r="B47" s="56"/>
      <c r="C47" s="36" t="s">
        <v>3987</v>
      </c>
      <c r="D47" s="11"/>
      <c r="E47" s="30">
        <v>100</v>
      </c>
      <c r="F47" s="12"/>
      <c r="G47" s="182">
        <v>6316.2000000000007</v>
      </c>
      <c r="H47" s="18">
        <v>6316.2000000000007</v>
      </c>
    </row>
    <row r="48" spans="1:8" ht="13.5" customHeight="1" x14ac:dyDescent="0.2">
      <c r="A48" s="180">
        <v>44036</v>
      </c>
      <c r="B48" s="56"/>
      <c r="C48" s="36" t="s">
        <v>4538</v>
      </c>
      <c r="D48" s="11"/>
      <c r="E48" s="30">
        <v>78.400000000000006</v>
      </c>
      <c r="F48" s="12"/>
      <c r="G48" s="182"/>
      <c r="H48" s="18">
        <v>6237.8000000000011</v>
      </c>
    </row>
    <row r="49" spans="1:24" s="64" customFormat="1" ht="13.5" customHeight="1" x14ac:dyDescent="0.2">
      <c r="A49" s="184"/>
      <c r="B49" s="63"/>
      <c r="C49" s="32" t="s">
        <v>4539</v>
      </c>
      <c r="D49" s="50"/>
      <c r="E49" s="51">
        <v>280</v>
      </c>
      <c r="F49" s="13"/>
      <c r="G49" s="53"/>
      <c r="H49" s="18">
        <v>5957.8000000000011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 spans="1:24" s="64" customFormat="1" ht="13.5" customHeight="1" x14ac:dyDescent="0.2">
      <c r="A50" s="184"/>
      <c r="B50" s="63"/>
      <c r="C50" s="63" t="s">
        <v>4540</v>
      </c>
      <c r="D50" s="50"/>
      <c r="E50" s="51">
        <v>80</v>
      </c>
      <c r="F50" s="13"/>
      <c r="G50" s="53"/>
      <c r="H50" s="18">
        <v>5877.8000000000011</v>
      </c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 spans="1:24" s="64" customFormat="1" ht="13.5" customHeight="1" x14ac:dyDescent="0.2">
      <c r="A51" s="184"/>
      <c r="B51" s="63"/>
      <c r="C51" s="32" t="s">
        <v>4541</v>
      </c>
      <c r="D51" s="50"/>
      <c r="E51" s="51">
        <v>525</v>
      </c>
      <c r="F51" s="13"/>
      <c r="G51" s="53">
        <v>5352.8000000000011</v>
      </c>
      <c r="H51" s="18">
        <v>5352.8000000000011</v>
      </c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</row>
    <row r="52" spans="1:24" s="64" customFormat="1" ht="13.5" customHeight="1" x14ac:dyDescent="0.2">
      <c r="A52" s="184">
        <v>44042</v>
      </c>
      <c r="B52" s="63"/>
      <c r="C52" s="32" t="s">
        <v>4542</v>
      </c>
      <c r="D52" s="50"/>
      <c r="E52" s="51">
        <v>22.4</v>
      </c>
      <c r="F52" s="13"/>
      <c r="G52" s="53"/>
      <c r="H52" s="18">
        <v>5330.4000000000015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 spans="1:24" s="64" customFormat="1" ht="13.5" customHeight="1" x14ac:dyDescent="0.2">
      <c r="A53" s="184"/>
      <c r="B53" s="63"/>
      <c r="C53" s="32" t="s">
        <v>4543</v>
      </c>
      <c r="D53" s="50"/>
      <c r="E53" s="51">
        <v>19.940000000000001</v>
      </c>
      <c r="F53" s="13"/>
      <c r="G53" s="53"/>
      <c r="H53" s="18">
        <v>5310.4600000000019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 spans="1:24" s="64" customFormat="1" ht="13.5" customHeight="1" x14ac:dyDescent="0.2">
      <c r="A54" s="184"/>
      <c r="B54" s="63"/>
      <c r="C54" s="32" t="s">
        <v>4544</v>
      </c>
      <c r="D54" s="50"/>
      <c r="E54" s="51">
        <v>60</v>
      </c>
      <c r="F54" s="13"/>
      <c r="G54" s="53">
        <v>5250.4600000000019</v>
      </c>
      <c r="H54" s="18">
        <v>5250.4600000000019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 spans="1:24" s="64" customFormat="1" ht="13.5" customHeight="1" x14ac:dyDescent="0.2">
      <c r="A55" s="184">
        <v>44043</v>
      </c>
      <c r="B55" s="63"/>
      <c r="C55" s="32" t="s">
        <v>4545</v>
      </c>
      <c r="D55" s="50"/>
      <c r="E55" s="51">
        <v>525</v>
      </c>
      <c r="F55" s="13"/>
      <c r="G55" s="53"/>
      <c r="H55" s="18">
        <v>4725.4600000000019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 spans="1:24" s="64" customFormat="1" ht="13.5" customHeight="1" x14ac:dyDescent="0.2">
      <c r="A56" s="184"/>
      <c r="B56" s="63"/>
      <c r="C56" s="32" t="s">
        <v>4546</v>
      </c>
      <c r="D56" s="50"/>
      <c r="E56" s="51">
        <v>14.7</v>
      </c>
      <c r="F56" s="13"/>
      <c r="G56" s="53"/>
      <c r="H56" s="18">
        <v>4710.760000000002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 spans="1:24" s="64" customFormat="1" ht="13.5" customHeight="1" x14ac:dyDescent="0.2">
      <c r="A57" s="184"/>
      <c r="B57" s="63"/>
      <c r="C57" s="32" t="s">
        <v>4547</v>
      </c>
      <c r="D57" s="50"/>
      <c r="E57" s="51">
        <v>23.36</v>
      </c>
      <c r="F57" s="13"/>
      <c r="G57" s="53"/>
      <c r="H57" s="18">
        <v>4687.4000000000024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 spans="1:24" s="64" customFormat="1" ht="13.5" customHeight="1" x14ac:dyDescent="0.2">
      <c r="A58" s="184"/>
      <c r="B58" s="63"/>
      <c r="C58" s="32" t="s">
        <v>4548</v>
      </c>
      <c r="D58" s="50"/>
      <c r="E58" s="51">
        <v>26.8</v>
      </c>
      <c r="F58" s="13"/>
      <c r="G58" s="178">
        <v>4660.6000000000022</v>
      </c>
      <c r="H58" s="18">
        <v>4660.6000000000022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 spans="1:24" s="64" customFormat="1" ht="13.5" customHeight="1" thickBot="1" x14ac:dyDescent="0.25">
      <c r="A59" s="184"/>
      <c r="B59" s="63"/>
      <c r="C59" s="63"/>
      <c r="D59" s="50"/>
      <c r="E59" s="650">
        <f>-SUM(E6,E12:E25,E30:E34,E36:E45,E47:E58)</f>
        <v>-4349.5600000000004</v>
      </c>
      <c r="F59" s="651">
        <f>SUM(F4:F58)</f>
        <v>14125.35</v>
      </c>
      <c r="G59" s="53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 spans="1:24" ht="13.5" customHeight="1" thickBot="1" x14ac:dyDescent="0.25">
      <c r="A60" s="2" t="s">
        <v>2</v>
      </c>
      <c r="B60" s="3"/>
      <c r="C60" s="3" t="s">
        <v>536</v>
      </c>
      <c r="D60" s="3" t="s">
        <v>4</v>
      </c>
      <c r="E60" s="3" t="s">
        <v>5</v>
      </c>
      <c r="F60" s="3" t="s">
        <v>6</v>
      </c>
      <c r="G60" s="5" t="s">
        <v>7</v>
      </c>
    </row>
    <row r="61" spans="1:24" ht="13.5" customHeight="1" x14ac:dyDescent="0.2">
      <c r="A61" s="8">
        <v>44013</v>
      </c>
      <c r="B61" s="56"/>
      <c r="C61" s="10" t="s">
        <v>8</v>
      </c>
      <c r="D61" s="11"/>
      <c r="E61" s="51"/>
      <c r="F61" s="12"/>
      <c r="G61" s="205">
        <v>34495.999999999993</v>
      </c>
      <c r="H61" s="18">
        <v>34495.999999999993</v>
      </c>
    </row>
    <row r="62" spans="1:24" ht="13.5" customHeight="1" x14ac:dyDescent="0.2">
      <c r="A62" s="171"/>
      <c r="B62" s="46"/>
      <c r="C62" s="742" t="s">
        <v>4549</v>
      </c>
      <c r="D62" s="11"/>
      <c r="E62" s="30"/>
      <c r="F62" s="12">
        <v>900</v>
      </c>
      <c r="G62" s="182">
        <v>35395.999999999993</v>
      </c>
      <c r="H62" s="18">
        <v>35395.999999999993</v>
      </c>
    </row>
    <row r="63" spans="1:24" ht="13.5" customHeight="1" x14ac:dyDescent="0.2">
      <c r="A63" s="180"/>
      <c r="B63" s="56"/>
      <c r="C63" s="742" t="s">
        <v>4550</v>
      </c>
      <c r="D63" s="11"/>
      <c r="E63" s="30"/>
      <c r="F63" s="12">
        <v>4500</v>
      </c>
      <c r="G63" s="182">
        <v>39895.999999999993</v>
      </c>
      <c r="H63" s="18">
        <v>39895.999999999993</v>
      </c>
    </row>
    <row r="64" spans="1:24" ht="13.5" customHeight="1" x14ac:dyDescent="0.2">
      <c r="A64" s="180"/>
      <c r="B64" s="56"/>
      <c r="C64" s="742" t="s">
        <v>4551</v>
      </c>
      <c r="D64" s="11"/>
      <c r="E64" s="30"/>
      <c r="F64" s="12">
        <v>1100</v>
      </c>
      <c r="G64" s="182">
        <v>40995.999999999993</v>
      </c>
      <c r="H64" s="18">
        <v>40995.999999999993</v>
      </c>
    </row>
    <row r="65" spans="1:24" ht="13.5" customHeight="1" x14ac:dyDescent="0.2">
      <c r="A65" s="180">
        <v>44022</v>
      </c>
      <c r="B65" s="56"/>
      <c r="C65" s="742" t="s">
        <v>4552</v>
      </c>
      <c r="D65" s="11"/>
      <c r="E65" s="30"/>
      <c r="F65" s="12">
        <v>100</v>
      </c>
      <c r="G65" s="182">
        <v>41095.999999999993</v>
      </c>
      <c r="H65" s="18">
        <v>41095.999999999993</v>
      </c>
    </row>
    <row r="66" spans="1:24" ht="13.5" customHeight="1" x14ac:dyDescent="0.2">
      <c r="A66" s="180"/>
      <c r="B66" s="56"/>
      <c r="C66" s="742" t="s">
        <v>4553</v>
      </c>
      <c r="D66" s="11"/>
      <c r="E66" s="30"/>
      <c r="F66" s="12">
        <v>250</v>
      </c>
      <c r="G66" s="182">
        <v>41345.999999999993</v>
      </c>
      <c r="H66" s="18">
        <v>41345.999999999993</v>
      </c>
    </row>
    <row r="67" spans="1:24" ht="13.5" customHeight="1" x14ac:dyDescent="0.2">
      <c r="A67" s="180"/>
      <c r="B67" s="56"/>
      <c r="C67" s="742" t="s">
        <v>4554</v>
      </c>
      <c r="D67" s="11"/>
      <c r="E67" s="30">
        <v>1500</v>
      </c>
      <c r="F67" s="12"/>
      <c r="G67" s="182">
        <v>39845.999999999993</v>
      </c>
      <c r="H67" s="18">
        <v>39845.999999999993</v>
      </c>
    </row>
    <row r="68" spans="1:24" ht="13.5" customHeight="1" x14ac:dyDescent="0.2">
      <c r="A68" s="180">
        <v>44025</v>
      </c>
      <c r="B68" s="56"/>
      <c r="C68" s="742" t="s">
        <v>4555</v>
      </c>
      <c r="D68" s="11"/>
      <c r="E68" s="30"/>
      <c r="F68" s="12">
        <v>1240</v>
      </c>
      <c r="G68" s="182">
        <v>41085.999999999993</v>
      </c>
      <c r="H68" s="18">
        <v>41085.999999999993</v>
      </c>
    </row>
    <row r="69" spans="1:24" ht="13.5" customHeight="1" x14ac:dyDescent="0.2">
      <c r="A69" s="180"/>
      <c r="B69" s="56"/>
      <c r="C69" s="742" t="s">
        <v>4556</v>
      </c>
      <c r="D69" s="11"/>
      <c r="E69" s="30"/>
      <c r="F69" s="12">
        <v>115</v>
      </c>
      <c r="G69" s="182">
        <v>41200.999999999993</v>
      </c>
      <c r="H69" s="18">
        <v>41200.999999999993</v>
      </c>
    </row>
    <row r="70" spans="1:24" ht="13.5" customHeight="1" x14ac:dyDescent="0.2">
      <c r="A70" s="180"/>
      <c r="B70" s="56"/>
      <c r="C70" s="742" t="s">
        <v>4557</v>
      </c>
      <c r="D70" s="11"/>
      <c r="E70" s="30"/>
      <c r="F70" s="12">
        <v>300</v>
      </c>
      <c r="G70" s="182">
        <v>41500.999999999993</v>
      </c>
      <c r="H70" s="18">
        <v>41500.999999999993</v>
      </c>
    </row>
    <row r="71" spans="1:24" ht="13.5" customHeight="1" x14ac:dyDescent="0.2">
      <c r="A71" s="180"/>
      <c r="B71" s="56"/>
      <c r="C71" s="742" t="s">
        <v>4558</v>
      </c>
      <c r="D71" s="11"/>
      <c r="E71" s="30"/>
      <c r="F71" s="12">
        <v>30</v>
      </c>
      <c r="G71" s="182">
        <v>41530.999999999993</v>
      </c>
      <c r="H71" s="18">
        <v>41530.999999999993</v>
      </c>
    </row>
    <row r="72" spans="1:24" s="64" customFormat="1" ht="13.5" customHeight="1" x14ac:dyDescent="0.2">
      <c r="A72" s="184"/>
      <c r="B72" s="63"/>
      <c r="C72" s="742" t="s">
        <v>4559</v>
      </c>
      <c r="D72" s="50"/>
      <c r="E72" s="51"/>
      <c r="F72" s="13">
        <v>70</v>
      </c>
      <c r="G72" s="182">
        <v>41600.999999999993</v>
      </c>
      <c r="H72" s="18">
        <v>41600.999999999993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 spans="1:24" s="64" customFormat="1" ht="13.5" customHeight="1" x14ac:dyDescent="0.2">
      <c r="A73" s="184"/>
      <c r="B73" s="63"/>
      <c r="C73" s="138" t="s">
        <v>4560</v>
      </c>
      <c r="D73" s="50"/>
      <c r="E73" s="51">
        <v>446</v>
      </c>
      <c r="F73" s="13"/>
      <c r="G73" s="182">
        <v>41154.999999999993</v>
      </c>
      <c r="H73" s="18">
        <v>41154.999999999993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 spans="1:24" s="64" customFormat="1" ht="13.5" customHeight="1" x14ac:dyDescent="0.2">
      <c r="A74" s="184">
        <v>44027</v>
      </c>
      <c r="B74" s="63"/>
      <c r="C74" s="742" t="s">
        <v>4561</v>
      </c>
      <c r="D74" s="50"/>
      <c r="E74" s="51"/>
      <c r="F74" s="13">
        <v>1640</v>
      </c>
      <c r="G74" s="182">
        <v>42794.999999999993</v>
      </c>
      <c r="H74" s="18">
        <v>42794.999999999993</v>
      </c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</row>
    <row r="75" spans="1:24" s="64" customFormat="1" ht="13.5" customHeight="1" x14ac:dyDescent="0.2">
      <c r="A75" s="184"/>
      <c r="B75" s="63"/>
      <c r="C75" s="742" t="s">
        <v>4562</v>
      </c>
      <c r="D75" s="50"/>
      <c r="E75" s="51"/>
      <c r="F75" s="13">
        <v>150</v>
      </c>
      <c r="G75" s="182">
        <v>42944.999999999993</v>
      </c>
      <c r="H75" s="18">
        <v>42944.999999999993</v>
      </c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 spans="1:24" s="64" customFormat="1" ht="13.5" customHeight="1" x14ac:dyDescent="0.2">
      <c r="A76" s="184"/>
      <c r="B76" s="63"/>
      <c r="C76" s="742" t="s">
        <v>4563</v>
      </c>
      <c r="D76" s="50"/>
      <c r="E76" s="51"/>
      <c r="F76" s="13">
        <v>120</v>
      </c>
      <c r="G76" s="182">
        <v>43064.999999999993</v>
      </c>
      <c r="H76" s="18">
        <v>43064.999999999993</v>
      </c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 spans="1:24" s="64" customFormat="1" ht="13.5" customHeight="1" x14ac:dyDescent="0.2">
      <c r="A77" s="184"/>
      <c r="B77" s="63"/>
      <c r="C77" s="742" t="s">
        <v>4564</v>
      </c>
      <c r="D77" s="50"/>
      <c r="E77" s="51">
        <v>300</v>
      </c>
      <c r="F77" s="13"/>
      <c r="G77" s="182">
        <v>42764.999999999993</v>
      </c>
      <c r="H77" s="18">
        <v>42764.999999999993</v>
      </c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 spans="1:24" s="64" customFormat="1" ht="13.5" customHeight="1" x14ac:dyDescent="0.2">
      <c r="A78" s="184"/>
      <c r="B78" s="63"/>
      <c r="C78" s="36" t="s">
        <v>1002</v>
      </c>
      <c r="D78" s="50"/>
      <c r="E78" s="51">
        <v>-803.31</v>
      </c>
      <c r="F78" s="13"/>
      <c r="G78" s="182">
        <v>43568.30999999999</v>
      </c>
      <c r="H78" s="18">
        <v>43568.30999999999</v>
      </c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 spans="1:24" s="64" customFormat="1" ht="13.5" customHeight="1" x14ac:dyDescent="0.2">
      <c r="A79" s="184"/>
      <c r="B79" s="63"/>
      <c r="C79" s="36" t="s">
        <v>4565</v>
      </c>
      <c r="D79" s="50"/>
      <c r="E79" s="51">
        <v>1200</v>
      </c>
      <c r="F79" s="13"/>
      <c r="G79" s="182">
        <v>42368.30999999999</v>
      </c>
      <c r="H79" s="18">
        <v>42368.30999999999</v>
      </c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 spans="1:24" s="64" customFormat="1" ht="13.5" customHeight="1" x14ac:dyDescent="0.2">
      <c r="A80" s="184">
        <v>44028</v>
      </c>
      <c r="B80" s="63"/>
      <c r="C80" s="742" t="s">
        <v>4566</v>
      </c>
      <c r="D80" s="50"/>
      <c r="E80" s="51"/>
      <c r="F80" s="13">
        <v>936</v>
      </c>
      <c r="G80" s="182">
        <v>43304.30999999999</v>
      </c>
      <c r="H80" s="18">
        <v>43304.30999999999</v>
      </c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 spans="1:24" s="64" customFormat="1" ht="13.5" customHeight="1" x14ac:dyDescent="0.2">
      <c r="A81" s="184"/>
      <c r="B81" s="63"/>
      <c r="C81" s="742" t="s">
        <v>4567</v>
      </c>
      <c r="D81" s="50"/>
      <c r="E81" s="51"/>
      <c r="F81" s="13">
        <v>999</v>
      </c>
      <c r="G81" s="182">
        <v>44303.30999999999</v>
      </c>
      <c r="H81" s="18">
        <v>44303.30999999999</v>
      </c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 spans="1:24" s="64" customFormat="1" ht="13.5" customHeight="1" x14ac:dyDescent="0.2">
      <c r="A82" s="184"/>
      <c r="B82" s="63"/>
      <c r="C82" s="36" t="s">
        <v>4030</v>
      </c>
      <c r="D82" s="50"/>
      <c r="E82" s="552">
        <v>9621</v>
      </c>
      <c r="F82" s="13"/>
      <c r="G82" s="182">
        <v>34682.30999999999</v>
      </c>
      <c r="H82" s="18">
        <v>34682.30999999999</v>
      </c>
      <c r="I82" s="18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 spans="1:24" s="64" customFormat="1" ht="13.5" customHeight="1" x14ac:dyDescent="0.2">
      <c r="A83" s="184"/>
      <c r="B83" s="63"/>
      <c r="C83" s="138" t="s">
        <v>4568</v>
      </c>
      <c r="D83" s="50"/>
      <c r="E83" s="51">
        <v>579.19000000000005</v>
      </c>
      <c r="F83" s="13"/>
      <c r="G83" s="182">
        <v>34103.119999999988</v>
      </c>
      <c r="H83" s="18">
        <v>34103.119999999988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 spans="1:24" s="64" customFormat="1" ht="13.5" customHeight="1" x14ac:dyDescent="0.2">
      <c r="A84" s="184">
        <v>44029</v>
      </c>
      <c r="B84" s="63"/>
      <c r="C84" s="34" t="s">
        <v>3872</v>
      </c>
      <c r="D84" s="50"/>
      <c r="E84" s="51">
        <v>110</v>
      </c>
      <c r="F84" s="13"/>
      <c r="G84" s="182">
        <v>33993.119999999988</v>
      </c>
      <c r="H84" s="18">
        <v>33993.119999999988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 spans="1:24" s="64" customFormat="1" ht="13.5" customHeight="1" x14ac:dyDescent="0.2">
      <c r="A85" s="184"/>
      <c r="B85" s="63"/>
      <c r="C85" s="34" t="s">
        <v>4569</v>
      </c>
      <c r="D85" s="50"/>
      <c r="E85" s="51">
        <v>500</v>
      </c>
      <c r="F85" s="13"/>
      <c r="G85" s="182">
        <v>33493.119999999988</v>
      </c>
      <c r="H85" s="18">
        <v>33493.119999999988</v>
      </c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 spans="1:24" s="64" customFormat="1" ht="13.5" customHeight="1" x14ac:dyDescent="0.2">
      <c r="A86" s="184">
        <v>44032</v>
      </c>
      <c r="B86" s="63"/>
      <c r="C86" s="34" t="s">
        <v>4570</v>
      </c>
      <c r="D86" s="50"/>
      <c r="E86" s="51">
        <v>54.8</v>
      </c>
      <c r="F86" s="13"/>
      <c r="G86" s="182">
        <v>33438.319999999985</v>
      </c>
      <c r="H86" s="18">
        <v>33438.319999999985</v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 spans="1:24" s="64" customFormat="1" ht="13.5" customHeight="1" x14ac:dyDescent="0.2">
      <c r="A87" s="184"/>
      <c r="B87" s="63"/>
      <c r="C87" s="138" t="s">
        <v>4571</v>
      </c>
      <c r="D87" s="50"/>
      <c r="E87" s="51">
        <v>183.25</v>
      </c>
      <c r="F87" s="13"/>
      <c r="G87" s="182">
        <v>33255.069999999985</v>
      </c>
      <c r="H87" s="18">
        <v>33255.069999999985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 spans="1:24" s="64" customFormat="1" ht="13.5" customHeight="1" x14ac:dyDescent="0.2">
      <c r="A88" s="184"/>
      <c r="B88" s="63"/>
      <c r="C88" s="138" t="s">
        <v>4572</v>
      </c>
      <c r="D88" s="50"/>
      <c r="E88" s="51">
        <v>379.11</v>
      </c>
      <c r="F88" s="13"/>
      <c r="G88" s="182">
        <v>32875.959999999985</v>
      </c>
      <c r="H88" s="18">
        <v>32875.959999999985</v>
      </c>
      <c r="I88" s="18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 spans="1:24" s="64" customFormat="1" ht="13.5" customHeight="1" x14ac:dyDescent="0.2">
      <c r="A89" s="171">
        <v>44035</v>
      </c>
      <c r="B89" s="46"/>
      <c r="C89" s="36" t="s">
        <v>4441</v>
      </c>
      <c r="D89" s="11"/>
      <c r="E89" s="69">
        <v>640</v>
      </c>
      <c r="F89" s="13"/>
      <c r="G89" s="182">
        <v>32235.959999999985</v>
      </c>
      <c r="H89" s="18">
        <v>32235.959999999985</v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 spans="1:24" s="64" customFormat="1" ht="13.5" customHeight="1" x14ac:dyDescent="0.2">
      <c r="A90" s="171">
        <v>44036</v>
      </c>
      <c r="B90" s="46"/>
      <c r="C90" s="34" t="s">
        <v>4573</v>
      </c>
      <c r="D90" s="11"/>
      <c r="E90" s="69">
        <v>990</v>
      </c>
      <c r="F90" s="13"/>
      <c r="G90" s="182">
        <v>31245.959999999985</v>
      </c>
      <c r="H90" s="18">
        <v>31245.959999999985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 spans="1:24" s="64" customFormat="1" ht="13.5" customHeight="1" x14ac:dyDescent="0.2">
      <c r="A91" s="171"/>
      <c r="B91" s="46"/>
      <c r="C91" s="34" t="s">
        <v>4574</v>
      </c>
      <c r="D91" s="11"/>
      <c r="E91" s="69">
        <v>76.180000000000007</v>
      </c>
      <c r="F91" s="13"/>
      <c r="G91" s="182">
        <v>31169.779999999984</v>
      </c>
      <c r="H91" s="18">
        <v>31169.779999999984</v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 spans="1:24" s="64" customFormat="1" ht="13.5" customHeight="1" x14ac:dyDescent="0.2">
      <c r="A92" s="171">
        <v>44040</v>
      </c>
      <c r="B92" s="46"/>
      <c r="C92" s="34" t="s">
        <v>4575</v>
      </c>
      <c r="D92" s="11"/>
      <c r="E92" s="69">
        <v>83.02</v>
      </c>
      <c r="F92" s="13"/>
      <c r="G92" s="182">
        <v>31086.759999999984</v>
      </c>
      <c r="H92" s="18">
        <v>31086.759999999984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 spans="1:24" s="64" customFormat="1" ht="13.5" customHeight="1" x14ac:dyDescent="0.2">
      <c r="A93" s="171">
        <v>44042</v>
      </c>
      <c r="B93" s="46"/>
      <c r="C93" s="34" t="s">
        <v>4576</v>
      </c>
      <c r="D93" s="11"/>
      <c r="E93" s="69">
        <v>33</v>
      </c>
      <c r="F93" s="13"/>
      <c r="G93" s="182">
        <v>31053.759999999984</v>
      </c>
      <c r="H93" s="18">
        <v>31053.759999999984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 spans="1:24" s="64" customFormat="1" ht="13.5" customHeight="1" x14ac:dyDescent="0.2">
      <c r="A94" s="184"/>
      <c r="B94" s="63"/>
      <c r="C94" s="138" t="s">
        <v>4577</v>
      </c>
      <c r="D94" s="50"/>
      <c r="E94" s="51">
        <v>137</v>
      </c>
      <c r="F94" s="13"/>
      <c r="G94" s="182">
        <v>30916.759999999984</v>
      </c>
      <c r="H94" s="18">
        <v>30916.759999999984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 spans="1:24" s="64" customFormat="1" ht="13.5" customHeight="1" x14ac:dyDescent="0.2">
      <c r="A95" s="184"/>
      <c r="B95" s="63"/>
      <c r="C95" s="742" t="s">
        <v>4578</v>
      </c>
      <c r="D95" s="50"/>
      <c r="E95" s="51"/>
      <c r="F95" s="13">
        <v>900</v>
      </c>
      <c r="G95" s="182">
        <v>31816.759999999984</v>
      </c>
      <c r="H95" s="18">
        <v>31816.759999999984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 spans="1:24" s="64" customFormat="1" ht="13.5" customHeight="1" x14ac:dyDescent="0.2">
      <c r="A96" s="184"/>
      <c r="B96" s="63"/>
      <c r="C96" s="742" t="s">
        <v>4579</v>
      </c>
      <c r="D96" s="50"/>
      <c r="E96" s="51"/>
      <c r="F96" s="13">
        <v>220</v>
      </c>
      <c r="G96" s="182">
        <v>32036.759999999984</v>
      </c>
      <c r="H96" s="18">
        <v>32036.759999999984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 spans="1:24" s="64" customFormat="1" ht="13.5" customHeight="1" x14ac:dyDescent="0.2">
      <c r="A97" s="184">
        <v>44043</v>
      </c>
      <c r="B97" s="63"/>
      <c r="C97" s="34" t="s">
        <v>4580</v>
      </c>
      <c r="D97" s="50"/>
      <c r="E97" s="51">
        <v>36.76</v>
      </c>
      <c r="F97" s="13"/>
      <c r="G97" s="205">
        <v>31999.999999999985</v>
      </c>
      <c r="H97" s="18">
        <v>31999.999999999985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 spans="1:24" s="64" customFormat="1" ht="13.5" customHeight="1" x14ac:dyDescent="0.2">
      <c r="A98" s="184"/>
      <c r="B98" s="63"/>
      <c r="C98" s="138"/>
      <c r="D98" s="50"/>
      <c r="E98" s="51"/>
      <c r="F98" s="13"/>
      <c r="G98" s="182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</row>
    <row r="99" spans="1:24" s="64" customFormat="1" ht="13.5" customHeight="1" x14ac:dyDescent="0.2">
      <c r="A99" s="184"/>
      <c r="B99" s="63"/>
      <c r="C99" s="138"/>
      <c r="D99" s="50"/>
      <c r="E99" s="51"/>
      <c r="F99" s="13"/>
      <c r="G99" s="182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 spans="1:24" s="64" customFormat="1" ht="13.5" customHeight="1" x14ac:dyDescent="0.2">
      <c r="A100" s="184"/>
      <c r="B100" s="63"/>
      <c r="C100" s="63"/>
      <c r="D100" s="50"/>
      <c r="E100" s="51"/>
      <c r="F100" s="13"/>
      <c r="G100" s="182">
        <v>32000</v>
      </c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 spans="1:24" ht="13.5" customHeight="1" thickBot="1" x14ac:dyDescent="0.25">
      <c r="A101" s="180"/>
      <c r="B101" s="56"/>
      <c r="C101" s="56"/>
      <c r="D101" s="11"/>
      <c r="E101" s="653">
        <f>-SUM(E67:E81,E83:E100)</f>
        <v>-6445.0000000000009</v>
      </c>
      <c r="F101" s="647">
        <f>SUM(F62:F100)</f>
        <v>13570</v>
      </c>
      <c r="G101" s="182"/>
    </row>
    <row r="102" spans="1:24" ht="13.5" customHeight="1" thickBot="1" x14ac:dyDescent="0.25">
      <c r="A102" s="2" t="s">
        <v>2</v>
      </c>
      <c r="B102" s="3"/>
      <c r="C102" s="3" t="s">
        <v>3</v>
      </c>
      <c r="D102" s="3"/>
      <c r="E102" s="3"/>
      <c r="F102" s="3"/>
      <c r="G102" s="5" t="s">
        <v>7</v>
      </c>
    </row>
    <row r="103" spans="1:24" ht="13.5" customHeight="1" x14ac:dyDescent="0.2">
      <c r="A103" s="8">
        <v>44013</v>
      </c>
      <c r="B103" s="70"/>
      <c r="C103" s="10" t="s">
        <v>537</v>
      </c>
      <c r="D103" s="46"/>
      <c r="E103" s="67"/>
      <c r="F103" s="67"/>
      <c r="G103" s="205">
        <v>1850.09</v>
      </c>
      <c r="H103" s="18">
        <v>1850.09</v>
      </c>
    </row>
    <row r="104" spans="1:24" ht="13.5" customHeight="1" x14ac:dyDescent="0.2">
      <c r="A104" s="171"/>
      <c r="B104" s="46"/>
      <c r="C104" s="34" t="s">
        <v>4581</v>
      </c>
      <c r="D104" s="46"/>
      <c r="E104" s="28">
        <v>-46.72</v>
      </c>
      <c r="F104" s="69"/>
      <c r="G104" s="182">
        <v>1803.37</v>
      </c>
      <c r="H104" s="18">
        <v>1803.37</v>
      </c>
    </row>
    <row r="105" spans="1:24" ht="13.5" customHeight="1" x14ac:dyDescent="0.2">
      <c r="A105" s="171">
        <v>44015</v>
      </c>
      <c r="B105" s="46"/>
      <c r="C105" s="34" t="s">
        <v>4582</v>
      </c>
      <c r="D105" s="46"/>
      <c r="E105" s="69">
        <v>-80.97</v>
      </c>
      <c r="F105" s="69"/>
      <c r="G105" s="182">
        <v>1722.3999999999999</v>
      </c>
      <c r="H105" s="18">
        <v>1722.3999999999999</v>
      </c>
    </row>
    <row r="106" spans="1:24" ht="13.5" customHeight="1" x14ac:dyDescent="0.2">
      <c r="A106" s="171"/>
      <c r="B106" s="46"/>
      <c r="C106" s="36" t="s">
        <v>4583</v>
      </c>
      <c r="D106" s="46"/>
      <c r="E106" s="69">
        <v>-98</v>
      </c>
      <c r="F106" s="69"/>
      <c r="G106" s="182">
        <v>1624.3999999999999</v>
      </c>
      <c r="H106" s="18">
        <v>1624.3999999999999</v>
      </c>
    </row>
    <row r="107" spans="1:24" ht="13.5" customHeight="1" x14ac:dyDescent="0.2">
      <c r="A107" s="171"/>
      <c r="B107" s="46"/>
      <c r="C107" s="34" t="s">
        <v>4584</v>
      </c>
      <c r="D107" s="46"/>
      <c r="E107" s="69">
        <v>-77.64</v>
      </c>
      <c r="F107" s="69"/>
      <c r="G107" s="182">
        <v>1546.7599999999998</v>
      </c>
      <c r="H107" s="18">
        <v>1546.7599999999998</v>
      </c>
    </row>
    <row r="108" spans="1:24" ht="13.5" customHeight="1" x14ac:dyDescent="0.2">
      <c r="A108" s="180" t="s">
        <v>4585</v>
      </c>
      <c r="B108" s="46"/>
      <c r="C108" s="34" t="s">
        <v>4586</v>
      </c>
      <c r="D108" s="46" t="s">
        <v>4587</v>
      </c>
      <c r="E108" s="69">
        <v>-55.2</v>
      </c>
      <c r="F108" s="69"/>
      <c r="G108" s="182">
        <v>1491.5599999999997</v>
      </c>
      <c r="H108" s="18">
        <v>1491.5599999999997</v>
      </c>
    </row>
    <row r="109" spans="1:24" ht="13.5" customHeight="1" x14ac:dyDescent="0.2">
      <c r="A109" s="180"/>
      <c r="B109" s="46"/>
      <c r="C109" s="34" t="s">
        <v>55</v>
      </c>
      <c r="D109" s="46" t="s">
        <v>4588</v>
      </c>
      <c r="E109" s="61">
        <v>-400</v>
      </c>
      <c r="F109" s="61"/>
      <c r="G109" s="182">
        <v>1091.5599999999997</v>
      </c>
      <c r="H109" s="18">
        <v>1091.5599999999997</v>
      </c>
    </row>
    <row r="110" spans="1:24" ht="13.5" customHeight="1" x14ac:dyDescent="0.2">
      <c r="A110" s="180"/>
      <c r="B110" s="46"/>
      <c r="C110" s="36" t="s">
        <v>20</v>
      </c>
      <c r="D110" s="46" t="s">
        <v>488</v>
      </c>
      <c r="E110" s="69"/>
      <c r="F110" s="69">
        <v>0.01</v>
      </c>
      <c r="G110" s="182">
        <v>1091.5699999999997</v>
      </c>
      <c r="H110" s="18">
        <v>1091.5699999999997</v>
      </c>
    </row>
    <row r="111" spans="1:24" ht="13.5" customHeight="1" x14ac:dyDescent="0.2">
      <c r="A111" s="180" t="s">
        <v>4589</v>
      </c>
      <c r="B111" s="9"/>
      <c r="C111" s="34" t="s">
        <v>4051</v>
      </c>
      <c r="D111" s="46" t="s">
        <v>4590</v>
      </c>
      <c r="E111" s="61">
        <v>-904.57</v>
      </c>
      <c r="F111" s="61"/>
      <c r="G111" s="182">
        <v>186.99999999999966</v>
      </c>
      <c r="H111" s="18">
        <v>186.99999999999966</v>
      </c>
    </row>
    <row r="112" spans="1:24" ht="13.5" customHeight="1" x14ac:dyDescent="0.2">
      <c r="A112" s="180"/>
      <c r="B112" s="9"/>
      <c r="C112" s="34" t="s">
        <v>4518</v>
      </c>
      <c r="D112" s="46" t="s">
        <v>4591</v>
      </c>
      <c r="E112" s="61"/>
      <c r="F112" s="600">
        <v>400</v>
      </c>
      <c r="G112" s="182">
        <v>586.99999999999966</v>
      </c>
      <c r="H112" s="18">
        <v>586.99999999999966</v>
      </c>
    </row>
    <row r="113" spans="1:8" ht="13.5" customHeight="1" x14ac:dyDescent="0.2">
      <c r="A113" s="180"/>
      <c r="B113" s="9"/>
      <c r="C113" s="36" t="s">
        <v>20</v>
      </c>
      <c r="D113" s="46" t="s">
        <v>488</v>
      </c>
      <c r="E113" s="61"/>
      <c r="F113" s="61">
        <v>0.01</v>
      </c>
      <c r="G113" s="182">
        <v>587.00999999999965</v>
      </c>
      <c r="H113" s="18">
        <v>587.00999999999965</v>
      </c>
    </row>
    <row r="114" spans="1:8" ht="13.5" customHeight="1" x14ac:dyDescent="0.2">
      <c r="A114" s="180" t="s">
        <v>4592</v>
      </c>
      <c r="B114" s="9"/>
      <c r="C114" s="34" t="s">
        <v>87</v>
      </c>
      <c r="D114" s="46" t="s">
        <v>488</v>
      </c>
      <c r="E114" s="61">
        <v>-111.22</v>
      </c>
      <c r="F114" s="61"/>
      <c r="G114" s="182">
        <v>475.78999999999962</v>
      </c>
      <c r="H114" s="18">
        <v>475.78999999999962</v>
      </c>
    </row>
    <row r="115" spans="1:8" ht="13.5" customHeight="1" x14ac:dyDescent="0.2">
      <c r="A115" s="180"/>
      <c r="B115" s="9"/>
      <c r="C115" s="34" t="s">
        <v>62</v>
      </c>
      <c r="D115" s="46" t="s">
        <v>4593</v>
      </c>
      <c r="E115" s="61">
        <v>-472.6</v>
      </c>
      <c r="F115" s="61"/>
      <c r="G115" s="182">
        <v>3.1899999999995998</v>
      </c>
      <c r="H115" s="18">
        <v>3.1899999999995998</v>
      </c>
    </row>
    <row r="116" spans="1:8" ht="13.5" customHeight="1" x14ac:dyDescent="0.2">
      <c r="A116" s="180"/>
      <c r="B116" s="9"/>
      <c r="C116" s="36" t="s">
        <v>20</v>
      </c>
      <c r="D116" s="46" t="s">
        <v>488</v>
      </c>
      <c r="E116" s="61"/>
      <c r="F116" s="61">
        <v>0.03</v>
      </c>
      <c r="G116" s="182">
        <v>3.2199999999995996</v>
      </c>
      <c r="H116" s="18">
        <v>3.2199999999995996</v>
      </c>
    </row>
    <row r="117" spans="1:8" ht="13.5" customHeight="1" x14ac:dyDescent="0.2">
      <c r="A117" s="180" t="s">
        <v>4594</v>
      </c>
      <c r="B117" s="46"/>
      <c r="C117" s="34" t="s">
        <v>4595</v>
      </c>
      <c r="D117" s="46" t="s">
        <v>1944</v>
      </c>
      <c r="E117" s="69">
        <v>-42.86</v>
      </c>
      <c r="F117" s="69"/>
      <c r="G117" s="182">
        <v>-39.640000000000398</v>
      </c>
      <c r="H117" s="18">
        <v>-39.640000000000398</v>
      </c>
    </row>
    <row r="118" spans="1:8" ht="13.5" customHeight="1" x14ac:dyDescent="0.2">
      <c r="A118" s="180"/>
      <c r="B118" s="46"/>
      <c r="C118" s="34" t="s">
        <v>4596</v>
      </c>
      <c r="D118" s="46" t="s">
        <v>2510</v>
      </c>
      <c r="E118" s="69">
        <v>-42.1</v>
      </c>
      <c r="F118" s="69"/>
      <c r="G118" s="182">
        <v>-81.740000000000407</v>
      </c>
      <c r="H118" s="18">
        <v>-81.740000000000407</v>
      </c>
    </row>
    <row r="119" spans="1:8" ht="13.5" customHeight="1" x14ac:dyDescent="0.2">
      <c r="A119" s="180"/>
      <c r="B119" s="46"/>
      <c r="C119" s="34" t="s">
        <v>673</v>
      </c>
      <c r="D119" s="46" t="s">
        <v>488</v>
      </c>
      <c r="E119" s="69">
        <v>-99.98</v>
      </c>
      <c r="F119" s="69"/>
      <c r="G119" s="182">
        <v>-181.72000000000043</v>
      </c>
      <c r="H119" s="18">
        <v>-181.72000000000043</v>
      </c>
    </row>
    <row r="120" spans="1:8" ht="13.5" customHeight="1" x14ac:dyDescent="0.2">
      <c r="A120" s="171"/>
      <c r="B120" s="46"/>
      <c r="C120" s="33" t="s">
        <v>81</v>
      </c>
      <c r="D120" s="46" t="s">
        <v>488</v>
      </c>
      <c r="E120" s="69">
        <v>-52.35</v>
      </c>
      <c r="F120" s="69"/>
      <c r="G120" s="182">
        <v>-234.07000000000042</v>
      </c>
      <c r="H120" s="18">
        <v>-234.07000000000042</v>
      </c>
    </row>
    <row r="121" spans="1:8" ht="13.5" customHeight="1" x14ac:dyDescent="0.2">
      <c r="A121" s="171">
        <v>44027</v>
      </c>
      <c r="B121" s="46"/>
      <c r="C121" s="34" t="s">
        <v>86</v>
      </c>
      <c r="D121" s="46" t="s">
        <v>488</v>
      </c>
      <c r="E121" s="69">
        <v>-75.900000000000006</v>
      </c>
      <c r="F121" s="69"/>
      <c r="G121" s="182">
        <v>-309.97000000000043</v>
      </c>
      <c r="H121" s="18">
        <v>-309.97000000000043</v>
      </c>
    </row>
    <row r="122" spans="1:8" ht="13.5" customHeight="1" x14ac:dyDescent="0.2">
      <c r="A122" s="171"/>
      <c r="B122" s="46"/>
      <c r="C122" s="36" t="s">
        <v>4526</v>
      </c>
      <c r="D122" s="46"/>
      <c r="E122" s="69"/>
      <c r="F122" s="322">
        <v>200</v>
      </c>
      <c r="G122" s="182">
        <v>-109.97000000000043</v>
      </c>
      <c r="H122" s="18">
        <v>-109.97000000000043</v>
      </c>
    </row>
    <row r="123" spans="1:8" ht="13.5" customHeight="1" x14ac:dyDescent="0.2">
      <c r="A123" s="171"/>
      <c r="B123" s="46"/>
      <c r="C123" s="36" t="s">
        <v>4030</v>
      </c>
      <c r="D123" s="46"/>
      <c r="E123" s="69"/>
      <c r="F123" s="601">
        <v>9621</v>
      </c>
      <c r="G123" s="182">
        <v>9511.0299999999988</v>
      </c>
      <c r="H123" s="18">
        <v>9511.0299999999988</v>
      </c>
    </row>
    <row r="124" spans="1:8" ht="13.5" customHeight="1" x14ac:dyDescent="0.2">
      <c r="A124" s="171" t="s">
        <v>4597</v>
      </c>
      <c r="B124" s="46"/>
      <c r="C124" s="34" t="s">
        <v>18</v>
      </c>
      <c r="D124" s="46"/>
      <c r="E124" s="69">
        <v>-432.61</v>
      </c>
      <c r="F124" s="69"/>
      <c r="G124" s="182">
        <v>9078.4199999999983</v>
      </c>
      <c r="H124" s="18">
        <v>9078.4199999999983</v>
      </c>
    </row>
    <row r="125" spans="1:8" ht="13.5" customHeight="1" x14ac:dyDescent="0.2">
      <c r="A125" s="171" t="s">
        <v>4598</v>
      </c>
      <c r="B125" s="46"/>
      <c r="C125" s="34" t="s">
        <v>132</v>
      </c>
      <c r="D125" s="46"/>
      <c r="E125" s="69">
        <v>-3472.42</v>
      </c>
      <c r="F125" s="69"/>
      <c r="G125" s="182">
        <v>5605.9999999999982</v>
      </c>
      <c r="H125" s="18">
        <v>5605.9999999999982</v>
      </c>
    </row>
    <row r="126" spans="1:8" ht="13.5" customHeight="1" x14ac:dyDescent="0.2">
      <c r="A126" s="171"/>
      <c r="B126" s="46"/>
      <c r="C126" s="34" t="s">
        <v>4599</v>
      </c>
      <c r="D126" s="46"/>
      <c r="E126" s="69">
        <v>-290</v>
      </c>
      <c r="F126" s="69"/>
      <c r="G126" s="182">
        <v>5315.9999999999982</v>
      </c>
      <c r="H126" s="18">
        <v>5315.9999999999982</v>
      </c>
    </row>
    <row r="127" spans="1:8" ht="13.5" customHeight="1" x14ac:dyDescent="0.2">
      <c r="A127" s="171" t="s">
        <v>4600</v>
      </c>
      <c r="B127" s="46"/>
      <c r="C127" s="34" t="s">
        <v>3725</v>
      </c>
      <c r="D127" s="46" t="s">
        <v>488</v>
      </c>
      <c r="E127" s="69"/>
      <c r="F127" s="69">
        <v>280</v>
      </c>
      <c r="G127" s="182">
        <v>5595.9999999999982</v>
      </c>
      <c r="H127" s="18">
        <v>5595.9999999999982</v>
      </c>
    </row>
    <row r="128" spans="1:8" ht="13.5" customHeight="1" x14ac:dyDescent="0.2">
      <c r="A128" s="171" t="s">
        <v>4601</v>
      </c>
      <c r="B128" s="46"/>
      <c r="C128" s="33" t="s">
        <v>736</v>
      </c>
      <c r="D128" s="46" t="s">
        <v>488</v>
      </c>
      <c r="E128" s="69">
        <v>-43.75</v>
      </c>
      <c r="F128" s="69"/>
      <c r="G128" s="182">
        <v>5552.2499999999982</v>
      </c>
      <c r="H128" s="18">
        <v>5552.2499999999982</v>
      </c>
    </row>
    <row r="129" spans="1:8" ht="13.5" customHeight="1" x14ac:dyDescent="0.2">
      <c r="A129" s="171"/>
      <c r="B129" s="46"/>
      <c r="C129" s="36" t="s">
        <v>129</v>
      </c>
      <c r="D129" s="46" t="s">
        <v>488</v>
      </c>
      <c r="E129" s="69">
        <v>-46.39</v>
      </c>
      <c r="F129" s="69"/>
      <c r="G129" s="182">
        <v>5505.8599999999979</v>
      </c>
      <c r="H129" s="18">
        <v>5505.8599999999979</v>
      </c>
    </row>
    <row r="130" spans="1:8" ht="13.5" customHeight="1" x14ac:dyDescent="0.2">
      <c r="A130" s="171"/>
      <c r="B130" s="46"/>
      <c r="C130" s="36" t="s">
        <v>130</v>
      </c>
      <c r="D130" s="46" t="s">
        <v>488</v>
      </c>
      <c r="E130" s="69">
        <v>-94.08</v>
      </c>
      <c r="F130" s="69"/>
      <c r="G130" s="182">
        <v>5411.7799999999979</v>
      </c>
      <c r="H130" s="18">
        <v>5411.7799999999979</v>
      </c>
    </row>
    <row r="131" spans="1:8" ht="13.5" customHeight="1" x14ac:dyDescent="0.2">
      <c r="A131" s="171"/>
      <c r="B131" s="46"/>
      <c r="C131" s="34" t="s">
        <v>4602</v>
      </c>
      <c r="D131" s="46" t="s">
        <v>4603</v>
      </c>
      <c r="E131" s="69">
        <v>-169.61</v>
      </c>
      <c r="F131" s="69"/>
      <c r="G131" s="182">
        <v>5242.1699999999983</v>
      </c>
      <c r="H131" s="18">
        <v>5242.1699999999983</v>
      </c>
    </row>
    <row r="132" spans="1:8" ht="13.5" customHeight="1" x14ac:dyDescent="0.2">
      <c r="A132" s="171" t="s">
        <v>4604</v>
      </c>
      <c r="B132" s="46"/>
      <c r="C132" s="34" t="s">
        <v>136</v>
      </c>
      <c r="D132" s="46" t="s">
        <v>488</v>
      </c>
      <c r="E132" s="69">
        <v>-45.9</v>
      </c>
      <c r="F132" s="69"/>
      <c r="G132" s="182">
        <v>5196.2699999999986</v>
      </c>
      <c r="H132" s="18">
        <v>5196.2699999999986</v>
      </c>
    </row>
    <row r="133" spans="1:8" ht="13.5" customHeight="1" x14ac:dyDescent="0.2">
      <c r="A133" s="171"/>
      <c r="B133" s="46"/>
      <c r="C133" s="34" t="s">
        <v>4605</v>
      </c>
      <c r="D133" s="46" t="s">
        <v>488</v>
      </c>
      <c r="E133" s="69">
        <v>-46.72</v>
      </c>
      <c r="F133" s="69"/>
      <c r="G133" s="182">
        <v>5149.5499999999984</v>
      </c>
      <c r="H133" s="18">
        <v>5149.5499999999984</v>
      </c>
    </row>
    <row r="134" spans="1:8" ht="13.5" customHeight="1" x14ac:dyDescent="0.2">
      <c r="A134" s="171"/>
      <c r="B134" s="46"/>
      <c r="C134" s="34" t="s">
        <v>4606</v>
      </c>
      <c r="D134" s="46" t="s">
        <v>488</v>
      </c>
      <c r="E134" s="69">
        <v>-179.06</v>
      </c>
      <c r="F134" s="69"/>
      <c r="G134" s="182">
        <v>4970.489999999998</v>
      </c>
      <c r="H134" s="18">
        <v>4970.489999999998</v>
      </c>
    </row>
    <row r="135" spans="1:8" ht="13.5" customHeight="1" x14ac:dyDescent="0.2">
      <c r="A135" s="171">
        <v>44040</v>
      </c>
      <c r="B135" s="46"/>
      <c r="C135" s="34" t="s">
        <v>68</v>
      </c>
      <c r="D135" s="46"/>
      <c r="E135" s="28">
        <v>-122.09</v>
      </c>
      <c r="F135" s="69"/>
      <c r="G135" s="182">
        <v>4848.3999999999978</v>
      </c>
      <c r="H135" s="18">
        <v>4848.3999999999978</v>
      </c>
    </row>
    <row r="136" spans="1:8" ht="13.5" customHeight="1" x14ac:dyDescent="0.2">
      <c r="A136" s="171"/>
      <c r="B136" s="46"/>
      <c r="C136" s="34" t="s">
        <v>134</v>
      </c>
      <c r="D136" s="46"/>
      <c r="E136" s="28">
        <v>-121.69</v>
      </c>
      <c r="F136" s="69"/>
      <c r="G136" s="205">
        <v>4726.7099999999982</v>
      </c>
      <c r="H136" s="18">
        <v>4726.7099999999982</v>
      </c>
    </row>
    <row r="137" spans="1:8" ht="13.5" customHeight="1" thickBot="1" x14ac:dyDescent="0.25">
      <c r="A137" s="171"/>
      <c r="B137" s="46"/>
      <c r="C137" s="34"/>
      <c r="D137" s="46"/>
      <c r="E137" s="654">
        <f>SUM(E104:E136)</f>
        <v>-7624.43</v>
      </c>
      <c r="F137" s="654">
        <f>SUM(F110,F113,F116,F127,)</f>
        <v>280.05</v>
      </c>
      <c r="G137" s="182"/>
    </row>
    <row r="138" spans="1:8" ht="13.5" customHeight="1" thickBot="1" x14ac:dyDescent="0.25">
      <c r="A138" s="2" t="s">
        <v>2</v>
      </c>
      <c r="B138" s="3"/>
      <c r="C138" s="3" t="s">
        <v>481</v>
      </c>
      <c r="D138" s="3"/>
      <c r="E138" s="3"/>
      <c r="F138" s="3"/>
      <c r="G138" s="5" t="s">
        <v>7</v>
      </c>
    </row>
    <row r="139" spans="1:8" ht="13.5" customHeight="1" x14ac:dyDescent="0.2">
      <c r="A139" s="8">
        <v>44013</v>
      </c>
      <c r="B139" s="70"/>
      <c r="C139" s="10" t="s">
        <v>537</v>
      </c>
      <c r="D139" s="602"/>
      <c r="E139" s="67"/>
      <c r="F139" s="67"/>
      <c r="G139" s="205">
        <v>18136.060000000001</v>
      </c>
      <c r="H139" s="18">
        <v>18136.060000000001</v>
      </c>
    </row>
    <row r="140" spans="1:8" ht="13.5" customHeight="1" x14ac:dyDescent="0.2">
      <c r="A140" s="171"/>
      <c r="B140" s="46" t="s">
        <v>483</v>
      </c>
      <c r="C140" s="34" t="s">
        <v>4607</v>
      </c>
      <c r="D140" s="553" t="s">
        <v>488</v>
      </c>
      <c r="E140" s="557">
        <v>-59.99</v>
      </c>
      <c r="F140" s="69"/>
      <c r="G140" s="182">
        <v>18076.07</v>
      </c>
      <c r="H140" s="18">
        <v>18076.07</v>
      </c>
    </row>
    <row r="141" spans="1:8" ht="13.5" customHeight="1" x14ac:dyDescent="0.2">
      <c r="A141" s="171" t="s">
        <v>4608</v>
      </c>
      <c r="B141" s="46" t="s">
        <v>483</v>
      </c>
      <c r="C141" s="34" t="s">
        <v>199</v>
      </c>
      <c r="D141" s="553" t="s">
        <v>488</v>
      </c>
      <c r="E141" s="557">
        <v>-169.93</v>
      </c>
      <c r="F141" s="69"/>
      <c r="G141" s="182" t="s">
        <v>483</v>
      </c>
      <c r="H141" s="18">
        <v>17906.14</v>
      </c>
    </row>
    <row r="142" spans="1:8" ht="13.5" customHeight="1" x14ac:dyDescent="0.2">
      <c r="A142" s="171"/>
      <c r="B142" s="46" t="s">
        <v>591</v>
      </c>
      <c r="C142" s="36" t="s">
        <v>4360</v>
      </c>
      <c r="D142" s="553" t="s">
        <v>4609</v>
      </c>
      <c r="E142" s="557"/>
      <c r="F142" s="322">
        <v>1740</v>
      </c>
      <c r="G142" s="182">
        <v>19646.14</v>
      </c>
      <c r="H142" s="18">
        <v>19646.14</v>
      </c>
    </row>
    <row r="143" spans="1:8" ht="13.5" customHeight="1" x14ac:dyDescent="0.2">
      <c r="A143" s="171" t="s">
        <v>4610</v>
      </c>
      <c r="B143" s="46" t="s">
        <v>483</v>
      </c>
      <c r="C143" s="34" t="s">
        <v>4611</v>
      </c>
      <c r="D143" s="553" t="s">
        <v>488</v>
      </c>
      <c r="E143" s="557">
        <v>-3110</v>
      </c>
      <c r="F143" s="69"/>
      <c r="G143" s="182">
        <v>16536.14</v>
      </c>
      <c r="H143" s="18">
        <v>16536.14</v>
      </c>
    </row>
    <row r="144" spans="1:8" ht="13.5" customHeight="1" x14ac:dyDescent="0.2">
      <c r="A144" s="171" t="s">
        <v>4612</v>
      </c>
      <c r="B144" s="46" t="s">
        <v>483</v>
      </c>
      <c r="C144" s="34" t="s">
        <v>4613</v>
      </c>
      <c r="D144" s="553" t="s">
        <v>4614</v>
      </c>
      <c r="E144" s="557">
        <v>-140.19999999999999</v>
      </c>
      <c r="F144" s="69"/>
      <c r="G144" s="182" t="s">
        <v>483</v>
      </c>
      <c r="H144" s="18">
        <v>16395.939999999999</v>
      </c>
    </row>
    <row r="145" spans="1:8" ht="13.5" customHeight="1" x14ac:dyDescent="0.2">
      <c r="A145" s="171"/>
      <c r="B145" s="46" t="s">
        <v>483</v>
      </c>
      <c r="C145" s="34" t="s">
        <v>382</v>
      </c>
      <c r="D145" s="553" t="s">
        <v>488</v>
      </c>
      <c r="E145" s="557">
        <v>-78.09</v>
      </c>
      <c r="F145" s="69"/>
      <c r="G145" s="182" t="s">
        <v>483</v>
      </c>
      <c r="H145" s="18">
        <v>16317.849999999999</v>
      </c>
    </row>
    <row r="146" spans="1:8" ht="13.5" customHeight="1" x14ac:dyDescent="0.2">
      <c r="A146" s="171"/>
      <c r="B146" s="46" t="s">
        <v>483</v>
      </c>
      <c r="C146" s="34" t="s">
        <v>4615</v>
      </c>
      <c r="D146" s="11" t="s">
        <v>4616</v>
      </c>
      <c r="E146" s="557">
        <v>-561.42999999999995</v>
      </c>
      <c r="F146" s="69"/>
      <c r="G146" s="182">
        <v>15756.42</v>
      </c>
      <c r="H146" s="18">
        <v>15756.419999999998</v>
      </c>
    </row>
    <row r="147" spans="1:8" ht="13.5" customHeight="1" x14ac:dyDescent="0.2">
      <c r="A147" s="171" t="s">
        <v>4617</v>
      </c>
      <c r="B147" s="46" t="s">
        <v>483</v>
      </c>
      <c r="C147" s="34" t="s">
        <v>180</v>
      </c>
      <c r="D147" s="11" t="s">
        <v>488</v>
      </c>
      <c r="E147" s="557">
        <v>-146.63</v>
      </c>
      <c r="F147" s="69"/>
      <c r="G147" s="182">
        <v>15609.79</v>
      </c>
      <c r="H147" s="18">
        <v>15609.789999999999</v>
      </c>
    </row>
    <row r="148" spans="1:8" ht="13.5" customHeight="1" x14ac:dyDescent="0.2">
      <c r="A148" s="171" t="s">
        <v>4618</v>
      </c>
      <c r="B148" s="46" t="s">
        <v>483</v>
      </c>
      <c r="C148" s="34" t="s">
        <v>4619</v>
      </c>
      <c r="D148" s="11" t="s">
        <v>488</v>
      </c>
      <c r="E148" s="557">
        <v>-600</v>
      </c>
      <c r="F148" s="69"/>
      <c r="G148" s="182" t="s">
        <v>483</v>
      </c>
      <c r="H148" s="18">
        <v>15009.789999999999</v>
      </c>
    </row>
    <row r="149" spans="1:8" ht="13.5" customHeight="1" x14ac:dyDescent="0.2">
      <c r="A149" s="171"/>
      <c r="B149" s="46" t="s">
        <v>483</v>
      </c>
      <c r="C149" s="34" t="s">
        <v>4620</v>
      </c>
      <c r="D149" s="11" t="s">
        <v>488</v>
      </c>
      <c r="E149" s="557">
        <v>-600</v>
      </c>
      <c r="F149" s="69"/>
      <c r="G149" s="182">
        <v>14409.79</v>
      </c>
      <c r="H149" s="18">
        <v>14409.789999999999</v>
      </c>
    </row>
    <row r="150" spans="1:8" ht="13.5" customHeight="1" x14ac:dyDescent="0.2">
      <c r="A150" s="171" t="s">
        <v>4621</v>
      </c>
      <c r="B150" s="46" t="s">
        <v>483</v>
      </c>
      <c r="C150" s="34" t="s">
        <v>4622</v>
      </c>
      <c r="D150" s="11" t="s">
        <v>4623</v>
      </c>
      <c r="E150" s="557">
        <v>-101.2</v>
      </c>
      <c r="F150" s="69"/>
      <c r="G150" s="182" t="s">
        <v>483</v>
      </c>
      <c r="H150" s="18">
        <v>14308.589999999998</v>
      </c>
    </row>
    <row r="151" spans="1:8" ht="13.5" customHeight="1" x14ac:dyDescent="0.2">
      <c r="A151" s="171"/>
      <c r="B151" s="46" t="s">
        <v>483</v>
      </c>
      <c r="C151" s="34" t="s">
        <v>4624</v>
      </c>
      <c r="D151" s="11" t="s">
        <v>488</v>
      </c>
      <c r="E151" s="69"/>
      <c r="F151" s="557">
        <v>4731.47</v>
      </c>
      <c r="G151" s="182">
        <v>19040.060000000001</v>
      </c>
      <c r="H151" s="18">
        <v>19040.059999999998</v>
      </c>
    </row>
    <row r="152" spans="1:8" ht="13.5" customHeight="1" x14ac:dyDescent="0.2">
      <c r="A152" s="171" t="s">
        <v>4625</v>
      </c>
      <c r="B152" s="46" t="s">
        <v>483</v>
      </c>
      <c r="C152" s="34" t="s">
        <v>4626</v>
      </c>
      <c r="D152" s="11" t="s">
        <v>4627</v>
      </c>
      <c r="E152" s="557">
        <v>-391.4</v>
      </c>
      <c r="F152" s="69"/>
      <c r="G152" s="182">
        <v>18648.66</v>
      </c>
      <c r="H152" s="18">
        <v>18648.659999999996</v>
      </c>
    </row>
    <row r="153" spans="1:8" ht="13.5" customHeight="1" x14ac:dyDescent="0.2">
      <c r="A153" s="171" t="s">
        <v>4628</v>
      </c>
      <c r="B153" s="46" t="s">
        <v>483</v>
      </c>
      <c r="C153" s="36" t="s">
        <v>4204</v>
      </c>
      <c r="D153" s="11" t="s">
        <v>4629</v>
      </c>
      <c r="E153" s="557">
        <v>-789</v>
      </c>
      <c r="F153" s="69"/>
      <c r="G153" s="182">
        <v>17859.66</v>
      </c>
      <c r="H153" s="18">
        <v>17859.659999999996</v>
      </c>
    </row>
    <row r="154" spans="1:8" ht="13.5" customHeight="1" x14ac:dyDescent="0.2">
      <c r="A154" s="171" t="s">
        <v>4630</v>
      </c>
      <c r="B154" s="46" t="s">
        <v>483</v>
      </c>
      <c r="C154" s="34" t="s">
        <v>4631</v>
      </c>
      <c r="D154" s="11" t="s">
        <v>488</v>
      </c>
      <c r="E154" s="557">
        <v>-549.30999999999995</v>
      </c>
      <c r="F154" s="69"/>
      <c r="G154" s="182"/>
      <c r="H154" s="18">
        <v>17310.349999999995</v>
      </c>
    </row>
    <row r="155" spans="1:8" ht="13.5" customHeight="1" x14ac:dyDescent="0.2">
      <c r="A155" s="171"/>
      <c r="B155" s="46"/>
      <c r="C155" s="34" t="s">
        <v>4632</v>
      </c>
      <c r="D155" s="11" t="s">
        <v>488</v>
      </c>
      <c r="E155" s="557">
        <v>-99.6</v>
      </c>
      <c r="F155" s="69"/>
      <c r="G155" s="182">
        <v>17210.75</v>
      </c>
      <c r="H155" s="18">
        <v>17210.749999999996</v>
      </c>
    </row>
    <row r="156" spans="1:8" ht="13.5" customHeight="1" x14ac:dyDescent="0.2">
      <c r="A156" s="171" t="s">
        <v>4633</v>
      </c>
      <c r="B156" s="46" t="s">
        <v>483</v>
      </c>
      <c r="C156" s="34" t="s">
        <v>4634</v>
      </c>
      <c r="D156" s="11" t="s">
        <v>4635</v>
      </c>
      <c r="E156" s="557">
        <v>-112.95</v>
      </c>
      <c r="F156" s="69" t="s">
        <v>483</v>
      </c>
      <c r="G156" s="182"/>
      <c r="H156" s="18">
        <v>17097.799999999996</v>
      </c>
    </row>
    <row r="157" spans="1:8" ht="13.5" customHeight="1" x14ac:dyDescent="0.2">
      <c r="A157" s="171"/>
      <c r="B157" s="46" t="s">
        <v>483</v>
      </c>
      <c r="C157" s="34" t="s">
        <v>4636</v>
      </c>
      <c r="D157" s="11" t="s">
        <v>4637</v>
      </c>
      <c r="E157" s="557">
        <v>-433.84</v>
      </c>
      <c r="F157" s="69"/>
      <c r="G157" s="182">
        <v>16663.96</v>
      </c>
      <c r="H157" s="18">
        <v>16663.959999999995</v>
      </c>
    </row>
    <row r="158" spans="1:8" ht="13.5" customHeight="1" x14ac:dyDescent="0.2">
      <c r="A158" s="171" t="s">
        <v>4638</v>
      </c>
      <c r="B158" s="46" t="s">
        <v>483</v>
      </c>
      <c r="C158" s="36" t="s">
        <v>194</v>
      </c>
      <c r="D158" s="11" t="s">
        <v>488</v>
      </c>
      <c r="E158" s="557">
        <v>-80.64</v>
      </c>
      <c r="F158" s="69"/>
      <c r="G158" s="182" t="s">
        <v>483</v>
      </c>
      <c r="H158" s="18">
        <v>16583.319999999996</v>
      </c>
    </row>
    <row r="159" spans="1:8" ht="13.5" customHeight="1" x14ac:dyDescent="0.2">
      <c r="A159" s="171"/>
      <c r="B159" s="46" t="s">
        <v>483</v>
      </c>
      <c r="C159" s="36" t="s">
        <v>195</v>
      </c>
      <c r="D159" s="11" t="s">
        <v>488</v>
      </c>
      <c r="E159" s="557">
        <v>-372.22</v>
      </c>
      <c r="F159" s="69"/>
      <c r="G159" s="182" t="s">
        <v>483</v>
      </c>
      <c r="H159" s="18">
        <v>16211.099999999997</v>
      </c>
    </row>
    <row r="160" spans="1:8" ht="13.5" customHeight="1" x14ac:dyDescent="0.2">
      <c r="A160" s="171"/>
      <c r="B160" s="46" t="s">
        <v>483</v>
      </c>
      <c r="C160" s="34" t="s">
        <v>196</v>
      </c>
      <c r="D160" s="11" t="s">
        <v>488</v>
      </c>
      <c r="E160" s="557">
        <v>-916</v>
      </c>
      <c r="F160" s="69"/>
      <c r="G160" s="182" t="s">
        <v>483</v>
      </c>
      <c r="H160" s="18">
        <v>15295.099999999997</v>
      </c>
    </row>
    <row r="161" spans="1:9" ht="13.5" customHeight="1" x14ac:dyDescent="0.2">
      <c r="A161" s="171"/>
      <c r="B161" s="46" t="s">
        <v>483</v>
      </c>
      <c r="C161" s="34" t="s">
        <v>197</v>
      </c>
      <c r="D161" s="11" t="s">
        <v>488</v>
      </c>
      <c r="E161" s="557">
        <v>-1526.67</v>
      </c>
      <c r="F161" s="69"/>
      <c r="G161" s="182">
        <v>13768.43</v>
      </c>
      <c r="H161" s="18">
        <v>13768.429999999997</v>
      </c>
    </row>
    <row r="162" spans="1:9" ht="13.5" customHeight="1" x14ac:dyDescent="0.2">
      <c r="A162" s="171">
        <v>44033</v>
      </c>
      <c r="B162" s="46"/>
      <c r="C162" s="36" t="s">
        <v>4537</v>
      </c>
      <c r="D162" s="11"/>
      <c r="E162" s="557"/>
      <c r="F162" s="322">
        <v>4135</v>
      </c>
      <c r="G162" s="182">
        <v>17903.43</v>
      </c>
      <c r="H162" s="18">
        <v>17903.429999999997</v>
      </c>
      <c r="I162" s="18"/>
    </row>
    <row r="163" spans="1:9" ht="13.5" customHeight="1" x14ac:dyDescent="0.2">
      <c r="A163" s="171"/>
      <c r="B163" s="46"/>
      <c r="C163" s="34" t="s">
        <v>86</v>
      </c>
      <c r="D163" s="11"/>
      <c r="E163" s="557">
        <v>-92.5</v>
      </c>
      <c r="F163" s="69"/>
      <c r="G163" s="182"/>
      <c r="H163" s="18">
        <v>17810.929999999997</v>
      </c>
    </row>
    <row r="164" spans="1:9" ht="13.5" customHeight="1" x14ac:dyDescent="0.2">
      <c r="A164" s="171"/>
      <c r="B164" s="46"/>
      <c r="C164" s="34" t="s">
        <v>86</v>
      </c>
      <c r="D164" s="11"/>
      <c r="E164" s="557">
        <v>-12.5</v>
      </c>
      <c r="F164" s="69"/>
      <c r="G164" s="182">
        <v>17798.43</v>
      </c>
      <c r="H164" s="18">
        <v>17798.429999999997</v>
      </c>
      <c r="I164" s="18"/>
    </row>
    <row r="165" spans="1:9" ht="13.5" customHeight="1" x14ac:dyDescent="0.2">
      <c r="A165" s="171" t="s">
        <v>4639</v>
      </c>
      <c r="B165" s="46" t="s">
        <v>483</v>
      </c>
      <c r="C165" s="34" t="s">
        <v>4640</v>
      </c>
      <c r="D165" s="11" t="s">
        <v>4641</v>
      </c>
      <c r="E165" s="557">
        <v>-65.2</v>
      </c>
      <c r="F165" s="69"/>
      <c r="G165" s="205">
        <v>17733.23</v>
      </c>
      <c r="H165" s="18">
        <v>17733.229999999996</v>
      </c>
    </row>
    <row r="166" spans="1:9" ht="13.5" customHeight="1" thickBot="1" x14ac:dyDescent="0.25">
      <c r="A166" s="171"/>
      <c r="B166" s="46"/>
      <c r="C166" s="34"/>
      <c r="D166" s="11"/>
      <c r="E166" s="654">
        <f>SUM(E140:E165)</f>
        <v>-11009.300000000001</v>
      </c>
      <c r="F166" s="654">
        <f>SUM(F151)</f>
        <v>4731.47</v>
      </c>
      <c r="G166" s="182"/>
      <c r="H166" s="18">
        <v>17733.229999999996</v>
      </c>
      <c r="I166" s="18"/>
    </row>
    <row r="167" spans="1:9" ht="13.5" customHeight="1" thickBot="1" x14ac:dyDescent="0.25">
      <c r="A167" s="2" t="s">
        <v>2</v>
      </c>
      <c r="B167" s="3"/>
      <c r="C167" s="3" t="s">
        <v>525</v>
      </c>
      <c r="D167" s="3"/>
      <c r="E167" s="3"/>
      <c r="F167" s="3"/>
      <c r="G167" s="5" t="s">
        <v>7</v>
      </c>
    </row>
    <row r="168" spans="1:9" ht="13.5" customHeight="1" x14ac:dyDescent="0.2">
      <c r="A168" s="8">
        <v>44013</v>
      </c>
      <c r="B168" s="70"/>
      <c r="C168" s="10" t="s">
        <v>537</v>
      </c>
      <c r="D168" s="125"/>
      <c r="E168" s="67"/>
      <c r="F168" s="67"/>
      <c r="G168" s="205">
        <v>1976.6999999999982</v>
      </c>
    </row>
    <row r="169" spans="1:9" ht="13.5" customHeight="1" x14ac:dyDescent="0.2">
      <c r="A169" s="171">
        <v>44018</v>
      </c>
      <c r="B169" s="46"/>
      <c r="C169" s="36" t="s">
        <v>815</v>
      </c>
      <c r="D169" s="11"/>
      <c r="E169" s="181">
        <v>930.05</v>
      </c>
      <c r="F169" s="69"/>
      <c r="G169" s="182">
        <v>1046.6499999999983</v>
      </c>
    </row>
    <row r="170" spans="1:9" ht="13.5" customHeight="1" x14ac:dyDescent="0.2">
      <c r="A170" s="171"/>
      <c r="B170" s="46"/>
      <c r="C170" s="34" t="s">
        <v>4642</v>
      </c>
      <c r="D170" s="11"/>
      <c r="E170" s="181">
        <v>278.89999999999998</v>
      </c>
      <c r="F170" s="69"/>
      <c r="G170" s="182">
        <v>767.74999999999829</v>
      </c>
    </row>
    <row r="171" spans="1:9" ht="13.5" customHeight="1" x14ac:dyDescent="0.2">
      <c r="A171" s="171"/>
      <c r="B171" s="46"/>
      <c r="C171" s="34" t="s">
        <v>4643</v>
      </c>
      <c r="D171" s="11"/>
      <c r="E171" s="181">
        <v>249.8</v>
      </c>
      <c r="F171" s="69"/>
      <c r="G171" s="182">
        <v>517.94999999999823</v>
      </c>
    </row>
    <row r="172" spans="1:9" ht="13.5" customHeight="1" x14ac:dyDescent="0.2">
      <c r="A172" s="171">
        <v>44022</v>
      </c>
      <c r="B172" s="46"/>
      <c r="C172" s="34" t="s">
        <v>4644</v>
      </c>
      <c r="D172" s="11"/>
      <c r="E172" s="181">
        <v>116.57</v>
      </c>
      <c r="F172" s="69"/>
      <c r="G172" s="182">
        <v>401.37999999999823</v>
      </c>
    </row>
    <row r="173" spans="1:9" ht="13.5" customHeight="1" x14ac:dyDescent="0.2">
      <c r="A173" s="171">
        <v>44032</v>
      </c>
      <c r="B173" s="46"/>
      <c r="C173" s="34" t="s">
        <v>4645</v>
      </c>
      <c r="D173" s="229"/>
      <c r="E173" s="69"/>
      <c r="F173" s="557">
        <v>2.5</v>
      </c>
      <c r="G173" s="182">
        <v>403.87999999999823</v>
      </c>
    </row>
    <row r="174" spans="1:9" ht="13.5" customHeight="1" x14ac:dyDescent="0.2">
      <c r="A174" s="171"/>
      <c r="B174" s="46"/>
      <c r="C174" s="34" t="s">
        <v>4644</v>
      </c>
      <c r="D174" s="229"/>
      <c r="E174" s="557">
        <v>2017.23</v>
      </c>
      <c r="F174" s="69"/>
      <c r="G174" s="182">
        <v>-1613.3500000000017</v>
      </c>
    </row>
    <row r="175" spans="1:9" ht="13.5" customHeight="1" x14ac:dyDescent="0.2">
      <c r="A175" s="180"/>
      <c r="B175" s="46"/>
      <c r="C175" s="34" t="s">
        <v>4644</v>
      </c>
      <c r="D175" s="229"/>
      <c r="E175" s="557">
        <v>203.72</v>
      </c>
      <c r="F175" s="69"/>
      <c r="G175" s="182">
        <v>-1817.0700000000018</v>
      </c>
    </row>
    <row r="176" spans="1:9" ht="13.5" customHeight="1" x14ac:dyDescent="0.2">
      <c r="A176" s="180"/>
      <c r="B176" s="46"/>
      <c r="C176" s="34" t="s">
        <v>4644</v>
      </c>
      <c r="D176" s="230"/>
      <c r="E176" s="559">
        <v>200.2</v>
      </c>
      <c r="F176" s="61"/>
      <c r="G176" s="182">
        <v>-2017.2700000000018</v>
      </c>
    </row>
    <row r="177" spans="1:9" ht="13.5" customHeight="1" x14ac:dyDescent="0.2">
      <c r="A177" s="180"/>
      <c r="B177" s="46"/>
      <c r="C177" s="34" t="s">
        <v>4644</v>
      </c>
      <c r="D177" s="229"/>
      <c r="E177" s="557">
        <v>831.6</v>
      </c>
      <c r="F177" s="69"/>
      <c r="G177" s="182">
        <v>-2848.8700000000017</v>
      </c>
    </row>
    <row r="178" spans="1:9" ht="13.5" customHeight="1" x14ac:dyDescent="0.2">
      <c r="A178" s="180"/>
      <c r="B178" s="9"/>
      <c r="C178" s="34" t="s">
        <v>4644</v>
      </c>
      <c r="D178" s="230"/>
      <c r="E178" s="559">
        <v>635.1</v>
      </c>
      <c r="F178" s="61"/>
      <c r="G178" s="182">
        <v>-3483.9700000000016</v>
      </c>
    </row>
    <row r="179" spans="1:9" ht="13.5" customHeight="1" x14ac:dyDescent="0.2">
      <c r="A179" s="180"/>
      <c r="B179" s="9"/>
      <c r="C179" s="32" t="s">
        <v>3758</v>
      </c>
      <c r="D179" s="230"/>
      <c r="E179" s="61"/>
      <c r="F179" s="559">
        <v>4000</v>
      </c>
      <c r="G179" s="205">
        <v>516.02999999999838</v>
      </c>
    </row>
    <row r="180" spans="1:9" ht="13.5" customHeight="1" thickBot="1" x14ac:dyDescent="0.25">
      <c r="A180" s="180"/>
      <c r="B180" s="9"/>
      <c r="C180" s="34"/>
      <c r="D180" s="230"/>
      <c r="E180" s="61"/>
      <c r="F180" s="61"/>
      <c r="G180" s="182"/>
    </row>
    <row r="181" spans="1:9" ht="13.5" customHeight="1" thickBot="1" x14ac:dyDescent="0.25">
      <c r="A181" s="561" t="s">
        <v>2</v>
      </c>
      <c r="B181" s="562"/>
      <c r="C181" s="562" t="s">
        <v>534</v>
      </c>
      <c r="D181" s="563" t="s">
        <v>4</v>
      </c>
      <c r="E181" s="562" t="s">
        <v>5</v>
      </c>
      <c r="F181" s="562" t="s">
        <v>6</v>
      </c>
      <c r="G181" s="564" t="s">
        <v>7</v>
      </c>
    </row>
    <row r="182" spans="1:9" ht="13.5" customHeight="1" x14ac:dyDescent="0.2">
      <c r="A182" s="568">
        <v>43928</v>
      </c>
      <c r="B182" s="569"/>
      <c r="C182" s="570" t="s">
        <v>8</v>
      </c>
      <c r="D182" s="571"/>
      <c r="E182" s="572"/>
      <c r="F182" s="573"/>
      <c r="G182" s="574">
        <v>41200</v>
      </c>
    </row>
    <row r="183" spans="1:9" ht="13.5" customHeight="1" x14ac:dyDescent="0.2">
      <c r="A183" s="171">
        <v>44032</v>
      </c>
      <c r="B183" s="70"/>
      <c r="C183" s="32" t="s">
        <v>3758</v>
      </c>
      <c r="D183" s="50"/>
      <c r="E183" s="13"/>
      <c r="F183" s="183">
        <v>4000</v>
      </c>
      <c r="G183" s="205">
        <v>45200</v>
      </c>
    </row>
    <row r="184" spans="1:9" ht="13.5" customHeight="1" thickBot="1" x14ac:dyDescent="0.25">
      <c r="A184" s="70"/>
      <c r="B184" s="70"/>
      <c r="C184" s="63"/>
      <c r="D184" s="50"/>
      <c r="E184" s="13"/>
      <c r="F184" s="13"/>
      <c r="G184" s="182"/>
    </row>
    <row r="185" spans="1:9" ht="13.5" customHeight="1" thickBot="1" x14ac:dyDescent="0.25">
      <c r="A185" s="213"/>
      <c r="B185" s="214"/>
      <c r="C185" s="215" t="s">
        <v>539</v>
      </c>
      <c r="D185" s="216"/>
      <c r="E185" s="187"/>
      <c r="F185" s="187"/>
      <c r="G185" s="217" t="s">
        <v>7</v>
      </c>
    </row>
    <row r="186" spans="1:9" ht="13.5" customHeight="1" x14ac:dyDescent="0.2">
      <c r="A186" s="74" t="s">
        <v>540</v>
      </c>
      <c r="B186" s="74"/>
      <c r="C186" s="218" t="s">
        <v>541</v>
      </c>
      <c r="D186" s="219"/>
      <c r="E186" s="220"/>
      <c r="F186" s="220"/>
      <c r="G186" s="75">
        <v>0</v>
      </c>
    </row>
    <row r="187" spans="1:9" ht="13.5" customHeight="1" x14ac:dyDescent="0.2">
      <c r="A187" s="221" t="s">
        <v>540</v>
      </c>
      <c r="B187" s="70"/>
      <c r="C187" s="63" t="s">
        <v>542</v>
      </c>
      <c r="D187" s="50"/>
      <c r="E187" s="13"/>
      <c r="F187" s="13"/>
      <c r="G187" s="75">
        <v>0</v>
      </c>
    </row>
    <row r="188" spans="1:9" ht="13.5" customHeight="1" x14ac:dyDescent="0.2">
      <c r="A188" s="70"/>
      <c r="B188" s="70"/>
      <c r="C188" s="222" t="s">
        <v>543</v>
      </c>
      <c r="D188" s="50"/>
      <c r="E188" s="13"/>
      <c r="F188" s="13"/>
      <c r="G188" s="14">
        <v>0</v>
      </c>
    </row>
    <row r="189" spans="1:9" ht="13.5" customHeight="1" x14ac:dyDescent="0.2">
      <c r="A189" s="70"/>
      <c r="B189" s="70"/>
      <c r="C189" s="63"/>
      <c r="D189" s="50"/>
      <c r="E189" s="13"/>
      <c r="F189" s="13"/>
      <c r="G189" s="14"/>
    </row>
    <row r="190" spans="1:9" ht="13.5" customHeight="1" x14ac:dyDescent="0.2">
      <c r="A190" s="70"/>
      <c r="B190" s="70"/>
      <c r="C190" s="222" t="s">
        <v>544</v>
      </c>
      <c r="D190" s="50"/>
      <c r="E190" s="13"/>
      <c r="F190" s="13"/>
      <c r="G190" s="14">
        <v>59120.539999999994</v>
      </c>
      <c r="H190" s="653">
        <f>SUM(G3,G61,G103,G139,)</f>
        <v>55841.959999999992</v>
      </c>
      <c r="I190" s="33" t="s">
        <v>1798</v>
      </c>
    </row>
    <row r="191" spans="1:9" ht="13.5" customHeight="1" x14ac:dyDescent="0.2">
      <c r="A191" s="70"/>
      <c r="B191" s="70"/>
      <c r="C191" s="63"/>
      <c r="D191" s="50"/>
      <c r="E191" s="13"/>
      <c r="F191" s="13"/>
      <c r="G191" s="75"/>
    </row>
    <row r="192" spans="1:9" ht="13.5" customHeight="1" x14ac:dyDescent="0.2">
      <c r="A192" s="76"/>
      <c r="B192" s="76"/>
      <c r="C192" s="222" t="s">
        <v>545</v>
      </c>
      <c r="D192" s="78"/>
      <c r="E192" s="78"/>
      <c r="F192" s="78"/>
      <c r="G192" s="14">
        <v>0</v>
      </c>
      <c r="H192" s="30">
        <f>G58</f>
        <v>4660.6000000000022</v>
      </c>
      <c r="I192" s="33" t="s">
        <v>1799</v>
      </c>
    </row>
    <row r="193" spans="1:9" ht="13.5" customHeight="1" x14ac:dyDescent="0.2">
      <c r="A193" s="76"/>
      <c r="B193" s="76"/>
      <c r="C193" s="78"/>
      <c r="D193" s="78"/>
      <c r="E193" s="78"/>
      <c r="F193" s="78"/>
      <c r="G193" s="75"/>
    </row>
    <row r="194" spans="1:9" ht="13.5" customHeight="1" x14ac:dyDescent="0.2">
      <c r="A194" s="70"/>
      <c r="B194" s="70"/>
      <c r="C194" s="63"/>
      <c r="D194" s="50"/>
      <c r="E194" s="13"/>
      <c r="F194" s="13"/>
      <c r="G194" s="75"/>
      <c r="H194" s="30">
        <f>SUM(G97,G136,G165)</f>
        <v>54459.939999999988</v>
      </c>
      <c r="I194" s="33" t="s">
        <v>1797</v>
      </c>
    </row>
    <row r="195" spans="1:9" ht="13.5" customHeight="1" x14ac:dyDescent="0.2">
      <c r="A195" s="70"/>
      <c r="B195" s="70"/>
      <c r="C195" s="63"/>
      <c r="D195" s="50"/>
      <c r="E195" s="13"/>
      <c r="F195" s="13"/>
      <c r="G195" s="182"/>
    </row>
    <row r="196" spans="1:9" ht="13.5" customHeight="1" x14ac:dyDescent="0.2">
      <c r="A196" s="70"/>
      <c r="B196" s="70"/>
      <c r="C196" s="63"/>
      <c r="D196" s="50"/>
      <c r="E196" s="13"/>
      <c r="F196" s="13"/>
      <c r="G196" s="182"/>
      <c r="H196" s="30">
        <f>SUM(F166,E166,F137,E137,F101,E101,F59,E59,)</f>
        <v>3278.5799999999981</v>
      </c>
      <c r="I196" s="33" t="s">
        <v>3517</v>
      </c>
    </row>
    <row r="197" spans="1:9" ht="13.5" customHeight="1" x14ac:dyDescent="0.2">
      <c r="A197" s="70"/>
      <c r="B197" s="70"/>
      <c r="C197" s="63"/>
      <c r="D197" s="50"/>
      <c r="E197" s="13"/>
      <c r="F197" s="13"/>
      <c r="G197" s="182"/>
    </row>
    <row r="198" spans="1:9" ht="13.5" customHeight="1" x14ac:dyDescent="0.2">
      <c r="A198" s="70"/>
      <c r="B198" s="70"/>
      <c r="C198" s="63"/>
      <c r="D198" s="50"/>
      <c r="E198" s="13"/>
      <c r="F198" s="13"/>
      <c r="G198" s="182"/>
    </row>
    <row r="199" spans="1:9" ht="13.5" customHeight="1" x14ac:dyDescent="0.2">
      <c r="A199" s="70"/>
      <c r="B199" s="70"/>
      <c r="C199" s="63"/>
      <c r="D199" s="50"/>
      <c r="E199" s="13"/>
      <c r="F199" s="13"/>
      <c r="G199" s="182"/>
    </row>
    <row r="200" spans="1:9" ht="13.5" customHeight="1" x14ac:dyDescent="0.2">
      <c r="A200" s="70"/>
      <c r="B200" s="70"/>
      <c r="C200" s="63"/>
      <c r="D200" s="50"/>
      <c r="E200" s="13"/>
      <c r="F200" s="13"/>
      <c r="G200" s="182"/>
      <c r="H200" s="30">
        <f>SUM(H190+H196-H192-H194)</f>
        <v>0</v>
      </c>
    </row>
    <row r="201" spans="1:9" ht="13.5" customHeight="1" x14ac:dyDescent="0.2">
      <c r="A201" s="70"/>
      <c r="B201" s="70"/>
      <c r="C201" s="63"/>
      <c r="D201" s="50"/>
      <c r="E201" s="13"/>
      <c r="F201" s="13"/>
      <c r="G201" s="182"/>
    </row>
    <row r="202" spans="1:9" ht="13.5" customHeight="1" x14ac:dyDescent="0.2">
      <c r="A202" s="70"/>
      <c r="B202" s="70"/>
      <c r="C202" s="63"/>
      <c r="D202" s="50"/>
      <c r="E202" s="13"/>
      <c r="F202" s="13"/>
      <c r="G202" s="182"/>
    </row>
    <row r="203" spans="1:9" ht="13.5" customHeight="1" x14ac:dyDescent="0.2">
      <c r="A203" s="70"/>
      <c r="B203" s="70"/>
      <c r="C203" s="63"/>
      <c r="D203" s="50"/>
      <c r="E203" s="13"/>
      <c r="F203" s="13"/>
      <c r="G203" s="182"/>
    </row>
    <row r="204" spans="1:9" ht="13.5" customHeight="1" x14ac:dyDescent="0.2">
      <c r="A204" s="70"/>
      <c r="B204" s="70"/>
      <c r="C204" s="63"/>
      <c r="D204" s="50"/>
      <c r="E204" s="13"/>
      <c r="F204" s="13"/>
      <c r="G204" s="182"/>
    </row>
    <row r="205" spans="1:9" ht="13.5" customHeight="1" x14ac:dyDescent="0.2">
      <c r="A205" s="70"/>
      <c r="B205" s="70"/>
      <c r="C205" s="63"/>
      <c r="D205" s="50"/>
      <c r="E205" s="13"/>
      <c r="F205" s="13"/>
      <c r="G205" s="182"/>
    </row>
    <row r="206" spans="1:9" ht="13.5" customHeight="1" x14ac:dyDescent="0.2">
      <c r="A206" s="70"/>
      <c r="B206" s="70"/>
      <c r="C206" s="63"/>
      <c r="D206" s="50"/>
      <c r="E206" s="13"/>
      <c r="F206" s="13"/>
      <c r="G206" s="182"/>
    </row>
    <row r="207" spans="1:9" ht="13.5" customHeight="1" x14ac:dyDescent="0.2">
      <c r="A207" s="70"/>
      <c r="B207" s="70"/>
      <c r="C207" s="63"/>
      <c r="D207" s="50"/>
      <c r="E207" s="13"/>
      <c r="F207" s="13"/>
      <c r="G207" s="182"/>
    </row>
    <row r="208" spans="1:9" ht="13.5" customHeight="1" x14ac:dyDescent="0.2">
      <c r="A208" s="70"/>
      <c r="B208" s="70"/>
      <c r="C208" s="63"/>
      <c r="D208" s="50"/>
      <c r="E208" s="13"/>
      <c r="F208" s="13"/>
      <c r="G208" s="182"/>
    </row>
    <row r="209" spans="1:7" ht="13.5" customHeight="1" x14ac:dyDescent="0.2">
      <c r="A209" s="70"/>
      <c r="B209" s="70"/>
      <c r="C209" s="63"/>
      <c r="D209" s="50"/>
      <c r="E209" s="13"/>
      <c r="F209" s="13"/>
      <c r="G209" s="182"/>
    </row>
    <row r="210" spans="1:7" ht="13.5" customHeight="1" x14ac:dyDescent="0.2">
      <c r="A210" s="70"/>
      <c r="B210" s="70"/>
      <c r="C210" s="63"/>
      <c r="D210" s="50"/>
      <c r="E210" s="13"/>
      <c r="F210" s="13"/>
      <c r="G210" s="182"/>
    </row>
    <row r="211" spans="1:7" ht="13.5" customHeight="1" x14ac:dyDescent="0.2">
      <c r="A211" s="70"/>
      <c r="B211" s="70"/>
      <c r="C211" s="63"/>
      <c r="D211" s="50"/>
      <c r="E211" s="13"/>
      <c r="F211" s="13"/>
      <c r="G211" s="182"/>
    </row>
    <row r="212" spans="1:7" ht="13.5" customHeight="1" x14ac:dyDescent="0.2">
      <c r="A212" s="70"/>
      <c r="B212" s="70"/>
      <c r="C212" s="63"/>
      <c r="D212" s="50"/>
      <c r="E212" s="13"/>
      <c r="F212" s="13"/>
      <c r="G212" s="182"/>
    </row>
    <row r="213" spans="1:7" ht="13.5" customHeight="1" x14ac:dyDescent="0.2">
      <c r="A213" s="70"/>
      <c r="B213" s="70"/>
      <c r="C213" s="63"/>
      <c r="D213" s="50"/>
      <c r="E213" s="13"/>
      <c r="F213" s="13"/>
      <c r="G213" s="182"/>
    </row>
    <row r="214" spans="1:7" ht="13.5" customHeight="1" x14ac:dyDescent="0.2">
      <c r="A214" s="70"/>
      <c r="B214" s="70"/>
      <c r="C214" s="63"/>
      <c r="D214" s="50"/>
      <c r="E214" s="13"/>
      <c r="F214" s="13"/>
      <c r="G214" s="182"/>
    </row>
    <row r="215" spans="1:7" ht="13.5" customHeight="1" x14ac:dyDescent="0.2">
      <c r="A215" s="70"/>
      <c r="B215" s="70"/>
      <c r="C215" s="63"/>
      <c r="D215" s="50"/>
      <c r="E215" s="13"/>
      <c r="F215" s="13"/>
      <c r="G215" s="182"/>
    </row>
    <row r="216" spans="1:7" ht="13.5" customHeight="1" x14ac:dyDescent="0.2">
      <c r="A216" s="70"/>
      <c r="B216" s="70"/>
      <c r="C216" s="63"/>
      <c r="D216" s="50"/>
      <c r="E216" s="13"/>
      <c r="F216" s="13"/>
      <c r="G216" s="182"/>
    </row>
    <row r="217" spans="1:7" ht="13.5" customHeight="1" x14ac:dyDescent="0.2">
      <c r="A217" s="70"/>
      <c r="B217" s="70"/>
      <c r="C217" s="63"/>
      <c r="D217" s="50"/>
      <c r="E217" s="13"/>
      <c r="F217" s="13"/>
      <c r="G217" s="182"/>
    </row>
    <row r="218" spans="1:7" ht="13.5" customHeight="1" x14ac:dyDescent="0.2">
      <c r="A218" s="70"/>
      <c r="B218" s="70"/>
      <c r="C218" s="63"/>
      <c r="D218" s="50"/>
      <c r="E218" s="13"/>
      <c r="F218" s="13"/>
      <c r="G218" s="182"/>
    </row>
    <row r="219" spans="1:7" ht="13.5" customHeight="1" x14ac:dyDescent="0.2">
      <c r="A219" s="70"/>
      <c r="B219" s="70"/>
      <c r="C219" s="63"/>
      <c r="D219" s="50"/>
      <c r="E219" s="13"/>
      <c r="F219" s="13"/>
      <c r="G219" s="182"/>
    </row>
    <row r="220" spans="1:7" ht="13.5" customHeight="1" x14ac:dyDescent="0.2">
      <c r="A220" s="70"/>
      <c r="B220" s="70"/>
      <c r="C220" s="63"/>
      <c r="D220" s="50"/>
      <c r="E220" s="13"/>
      <c r="F220" s="13"/>
      <c r="G220" s="182"/>
    </row>
    <row r="221" spans="1:7" ht="13.5" customHeight="1" x14ac:dyDescent="0.2">
      <c r="A221" s="70"/>
      <c r="B221" s="70"/>
      <c r="C221" s="63"/>
      <c r="D221" s="50"/>
      <c r="E221" s="13"/>
      <c r="F221" s="13"/>
      <c r="G221" s="182"/>
    </row>
    <row r="222" spans="1:7" ht="13.5" customHeight="1" x14ac:dyDescent="0.2">
      <c r="A222" s="131"/>
      <c r="B222" s="70"/>
      <c r="C222" s="64"/>
      <c r="D222" s="50"/>
      <c r="E222" s="13"/>
      <c r="F222" s="13"/>
      <c r="G222" s="182"/>
    </row>
    <row r="223" spans="1:7" ht="13.5" customHeight="1" x14ac:dyDescent="0.2">
      <c r="A223" s="70"/>
      <c r="B223" s="70"/>
      <c r="C223" s="63"/>
      <c r="D223" s="50"/>
      <c r="E223" s="13"/>
      <c r="F223" s="13"/>
      <c r="G223" s="182"/>
    </row>
    <row r="224" spans="1:7" ht="13.5" customHeight="1" x14ac:dyDescent="0.2">
      <c r="A224" s="70"/>
      <c r="B224" s="70"/>
      <c r="C224" s="63"/>
      <c r="D224" s="50"/>
      <c r="E224" s="13"/>
      <c r="F224" s="13"/>
      <c r="G224" s="182"/>
    </row>
    <row r="225" spans="1:7" ht="13.5" customHeight="1" x14ac:dyDescent="0.2">
      <c r="A225" s="131"/>
      <c r="B225" s="70"/>
      <c r="C225" s="85"/>
      <c r="D225" s="50"/>
      <c r="E225" s="13"/>
      <c r="F225" s="13"/>
      <c r="G225" s="182"/>
    </row>
    <row r="226" spans="1:7" ht="13.5" customHeight="1" x14ac:dyDescent="0.2">
      <c r="A226" s="131"/>
      <c r="B226" s="70"/>
      <c r="C226" s="63"/>
      <c r="D226" s="50"/>
      <c r="E226" s="13"/>
      <c r="F226" s="13"/>
      <c r="G226" s="182"/>
    </row>
    <row r="227" spans="1:7" ht="13.5" customHeight="1" x14ac:dyDescent="0.2">
      <c r="A227" s="131"/>
      <c r="B227" s="70"/>
      <c r="C227" s="63"/>
      <c r="D227" s="50"/>
      <c r="E227" s="13"/>
      <c r="F227" s="13"/>
      <c r="G227" s="182"/>
    </row>
    <row r="228" spans="1:7" ht="13.5" customHeight="1" x14ac:dyDescent="0.2">
      <c r="A228" s="131"/>
      <c r="B228" s="70"/>
      <c r="C228" s="64"/>
      <c r="D228" s="50"/>
      <c r="E228" s="13"/>
      <c r="F228" s="13"/>
      <c r="G228" s="182"/>
    </row>
    <row r="229" spans="1:7" ht="13.5" customHeight="1" x14ac:dyDescent="0.2">
      <c r="A229" s="70"/>
      <c r="B229" s="70"/>
      <c r="C229" s="63"/>
      <c r="D229" s="50"/>
      <c r="E229" s="13"/>
      <c r="F229" s="13"/>
      <c r="G229" s="182"/>
    </row>
    <row r="230" spans="1:7" ht="13.5" customHeight="1" x14ac:dyDescent="0.2">
      <c r="A230" s="131"/>
      <c r="B230" s="70"/>
      <c r="C230" s="63"/>
      <c r="D230" s="50"/>
      <c r="E230" s="13"/>
      <c r="F230" s="13"/>
      <c r="G230" s="182"/>
    </row>
    <row r="231" spans="1:7" ht="13.5" customHeight="1" x14ac:dyDescent="0.2">
      <c r="A231" s="131"/>
      <c r="B231" s="70"/>
      <c r="C231" s="64"/>
      <c r="D231" s="50"/>
      <c r="E231" s="13"/>
      <c r="F231" s="13"/>
      <c r="G231" s="182"/>
    </row>
    <row r="232" spans="1:7" ht="13.5" customHeight="1" x14ac:dyDescent="0.2">
      <c r="A232" s="70"/>
      <c r="B232" s="70"/>
      <c r="C232" s="63"/>
      <c r="D232" s="50"/>
      <c r="E232" s="13"/>
      <c r="F232" s="13"/>
      <c r="G232" s="182"/>
    </row>
    <row r="233" spans="1:7" ht="13.5" customHeight="1" x14ac:dyDescent="0.2">
      <c r="A233" s="131"/>
      <c r="B233" s="70"/>
      <c r="C233" s="63"/>
      <c r="D233" s="50"/>
      <c r="E233" s="13"/>
      <c r="F233" s="13"/>
      <c r="G233" s="182"/>
    </row>
    <row r="234" spans="1:7" ht="13.5" customHeight="1" x14ac:dyDescent="0.2">
      <c r="A234" s="131"/>
      <c r="B234" s="70"/>
      <c r="C234" s="64"/>
      <c r="D234" s="50"/>
      <c r="E234" s="13"/>
      <c r="F234" s="13"/>
      <c r="G234" s="182"/>
    </row>
    <row r="235" spans="1:7" ht="13.5" customHeight="1" x14ac:dyDescent="0.2">
      <c r="A235" s="70"/>
      <c r="B235" s="70"/>
      <c r="C235" s="63"/>
      <c r="D235" s="50"/>
      <c r="E235" s="13"/>
      <c r="F235" s="13"/>
      <c r="G235" s="182"/>
    </row>
    <row r="236" spans="1:7" ht="13.5" customHeight="1" x14ac:dyDescent="0.2">
      <c r="A236" s="70"/>
      <c r="B236" s="70"/>
      <c r="C236" s="63"/>
      <c r="D236" s="50"/>
      <c r="E236" s="13"/>
      <c r="F236" s="13"/>
      <c r="G236" s="182"/>
    </row>
    <row r="237" spans="1:7" ht="13.5" customHeight="1" x14ac:dyDescent="0.2">
      <c r="A237" s="70"/>
      <c r="B237" s="70"/>
      <c r="C237" s="63"/>
      <c r="D237" s="50"/>
      <c r="E237" s="13"/>
      <c r="F237" s="13"/>
      <c r="G237" s="182"/>
    </row>
    <row r="238" spans="1:7" ht="13.5" customHeight="1" x14ac:dyDescent="0.2">
      <c r="A238" s="131"/>
      <c r="B238" s="70"/>
      <c r="C238" s="86"/>
      <c r="D238" s="50"/>
      <c r="E238" s="13"/>
      <c r="F238" s="13"/>
      <c r="G238" s="182"/>
    </row>
    <row r="239" spans="1:7" ht="13.5" customHeight="1" x14ac:dyDescent="0.2">
      <c r="A239" s="131"/>
      <c r="B239" s="70"/>
      <c r="C239" s="85"/>
      <c r="D239" s="50"/>
      <c r="E239" s="13"/>
      <c r="F239" s="13"/>
      <c r="G239" s="182"/>
    </row>
    <row r="240" spans="1:7" ht="13.5" customHeight="1" x14ac:dyDescent="0.2">
      <c r="A240" s="131"/>
      <c r="B240" s="70"/>
      <c r="C240" s="87"/>
      <c r="D240" s="50"/>
      <c r="E240" s="13"/>
      <c r="F240" s="13"/>
      <c r="G240" s="182"/>
    </row>
    <row r="241" spans="1:7" ht="13.5" customHeight="1" x14ac:dyDescent="0.2">
      <c r="A241" s="131"/>
      <c r="B241" s="70"/>
      <c r="C241" s="88"/>
      <c r="D241" s="50"/>
      <c r="E241" s="13"/>
      <c r="F241" s="13"/>
      <c r="G241" s="182"/>
    </row>
    <row r="242" spans="1:7" ht="13.5" customHeight="1" x14ac:dyDescent="0.2">
      <c r="A242" s="91"/>
      <c r="B242" s="9"/>
      <c r="C242" s="56"/>
      <c r="D242" s="11"/>
      <c r="E242" s="12"/>
      <c r="F242" s="12"/>
      <c r="G242" s="182"/>
    </row>
    <row r="243" spans="1:7" ht="13.5" customHeight="1" x14ac:dyDescent="0.2">
      <c r="A243" s="9"/>
      <c r="B243" s="9"/>
      <c r="C243" s="56"/>
      <c r="D243" s="11"/>
      <c r="E243" s="12"/>
      <c r="F243" s="12"/>
      <c r="G243" s="182"/>
    </row>
    <row r="244" spans="1:7" ht="13.5" customHeight="1" x14ac:dyDescent="0.2">
      <c r="A244" s="9"/>
      <c r="B244" s="9"/>
      <c r="C244" s="56"/>
      <c r="D244" s="11"/>
      <c r="E244" s="12"/>
      <c r="F244" s="12"/>
      <c r="G244" s="182"/>
    </row>
    <row r="245" spans="1:7" ht="13.5" customHeight="1" x14ac:dyDescent="0.2">
      <c r="A245" s="91"/>
      <c r="B245" s="9"/>
      <c r="D245" s="11"/>
      <c r="E245" s="12"/>
      <c r="F245" s="12"/>
      <c r="G245" s="182"/>
    </row>
    <row r="246" spans="1:7" ht="13.5" customHeight="1" x14ac:dyDescent="0.2">
      <c r="A246" s="9"/>
      <c r="B246" s="9"/>
      <c r="C246" s="56"/>
      <c r="D246" s="11"/>
      <c r="E246" s="12"/>
      <c r="F246" s="12"/>
      <c r="G246" s="182"/>
    </row>
    <row r="247" spans="1:7" ht="13.5" customHeight="1" x14ac:dyDescent="0.2">
      <c r="A247" s="9"/>
      <c r="B247" s="9"/>
      <c r="C247" s="56"/>
      <c r="D247" s="11"/>
      <c r="E247" s="12"/>
      <c r="F247" s="12"/>
      <c r="G247" s="182"/>
    </row>
    <row r="248" spans="1:7" ht="13.5" customHeight="1" x14ac:dyDescent="0.2">
      <c r="A248" s="9"/>
      <c r="B248" s="9"/>
      <c r="C248" s="56"/>
      <c r="D248" s="11"/>
      <c r="E248" s="12"/>
      <c r="F248" s="12"/>
      <c r="G248" s="182"/>
    </row>
    <row r="249" spans="1:7" ht="13.5" customHeight="1" x14ac:dyDescent="0.2">
      <c r="A249" s="91"/>
      <c r="B249" s="9"/>
      <c r="C249" s="27"/>
      <c r="D249" s="11"/>
      <c r="E249" s="12"/>
      <c r="F249" s="12"/>
      <c r="G249" s="182"/>
    </row>
    <row r="250" spans="1:7" ht="13.5" customHeight="1" x14ac:dyDescent="0.2">
      <c r="A250" s="91"/>
      <c r="B250" s="9"/>
      <c r="C250" s="27"/>
      <c r="D250" s="11"/>
      <c r="E250" s="12"/>
      <c r="F250" s="12"/>
      <c r="G250" s="182"/>
    </row>
    <row r="251" spans="1:7" ht="13.5" customHeight="1" x14ac:dyDescent="0.2">
      <c r="A251" s="91"/>
      <c r="B251" s="9"/>
      <c r="D251" s="11"/>
      <c r="E251" s="12"/>
      <c r="F251" s="12"/>
      <c r="G251" s="182"/>
    </row>
    <row r="252" spans="1:7" ht="13.5" customHeight="1" x14ac:dyDescent="0.2">
      <c r="A252" s="9"/>
      <c r="B252" s="9"/>
      <c r="C252" s="56"/>
      <c r="D252" s="11"/>
      <c r="E252" s="12"/>
      <c r="F252" s="12"/>
      <c r="G252" s="182"/>
    </row>
    <row r="253" spans="1:7" ht="13.5" customHeight="1" x14ac:dyDescent="0.2">
      <c r="A253" s="9"/>
      <c r="B253" s="9"/>
      <c r="C253" s="56"/>
      <c r="D253" s="11"/>
      <c r="E253" s="12"/>
      <c r="F253" s="12"/>
      <c r="G253" s="182"/>
    </row>
    <row r="254" spans="1:7" ht="13.5" customHeight="1" x14ac:dyDescent="0.2">
      <c r="A254" s="9"/>
      <c r="B254" s="9"/>
      <c r="C254" s="56"/>
      <c r="D254" s="11"/>
      <c r="E254" s="12"/>
      <c r="F254" s="12"/>
      <c r="G254" s="182"/>
    </row>
    <row r="255" spans="1:7" ht="13.5" customHeight="1" x14ac:dyDescent="0.2">
      <c r="A255" s="9"/>
      <c r="B255" s="9"/>
      <c r="C255" s="56"/>
      <c r="D255" s="11"/>
      <c r="E255" s="12"/>
      <c r="F255" s="12"/>
      <c r="G255" s="182"/>
    </row>
    <row r="256" spans="1:7" x14ac:dyDescent="0.2">
      <c r="A256" s="132"/>
      <c r="B256" s="93"/>
      <c r="C256" s="94"/>
      <c r="D256" s="27"/>
      <c r="E256" s="27"/>
      <c r="F256" s="27"/>
      <c r="G256" s="182"/>
    </row>
  </sheetData>
  <mergeCells count="2">
    <mergeCell ref="A1:C1"/>
    <mergeCell ref="D1:G1"/>
  </mergeCells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X242"/>
  <sheetViews>
    <sheetView topLeftCell="A148" zoomScale="80" zoomScaleNormal="80" workbookViewId="0">
      <selection activeCell="H168" sqref="H168"/>
    </sheetView>
  </sheetViews>
  <sheetFormatPr defaultColWidth="9" defaultRowHeight="12.75" x14ac:dyDescent="0.2"/>
  <cols>
    <col min="1" max="1" width="14" style="1" customWidth="1"/>
    <col min="2" max="2" width="1.875" style="1" customWidth="1"/>
    <col min="3" max="3" width="99.25" style="1" customWidth="1"/>
    <col min="4" max="4" width="12" style="1" customWidth="1"/>
    <col min="5" max="5" width="12.375" style="1" customWidth="1"/>
    <col min="6" max="6" width="10.75" style="1" customWidth="1"/>
    <col min="7" max="7" width="11.875" style="1" customWidth="1"/>
    <col min="8" max="8" width="13.25" style="1" customWidth="1"/>
    <col min="9" max="16384" width="9" style="1"/>
  </cols>
  <sheetData>
    <row r="1" spans="1:8" ht="13.5" customHeight="1" thickBot="1" x14ac:dyDescent="0.25">
      <c r="A1" s="1407" t="s">
        <v>4646</v>
      </c>
      <c r="B1" s="1407"/>
      <c r="C1" s="1408"/>
      <c r="D1" s="1409" t="s">
        <v>0</v>
      </c>
      <c r="E1" s="1410"/>
      <c r="F1" s="1410"/>
      <c r="G1" s="1411"/>
    </row>
    <row r="2" spans="1:8" ht="13.5" customHeight="1" thickBot="1" x14ac:dyDescent="0.25">
      <c r="A2" s="2" t="s">
        <v>2</v>
      </c>
      <c r="B2" s="3"/>
      <c r="C2" s="3" t="s">
        <v>2335</v>
      </c>
      <c r="D2" s="3" t="s">
        <v>4</v>
      </c>
      <c r="E2" s="3" t="s">
        <v>5</v>
      </c>
      <c r="F2" s="3" t="s">
        <v>6</v>
      </c>
      <c r="G2" s="5" t="s">
        <v>7</v>
      </c>
    </row>
    <row r="3" spans="1:8" ht="13.5" customHeight="1" x14ac:dyDescent="0.2">
      <c r="A3" s="8">
        <v>44044</v>
      </c>
      <c r="B3" s="56"/>
      <c r="C3" s="10" t="s">
        <v>8</v>
      </c>
      <c r="D3" s="11">
        <v>0</v>
      </c>
      <c r="E3" s="51"/>
      <c r="F3" s="12"/>
      <c r="G3" s="178">
        <v>4660.6000000000022</v>
      </c>
      <c r="H3" s="18">
        <v>4660.6000000000022</v>
      </c>
    </row>
    <row r="4" spans="1:8" ht="13.5" customHeight="1" x14ac:dyDescent="0.2">
      <c r="A4" s="180">
        <v>44046</v>
      </c>
      <c r="B4" s="56"/>
      <c r="C4" s="36" t="s">
        <v>4647</v>
      </c>
      <c r="D4" s="11"/>
      <c r="E4" s="30"/>
      <c r="F4" s="12">
        <v>212.65</v>
      </c>
      <c r="G4" s="182"/>
      <c r="H4" s="18">
        <f>H3+F4-E4</f>
        <v>4873.2500000000018</v>
      </c>
    </row>
    <row r="5" spans="1:8" ht="13.5" customHeight="1" x14ac:dyDescent="0.2">
      <c r="A5" s="180"/>
      <c r="B5" s="56"/>
      <c r="C5" s="36" t="s">
        <v>4648</v>
      </c>
      <c r="D5" s="11"/>
      <c r="E5" s="165">
        <v>212.65</v>
      </c>
      <c r="F5" s="12"/>
      <c r="G5" s="182"/>
      <c r="H5" s="18">
        <f t="shared" ref="H5:H52" si="0">H4+F5-E5</f>
        <v>4660.6000000000022</v>
      </c>
    </row>
    <row r="6" spans="1:8" ht="13.5" customHeight="1" x14ac:dyDescent="0.2">
      <c r="A6" s="180"/>
      <c r="B6" s="56"/>
      <c r="C6" s="36" t="s">
        <v>4649</v>
      </c>
      <c r="D6" s="11"/>
      <c r="E6" s="30"/>
      <c r="F6" s="12">
        <v>250</v>
      </c>
      <c r="G6" s="182">
        <v>4910.6000000000022</v>
      </c>
      <c r="H6" s="18">
        <f t="shared" si="0"/>
        <v>4910.6000000000022</v>
      </c>
    </row>
    <row r="7" spans="1:8" ht="13.5" customHeight="1" x14ac:dyDescent="0.2">
      <c r="A7" s="180">
        <v>44047</v>
      </c>
      <c r="B7" s="56"/>
      <c r="C7" s="36" t="s">
        <v>4650</v>
      </c>
      <c r="D7" s="11"/>
      <c r="E7" s="30">
        <v>11.5</v>
      </c>
      <c r="F7" s="12"/>
      <c r="G7" s="182"/>
      <c r="H7" s="18">
        <f t="shared" si="0"/>
        <v>4899.1000000000022</v>
      </c>
    </row>
    <row r="8" spans="1:8" ht="13.5" customHeight="1" x14ac:dyDescent="0.2">
      <c r="A8" s="180"/>
      <c r="B8" s="56"/>
      <c r="C8" s="36" t="s">
        <v>4651</v>
      </c>
      <c r="D8" s="11"/>
      <c r="E8" s="30">
        <v>40</v>
      </c>
      <c r="F8" s="12"/>
      <c r="G8" s="182">
        <v>4859.1000000000022</v>
      </c>
      <c r="H8" s="18">
        <f t="shared" si="0"/>
        <v>4859.1000000000022</v>
      </c>
    </row>
    <row r="9" spans="1:8" ht="13.5" customHeight="1" x14ac:dyDescent="0.2">
      <c r="A9" s="180">
        <v>44049</v>
      </c>
      <c r="B9" s="56"/>
      <c r="C9" s="34" t="s">
        <v>4652</v>
      </c>
      <c r="D9" s="11"/>
      <c r="E9" s="30"/>
      <c r="F9" s="12">
        <v>200</v>
      </c>
      <c r="G9" s="182"/>
      <c r="H9" s="18">
        <f t="shared" si="0"/>
        <v>5059.1000000000022</v>
      </c>
    </row>
    <row r="10" spans="1:8" ht="13.5" customHeight="1" x14ac:dyDescent="0.2">
      <c r="A10" s="180"/>
      <c r="B10" s="56"/>
      <c r="C10" s="36" t="s">
        <v>4653</v>
      </c>
      <c r="D10" s="11"/>
      <c r="E10" s="30"/>
      <c r="F10" s="12">
        <v>1464</v>
      </c>
      <c r="G10" s="182"/>
      <c r="H10" s="18">
        <f t="shared" si="0"/>
        <v>6523.1000000000022</v>
      </c>
    </row>
    <row r="11" spans="1:8" ht="13.5" customHeight="1" x14ac:dyDescent="0.2">
      <c r="A11" s="180"/>
      <c r="B11" s="56"/>
      <c r="C11" s="36" t="s">
        <v>4654</v>
      </c>
      <c r="D11" s="11"/>
      <c r="E11" s="30"/>
      <c r="F11" s="30">
        <v>1340</v>
      </c>
      <c r="G11" s="182">
        <v>7863.1000000000022</v>
      </c>
      <c r="H11" s="18">
        <f t="shared" si="0"/>
        <v>7863.1000000000022</v>
      </c>
    </row>
    <row r="12" spans="1:8" ht="13.5" customHeight="1" x14ac:dyDescent="0.2">
      <c r="A12" s="180">
        <v>44050</v>
      </c>
      <c r="B12" s="56"/>
      <c r="C12" s="36" t="s">
        <v>4655</v>
      </c>
      <c r="D12" s="11"/>
      <c r="E12" s="30">
        <v>320</v>
      </c>
      <c r="F12" s="30"/>
      <c r="G12" s="182"/>
      <c r="H12" s="18">
        <f t="shared" si="0"/>
        <v>7543.1000000000022</v>
      </c>
    </row>
    <row r="13" spans="1:8" ht="13.5" customHeight="1" x14ac:dyDescent="0.2">
      <c r="A13" s="180"/>
      <c r="B13" s="56"/>
      <c r="C13" s="36" t="s">
        <v>4656</v>
      </c>
      <c r="D13" s="11"/>
      <c r="E13" s="30">
        <v>80</v>
      </c>
      <c r="F13" s="30"/>
      <c r="G13" s="182">
        <v>7463.1000000000022</v>
      </c>
      <c r="H13" s="18">
        <f t="shared" si="0"/>
        <v>7463.1000000000022</v>
      </c>
    </row>
    <row r="14" spans="1:8" ht="13.5" customHeight="1" x14ac:dyDescent="0.2">
      <c r="A14" s="180">
        <v>44053</v>
      </c>
      <c r="B14" s="56"/>
      <c r="C14" s="36" t="s">
        <v>4657</v>
      </c>
      <c r="D14" s="11"/>
      <c r="E14" s="30"/>
      <c r="F14" s="30">
        <v>80</v>
      </c>
      <c r="G14" s="182"/>
      <c r="H14" s="18">
        <f t="shared" si="0"/>
        <v>7543.1000000000022</v>
      </c>
    </row>
    <row r="15" spans="1:8" ht="13.5" customHeight="1" x14ac:dyDescent="0.2">
      <c r="A15" s="180"/>
      <c r="B15" s="56"/>
      <c r="C15" s="34" t="s">
        <v>4658</v>
      </c>
      <c r="D15" s="11"/>
      <c r="E15" s="30"/>
      <c r="F15" s="30">
        <v>1080</v>
      </c>
      <c r="G15" s="182"/>
      <c r="H15" s="18">
        <f t="shared" si="0"/>
        <v>8623.1000000000022</v>
      </c>
    </row>
    <row r="16" spans="1:8" ht="13.5" customHeight="1" x14ac:dyDescent="0.2">
      <c r="A16" s="180"/>
      <c r="B16" s="56"/>
      <c r="C16" s="34" t="s">
        <v>4659</v>
      </c>
      <c r="D16" s="11"/>
      <c r="E16" s="30"/>
      <c r="F16" s="30">
        <v>42.6</v>
      </c>
      <c r="G16" s="182"/>
      <c r="H16" s="18">
        <f t="shared" si="0"/>
        <v>8665.7000000000025</v>
      </c>
    </row>
    <row r="17" spans="1:8" ht="13.5" customHeight="1" x14ac:dyDescent="0.2">
      <c r="A17" s="180"/>
      <c r="B17" s="56"/>
      <c r="C17" s="34" t="s">
        <v>4660</v>
      </c>
      <c r="D17" s="11"/>
      <c r="E17" s="30"/>
      <c r="F17" s="30">
        <v>2200</v>
      </c>
      <c r="G17" s="182">
        <v>10865.700000000003</v>
      </c>
      <c r="H17" s="18">
        <f t="shared" si="0"/>
        <v>10865.700000000003</v>
      </c>
    </row>
    <row r="18" spans="1:8" ht="13.5" customHeight="1" x14ac:dyDescent="0.2">
      <c r="A18" s="180">
        <v>44054</v>
      </c>
      <c r="B18" s="56"/>
      <c r="C18" s="36" t="s">
        <v>4661</v>
      </c>
      <c r="D18" s="11"/>
      <c r="E18" s="30"/>
      <c r="F18" s="30">
        <v>60</v>
      </c>
      <c r="G18" s="182"/>
      <c r="H18" s="18">
        <f t="shared" si="0"/>
        <v>10925.700000000003</v>
      </c>
    </row>
    <row r="19" spans="1:8" ht="13.5" customHeight="1" x14ac:dyDescent="0.2">
      <c r="A19" s="180"/>
      <c r="B19" s="56"/>
      <c r="C19" s="36" t="s">
        <v>4662</v>
      </c>
      <c r="D19" s="11"/>
      <c r="E19" s="30"/>
      <c r="F19" s="30">
        <v>250</v>
      </c>
      <c r="G19" s="182"/>
      <c r="H19" s="18">
        <f t="shared" si="0"/>
        <v>11175.700000000003</v>
      </c>
    </row>
    <row r="20" spans="1:8" ht="13.5" customHeight="1" x14ac:dyDescent="0.2">
      <c r="A20" s="180"/>
      <c r="B20" s="56"/>
      <c r="C20" s="36" t="s">
        <v>4663</v>
      </c>
      <c r="D20" s="11"/>
      <c r="E20" s="30"/>
      <c r="F20" s="30">
        <v>60</v>
      </c>
      <c r="G20" s="182"/>
      <c r="H20" s="18">
        <f t="shared" si="0"/>
        <v>11235.700000000003</v>
      </c>
    </row>
    <row r="21" spans="1:8" ht="13.5" customHeight="1" x14ac:dyDescent="0.2">
      <c r="A21" s="180"/>
      <c r="B21" s="56"/>
      <c r="C21" s="36" t="s">
        <v>4664</v>
      </c>
      <c r="D21" s="11"/>
      <c r="E21" s="30"/>
      <c r="F21" s="30">
        <v>750</v>
      </c>
      <c r="G21" s="182"/>
      <c r="H21" s="18">
        <f t="shared" si="0"/>
        <v>11985.700000000003</v>
      </c>
    </row>
    <row r="22" spans="1:8" ht="13.5" customHeight="1" x14ac:dyDescent="0.2">
      <c r="A22" s="180"/>
      <c r="B22" s="56"/>
      <c r="C22" s="36" t="s">
        <v>4665</v>
      </c>
      <c r="D22" s="11"/>
      <c r="E22" s="30"/>
      <c r="F22" s="30">
        <v>100</v>
      </c>
      <c r="G22" s="182">
        <v>12085.700000000003</v>
      </c>
      <c r="H22" s="18">
        <f t="shared" si="0"/>
        <v>12085.700000000003</v>
      </c>
    </row>
    <row r="23" spans="1:8" ht="13.5" customHeight="1" x14ac:dyDescent="0.2">
      <c r="A23" s="180">
        <v>44055</v>
      </c>
      <c r="B23" s="56"/>
      <c r="C23" s="36" t="s">
        <v>4666</v>
      </c>
      <c r="D23" s="11"/>
      <c r="E23" s="30"/>
      <c r="F23" s="30">
        <v>60</v>
      </c>
      <c r="G23" s="182">
        <v>12145.700000000003</v>
      </c>
      <c r="H23" s="18">
        <f t="shared" si="0"/>
        <v>12145.700000000003</v>
      </c>
    </row>
    <row r="24" spans="1:8" ht="13.5" customHeight="1" x14ac:dyDescent="0.2">
      <c r="A24" s="180">
        <v>44056</v>
      </c>
      <c r="B24" s="56"/>
      <c r="C24" s="36" t="s">
        <v>4667</v>
      </c>
      <c r="D24" s="11"/>
      <c r="E24" s="30">
        <v>33.299999999999997</v>
      </c>
      <c r="F24" s="30"/>
      <c r="G24" s="182">
        <v>12112.400000000003</v>
      </c>
      <c r="H24" s="18">
        <f t="shared" si="0"/>
        <v>12112.400000000003</v>
      </c>
    </row>
    <row r="25" spans="1:8" ht="13.5" customHeight="1" x14ac:dyDescent="0.2">
      <c r="A25" s="180">
        <v>44057</v>
      </c>
      <c r="B25" s="56"/>
      <c r="C25" s="36" t="s">
        <v>4668</v>
      </c>
      <c r="D25" s="11"/>
      <c r="E25" s="30"/>
      <c r="F25" s="30">
        <v>130</v>
      </c>
      <c r="G25" s="182"/>
      <c r="H25" s="18">
        <f t="shared" si="0"/>
        <v>12242.400000000003</v>
      </c>
    </row>
    <row r="26" spans="1:8" ht="13.5" customHeight="1" x14ac:dyDescent="0.2">
      <c r="A26" s="180"/>
      <c r="B26" s="56"/>
      <c r="C26" s="36" t="s">
        <v>4669</v>
      </c>
      <c r="D26" s="11"/>
      <c r="E26" s="30">
        <v>2490</v>
      </c>
      <c r="F26" s="30"/>
      <c r="G26" s="182"/>
      <c r="H26" s="18">
        <f t="shared" si="0"/>
        <v>9752.4000000000033</v>
      </c>
    </row>
    <row r="27" spans="1:8" ht="13.5" customHeight="1" x14ac:dyDescent="0.2">
      <c r="A27" s="180"/>
      <c r="B27" s="56"/>
      <c r="C27" s="36" t="s">
        <v>4670</v>
      </c>
      <c r="D27" s="11"/>
      <c r="E27" s="30">
        <v>51</v>
      </c>
      <c r="F27" s="12"/>
      <c r="G27" s="182"/>
      <c r="H27" s="18">
        <f t="shared" si="0"/>
        <v>9701.4000000000033</v>
      </c>
    </row>
    <row r="28" spans="1:8" ht="13.5" customHeight="1" x14ac:dyDescent="0.2">
      <c r="A28" s="180"/>
      <c r="B28" s="56"/>
      <c r="C28" s="36" t="s">
        <v>4671</v>
      </c>
      <c r="D28" s="11"/>
      <c r="E28" s="30"/>
      <c r="F28" s="12">
        <v>4965</v>
      </c>
      <c r="G28" s="182">
        <v>14666.400000000003</v>
      </c>
      <c r="H28" s="18">
        <f t="shared" si="0"/>
        <v>14666.400000000003</v>
      </c>
    </row>
    <row r="29" spans="1:8" ht="13.5" customHeight="1" x14ac:dyDescent="0.2">
      <c r="A29" s="180">
        <v>44060</v>
      </c>
      <c r="B29" s="56"/>
      <c r="C29" s="36" t="s">
        <v>4672</v>
      </c>
      <c r="D29" s="11"/>
      <c r="E29" s="30">
        <v>29.2</v>
      </c>
      <c r="F29" s="12"/>
      <c r="G29" s="182"/>
      <c r="H29" s="18">
        <f t="shared" si="0"/>
        <v>14637.200000000003</v>
      </c>
    </row>
    <row r="30" spans="1:8" ht="13.5" customHeight="1" x14ac:dyDescent="0.2">
      <c r="A30" s="180"/>
      <c r="B30" s="56"/>
      <c r="C30" s="36" t="s">
        <v>4673</v>
      </c>
      <c r="D30" s="11"/>
      <c r="E30" s="30">
        <v>2.5</v>
      </c>
      <c r="F30" s="12"/>
      <c r="G30" s="182"/>
      <c r="H30" s="18">
        <f t="shared" si="0"/>
        <v>14634.700000000003</v>
      </c>
    </row>
    <row r="31" spans="1:8" ht="13.5" customHeight="1" x14ac:dyDescent="0.2">
      <c r="A31" s="180"/>
      <c r="B31" s="56"/>
      <c r="C31" s="36" t="s">
        <v>4674</v>
      </c>
      <c r="D31" s="11"/>
      <c r="E31" s="30">
        <v>17</v>
      </c>
      <c r="F31" s="12"/>
      <c r="G31" s="182"/>
      <c r="H31" s="18">
        <f t="shared" si="0"/>
        <v>14617.700000000003</v>
      </c>
    </row>
    <row r="32" spans="1:8" ht="13.5" customHeight="1" x14ac:dyDescent="0.2">
      <c r="A32" s="180"/>
      <c r="B32" s="56"/>
      <c r="C32" s="36" t="s">
        <v>4675</v>
      </c>
      <c r="D32" s="11"/>
      <c r="E32" s="30">
        <v>50</v>
      </c>
      <c r="F32" s="12"/>
      <c r="G32" s="182"/>
      <c r="H32" s="18">
        <f t="shared" si="0"/>
        <v>14567.700000000003</v>
      </c>
    </row>
    <row r="33" spans="1:24" s="64" customFormat="1" ht="13.5" customHeight="1" x14ac:dyDescent="0.2">
      <c r="A33" s="184"/>
      <c r="B33" s="63"/>
      <c r="C33" s="32" t="s">
        <v>4676</v>
      </c>
      <c r="D33" s="50"/>
      <c r="E33" s="51">
        <v>22</v>
      </c>
      <c r="F33" s="13"/>
      <c r="G33" s="53"/>
      <c r="H33" s="18">
        <f t="shared" si="0"/>
        <v>14545.700000000003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</row>
    <row r="34" spans="1:24" s="64" customFormat="1" ht="13.5" customHeight="1" x14ac:dyDescent="0.2">
      <c r="A34" s="184"/>
      <c r="B34" s="63"/>
      <c r="C34" s="32" t="s">
        <v>4677</v>
      </c>
      <c r="D34" s="50"/>
      <c r="E34" s="165">
        <v>4965</v>
      </c>
      <c r="F34" s="13"/>
      <c r="G34" s="53"/>
      <c r="H34" s="18">
        <f t="shared" si="0"/>
        <v>9580.7000000000025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</row>
    <row r="35" spans="1:24" s="64" customFormat="1" ht="13.5" customHeight="1" x14ac:dyDescent="0.2">
      <c r="A35" s="184"/>
      <c r="B35" s="63"/>
      <c r="C35" s="32" t="s">
        <v>4678</v>
      </c>
      <c r="D35" s="50"/>
      <c r="E35" s="165">
        <v>200</v>
      </c>
      <c r="F35" s="13"/>
      <c r="G35" s="53"/>
      <c r="H35" s="18">
        <f t="shared" si="0"/>
        <v>9380.7000000000025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</row>
    <row r="36" spans="1:24" s="64" customFormat="1" ht="13.5" customHeight="1" x14ac:dyDescent="0.2">
      <c r="A36" s="184">
        <v>44061</v>
      </c>
      <c r="B36" s="63"/>
      <c r="C36" s="63" t="s">
        <v>4679</v>
      </c>
      <c r="D36" s="50"/>
      <c r="E36" s="51">
        <v>59.98</v>
      </c>
      <c r="F36" s="13"/>
      <c r="G36" s="53">
        <v>9320.720000000003</v>
      </c>
      <c r="H36" s="18">
        <f t="shared" si="0"/>
        <v>9320.720000000003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</row>
    <row r="37" spans="1:24" s="64" customFormat="1" ht="13.5" customHeight="1" x14ac:dyDescent="0.2">
      <c r="A37" s="184">
        <v>44062</v>
      </c>
      <c r="B37" s="63"/>
      <c r="C37" s="63" t="s">
        <v>4680</v>
      </c>
      <c r="D37" s="50"/>
      <c r="E37" s="51">
        <v>20</v>
      </c>
      <c r="F37" s="13"/>
      <c r="G37" s="53"/>
      <c r="H37" s="18">
        <f t="shared" si="0"/>
        <v>9300.720000000003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</row>
    <row r="38" spans="1:24" s="64" customFormat="1" ht="13.5" customHeight="1" x14ac:dyDescent="0.2">
      <c r="A38" s="184"/>
      <c r="B38" s="63"/>
      <c r="C38" s="63" t="s">
        <v>4681</v>
      </c>
      <c r="D38" s="50"/>
      <c r="E38" s="51">
        <v>18.899999999999999</v>
      </c>
      <c r="F38" s="13"/>
      <c r="G38" s="53"/>
      <c r="H38" s="18">
        <f t="shared" si="0"/>
        <v>9281.8200000000033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</row>
    <row r="39" spans="1:24" s="64" customFormat="1" ht="13.5" customHeight="1" x14ac:dyDescent="0.2">
      <c r="A39" s="184"/>
      <c r="B39" s="63"/>
      <c r="C39" s="63" t="s">
        <v>4682</v>
      </c>
      <c r="D39" s="50"/>
      <c r="E39" s="51">
        <v>30.84</v>
      </c>
      <c r="F39" s="13"/>
      <c r="G39" s="53">
        <v>9250.9800000000032</v>
      </c>
      <c r="H39" s="18">
        <f t="shared" si="0"/>
        <v>9250.9800000000032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</row>
    <row r="40" spans="1:24" s="64" customFormat="1" ht="13.5" customHeight="1" x14ac:dyDescent="0.2">
      <c r="A40" s="184">
        <v>44063</v>
      </c>
      <c r="B40" s="63"/>
      <c r="C40" s="63" t="s">
        <v>4683</v>
      </c>
      <c r="D40" s="50"/>
      <c r="E40" s="51"/>
      <c r="F40" s="13">
        <v>193</v>
      </c>
      <c r="G40" s="53"/>
      <c r="H40" s="18">
        <f t="shared" si="0"/>
        <v>9443.9800000000032</v>
      </c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</row>
    <row r="41" spans="1:24" s="64" customFormat="1" ht="13.5" customHeight="1" x14ac:dyDescent="0.2">
      <c r="A41" s="184"/>
      <c r="B41" s="63"/>
      <c r="C41" s="63" t="s">
        <v>4684</v>
      </c>
      <c r="D41" s="50"/>
      <c r="E41" s="51">
        <v>10</v>
      </c>
      <c r="F41" s="13"/>
      <c r="G41" s="53"/>
      <c r="H41" s="18">
        <f t="shared" si="0"/>
        <v>9433.9800000000032</v>
      </c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</row>
    <row r="42" spans="1:24" s="64" customFormat="1" ht="13.5" customHeight="1" x14ac:dyDescent="0.2">
      <c r="A42" s="184"/>
      <c r="B42" s="63"/>
      <c r="C42" s="63" t="s">
        <v>4685</v>
      </c>
      <c r="D42" s="50"/>
      <c r="E42" s="51">
        <v>7.9</v>
      </c>
      <c r="F42" s="13"/>
      <c r="G42" s="53"/>
      <c r="H42" s="18">
        <f t="shared" si="0"/>
        <v>9426.0800000000036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</row>
    <row r="43" spans="1:24" s="64" customFormat="1" ht="13.5" customHeight="1" x14ac:dyDescent="0.2">
      <c r="A43" s="184"/>
      <c r="B43" s="63"/>
      <c r="C43" s="63" t="s">
        <v>4686</v>
      </c>
      <c r="D43" s="50"/>
      <c r="E43" s="51">
        <v>159.94999999999999</v>
      </c>
      <c r="F43" s="13"/>
      <c r="G43" s="53"/>
      <c r="H43" s="18">
        <f t="shared" si="0"/>
        <v>9266.1300000000028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 spans="1:24" s="64" customFormat="1" ht="13.5" customHeight="1" x14ac:dyDescent="0.2">
      <c r="A44" s="184"/>
      <c r="B44" s="63"/>
      <c r="C44" s="32" t="s">
        <v>4687</v>
      </c>
      <c r="D44" s="50"/>
      <c r="E44" s="51">
        <v>836</v>
      </c>
      <c r="F44" s="13"/>
      <c r="G44" s="53">
        <v>8430.1300000000028</v>
      </c>
      <c r="H44" s="18">
        <f t="shared" si="0"/>
        <v>8430.1300000000028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 spans="1:24" s="64" customFormat="1" ht="13.5" customHeight="1" x14ac:dyDescent="0.2">
      <c r="A45" s="184">
        <v>44064</v>
      </c>
      <c r="B45" s="63"/>
      <c r="C45" s="63" t="s">
        <v>4688</v>
      </c>
      <c r="D45" s="50"/>
      <c r="E45" s="51">
        <v>280</v>
      </c>
      <c r="F45" s="13"/>
      <c r="G45" s="53"/>
      <c r="H45" s="18">
        <f t="shared" si="0"/>
        <v>8150.1300000000028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</row>
    <row r="46" spans="1:24" s="64" customFormat="1" ht="13.5" customHeight="1" x14ac:dyDescent="0.2">
      <c r="A46" s="184"/>
      <c r="B46" s="63"/>
      <c r="C46" s="63" t="s">
        <v>4689</v>
      </c>
      <c r="D46" s="50"/>
      <c r="E46" s="51">
        <v>80</v>
      </c>
      <c r="F46" s="13"/>
      <c r="G46" s="53">
        <v>8070.1300000000028</v>
      </c>
      <c r="H46" s="18">
        <f t="shared" si="0"/>
        <v>8070.1300000000028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</row>
    <row r="47" spans="1:24" s="64" customFormat="1" ht="13.5" customHeight="1" x14ac:dyDescent="0.2">
      <c r="A47" s="184">
        <v>44070</v>
      </c>
      <c r="B47" s="63"/>
      <c r="C47" s="63" t="s">
        <v>4690</v>
      </c>
      <c r="D47" s="50"/>
      <c r="E47" s="51"/>
      <c r="F47" s="13">
        <v>1464</v>
      </c>
      <c r="G47" s="53"/>
      <c r="H47" s="18">
        <f t="shared" si="0"/>
        <v>9534.1300000000028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 spans="1:24" s="64" customFormat="1" ht="13.5" customHeight="1" x14ac:dyDescent="0.2">
      <c r="A48" s="184"/>
      <c r="B48" s="63"/>
      <c r="C48" s="63" t="s">
        <v>4691</v>
      </c>
      <c r="D48" s="50"/>
      <c r="E48" s="51">
        <v>29.96</v>
      </c>
      <c r="F48" s="13"/>
      <c r="G48" s="53">
        <v>9504.1700000000037</v>
      </c>
      <c r="H48" s="18">
        <f t="shared" si="0"/>
        <v>9504.1700000000037</v>
      </c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 spans="1:24" s="64" customFormat="1" ht="13.5" customHeight="1" x14ac:dyDescent="0.2">
      <c r="A49" s="184">
        <v>44071</v>
      </c>
      <c r="B49" s="63"/>
      <c r="C49" s="63" t="s">
        <v>4692</v>
      </c>
      <c r="D49" s="50"/>
      <c r="E49" s="51">
        <v>43.46</v>
      </c>
      <c r="F49" s="13"/>
      <c r="G49" s="53"/>
      <c r="H49" s="18">
        <f t="shared" si="0"/>
        <v>9460.7100000000046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 spans="1:24" s="64" customFormat="1" ht="13.5" customHeight="1" x14ac:dyDescent="0.2">
      <c r="A50" s="184"/>
      <c r="B50" s="63"/>
      <c r="C50" s="63" t="s">
        <v>4693</v>
      </c>
      <c r="D50" s="50"/>
      <c r="E50" s="51">
        <v>68.319999999999993</v>
      </c>
      <c r="F50" s="13"/>
      <c r="G50" s="53">
        <v>9392.3900000000049</v>
      </c>
      <c r="H50" s="18">
        <f t="shared" si="0"/>
        <v>9392.3900000000049</v>
      </c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 spans="1:24" s="64" customFormat="1" ht="13.5" customHeight="1" x14ac:dyDescent="0.2">
      <c r="A51" s="184">
        <v>44074</v>
      </c>
      <c r="B51" s="63"/>
      <c r="C51" s="63" t="s">
        <v>4694</v>
      </c>
      <c r="D51" s="50"/>
      <c r="E51" s="51">
        <v>3.6</v>
      </c>
      <c r="F51" s="13"/>
      <c r="G51" s="53"/>
      <c r="H51" s="18">
        <f t="shared" si="0"/>
        <v>9388.7900000000045</v>
      </c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</row>
    <row r="52" spans="1:24" s="64" customFormat="1" ht="13.5" customHeight="1" x14ac:dyDescent="0.2">
      <c r="A52" s="184"/>
      <c r="B52" s="63"/>
      <c r="C52" s="63" t="s">
        <v>4695</v>
      </c>
      <c r="D52" s="50"/>
      <c r="E52" s="51">
        <v>28</v>
      </c>
      <c r="F52" s="13"/>
      <c r="G52" s="178">
        <v>9360.7900000000045</v>
      </c>
      <c r="H52" s="18">
        <f t="shared" si="0"/>
        <v>9360.7900000000045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 spans="1:24" s="64" customFormat="1" ht="13.5" customHeight="1" thickBot="1" x14ac:dyDescent="0.25">
      <c r="A53" s="184"/>
      <c r="B53" s="63"/>
      <c r="C53" s="63"/>
      <c r="D53" s="50"/>
      <c r="E53" s="650">
        <f>-SUM(E7:E33,E36:E52)</f>
        <v>-4823.41</v>
      </c>
      <c r="F53" s="651">
        <f>SUM(F4:F52)</f>
        <v>14901.25</v>
      </c>
      <c r="G53" s="53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 spans="1:24" ht="13.5" customHeight="1" thickBot="1" x14ac:dyDescent="0.25">
      <c r="A54" s="2" t="s">
        <v>2</v>
      </c>
      <c r="B54" s="3"/>
      <c r="C54" s="3" t="s">
        <v>536</v>
      </c>
      <c r="D54" s="3" t="s">
        <v>4</v>
      </c>
      <c r="E54" s="3" t="s">
        <v>5</v>
      </c>
      <c r="F54" s="3" t="s">
        <v>6</v>
      </c>
      <c r="G54" s="5" t="s">
        <v>7</v>
      </c>
    </row>
    <row r="55" spans="1:24" ht="13.5" customHeight="1" x14ac:dyDescent="0.2">
      <c r="A55" s="8">
        <v>44044</v>
      </c>
      <c r="B55" s="56"/>
      <c r="C55" s="10" t="s">
        <v>8</v>
      </c>
      <c r="D55" s="11"/>
      <c r="E55" s="51"/>
      <c r="F55" s="12"/>
      <c r="G55" s="205">
        <v>32000</v>
      </c>
      <c r="H55" s="18">
        <f>G55</f>
        <v>32000</v>
      </c>
    </row>
    <row r="56" spans="1:24" ht="13.5" customHeight="1" x14ac:dyDescent="0.2">
      <c r="A56" s="171">
        <v>44047</v>
      </c>
      <c r="B56" s="46"/>
      <c r="C56" s="742" t="s">
        <v>4696</v>
      </c>
      <c r="D56" s="11"/>
      <c r="E56" s="30"/>
      <c r="F56" s="12">
        <v>1345.16</v>
      </c>
      <c r="G56" s="182">
        <v>33345.160000000003</v>
      </c>
      <c r="H56" s="18">
        <f>H55+F56-E56</f>
        <v>33345.160000000003</v>
      </c>
    </row>
    <row r="57" spans="1:24" ht="13.5" customHeight="1" x14ac:dyDescent="0.2">
      <c r="A57" s="180"/>
      <c r="B57" s="56"/>
      <c r="C57" s="32" t="s">
        <v>1002</v>
      </c>
      <c r="D57" s="11"/>
      <c r="E57" s="30">
        <v>4195.32</v>
      </c>
      <c r="F57" s="12"/>
      <c r="G57" s="182">
        <v>29149.840000000004</v>
      </c>
      <c r="H57" s="18">
        <f t="shared" ref="H57:H94" si="1">H56+F57-E57</f>
        <v>29149.840000000004</v>
      </c>
    </row>
    <row r="58" spans="1:24" ht="13.5" customHeight="1" x14ac:dyDescent="0.2">
      <c r="A58" s="180"/>
      <c r="B58" s="56"/>
      <c r="C58" s="34" t="s">
        <v>4569</v>
      </c>
      <c r="D58" s="11"/>
      <c r="E58" s="30">
        <v>500</v>
      </c>
      <c r="F58" s="12"/>
      <c r="G58" s="182">
        <v>28649.840000000004</v>
      </c>
      <c r="H58" s="18">
        <f t="shared" si="1"/>
        <v>28649.840000000004</v>
      </c>
    </row>
    <row r="59" spans="1:24" ht="13.5" customHeight="1" x14ac:dyDescent="0.2">
      <c r="A59" s="180">
        <v>44048</v>
      </c>
      <c r="B59" s="56"/>
      <c r="C59" s="742" t="s">
        <v>4697</v>
      </c>
      <c r="D59" s="11"/>
      <c r="E59" s="30"/>
      <c r="F59" s="12">
        <v>1100</v>
      </c>
      <c r="G59" s="182">
        <v>29749.840000000004</v>
      </c>
      <c r="H59" s="18">
        <f t="shared" si="1"/>
        <v>29749.840000000004</v>
      </c>
    </row>
    <row r="60" spans="1:24" ht="13.5" customHeight="1" x14ac:dyDescent="0.2">
      <c r="A60" s="180"/>
      <c r="B60" s="56"/>
      <c r="C60" s="36" t="s">
        <v>4698</v>
      </c>
      <c r="D60" s="11"/>
      <c r="E60" s="30">
        <v>750</v>
      </c>
      <c r="F60" s="12"/>
      <c r="G60" s="182">
        <v>28999.840000000004</v>
      </c>
      <c r="H60" s="18">
        <f t="shared" si="1"/>
        <v>28999.840000000004</v>
      </c>
    </row>
    <row r="61" spans="1:24" ht="13.5" customHeight="1" x14ac:dyDescent="0.2">
      <c r="A61" s="180">
        <v>44050</v>
      </c>
      <c r="B61" s="56"/>
      <c r="C61" s="34" t="s">
        <v>4699</v>
      </c>
      <c r="D61" s="11"/>
      <c r="E61" s="30">
        <v>1292.8499999999999</v>
      </c>
      <c r="F61" s="12"/>
      <c r="G61" s="182">
        <v>27706.990000000005</v>
      </c>
      <c r="H61" s="18">
        <f t="shared" si="1"/>
        <v>27706.990000000005</v>
      </c>
    </row>
    <row r="62" spans="1:24" ht="13.5" customHeight="1" x14ac:dyDescent="0.2">
      <c r="A62" s="180"/>
      <c r="B62" s="56"/>
      <c r="C62" s="36" t="s">
        <v>4700</v>
      </c>
      <c r="D62" s="11"/>
      <c r="E62" s="30">
        <v>36</v>
      </c>
      <c r="F62" s="12"/>
      <c r="G62" s="182">
        <v>27670.990000000005</v>
      </c>
      <c r="H62" s="18">
        <f t="shared" si="1"/>
        <v>27670.990000000005</v>
      </c>
    </row>
    <row r="63" spans="1:24" ht="13.5" customHeight="1" x14ac:dyDescent="0.2">
      <c r="A63" s="180">
        <v>44054</v>
      </c>
      <c r="B63" s="56"/>
      <c r="C63" s="36" t="s">
        <v>4701</v>
      </c>
      <c r="D63" s="11"/>
      <c r="E63" s="30">
        <v>640</v>
      </c>
      <c r="F63" s="12"/>
      <c r="G63" s="182">
        <v>27030.990000000005</v>
      </c>
      <c r="H63" s="18">
        <f t="shared" si="1"/>
        <v>27030.990000000005</v>
      </c>
    </row>
    <row r="64" spans="1:24" ht="13.5" customHeight="1" x14ac:dyDescent="0.2">
      <c r="A64" s="180"/>
      <c r="B64" s="56"/>
      <c r="C64" s="36" t="s">
        <v>4702</v>
      </c>
      <c r="D64" s="11"/>
      <c r="E64" s="30">
        <v>65</v>
      </c>
      <c r="F64" s="12"/>
      <c r="G64" s="182">
        <v>26965.990000000005</v>
      </c>
      <c r="H64" s="18">
        <f t="shared" si="1"/>
        <v>26965.990000000005</v>
      </c>
    </row>
    <row r="65" spans="1:24" s="64" customFormat="1" ht="13.5" customHeight="1" x14ac:dyDescent="0.2">
      <c r="A65" s="184">
        <v>44055</v>
      </c>
      <c r="B65" s="63"/>
      <c r="C65" s="742" t="s">
        <v>4703</v>
      </c>
      <c r="D65" s="50"/>
      <c r="E65" s="51"/>
      <c r="F65" s="13">
        <v>1740</v>
      </c>
      <c r="G65" s="182">
        <v>28705.990000000005</v>
      </c>
      <c r="H65" s="18">
        <f t="shared" si="1"/>
        <v>28705.990000000005</v>
      </c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</row>
    <row r="66" spans="1:24" s="64" customFormat="1" ht="13.5" customHeight="1" x14ac:dyDescent="0.2">
      <c r="A66" s="184"/>
      <c r="B66" s="63"/>
      <c r="C66" s="742" t="s">
        <v>4704</v>
      </c>
      <c r="D66" s="50"/>
      <c r="E66" s="51"/>
      <c r="F66" s="13">
        <v>1790</v>
      </c>
      <c r="G66" s="182">
        <v>30495.990000000005</v>
      </c>
      <c r="H66" s="18">
        <f t="shared" si="1"/>
        <v>30495.990000000005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</row>
    <row r="67" spans="1:24" s="64" customFormat="1" ht="13.5" customHeight="1" x14ac:dyDescent="0.2">
      <c r="A67" s="184"/>
      <c r="B67" s="63"/>
      <c r="C67" s="742" t="s">
        <v>4705</v>
      </c>
      <c r="D67" s="50"/>
      <c r="E67" s="51"/>
      <c r="F67" s="13">
        <v>1231</v>
      </c>
      <c r="G67" s="182">
        <v>31726.990000000005</v>
      </c>
      <c r="H67" s="18">
        <f t="shared" si="1"/>
        <v>31726.990000000005</v>
      </c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 spans="1:24" s="64" customFormat="1" ht="13.5" customHeight="1" x14ac:dyDescent="0.2">
      <c r="A68" s="184"/>
      <c r="B68" s="63"/>
      <c r="C68" s="742" t="s">
        <v>4706</v>
      </c>
      <c r="D68" s="50"/>
      <c r="E68" s="51"/>
      <c r="F68" s="13">
        <v>200</v>
      </c>
      <c r="G68" s="182">
        <v>31926.990000000005</v>
      </c>
      <c r="H68" s="18">
        <f t="shared" si="1"/>
        <v>31926.990000000005</v>
      </c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 spans="1:24" s="64" customFormat="1" ht="13.5" customHeight="1" x14ac:dyDescent="0.2">
      <c r="A69" s="184"/>
      <c r="B69" s="63"/>
      <c r="C69" s="742" t="s">
        <v>4707</v>
      </c>
      <c r="D69" s="50"/>
      <c r="E69" s="51"/>
      <c r="F69" s="13">
        <v>100</v>
      </c>
      <c r="G69" s="182">
        <v>32026.990000000005</v>
      </c>
      <c r="H69" s="18">
        <f t="shared" si="1"/>
        <v>32026.990000000005</v>
      </c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 spans="1:24" s="64" customFormat="1" ht="13.5" customHeight="1" x14ac:dyDescent="0.2">
      <c r="A70" s="184"/>
      <c r="B70" s="63"/>
      <c r="C70" s="742" t="s">
        <v>4708</v>
      </c>
      <c r="D70" s="50"/>
      <c r="E70" s="51"/>
      <c r="F70" s="13">
        <v>250</v>
      </c>
      <c r="G70" s="182">
        <v>32276.990000000005</v>
      </c>
      <c r="H70" s="18">
        <f t="shared" si="1"/>
        <v>32276.990000000005</v>
      </c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</row>
    <row r="71" spans="1:24" ht="13.5" customHeight="1" x14ac:dyDescent="0.2">
      <c r="A71" s="180">
        <v>44059</v>
      </c>
      <c r="B71" s="56"/>
      <c r="C71" s="36" t="s">
        <v>1553</v>
      </c>
      <c r="D71" s="11"/>
      <c r="E71" s="30">
        <v>2000</v>
      </c>
      <c r="F71" s="12"/>
      <c r="G71" s="182">
        <v>30276.990000000005</v>
      </c>
      <c r="H71" s="18">
        <f t="shared" si="1"/>
        <v>30276.990000000005</v>
      </c>
    </row>
    <row r="72" spans="1:24" ht="13.5" customHeight="1" x14ac:dyDescent="0.2">
      <c r="A72" s="180">
        <v>44060</v>
      </c>
      <c r="B72" s="56"/>
      <c r="C72" s="742" t="s">
        <v>4709</v>
      </c>
      <c r="D72" s="11"/>
      <c r="E72" s="30">
        <v>99</v>
      </c>
      <c r="F72" s="12"/>
      <c r="G72" s="182">
        <v>30177.990000000005</v>
      </c>
      <c r="H72" s="18">
        <f t="shared" si="1"/>
        <v>30177.990000000005</v>
      </c>
    </row>
    <row r="73" spans="1:24" ht="13.5" customHeight="1" x14ac:dyDescent="0.2">
      <c r="A73" s="180"/>
      <c r="B73" s="56"/>
      <c r="C73" s="36" t="s">
        <v>4710</v>
      </c>
      <c r="D73" s="11"/>
      <c r="E73" s="165">
        <v>5000</v>
      </c>
      <c r="F73" s="12"/>
      <c r="G73" s="182">
        <v>25177.990000000005</v>
      </c>
      <c r="H73" s="18">
        <f t="shared" si="1"/>
        <v>25177.990000000005</v>
      </c>
    </row>
    <row r="74" spans="1:24" ht="13.5" customHeight="1" x14ac:dyDescent="0.2">
      <c r="A74" s="180">
        <v>44061</v>
      </c>
      <c r="B74" s="56"/>
      <c r="C74" s="36" t="s">
        <v>4711</v>
      </c>
      <c r="D74" s="11"/>
      <c r="E74" s="30">
        <v>182.62</v>
      </c>
      <c r="F74" s="12"/>
      <c r="G74" s="182">
        <v>24995.370000000006</v>
      </c>
      <c r="H74" s="18">
        <f t="shared" si="1"/>
        <v>24995.370000000006</v>
      </c>
    </row>
    <row r="75" spans="1:24" ht="13.5" customHeight="1" x14ac:dyDescent="0.2">
      <c r="A75" s="180"/>
      <c r="B75" s="56"/>
      <c r="C75" s="36" t="s">
        <v>4712</v>
      </c>
      <c r="D75" s="11"/>
      <c r="E75" s="30">
        <v>50.45</v>
      </c>
      <c r="F75" s="12"/>
      <c r="G75" s="182">
        <v>24944.920000000006</v>
      </c>
      <c r="H75" s="18">
        <f t="shared" si="1"/>
        <v>24944.920000000006</v>
      </c>
    </row>
    <row r="76" spans="1:24" s="64" customFormat="1" ht="13.5" customHeight="1" x14ac:dyDescent="0.2">
      <c r="A76" s="184"/>
      <c r="B76" s="63"/>
      <c r="C76" s="742" t="s">
        <v>4713</v>
      </c>
      <c r="D76" s="50"/>
      <c r="E76" s="51"/>
      <c r="F76" s="13">
        <v>936</v>
      </c>
      <c r="G76" s="182">
        <v>25880.920000000006</v>
      </c>
      <c r="H76" s="18">
        <f t="shared" si="1"/>
        <v>25880.920000000006</v>
      </c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 spans="1:24" s="64" customFormat="1" ht="13.5" customHeight="1" x14ac:dyDescent="0.2">
      <c r="A77" s="184">
        <v>44063</v>
      </c>
      <c r="B77" s="63"/>
      <c r="C77" s="34" t="s">
        <v>3872</v>
      </c>
      <c r="D77" s="50"/>
      <c r="E77" s="51">
        <v>100</v>
      </c>
      <c r="F77" s="13"/>
      <c r="G77" s="182">
        <v>25780.920000000006</v>
      </c>
      <c r="H77" s="18">
        <f t="shared" si="1"/>
        <v>25780.920000000006</v>
      </c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 spans="1:24" s="64" customFormat="1" ht="13.5" customHeight="1" x14ac:dyDescent="0.2">
      <c r="A78" s="184"/>
      <c r="B78" s="63"/>
      <c r="C78" s="34" t="s">
        <v>4714</v>
      </c>
      <c r="D78" s="50"/>
      <c r="E78" s="51">
        <v>54.8</v>
      </c>
      <c r="F78" s="13"/>
      <c r="G78" s="182">
        <v>25726.120000000006</v>
      </c>
      <c r="H78" s="18">
        <f t="shared" si="1"/>
        <v>25726.120000000006</v>
      </c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 spans="1:24" s="64" customFormat="1" ht="13.5" customHeight="1" x14ac:dyDescent="0.2">
      <c r="A79" s="184"/>
      <c r="B79" s="63"/>
      <c r="C79" s="32" t="s">
        <v>4715</v>
      </c>
      <c r="D79" s="50"/>
      <c r="E79" s="51">
        <v>183.25</v>
      </c>
      <c r="F79" s="13"/>
      <c r="G79" s="182">
        <v>25542.870000000006</v>
      </c>
      <c r="H79" s="18">
        <f t="shared" si="1"/>
        <v>25542.870000000006</v>
      </c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 spans="1:24" s="64" customFormat="1" ht="13.5" customHeight="1" x14ac:dyDescent="0.2">
      <c r="A80" s="184"/>
      <c r="B80" s="63"/>
      <c r="C80" s="32" t="s">
        <v>4716</v>
      </c>
      <c r="D80" s="50"/>
      <c r="E80" s="51">
        <v>379.03</v>
      </c>
      <c r="F80" s="13"/>
      <c r="G80" s="182">
        <v>25163.840000000007</v>
      </c>
      <c r="H80" s="18">
        <f t="shared" si="1"/>
        <v>25163.840000000007</v>
      </c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 spans="1:24" s="64" customFormat="1" ht="13.5" customHeight="1" x14ac:dyDescent="0.2">
      <c r="A81" s="184"/>
      <c r="B81" s="63"/>
      <c r="C81" s="138" t="s">
        <v>4717</v>
      </c>
      <c r="D81" s="50"/>
      <c r="E81" s="51">
        <v>6</v>
      </c>
      <c r="F81" s="13"/>
      <c r="G81" s="182">
        <v>25157.840000000007</v>
      </c>
      <c r="H81" s="18">
        <f t="shared" si="1"/>
        <v>25157.840000000007</v>
      </c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 spans="1:24" s="64" customFormat="1" ht="13.5" customHeight="1" x14ac:dyDescent="0.2">
      <c r="A82" s="184"/>
      <c r="B82" s="63"/>
      <c r="C82" s="138" t="s">
        <v>4718</v>
      </c>
      <c r="D82" s="50"/>
      <c r="E82" s="51">
        <v>707</v>
      </c>
      <c r="F82" s="13"/>
      <c r="G82" s="182">
        <v>24450.840000000007</v>
      </c>
      <c r="H82" s="18">
        <f t="shared" si="1"/>
        <v>24450.840000000007</v>
      </c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 spans="1:24" s="64" customFormat="1" ht="13.5" customHeight="1" x14ac:dyDescent="0.2">
      <c r="A83" s="184"/>
      <c r="B83" s="63"/>
      <c r="C83" s="138" t="s">
        <v>4718</v>
      </c>
      <c r="D83" s="50"/>
      <c r="E83" s="51">
        <v>202</v>
      </c>
      <c r="F83" s="13"/>
      <c r="G83" s="182">
        <v>24248.840000000007</v>
      </c>
      <c r="H83" s="18">
        <f t="shared" si="1"/>
        <v>24248.840000000007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 spans="1:24" s="64" customFormat="1" ht="13.5" customHeight="1" x14ac:dyDescent="0.2">
      <c r="A84" s="184"/>
      <c r="B84" s="63"/>
      <c r="C84" s="138" t="s">
        <v>4719</v>
      </c>
      <c r="D84" s="50"/>
      <c r="E84" s="51">
        <v>1328.6</v>
      </c>
      <c r="F84" s="13"/>
      <c r="G84" s="182">
        <v>22920.240000000009</v>
      </c>
      <c r="H84" s="18">
        <f t="shared" si="1"/>
        <v>22920.240000000009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 spans="1:24" s="64" customFormat="1" ht="13.5" customHeight="1" x14ac:dyDescent="0.2">
      <c r="A85" s="184"/>
      <c r="B85" s="63"/>
      <c r="C85" s="32" t="s">
        <v>4720</v>
      </c>
      <c r="D85" s="50"/>
      <c r="E85" s="51">
        <v>280</v>
      </c>
      <c r="F85" s="13"/>
      <c r="G85" s="182">
        <v>22640.240000000009</v>
      </c>
      <c r="H85" s="18">
        <f t="shared" si="1"/>
        <v>22640.240000000009</v>
      </c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 spans="1:24" s="64" customFormat="1" ht="13.5" customHeight="1" x14ac:dyDescent="0.2">
      <c r="A86" s="184"/>
      <c r="B86" s="63"/>
      <c r="C86" s="32" t="s">
        <v>4721</v>
      </c>
      <c r="D86" s="50"/>
      <c r="E86" s="51">
        <v>223.88</v>
      </c>
      <c r="F86" s="13"/>
      <c r="G86" s="182">
        <v>22416.360000000008</v>
      </c>
      <c r="H86" s="18">
        <f t="shared" si="1"/>
        <v>22416.360000000008</v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 spans="1:24" ht="13.5" customHeight="1" x14ac:dyDescent="0.2">
      <c r="A87" s="180">
        <v>44064</v>
      </c>
      <c r="B87" s="56"/>
      <c r="C87" s="742" t="s">
        <v>4722</v>
      </c>
      <c r="D87" s="11"/>
      <c r="E87" s="30">
        <v>250</v>
      </c>
      <c r="F87" s="12"/>
      <c r="G87" s="182">
        <v>22166.360000000008</v>
      </c>
      <c r="H87" s="18">
        <f t="shared" si="1"/>
        <v>22166.360000000008</v>
      </c>
    </row>
    <row r="88" spans="1:24" s="64" customFormat="1" ht="13.5" customHeight="1" x14ac:dyDescent="0.2">
      <c r="A88" s="184">
        <v>44067</v>
      </c>
      <c r="B88" s="63"/>
      <c r="C88" s="742" t="s">
        <v>4723</v>
      </c>
      <c r="D88" s="50"/>
      <c r="E88" s="51"/>
      <c r="F88" s="13">
        <v>999</v>
      </c>
      <c r="G88" s="182">
        <v>23165.360000000008</v>
      </c>
      <c r="H88" s="18">
        <f t="shared" si="1"/>
        <v>23165.360000000008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 spans="1:24" ht="13.5" customHeight="1" x14ac:dyDescent="0.2">
      <c r="A89" s="180"/>
      <c r="B89" s="56"/>
      <c r="C89" s="742" t="s">
        <v>4724</v>
      </c>
      <c r="D89" s="11"/>
      <c r="E89" s="30">
        <v>120</v>
      </c>
      <c r="F89" s="12"/>
      <c r="G89" s="182">
        <v>23045.360000000008</v>
      </c>
      <c r="H89" s="18">
        <f t="shared" si="1"/>
        <v>23045.360000000008</v>
      </c>
    </row>
    <row r="90" spans="1:24" ht="13.5" customHeight="1" x14ac:dyDescent="0.2">
      <c r="A90" s="180"/>
      <c r="B90" s="56"/>
      <c r="C90" s="742" t="s">
        <v>4725</v>
      </c>
      <c r="D90" s="11"/>
      <c r="E90" s="30">
        <v>626</v>
      </c>
      <c r="F90" s="12"/>
      <c r="G90" s="182">
        <v>22419.360000000008</v>
      </c>
      <c r="H90" s="18">
        <f t="shared" si="1"/>
        <v>22419.360000000008</v>
      </c>
    </row>
    <row r="91" spans="1:24" ht="13.5" customHeight="1" x14ac:dyDescent="0.2">
      <c r="A91" s="180">
        <v>44069</v>
      </c>
      <c r="B91" s="56"/>
      <c r="C91" s="742" t="s">
        <v>4726</v>
      </c>
      <c r="D91" s="11"/>
      <c r="E91" s="30"/>
      <c r="F91" s="12">
        <v>220</v>
      </c>
      <c r="G91" s="182">
        <v>22639.360000000008</v>
      </c>
      <c r="H91" s="18">
        <f t="shared" si="1"/>
        <v>22639.360000000008</v>
      </c>
    </row>
    <row r="92" spans="1:24" ht="13.5" customHeight="1" x14ac:dyDescent="0.2">
      <c r="A92" s="180"/>
      <c r="B92" s="56"/>
      <c r="C92" s="742" t="s">
        <v>4727</v>
      </c>
      <c r="D92" s="11"/>
      <c r="E92" s="30"/>
      <c r="F92" s="12">
        <v>200</v>
      </c>
      <c r="G92" s="182">
        <v>22839.360000000008</v>
      </c>
      <c r="H92" s="18">
        <f t="shared" si="1"/>
        <v>22839.360000000008</v>
      </c>
    </row>
    <row r="93" spans="1:24" ht="13.5" customHeight="1" x14ac:dyDescent="0.2">
      <c r="A93" s="180">
        <v>44070</v>
      </c>
      <c r="B93" s="56"/>
      <c r="C93" s="742" t="s">
        <v>4728</v>
      </c>
      <c r="D93" s="11"/>
      <c r="E93" s="30">
        <v>130</v>
      </c>
      <c r="F93" s="12"/>
      <c r="G93" s="182">
        <v>22709.360000000008</v>
      </c>
      <c r="H93" s="18">
        <f t="shared" si="1"/>
        <v>22709.360000000008</v>
      </c>
    </row>
    <row r="94" spans="1:24" ht="13.5" customHeight="1" x14ac:dyDescent="0.2">
      <c r="A94" s="180"/>
      <c r="B94" s="56"/>
      <c r="C94" s="742" t="s">
        <v>4729</v>
      </c>
      <c r="D94" s="11"/>
      <c r="E94" s="30"/>
      <c r="F94" s="12">
        <v>900</v>
      </c>
      <c r="G94" s="205">
        <v>23609.360000000008</v>
      </c>
      <c r="H94" s="18">
        <f t="shared" si="1"/>
        <v>23609.360000000008</v>
      </c>
    </row>
    <row r="95" spans="1:24" ht="13.5" customHeight="1" thickBot="1" x14ac:dyDescent="0.25">
      <c r="A95" s="180"/>
      <c r="B95" s="56"/>
      <c r="C95" s="56"/>
      <c r="D95" s="11"/>
      <c r="E95" s="653">
        <f>-SUM(E57:E72,E74:E94)</f>
        <v>-14401.800000000001</v>
      </c>
      <c r="F95" s="647">
        <f>SUM(F56:F94)</f>
        <v>11011.16</v>
      </c>
      <c r="G95" s="182"/>
    </row>
    <row r="96" spans="1:24" ht="13.5" customHeight="1" thickBot="1" x14ac:dyDescent="0.25">
      <c r="A96" s="2" t="s">
        <v>2</v>
      </c>
      <c r="B96" s="3"/>
      <c r="C96" s="3" t="s">
        <v>3</v>
      </c>
      <c r="D96" s="3"/>
      <c r="E96" s="3"/>
      <c r="F96" s="3"/>
      <c r="G96" s="5" t="s">
        <v>7</v>
      </c>
    </row>
    <row r="97" spans="1:8" ht="13.5" customHeight="1" x14ac:dyDescent="0.2">
      <c r="A97" s="8">
        <v>44044</v>
      </c>
      <c r="B97" s="70"/>
      <c r="C97" s="10" t="s">
        <v>537</v>
      </c>
      <c r="D97" s="46"/>
      <c r="E97" s="67"/>
      <c r="F97" s="67"/>
      <c r="G97" s="205">
        <v>4726.7099999999982</v>
      </c>
      <c r="H97" s="18">
        <f>G97</f>
        <v>4726.7099999999982</v>
      </c>
    </row>
    <row r="98" spans="1:8" ht="13.5" customHeight="1" x14ac:dyDescent="0.2">
      <c r="A98" s="171" t="s">
        <v>4730</v>
      </c>
      <c r="B98" s="46"/>
      <c r="C98" s="36" t="s">
        <v>4648</v>
      </c>
      <c r="D98" s="46" t="s">
        <v>4731</v>
      </c>
      <c r="E98" s="69"/>
      <c r="F98" s="322">
        <v>212.65</v>
      </c>
      <c r="G98" s="182">
        <v>4939.3599999999979</v>
      </c>
      <c r="H98" s="18">
        <f>H97+F98+E98</f>
        <v>4939.3599999999979</v>
      </c>
    </row>
    <row r="99" spans="1:8" ht="13.5" customHeight="1" x14ac:dyDescent="0.2">
      <c r="A99" s="171" t="s">
        <v>4732</v>
      </c>
      <c r="B99" s="46"/>
      <c r="C99" s="34" t="s">
        <v>4586</v>
      </c>
      <c r="D99" s="46" t="s">
        <v>4733</v>
      </c>
      <c r="E99" s="69">
        <v>-55.01</v>
      </c>
      <c r="F99" s="69"/>
      <c r="G99" s="182">
        <v>4884.3499999999976</v>
      </c>
      <c r="H99" s="18">
        <f t="shared" ref="H99:H124" si="2">H98+F99+E99</f>
        <v>4884.3499999999976</v>
      </c>
    </row>
    <row r="100" spans="1:8" ht="13.5" customHeight="1" x14ac:dyDescent="0.2">
      <c r="A100" s="171" t="s">
        <v>4734</v>
      </c>
      <c r="B100" s="46"/>
      <c r="C100" s="34" t="s">
        <v>55</v>
      </c>
      <c r="D100" s="46" t="s">
        <v>4735</v>
      </c>
      <c r="E100" s="69">
        <v>-400</v>
      </c>
      <c r="F100" s="69"/>
      <c r="G100" s="182">
        <v>4484.3499999999976</v>
      </c>
      <c r="H100" s="18">
        <f t="shared" si="2"/>
        <v>4484.3499999999976</v>
      </c>
    </row>
    <row r="101" spans="1:8" ht="13.5" customHeight="1" x14ac:dyDescent="0.2">
      <c r="A101" s="180"/>
      <c r="B101" s="46"/>
      <c r="C101" s="36" t="s">
        <v>20</v>
      </c>
      <c r="D101" s="46"/>
      <c r="E101" s="69"/>
      <c r="F101" s="69">
        <v>0.01</v>
      </c>
      <c r="G101" s="182">
        <v>4484.3599999999979</v>
      </c>
      <c r="H101" s="18">
        <f t="shared" si="2"/>
        <v>4484.3599999999979</v>
      </c>
    </row>
    <row r="102" spans="1:8" ht="13.5" customHeight="1" x14ac:dyDescent="0.2">
      <c r="A102" s="180">
        <v>44053</v>
      </c>
      <c r="B102" s="46"/>
      <c r="C102" s="34" t="s">
        <v>4051</v>
      </c>
      <c r="D102" s="46"/>
      <c r="E102" s="61">
        <v>-905.31</v>
      </c>
      <c r="F102" s="61"/>
      <c r="G102" s="182">
        <v>3579.0499999999979</v>
      </c>
      <c r="H102" s="18">
        <f t="shared" si="2"/>
        <v>3579.0499999999979</v>
      </c>
    </row>
    <row r="103" spans="1:8" ht="13.5" customHeight="1" x14ac:dyDescent="0.2">
      <c r="A103" s="180"/>
      <c r="B103" s="9"/>
      <c r="C103" s="34" t="s">
        <v>68</v>
      </c>
      <c r="D103" s="46"/>
      <c r="E103" s="61">
        <v>-119</v>
      </c>
      <c r="F103" s="61"/>
      <c r="G103" s="182">
        <v>3460.0499999999979</v>
      </c>
      <c r="H103" s="18">
        <f t="shared" si="2"/>
        <v>3460.0499999999979</v>
      </c>
    </row>
    <row r="104" spans="1:8" ht="13.5" customHeight="1" x14ac:dyDescent="0.2">
      <c r="A104" s="180"/>
      <c r="B104" s="9"/>
      <c r="C104" s="36" t="s">
        <v>20</v>
      </c>
      <c r="D104" s="46" t="s">
        <v>488</v>
      </c>
      <c r="E104" s="61"/>
      <c r="F104" s="61">
        <v>0.05</v>
      </c>
      <c r="G104" s="182">
        <v>3460.0999999999981</v>
      </c>
      <c r="H104" s="18">
        <f t="shared" si="2"/>
        <v>3460.0999999999981</v>
      </c>
    </row>
    <row r="105" spans="1:8" ht="13.5" customHeight="1" x14ac:dyDescent="0.2">
      <c r="A105" s="180" t="s">
        <v>4736</v>
      </c>
      <c r="B105" s="9"/>
      <c r="C105" s="34" t="s">
        <v>87</v>
      </c>
      <c r="D105" s="46" t="s">
        <v>488</v>
      </c>
      <c r="E105" s="61">
        <v>-50.23</v>
      </c>
      <c r="F105" s="61"/>
      <c r="G105" s="182">
        <v>3409.8699999999981</v>
      </c>
      <c r="H105" s="18">
        <f t="shared" si="2"/>
        <v>3409.8699999999981</v>
      </c>
    </row>
    <row r="106" spans="1:8" ht="13.5" customHeight="1" x14ac:dyDescent="0.2">
      <c r="A106" s="180" t="s">
        <v>4737</v>
      </c>
      <c r="B106" s="9"/>
      <c r="C106" s="34" t="s">
        <v>673</v>
      </c>
      <c r="D106" s="46" t="s">
        <v>488</v>
      </c>
      <c r="E106" s="61">
        <v>-99.98</v>
      </c>
      <c r="F106" s="61"/>
      <c r="G106" s="182">
        <v>3309.8899999999981</v>
      </c>
      <c r="H106" s="18">
        <f t="shared" si="2"/>
        <v>3309.8899999999981</v>
      </c>
    </row>
    <row r="107" spans="1:8" ht="13.5" customHeight="1" x14ac:dyDescent="0.2">
      <c r="A107" s="180"/>
      <c r="B107" s="9"/>
      <c r="C107" s="33" t="s">
        <v>81</v>
      </c>
      <c r="D107" s="46" t="s">
        <v>488</v>
      </c>
      <c r="E107" s="61">
        <v>-52.35</v>
      </c>
      <c r="F107" s="61"/>
      <c r="G107" s="182">
        <v>3257.5399999999981</v>
      </c>
      <c r="H107" s="18">
        <f t="shared" si="2"/>
        <v>3257.5399999999981</v>
      </c>
    </row>
    <row r="108" spans="1:8" ht="13.5" customHeight="1" x14ac:dyDescent="0.2">
      <c r="A108" s="180"/>
      <c r="B108" s="46"/>
      <c r="C108" s="34" t="s">
        <v>18</v>
      </c>
      <c r="D108" s="46" t="s">
        <v>488</v>
      </c>
      <c r="E108" s="69">
        <v>-419.97</v>
      </c>
      <c r="F108" s="69"/>
      <c r="G108" s="182">
        <v>2837.5699999999979</v>
      </c>
      <c r="H108" s="18">
        <f t="shared" si="2"/>
        <v>2837.5699999999979</v>
      </c>
    </row>
    <row r="109" spans="1:8" ht="13.5" customHeight="1" x14ac:dyDescent="0.2">
      <c r="A109" s="180"/>
      <c r="B109" s="46"/>
      <c r="C109" s="36" t="s">
        <v>20</v>
      </c>
      <c r="D109" s="46" t="s">
        <v>488</v>
      </c>
      <c r="E109" s="69"/>
      <c r="F109" s="69">
        <v>0.04</v>
      </c>
      <c r="G109" s="182">
        <v>2837.6099999999979</v>
      </c>
      <c r="H109" s="18">
        <f t="shared" si="2"/>
        <v>2837.6099999999979</v>
      </c>
    </row>
    <row r="110" spans="1:8" ht="13.5" customHeight="1" x14ac:dyDescent="0.2">
      <c r="A110" s="180" t="s">
        <v>4738</v>
      </c>
      <c r="B110" s="46"/>
      <c r="C110" s="34" t="s">
        <v>86</v>
      </c>
      <c r="D110" s="46" t="s">
        <v>488</v>
      </c>
      <c r="E110" s="69">
        <v>-75.900000000000006</v>
      </c>
      <c r="F110" s="69"/>
      <c r="G110" s="182">
        <v>2761.7099999999978</v>
      </c>
      <c r="H110" s="18">
        <f t="shared" si="2"/>
        <v>2761.7099999999978</v>
      </c>
    </row>
    <row r="111" spans="1:8" ht="13.5" customHeight="1" x14ac:dyDescent="0.2">
      <c r="A111" s="180"/>
      <c r="B111" s="46"/>
      <c r="C111" s="36" t="s">
        <v>4710</v>
      </c>
      <c r="D111" s="46" t="s">
        <v>488</v>
      </c>
      <c r="E111" s="69"/>
      <c r="F111" s="322">
        <v>5000</v>
      </c>
      <c r="G111" s="182">
        <v>7761.7099999999973</v>
      </c>
      <c r="H111" s="18">
        <f t="shared" si="2"/>
        <v>7761.7099999999973</v>
      </c>
    </row>
    <row r="112" spans="1:8" ht="13.5" customHeight="1" x14ac:dyDescent="0.2">
      <c r="A112" s="180"/>
      <c r="B112" s="46"/>
      <c r="C112" s="32" t="s">
        <v>4678</v>
      </c>
      <c r="D112" s="46" t="s">
        <v>4739</v>
      </c>
      <c r="E112" s="69"/>
      <c r="F112" s="322">
        <v>200</v>
      </c>
      <c r="G112" s="182">
        <v>7961.7099999999973</v>
      </c>
      <c r="H112" s="18">
        <f t="shared" si="2"/>
        <v>7961.7099999999973</v>
      </c>
    </row>
    <row r="113" spans="1:8" ht="13.5" customHeight="1" x14ac:dyDescent="0.2">
      <c r="A113" s="180"/>
      <c r="B113" s="46"/>
      <c r="C113" s="36" t="s">
        <v>20</v>
      </c>
      <c r="D113" s="46" t="s">
        <v>488</v>
      </c>
      <c r="E113" s="69"/>
      <c r="F113" s="69">
        <v>0.2</v>
      </c>
      <c r="G113" s="182">
        <v>7961.9099999999971</v>
      </c>
      <c r="H113" s="18">
        <f t="shared" si="2"/>
        <v>7961.9099999999971</v>
      </c>
    </row>
    <row r="114" spans="1:8" ht="13.5" customHeight="1" x14ac:dyDescent="0.2">
      <c r="A114" s="180" t="s">
        <v>4740</v>
      </c>
      <c r="B114" s="46"/>
      <c r="C114" s="34" t="s">
        <v>134</v>
      </c>
      <c r="D114" s="46" t="s">
        <v>4741</v>
      </c>
      <c r="E114" s="69">
        <v>-119</v>
      </c>
      <c r="F114" s="69"/>
      <c r="G114" s="182">
        <v>7842.9099999999971</v>
      </c>
      <c r="H114" s="18">
        <f t="shared" si="2"/>
        <v>7842.9099999999971</v>
      </c>
    </row>
    <row r="115" spans="1:8" ht="13.5" customHeight="1" x14ac:dyDescent="0.2">
      <c r="A115" s="180"/>
      <c r="B115" s="46"/>
      <c r="C115" s="34" t="s">
        <v>132</v>
      </c>
      <c r="D115" s="46" t="s">
        <v>4742</v>
      </c>
      <c r="E115" s="69">
        <v>-6080.83</v>
      </c>
      <c r="F115" s="69"/>
      <c r="G115" s="182">
        <v>1762.0799999999972</v>
      </c>
      <c r="H115" s="18">
        <f t="shared" si="2"/>
        <v>1762.0799999999972</v>
      </c>
    </row>
    <row r="116" spans="1:8" ht="13.5" customHeight="1" x14ac:dyDescent="0.2">
      <c r="A116" s="180"/>
      <c r="B116" s="46"/>
      <c r="C116" s="36" t="s">
        <v>20</v>
      </c>
      <c r="D116" s="46" t="s">
        <v>488</v>
      </c>
      <c r="E116" s="69"/>
      <c r="F116" s="69">
        <v>0.01</v>
      </c>
      <c r="G116" s="182">
        <v>1762.0899999999972</v>
      </c>
      <c r="H116" s="18">
        <f t="shared" si="2"/>
        <v>1762.0899999999972</v>
      </c>
    </row>
    <row r="117" spans="1:8" ht="13.5" customHeight="1" x14ac:dyDescent="0.2">
      <c r="A117" s="180" t="s">
        <v>4743</v>
      </c>
      <c r="B117" s="46"/>
      <c r="C117" s="34" t="s">
        <v>4744</v>
      </c>
      <c r="D117" s="46" t="s">
        <v>4745</v>
      </c>
      <c r="E117" s="69">
        <v>-90</v>
      </c>
      <c r="F117" s="69"/>
      <c r="G117" s="182">
        <v>1672.0899999999972</v>
      </c>
      <c r="H117" s="18">
        <f t="shared" si="2"/>
        <v>1672.0899999999972</v>
      </c>
    </row>
    <row r="118" spans="1:8" ht="13.5" customHeight="1" x14ac:dyDescent="0.2">
      <c r="A118" s="180"/>
      <c r="B118" s="46"/>
      <c r="C118" s="33" t="s">
        <v>736</v>
      </c>
      <c r="D118" s="46" t="s">
        <v>488</v>
      </c>
      <c r="E118" s="69">
        <v>-44.75</v>
      </c>
      <c r="F118" s="69"/>
      <c r="G118" s="182">
        <v>1627.3399999999972</v>
      </c>
      <c r="H118" s="18">
        <f t="shared" si="2"/>
        <v>1627.3399999999972</v>
      </c>
    </row>
    <row r="119" spans="1:8" ht="13.5" customHeight="1" x14ac:dyDescent="0.2">
      <c r="A119" s="180"/>
      <c r="B119" s="46"/>
      <c r="C119" s="36" t="s">
        <v>129</v>
      </c>
      <c r="D119" s="46" t="s">
        <v>488</v>
      </c>
      <c r="E119" s="69">
        <v>-47.94</v>
      </c>
      <c r="F119" s="69"/>
      <c r="G119" s="182">
        <v>1579.3999999999971</v>
      </c>
      <c r="H119" s="18">
        <f t="shared" si="2"/>
        <v>1579.3999999999971</v>
      </c>
    </row>
    <row r="120" spans="1:8" ht="13.5" customHeight="1" x14ac:dyDescent="0.2">
      <c r="A120" s="180"/>
      <c r="B120" s="46"/>
      <c r="C120" s="36" t="s">
        <v>130</v>
      </c>
      <c r="D120" s="46" t="s">
        <v>488</v>
      </c>
      <c r="E120" s="69">
        <v>-123.91</v>
      </c>
      <c r="F120" s="69"/>
      <c r="G120" s="182">
        <v>1455.4899999999971</v>
      </c>
      <c r="H120" s="18">
        <f t="shared" si="2"/>
        <v>1455.4899999999971</v>
      </c>
    </row>
    <row r="121" spans="1:8" ht="13.5" customHeight="1" x14ac:dyDescent="0.2">
      <c r="A121" s="180"/>
      <c r="B121" s="46"/>
      <c r="C121" s="34" t="s">
        <v>4602</v>
      </c>
      <c r="D121" s="46" t="s">
        <v>488</v>
      </c>
      <c r="E121" s="69">
        <v>-195.86</v>
      </c>
      <c r="F121" s="69"/>
      <c r="G121" s="182">
        <v>1259.6299999999969</v>
      </c>
      <c r="H121" s="18">
        <f t="shared" si="2"/>
        <v>1259.6299999999969</v>
      </c>
    </row>
    <row r="122" spans="1:8" ht="13.5" customHeight="1" x14ac:dyDescent="0.2">
      <c r="A122" s="180"/>
      <c r="B122" s="46"/>
      <c r="C122" s="34" t="s">
        <v>3725</v>
      </c>
      <c r="D122" s="46" t="s">
        <v>488</v>
      </c>
      <c r="E122" s="69"/>
      <c r="F122" s="69">
        <v>280</v>
      </c>
      <c r="G122" s="182">
        <v>1539.6299999999969</v>
      </c>
      <c r="H122" s="18">
        <f t="shared" si="2"/>
        <v>1539.6299999999969</v>
      </c>
    </row>
    <row r="123" spans="1:8" ht="13.5" customHeight="1" x14ac:dyDescent="0.2">
      <c r="A123" s="180"/>
      <c r="B123" s="46"/>
      <c r="C123" s="34" t="s">
        <v>62</v>
      </c>
      <c r="D123" s="46" t="s">
        <v>488</v>
      </c>
      <c r="E123" s="69">
        <v>-464.62</v>
      </c>
      <c r="F123" s="69"/>
      <c r="G123" s="182">
        <v>1075.009999999997</v>
      </c>
      <c r="H123" s="18">
        <f t="shared" si="2"/>
        <v>1075.009999999997</v>
      </c>
    </row>
    <row r="124" spans="1:8" ht="13.5" customHeight="1" x14ac:dyDescent="0.2">
      <c r="A124" s="180">
        <v>44068</v>
      </c>
      <c r="B124" s="46"/>
      <c r="C124" s="34" t="s">
        <v>136</v>
      </c>
      <c r="D124" s="46"/>
      <c r="E124" s="69">
        <v>-45.9</v>
      </c>
      <c r="F124" s="69"/>
      <c r="G124" s="205">
        <v>1029.1099999999969</v>
      </c>
      <c r="H124" s="18">
        <f t="shared" si="2"/>
        <v>1029.1099999999969</v>
      </c>
    </row>
    <row r="125" spans="1:8" ht="13.5" customHeight="1" thickBot="1" x14ac:dyDescent="0.25">
      <c r="A125" s="171"/>
      <c r="B125" s="46"/>
      <c r="C125" s="34"/>
      <c r="D125" s="46"/>
      <c r="E125" s="654">
        <f>SUM(E99:E124)</f>
        <v>-9390.5600000000013</v>
      </c>
      <c r="F125" s="654">
        <f>SUM(F101:F109,F113:F124,)</f>
        <v>280.31</v>
      </c>
      <c r="G125" s="182"/>
    </row>
    <row r="126" spans="1:8" ht="13.5" customHeight="1" thickBot="1" x14ac:dyDescent="0.25">
      <c r="A126" s="2" t="s">
        <v>2</v>
      </c>
      <c r="B126" s="3"/>
      <c r="C126" s="3" t="s">
        <v>481</v>
      </c>
      <c r="D126" s="3"/>
      <c r="E126" s="3"/>
      <c r="F126" s="3"/>
      <c r="G126" s="5" t="s">
        <v>7</v>
      </c>
    </row>
    <row r="127" spans="1:8" ht="13.5" customHeight="1" x14ac:dyDescent="0.2">
      <c r="A127" s="8">
        <v>44044</v>
      </c>
      <c r="B127" s="70"/>
      <c r="C127" s="10" t="s">
        <v>537</v>
      </c>
      <c r="D127" s="602"/>
      <c r="E127" s="67"/>
      <c r="F127" s="67"/>
      <c r="G127" s="205">
        <v>17733.23</v>
      </c>
      <c r="H127" s="18">
        <v>17733.23</v>
      </c>
    </row>
    <row r="128" spans="1:8" ht="13.5" customHeight="1" x14ac:dyDescent="0.2">
      <c r="A128" s="171">
        <v>44046</v>
      </c>
      <c r="B128" s="46"/>
      <c r="C128" s="34" t="s">
        <v>199</v>
      </c>
      <c r="D128" s="553" t="s">
        <v>488</v>
      </c>
      <c r="E128" s="557">
        <v>-195.65</v>
      </c>
      <c r="F128" s="69"/>
      <c r="G128" s="182">
        <v>17537.580000000002</v>
      </c>
      <c r="H128" s="18">
        <v>17537.579999999998</v>
      </c>
    </row>
    <row r="129" spans="1:8" ht="13.5" customHeight="1" x14ac:dyDescent="0.2">
      <c r="A129" s="171" t="s">
        <v>4746</v>
      </c>
      <c r="B129" s="46" t="s">
        <v>483</v>
      </c>
      <c r="C129" s="34" t="s">
        <v>180</v>
      </c>
      <c r="D129" s="553" t="s">
        <v>488</v>
      </c>
      <c r="E129" s="557">
        <v>-181.88</v>
      </c>
      <c r="F129" s="69" t="s">
        <v>483</v>
      </c>
      <c r="G129" s="182"/>
      <c r="H129" s="18">
        <v>17355.699999999997</v>
      </c>
    </row>
    <row r="130" spans="1:8" ht="13.5" customHeight="1" x14ac:dyDescent="0.2">
      <c r="A130" s="171"/>
      <c r="B130" s="46" t="s">
        <v>483</v>
      </c>
      <c r="C130" s="34" t="s">
        <v>382</v>
      </c>
      <c r="D130" s="553" t="s">
        <v>488</v>
      </c>
      <c r="E130" s="557">
        <v>-86.76</v>
      </c>
      <c r="F130" s="69"/>
      <c r="G130" s="182">
        <v>17268.939999999999</v>
      </c>
      <c r="H130" s="18">
        <v>17268.939999999999</v>
      </c>
    </row>
    <row r="131" spans="1:8" ht="13.5" customHeight="1" x14ac:dyDescent="0.2">
      <c r="A131" s="171">
        <v>44049</v>
      </c>
      <c r="B131" s="46"/>
      <c r="C131" s="32" t="s">
        <v>813</v>
      </c>
      <c r="D131" s="553" t="s">
        <v>488</v>
      </c>
      <c r="E131" s="557">
        <v>-50.09</v>
      </c>
      <c r="F131" s="69"/>
      <c r="G131" s="182"/>
      <c r="H131" s="18">
        <v>17218.849999999999</v>
      </c>
    </row>
    <row r="132" spans="1:8" ht="13.5" customHeight="1" x14ac:dyDescent="0.2">
      <c r="A132" s="171"/>
      <c r="B132" s="46"/>
      <c r="C132" s="34" t="s">
        <v>4619</v>
      </c>
      <c r="D132" s="553" t="s">
        <v>488</v>
      </c>
      <c r="E132" s="557">
        <v>-600</v>
      </c>
      <c r="F132" s="69"/>
      <c r="G132" s="182"/>
      <c r="H132" s="18">
        <v>16618.849999999999</v>
      </c>
    </row>
    <row r="133" spans="1:8" ht="13.5" customHeight="1" x14ac:dyDescent="0.2">
      <c r="A133" s="171"/>
      <c r="B133" s="46"/>
      <c r="C133" s="34" t="s">
        <v>4620</v>
      </c>
      <c r="D133" s="553" t="s">
        <v>488</v>
      </c>
      <c r="E133" s="557">
        <v>-600</v>
      </c>
      <c r="F133" s="69"/>
      <c r="G133" s="182">
        <v>16018.85</v>
      </c>
      <c r="H133" s="18">
        <v>16018.849999999999</v>
      </c>
    </row>
    <row r="134" spans="1:8" ht="13.5" customHeight="1" x14ac:dyDescent="0.2">
      <c r="A134" s="171"/>
      <c r="B134" s="46"/>
      <c r="C134" s="34" t="s">
        <v>4747</v>
      </c>
      <c r="D134" s="11">
        <v>565</v>
      </c>
      <c r="E134" s="557">
        <v>-661.17</v>
      </c>
      <c r="F134" s="69"/>
      <c r="G134" s="182">
        <v>15357.68</v>
      </c>
      <c r="H134" s="18">
        <v>15357.679999999998</v>
      </c>
    </row>
    <row r="135" spans="1:8" ht="13.5" customHeight="1" x14ac:dyDescent="0.2">
      <c r="A135" s="171">
        <v>44053</v>
      </c>
      <c r="B135" s="46"/>
      <c r="C135" s="34" t="s">
        <v>4748</v>
      </c>
      <c r="D135" s="11">
        <v>19427</v>
      </c>
      <c r="E135" s="557">
        <v>-647.45000000000005</v>
      </c>
      <c r="F135" s="69"/>
      <c r="G135" s="182"/>
      <c r="H135" s="18">
        <v>14710.229999999998</v>
      </c>
    </row>
    <row r="136" spans="1:8" ht="13.5" customHeight="1" x14ac:dyDescent="0.2">
      <c r="A136" s="171"/>
      <c r="B136" s="46"/>
      <c r="C136" s="34" t="s">
        <v>4749</v>
      </c>
      <c r="D136" s="11">
        <v>21566</v>
      </c>
      <c r="E136" s="557">
        <v>-267</v>
      </c>
      <c r="F136" s="69"/>
      <c r="G136" s="182"/>
      <c r="H136" s="18">
        <v>14443.229999999998</v>
      </c>
    </row>
    <row r="137" spans="1:8" ht="13.5" customHeight="1" x14ac:dyDescent="0.2">
      <c r="A137" s="171"/>
      <c r="B137" s="46"/>
      <c r="C137" s="34" t="s">
        <v>4750</v>
      </c>
      <c r="D137" s="11"/>
      <c r="E137" s="69"/>
      <c r="F137" s="557">
        <v>4731.47</v>
      </c>
      <c r="G137" s="182">
        <v>19174.7</v>
      </c>
      <c r="H137" s="18">
        <v>19174.699999999997</v>
      </c>
    </row>
    <row r="138" spans="1:8" ht="13.5" customHeight="1" x14ac:dyDescent="0.2">
      <c r="A138" s="171" t="s">
        <v>4751</v>
      </c>
      <c r="B138" s="46" t="s">
        <v>483</v>
      </c>
      <c r="C138" s="34" t="s">
        <v>4752</v>
      </c>
      <c r="D138" s="11" t="s">
        <v>4753</v>
      </c>
      <c r="E138" s="557">
        <v>-406.32</v>
      </c>
      <c r="F138" s="69" t="s">
        <v>483</v>
      </c>
      <c r="G138" s="182"/>
      <c r="H138" s="18">
        <v>18768.379999999997</v>
      </c>
    </row>
    <row r="139" spans="1:8" ht="13.5" customHeight="1" x14ac:dyDescent="0.2">
      <c r="A139" s="171"/>
      <c r="B139" s="46" t="s">
        <v>483</v>
      </c>
      <c r="C139" s="34" t="s">
        <v>4754</v>
      </c>
      <c r="D139" s="11" t="s">
        <v>4755</v>
      </c>
      <c r="E139" s="557">
        <v>-599</v>
      </c>
      <c r="F139" s="69" t="s">
        <v>483</v>
      </c>
      <c r="G139" s="182"/>
      <c r="H139" s="18">
        <v>18169.379999999997</v>
      </c>
    </row>
    <row r="140" spans="1:8" ht="13.5" customHeight="1" x14ac:dyDescent="0.2">
      <c r="A140" s="171"/>
      <c r="B140" s="46" t="s">
        <v>483</v>
      </c>
      <c r="C140" s="34" t="s">
        <v>4756</v>
      </c>
      <c r="D140" s="11" t="s">
        <v>488</v>
      </c>
      <c r="E140" s="557">
        <v>-109.6</v>
      </c>
      <c r="F140" s="69"/>
      <c r="G140" s="182">
        <v>18059.78</v>
      </c>
      <c r="H140" s="18">
        <v>18059.78</v>
      </c>
    </row>
    <row r="141" spans="1:8" ht="13.5" customHeight="1" x14ac:dyDescent="0.2">
      <c r="A141" s="171" t="s">
        <v>4757</v>
      </c>
      <c r="B141" s="46" t="s">
        <v>483</v>
      </c>
      <c r="C141" s="34" t="s">
        <v>4204</v>
      </c>
      <c r="D141" s="11" t="s">
        <v>4758</v>
      </c>
      <c r="E141" s="557">
        <v>-789</v>
      </c>
      <c r="F141" s="69" t="s">
        <v>483</v>
      </c>
      <c r="G141" s="182"/>
      <c r="H141" s="18">
        <v>17270.78</v>
      </c>
    </row>
    <row r="142" spans="1:8" ht="13.5" customHeight="1" x14ac:dyDescent="0.2">
      <c r="A142" s="171"/>
      <c r="B142" s="46" t="s">
        <v>591</v>
      </c>
      <c r="C142" s="36" t="s">
        <v>4677</v>
      </c>
      <c r="D142" s="11" t="s">
        <v>4759</v>
      </c>
      <c r="E142" s="557"/>
      <c r="F142" s="322">
        <v>4965</v>
      </c>
      <c r="G142" s="182">
        <v>22235.78</v>
      </c>
      <c r="H142" s="18">
        <v>22235.78</v>
      </c>
    </row>
    <row r="143" spans="1:8" ht="13.5" customHeight="1" x14ac:dyDescent="0.2">
      <c r="A143" s="171" t="s">
        <v>4760</v>
      </c>
      <c r="B143" s="46" t="s">
        <v>483</v>
      </c>
      <c r="C143" s="34" t="s">
        <v>4761</v>
      </c>
      <c r="D143" s="11" t="s">
        <v>488</v>
      </c>
      <c r="E143" s="557">
        <v>-726.39</v>
      </c>
      <c r="F143" s="69"/>
      <c r="G143" s="182">
        <v>21509.39</v>
      </c>
      <c r="H143" s="18">
        <v>21509.39</v>
      </c>
    </row>
    <row r="144" spans="1:8" ht="13.5" customHeight="1" x14ac:dyDescent="0.2">
      <c r="A144" s="171" t="s">
        <v>4762</v>
      </c>
      <c r="B144" s="46" t="s">
        <v>483</v>
      </c>
      <c r="C144" s="34" t="s">
        <v>4631</v>
      </c>
      <c r="D144" s="11" t="s">
        <v>4763</v>
      </c>
      <c r="E144" s="557">
        <v>-599.28</v>
      </c>
      <c r="F144" s="69" t="s">
        <v>483</v>
      </c>
      <c r="G144" s="182"/>
      <c r="H144" s="18">
        <v>20910.11</v>
      </c>
    </row>
    <row r="145" spans="1:10" ht="13.5" customHeight="1" x14ac:dyDescent="0.2">
      <c r="A145" s="171"/>
      <c r="B145" s="46" t="s">
        <v>483</v>
      </c>
      <c r="C145" s="34" t="s">
        <v>4636</v>
      </c>
      <c r="D145" s="11" t="s">
        <v>4764</v>
      </c>
      <c r="E145" s="557">
        <v>-433.84</v>
      </c>
      <c r="F145" s="69"/>
      <c r="G145" s="182">
        <v>20476.27</v>
      </c>
      <c r="H145" s="18">
        <v>20476.27</v>
      </c>
    </row>
    <row r="146" spans="1:10" ht="13.5" customHeight="1" x14ac:dyDescent="0.2">
      <c r="A146" s="171" t="s">
        <v>4765</v>
      </c>
      <c r="B146" s="46" t="s">
        <v>483</v>
      </c>
      <c r="C146" s="34" t="s">
        <v>86</v>
      </c>
      <c r="D146" s="11" t="s">
        <v>488</v>
      </c>
      <c r="E146" s="557">
        <v>-92.5</v>
      </c>
      <c r="F146" s="69"/>
      <c r="G146" s="182">
        <v>20383.77</v>
      </c>
      <c r="H146" s="18">
        <v>20383.77</v>
      </c>
    </row>
    <row r="147" spans="1:10" ht="13.5" customHeight="1" x14ac:dyDescent="0.2">
      <c r="A147" s="171" t="s">
        <v>4766</v>
      </c>
      <c r="B147" s="46" t="s">
        <v>483</v>
      </c>
      <c r="C147" s="36" t="s">
        <v>194</v>
      </c>
      <c r="D147" s="11" t="s">
        <v>488</v>
      </c>
      <c r="E147" s="557">
        <v>-68.94</v>
      </c>
      <c r="F147" s="69"/>
      <c r="G147" s="182" t="s">
        <v>483</v>
      </c>
      <c r="H147" s="18">
        <v>20314.830000000002</v>
      </c>
    </row>
    <row r="148" spans="1:10" ht="13.5" customHeight="1" x14ac:dyDescent="0.2">
      <c r="A148" s="171"/>
      <c r="B148" s="46" t="s">
        <v>483</v>
      </c>
      <c r="C148" s="36" t="s">
        <v>195</v>
      </c>
      <c r="D148" s="11" t="s">
        <v>488</v>
      </c>
      <c r="E148" s="557">
        <v>-318.19</v>
      </c>
      <c r="F148" s="69"/>
      <c r="G148" s="182">
        <v>19996.64</v>
      </c>
      <c r="H148" s="18">
        <v>19996.640000000003</v>
      </c>
    </row>
    <row r="149" spans="1:10" ht="13.5" customHeight="1" x14ac:dyDescent="0.2">
      <c r="A149" s="171" t="s">
        <v>4767</v>
      </c>
      <c r="B149" s="46" t="s">
        <v>483</v>
      </c>
      <c r="C149" s="34" t="s">
        <v>4768</v>
      </c>
      <c r="D149" s="11" t="s">
        <v>4769</v>
      </c>
      <c r="E149" s="557">
        <v>-115.6</v>
      </c>
      <c r="F149" s="69"/>
      <c r="G149" s="182">
        <v>19881.04</v>
      </c>
      <c r="H149" s="18">
        <v>19881.040000000005</v>
      </c>
    </row>
    <row r="150" spans="1:10" ht="13.5" customHeight="1" x14ac:dyDescent="0.2">
      <c r="A150" s="171" t="s">
        <v>4770</v>
      </c>
      <c r="B150" s="46" t="s">
        <v>483</v>
      </c>
      <c r="C150" s="34" t="s">
        <v>86</v>
      </c>
      <c r="D150" s="11" t="s">
        <v>488</v>
      </c>
      <c r="E150" s="557">
        <v>-12.5</v>
      </c>
      <c r="F150" s="69"/>
      <c r="G150" s="182">
        <v>19868.54</v>
      </c>
      <c r="H150" s="18">
        <v>19868.540000000005</v>
      </c>
    </row>
    <row r="151" spans="1:10" ht="13.5" customHeight="1" x14ac:dyDescent="0.2">
      <c r="A151" s="171" t="s">
        <v>4771</v>
      </c>
      <c r="B151" s="46" t="s">
        <v>483</v>
      </c>
      <c r="C151" s="34" t="s">
        <v>4772</v>
      </c>
      <c r="D151" s="11" t="s">
        <v>4773</v>
      </c>
      <c r="E151" s="557">
        <v>-1470</v>
      </c>
      <c r="F151" s="69"/>
      <c r="G151" s="182">
        <v>18398.54</v>
      </c>
      <c r="H151" s="18">
        <v>18398.540000000005</v>
      </c>
    </row>
    <row r="152" spans="1:10" ht="13.5" customHeight="1" x14ac:dyDescent="0.2">
      <c r="A152" s="171" t="s">
        <v>4774</v>
      </c>
      <c r="B152" s="46" t="s">
        <v>483</v>
      </c>
      <c r="C152" s="34" t="s">
        <v>4775</v>
      </c>
      <c r="D152" s="11" t="s">
        <v>488</v>
      </c>
      <c r="E152" s="557">
        <v>-1717.98</v>
      </c>
      <c r="F152" s="69"/>
      <c r="G152" s="182" t="s">
        <v>483</v>
      </c>
      <c r="H152" s="18">
        <v>16680.560000000005</v>
      </c>
    </row>
    <row r="153" spans="1:10" ht="13.5" customHeight="1" x14ac:dyDescent="0.2">
      <c r="A153" s="171"/>
      <c r="B153" s="46" t="s">
        <v>483</v>
      </c>
      <c r="C153" s="34" t="s">
        <v>4776</v>
      </c>
      <c r="D153" s="11" t="s">
        <v>488</v>
      </c>
      <c r="E153" s="557">
        <v>-497.13</v>
      </c>
      <c r="F153" s="69"/>
      <c r="G153" s="182">
        <v>16183.43</v>
      </c>
      <c r="H153" s="18">
        <v>16183.430000000006</v>
      </c>
    </row>
    <row r="154" spans="1:10" ht="13.5" customHeight="1" x14ac:dyDescent="0.2">
      <c r="A154" s="171" t="s">
        <v>4777</v>
      </c>
      <c r="B154" s="46" t="s">
        <v>483</v>
      </c>
      <c r="C154" s="32" t="s">
        <v>813</v>
      </c>
      <c r="D154" s="11" t="s">
        <v>4778</v>
      </c>
      <c r="E154" s="557">
        <v>-62.5</v>
      </c>
      <c r="F154" s="69"/>
      <c r="G154" s="205">
        <v>16120.93</v>
      </c>
      <c r="H154" s="18">
        <v>16120.930000000006</v>
      </c>
    </row>
    <row r="155" spans="1:10" ht="13.5" customHeight="1" thickBot="1" x14ac:dyDescent="0.25">
      <c r="A155" s="171"/>
      <c r="B155" s="46"/>
      <c r="C155" s="34"/>
      <c r="D155" s="11"/>
      <c r="E155" s="654">
        <f>SUM(E128:E154)</f>
        <v>-11308.769999999999</v>
      </c>
      <c r="F155" s="654">
        <f>SUM(F137)</f>
        <v>4731.47</v>
      </c>
      <c r="G155" s="182"/>
    </row>
    <row r="156" spans="1:10" ht="13.5" customHeight="1" thickBot="1" x14ac:dyDescent="0.25">
      <c r="A156" s="2" t="s">
        <v>2</v>
      </c>
      <c r="B156" s="3"/>
      <c r="C156" s="3" t="s">
        <v>525</v>
      </c>
      <c r="D156" s="3"/>
      <c r="E156" s="3"/>
      <c r="F156" s="3"/>
      <c r="G156" s="5" t="s">
        <v>7</v>
      </c>
    </row>
    <row r="157" spans="1:10" ht="13.5" customHeight="1" x14ac:dyDescent="0.2">
      <c r="A157" s="8">
        <v>44044</v>
      </c>
      <c r="B157" s="70"/>
      <c r="C157" s="10" t="s">
        <v>537</v>
      </c>
      <c r="D157" s="125"/>
      <c r="E157" s="67"/>
      <c r="F157" s="67"/>
      <c r="G157" s="205">
        <v>516.02999999999838</v>
      </c>
      <c r="H157" s="653">
        <f>SUM(G3,G55,G97,G127)</f>
        <v>59120.540000000008</v>
      </c>
      <c r="I157" s="33" t="s">
        <v>1798</v>
      </c>
    </row>
    <row r="158" spans="1:10" ht="13.5" customHeight="1" x14ac:dyDescent="0.2">
      <c r="A158" s="180">
        <v>44047</v>
      </c>
      <c r="B158" s="70"/>
      <c r="C158" s="32" t="s">
        <v>3758</v>
      </c>
      <c r="D158" s="50"/>
      <c r="E158" s="13"/>
      <c r="F158" s="183">
        <v>5000</v>
      </c>
      <c r="G158" s="203">
        <v>5516.0299999999988</v>
      </c>
    </row>
    <row r="159" spans="1:10" customFormat="1" ht="13.5" customHeight="1" x14ac:dyDescent="0.2">
      <c r="A159" s="180"/>
      <c r="B159" s="221"/>
      <c r="C159" s="36" t="s">
        <v>4779</v>
      </c>
      <c r="D159" s="522"/>
      <c r="E159" s="557">
        <v>2657.2</v>
      </c>
      <c r="F159" s="198"/>
      <c r="G159" s="203">
        <v>2858.829999999999</v>
      </c>
      <c r="H159" s="30">
        <f>G52</f>
        <v>9360.7900000000045</v>
      </c>
      <c r="I159" s="33" t="s">
        <v>1799</v>
      </c>
      <c r="J159" s="1"/>
    </row>
    <row r="160" spans="1:10" customFormat="1" ht="13.5" customHeight="1" x14ac:dyDescent="0.2">
      <c r="A160" s="180"/>
      <c r="B160" s="221"/>
      <c r="C160" s="36" t="s">
        <v>4780</v>
      </c>
      <c r="D160" s="522"/>
      <c r="E160" s="557">
        <v>40</v>
      </c>
      <c r="F160" s="198"/>
      <c r="G160" s="203">
        <v>2818.829999999999</v>
      </c>
      <c r="H160" s="1"/>
      <c r="I160" s="1"/>
      <c r="J160" s="1"/>
    </row>
    <row r="161" spans="1:10" customFormat="1" ht="13.5" customHeight="1" x14ac:dyDescent="0.2">
      <c r="A161" s="180">
        <v>44049</v>
      </c>
      <c r="B161" s="221"/>
      <c r="C161" s="36" t="s">
        <v>613</v>
      </c>
      <c r="D161" s="522"/>
      <c r="E161" s="557">
        <v>13.3</v>
      </c>
      <c r="F161" s="198"/>
      <c r="G161" s="203">
        <v>2805.5299999999988</v>
      </c>
      <c r="H161" s="30">
        <f>SUM(G94,G124,G154,)</f>
        <v>40759.400000000009</v>
      </c>
      <c r="I161" s="33" t="s">
        <v>1797</v>
      </c>
      <c r="J161" s="1"/>
    </row>
    <row r="162" spans="1:10" customFormat="1" ht="13.5" customHeight="1" x14ac:dyDescent="0.2">
      <c r="A162" s="180"/>
      <c r="B162" s="221"/>
      <c r="C162" s="36" t="s">
        <v>613</v>
      </c>
      <c r="D162" s="522"/>
      <c r="E162" s="557">
        <v>20</v>
      </c>
      <c r="F162" s="198"/>
      <c r="G162" s="203">
        <v>2785.5299999999988</v>
      </c>
      <c r="H162" s="1"/>
      <c r="I162" s="1"/>
      <c r="J162" s="1"/>
    </row>
    <row r="163" spans="1:10" ht="13.5" customHeight="1" x14ac:dyDescent="0.2">
      <c r="A163" s="171">
        <v>44050</v>
      </c>
      <c r="B163" s="46"/>
      <c r="C163" s="36" t="s">
        <v>530</v>
      </c>
      <c r="D163" s="11"/>
      <c r="E163" s="181">
        <v>930.05</v>
      </c>
      <c r="F163" s="69"/>
      <c r="G163" s="203">
        <v>1855.4799999999989</v>
      </c>
      <c r="H163" s="30">
        <f>SUM(F155,E155,F125,E125,F95,E95,F53,E53,)</f>
        <v>-9000.3500000000022</v>
      </c>
      <c r="I163" s="33" t="s">
        <v>3517</v>
      </c>
    </row>
    <row r="164" spans="1:10" ht="13.5" customHeight="1" x14ac:dyDescent="0.2">
      <c r="A164" s="180">
        <v>44063</v>
      </c>
      <c r="B164" s="46"/>
      <c r="C164" s="34" t="s">
        <v>4781</v>
      </c>
      <c r="D164" s="229"/>
      <c r="E164" s="557">
        <v>836</v>
      </c>
      <c r="F164" s="69"/>
      <c r="G164" s="203">
        <v>1019.4799999999989</v>
      </c>
    </row>
    <row r="165" spans="1:10" ht="13.5" customHeight="1" x14ac:dyDescent="0.2">
      <c r="A165" s="180"/>
      <c r="B165" s="46"/>
      <c r="C165" s="34" t="s">
        <v>4782</v>
      </c>
      <c r="D165" s="230"/>
      <c r="E165" s="559">
        <v>280</v>
      </c>
      <c r="F165" s="61"/>
      <c r="G165" s="205">
        <v>739.47999999999888</v>
      </c>
    </row>
    <row r="166" spans="1:10" ht="13.5" customHeight="1" thickBot="1" x14ac:dyDescent="0.25">
      <c r="A166" s="180"/>
      <c r="B166" s="46"/>
      <c r="C166" s="34"/>
      <c r="D166" s="229"/>
      <c r="E166" s="69"/>
      <c r="F166" s="69"/>
      <c r="G166" s="182"/>
    </row>
    <row r="167" spans="1:10" ht="13.5" customHeight="1" thickBot="1" x14ac:dyDescent="0.25">
      <c r="A167" s="561" t="s">
        <v>2</v>
      </c>
      <c r="B167" s="562"/>
      <c r="C167" s="562" t="s">
        <v>534</v>
      </c>
      <c r="D167" s="563" t="s">
        <v>4</v>
      </c>
      <c r="E167" s="562" t="s">
        <v>5</v>
      </c>
      <c r="F167" s="562" t="s">
        <v>6</v>
      </c>
      <c r="G167" s="564" t="s">
        <v>7</v>
      </c>
      <c r="H167" s="30">
        <f>SUM(H157+H163-H159-H161)</f>
        <v>-1.4551915228366852E-11</v>
      </c>
    </row>
    <row r="168" spans="1:10" ht="13.5" customHeight="1" x14ac:dyDescent="0.2">
      <c r="A168" s="568">
        <v>44032</v>
      </c>
      <c r="B168" s="569"/>
      <c r="C168" s="570" t="s">
        <v>8</v>
      </c>
      <c r="D168" s="571"/>
      <c r="E168" s="572"/>
      <c r="F168" s="573"/>
      <c r="G168" s="574">
        <v>45200</v>
      </c>
    </row>
    <row r="169" spans="1:10" ht="13.5" customHeight="1" x14ac:dyDescent="0.2">
      <c r="A169" s="180">
        <v>44047</v>
      </c>
      <c r="B169" s="70"/>
      <c r="C169" s="32" t="s">
        <v>3758</v>
      </c>
      <c r="D169" s="50"/>
      <c r="E169" s="13"/>
      <c r="F169" s="183">
        <v>5000</v>
      </c>
      <c r="G169" s="205">
        <v>50200</v>
      </c>
    </row>
    <row r="170" spans="1:10" ht="13.5" customHeight="1" thickBot="1" x14ac:dyDescent="0.25">
      <c r="A170" s="70"/>
      <c r="B170" s="70"/>
      <c r="C170" s="63"/>
      <c r="D170" s="50"/>
      <c r="E170" s="13"/>
      <c r="F170" s="13"/>
      <c r="G170" s="182"/>
    </row>
    <row r="171" spans="1:10" ht="13.5" customHeight="1" thickBot="1" x14ac:dyDescent="0.25">
      <c r="A171" s="213"/>
      <c r="B171" s="214"/>
      <c r="C171" s="215" t="s">
        <v>539</v>
      </c>
      <c r="D171" s="216"/>
      <c r="E171" s="187"/>
      <c r="F171" s="187"/>
      <c r="G171" s="217" t="s">
        <v>7</v>
      </c>
    </row>
    <row r="172" spans="1:10" ht="13.5" customHeight="1" x14ac:dyDescent="0.2">
      <c r="A172" s="74" t="s">
        <v>540</v>
      </c>
      <c r="B172" s="74"/>
      <c r="C172" s="218" t="s">
        <v>541</v>
      </c>
      <c r="D172" s="219"/>
      <c r="E172" s="220"/>
      <c r="F172" s="220"/>
      <c r="G172" s="75">
        <v>0</v>
      </c>
    </row>
    <row r="173" spans="1:10" ht="13.5" customHeight="1" x14ac:dyDescent="0.2">
      <c r="A173" s="221" t="s">
        <v>540</v>
      </c>
      <c r="B173" s="70"/>
      <c r="C173" s="63" t="s">
        <v>542</v>
      </c>
      <c r="D173" s="50"/>
      <c r="E173" s="13"/>
      <c r="F173" s="13"/>
      <c r="G173" s="75">
        <v>0</v>
      </c>
    </row>
    <row r="174" spans="1:10" ht="13.5" customHeight="1" x14ac:dyDescent="0.2">
      <c r="A174" s="70"/>
      <c r="B174" s="70"/>
      <c r="C174" s="222" t="s">
        <v>543</v>
      </c>
      <c r="D174" s="50"/>
      <c r="E174" s="13"/>
      <c r="F174" s="13"/>
      <c r="G174" s="14">
        <v>0</v>
      </c>
    </row>
    <row r="175" spans="1:10" ht="13.5" customHeight="1" x14ac:dyDescent="0.2">
      <c r="A175" s="70"/>
      <c r="B175" s="70"/>
      <c r="C175" s="63"/>
      <c r="D175" s="50"/>
      <c r="E175" s="13"/>
      <c r="F175" s="13"/>
      <c r="G175" s="14"/>
    </row>
    <row r="176" spans="1:10" ht="13.5" customHeight="1" x14ac:dyDescent="0.2">
      <c r="A176" s="70"/>
      <c r="B176" s="70"/>
      <c r="C176" s="222" t="s">
        <v>544</v>
      </c>
      <c r="D176" s="50"/>
      <c r="E176" s="13"/>
      <c r="F176" s="13"/>
      <c r="G176" s="14">
        <v>50120.190000000017</v>
      </c>
    </row>
    <row r="177" spans="1:7" ht="13.5" customHeight="1" x14ac:dyDescent="0.2">
      <c r="A177" s="70"/>
      <c r="B177" s="70"/>
      <c r="C177" s="63"/>
      <c r="D177" s="50"/>
      <c r="E177" s="13"/>
      <c r="F177" s="13"/>
      <c r="G177" s="75"/>
    </row>
    <row r="178" spans="1:7" ht="13.5" customHeight="1" x14ac:dyDescent="0.2">
      <c r="A178" s="76"/>
      <c r="B178" s="76"/>
      <c r="C178" s="222" t="s">
        <v>545</v>
      </c>
      <c r="D178" s="78"/>
      <c r="E178" s="78"/>
      <c r="F178" s="78"/>
      <c r="G178" s="14">
        <v>0</v>
      </c>
    </row>
    <row r="179" spans="1:7" ht="13.5" customHeight="1" x14ac:dyDescent="0.2">
      <c r="A179" s="76"/>
      <c r="B179" s="76"/>
      <c r="C179" s="78"/>
      <c r="D179" s="78"/>
      <c r="E179" s="78"/>
      <c r="F179" s="78"/>
      <c r="G179" s="75"/>
    </row>
    <row r="180" spans="1:7" ht="13.5" customHeight="1" x14ac:dyDescent="0.2">
      <c r="A180" s="70"/>
      <c r="B180" s="70"/>
      <c r="C180" s="63"/>
      <c r="D180" s="50"/>
      <c r="E180" s="13"/>
      <c r="F180" s="13"/>
      <c r="G180" s="75"/>
    </row>
    <row r="181" spans="1:7" ht="13.5" customHeight="1" x14ac:dyDescent="0.2">
      <c r="A181" s="70"/>
      <c r="B181" s="70"/>
      <c r="C181" s="63"/>
      <c r="D181" s="50"/>
      <c r="E181" s="13"/>
      <c r="F181" s="13"/>
      <c r="G181" s="182"/>
    </row>
    <row r="182" spans="1:7" ht="13.5" customHeight="1" x14ac:dyDescent="0.2">
      <c r="A182" s="70"/>
      <c r="B182" s="70"/>
      <c r="C182" s="63"/>
      <c r="D182" s="50"/>
      <c r="E182" s="13"/>
      <c r="F182" s="13"/>
      <c r="G182" s="182"/>
    </row>
    <row r="183" spans="1:7" ht="13.5" customHeight="1" x14ac:dyDescent="0.2">
      <c r="A183" s="70"/>
      <c r="B183" s="70"/>
      <c r="C183" s="63"/>
      <c r="D183" s="50"/>
      <c r="E183" s="13"/>
      <c r="F183" s="13"/>
      <c r="G183" s="182"/>
    </row>
    <row r="184" spans="1:7" ht="13.5" customHeight="1" x14ac:dyDescent="0.2">
      <c r="A184" s="70"/>
      <c r="B184" s="70"/>
      <c r="C184" s="63"/>
      <c r="D184" s="50"/>
      <c r="E184" s="13"/>
      <c r="F184" s="13"/>
      <c r="G184" s="182"/>
    </row>
    <row r="185" spans="1:7" ht="13.5" customHeight="1" x14ac:dyDescent="0.2">
      <c r="A185" s="70"/>
      <c r="B185" s="70"/>
      <c r="C185" s="63"/>
      <c r="D185" s="50"/>
      <c r="E185" s="13"/>
      <c r="F185" s="13"/>
      <c r="G185" s="182"/>
    </row>
    <row r="186" spans="1:7" ht="13.5" customHeight="1" x14ac:dyDescent="0.2">
      <c r="A186" s="70"/>
      <c r="B186" s="70"/>
      <c r="C186" s="63"/>
      <c r="D186" s="50"/>
      <c r="E186" s="13"/>
      <c r="F186" s="13"/>
      <c r="G186" s="182"/>
    </row>
    <row r="187" spans="1:7" ht="13.5" customHeight="1" x14ac:dyDescent="0.2">
      <c r="A187" s="70"/>
      <c r="B187" s="70"/>
      <c r="C187" s="63"/>
      <c r="D187" s="50"/>
      <c r="E187" s="13"/>
      <c r="F187" s="13"/>
      <c r="G187" s="182"/>
    </row>
    <row r="188" spans="1:7" ht="13.5" customHeight="1" x14ac:dyDescent="0.2">
      <c r="A188" s="70"/>
      <c r="B188" s="70"/>
      <c r="C188" s="63"/>
      <c r="D188" s="50"/>
      <c r="E188" s="13"/>
      <c r="F188" s="13"/>
      <c r="G188" s="182"/>
    </row>
    <row r="189" spans="1:7" ht="13.5" customHeight="1" x14ac:dyDescent="0.2">
      <c r="A189" s="70"/>
      <c r="B189" s="70"/>
      <c r="C189" s="63"/>
      <c r="D189" s="50"/>
      <c r="E189" s="13"/>
      <c r="F189" s="13"/>
      <c r="G189" s="182"/>
    </row>
    <row r="190" spans="1:7" ht="13.5" customHeight="1" x14ac:dyDescent="0.2">
      <c r="A190" s="70"/>
      <c r="B190" s="70"/>
      <c r="C190" s="63"/>
      <c r="D190" s="50"/>
      <c r="E190" s="13"/>
      <c r="F190" s="13"/>
      <c r="G190" s="182"/>
    </row>
    <row r="191" spans="1:7" ht="13.5" customHeight="1" x14ac:dyDescent="0.2">
      <c r="A191" s="70"/>
      <c r="B191" s="70"/>
      <c r="C191" s="63"/>
      <c r="D191" s="50"/>
      <c r="E191" s="13"/>
      <c r="F191" s="13"/>
      <c r="G191" s="182"/>
    </row>
    <row r="192" spans="1:7" ht="13.5" customHeight="1" x14ac:dyDescent="0.2">
      <c r="A192" s="70"/>
      <c r="B192" s="70"/>
      <c r="C192" s="63"/>
      <c r="D192" s="50"/>
      <c r="E192" s="13"/>
      <c r="F192" s="13"/>
      <c r="G192" s="182"/>
    </row>
    <row r="193" spans="1:7" ht="13.5" customHeight="1" x14ac:dyDescent="0.2">
      <c r="A193" s="70"/>
      <c r="B193" s="70"/>
      <c r="C193" s="63"/>
      <c r="D193" s="50"/>
      <c r="E193" s="13"/>
      <c r="F193" s="13"/>
      <c r="G193" s="182"/>
    </row>
    <row r="194" spans="1:7" ht="13.5" customHeight="1" x14ac:dyDescent="0.2">
      <c r="A194" s="70"/>
      <c r="B194" s="70"/>
      <c r="C194" s="63"/>
      <c r="D194" s="50"/>
      <c r="E194" s="13"/>
      <c r="F194" s="13"/>
      <c r="G194" s="182"/>
    </row>
    <row r="195" spans="1:7" ht="13.5" customHeight="1" x14ac:dyDescent="0.2">
      <c r="A195" s="70"/>
      <c r="B195" s="70"/>
      <c r="C195" s="63"/>
      <c r="D195" s="50"/>
      <c r="E195" s="13"/>
      <c r="F195" s="13"/>
      <c r="G195" s="182"/>
    </row>
    <row r="196" spans="1:7" ht="13.5" customHeight="1" x14ac:dyDescent="0.2">
      <c r="A196" s="70"/>
      <c r="B196" s="70"/>
      <c r="C196" s="63"/>
      <c r="D196" s="50"/>
      <c r="E196" s="13"/>
      <c r="F196" s="13"/>
      <c r="G196" s="182"/>
    </row>
    <row r="197" spans="1:7" ht="13.5" customHeight="1" x14ac:dyDescent="0.2">
      <c r="A197" s="70"/>
      <c r="B197" s="70"/>
      <c r="C197" s="63"/>
      <c r="D197" s="50"/>
      <c r="E197" s="13"/>
      <c r="F197" s="13"/>
      <c r="G197" s="182"/>
    </row>
    <row r="198" spans="1:7" ht="13.5" customHeight="1" x14ac:dyDescent="0.2">
      <c r="A198" s="70"/>
      <c r="B198" s="70"/>
      <c r="C198" s="63"/>
      <c r="D198" s="50"/>
      <c r="E198" s="13"/>
      <c r="F198" s="13"/>
      <c r="G198" s="182"/>
    </row>
    <row r="199" spans="1:7" ht="13.5" customHeight="1" x14ac:dyDescent="0.2">
      <c r="A199" s="70"/>
      <c r="B199" s="70"/>
      <c r="C199" s="63"/>
      <c r="D199" s="50"/>
      <c r="E199" s="13"/>
      <c r="F199" s="13"/>
      <c r="G199" s="182"/>
    </row>
    <row r="200" spans="1:7" ht="13.5" customHeight="1" x14ac:dyDescent="0.2">
      <c r="A200" s="70"/>
      <c r="B200" s="70"/>
      <c r="C200" s="63"/>
      <c r="D200" s="50"/>
      <c r="E200" s="13"/>
      <c r="F200" s="13"/>
      <c r="G200" s="182"/>
    </row>
    <row r="201" spans="1:7" ht="13.5" customHeight="1" x14ac:dyDescent="0.2">
      <c r="A201" s="70"/>
      <c r="B201" s="70"/>
      <c r="C201" s="63"/>
      <c r="D201" s="50"/>
      <c r="E201" s="13"/>
      <c r="F201" s="13"/>
      <c r="G201" s="182"/>
    </row>
    <row r="202" spans="1:7" ht="13.5" customHeight="1" x14ac:dyDescent="0.2">
      <c r="A202" s="70"/>
      <c r="B202" s="70"/>
      <c r="C202" s="63"/>
      <c r="D202" s="50"/>
      <c r="E202" s="13"/>
      <c r="F202" s="13"/>
      <c r="G202" s="182"/>
    </row>
    <row r="203" spans="1:7" ht="13.5" customHeight="1" x14ac:dyDescent="0.2">
      <c r="A203" s="70"/>
      <c r="B203" s="70"/>
      <c r="C203" s="63"/>
      <c r="D203" s="50"/>
      <c r="E203" s="13"/>
      <c r="F203" s="13"/>
      <c r="G203" s="182"/>
    </row>
    <row r="204" spans="1:7" ht="13.5" customHeight="1" x14ac:dyDescent="0.2">
      <c r="A204" s="70"/>
      <c r="B204" s="70"/>
      <c r="C204" s="63"/>
      <c r="D204" s="50"/>
      <c r="E204" s="13"/>
      <c r="F204" s="13"/>
      <c r="G204" s="182"/>
    </row>
    <row r="205" spans="1:7" ht="13.5" customHeight="1" x14ac:dyDescent="0.2">
      <c r="A205" s="70"/>
      <c r="B205" s="70"/>
      <c r="C205" s="63"/>
      <c r="D205" s="50"/>
      <c r="E205" s="13"/>
      <c r="F205" s="13"/>
      <c r="G205" s="182"/>
    </row>
    <row r="206" spans="1:7" ht="13.5" customHeight="1" x14ac:dyDescent="0.2">
      <c r="A206" s="70"/>
      <c r="B206" s="70"/>
      <c r="C206" s="63"/>
      <c r="D206" s="50"/>
      <c r="E206" s="13"/>
      <c r="F206" s="13"/>
      <c r="G206" s="182"/>
    </row>
    <row r="207" spans="1:7" ht="13.5" customHeight="1" x14ac:dyDescent="0.2">
      <c r="A207" s="70"/>
      <c r="B207" s="70"/>
      <c r="C207" s="63"/>
      <c r="D207" s="50"/>
      <c r="E207" s="13"/>
      <c r="F207" s="13"/>
      <c r="G207" s="182"/>
    </row>
    <row r="208" spans="1:7" ht="13.5" customHeight="1" x14ac:dyDescent="0.2">
      <c r="A208" s="131"/>
      <c r="B208" s="70"/>
      <c r="C208" s="64"/>
      <c r="D208" s="50"/>
      <c r="E208" s="13"/>
      <c r="F208" s="13"/>
      <c r="G208" s="182"/>
    </row>
    <row r="209" spans="1:7" ht="13.5" customHeight="1" x14ac:dyDescent="0.2">
      <c r="A209" s="70"/>
      <c r="B209" s="70"/>
      <c r="C209" s="63"/>
      <c r="D209" s="50"/>
      <c r="E209" s="13"/>
      <c r="F209" s="13"/>
      <c r="G209" s="182"/>
    </row>
    <row r="210" spans="1:7" ht="13.5" customHeight="1" x14ac:dyDescent="0.2">
      <c r="A210" s="70"/>
      <c r="B210" s="70"/>
      <c r="C210" s="63"/>
      <c r="D210" s="50"/>
      <c r="E210" s="13"/>
      <c r="F210" s="13"/>
      <c r="G210" s="182"/>
    </row>
    <row r="211" spans="1:7" ht="13.5" customHeight="1" x14ac:dyDescent="0.2">
      <c r="A211" s="131"/>
      <c r="B211" s="70"/>
      <c r="C211" s="85"/>
      <c r="D211" s="50"/>
      <c r="E211" s="13"/>
      <c r="F211" s="13"/>
      <c r="G211" s="182"/>
    </row>
    <row r="212" spans="1:7" ht="13.5" customHeight="1" x14ac:dyDescent="0.2">
      <c r="A212" s="131"/>
      <c r="B212" s="70"/>
      <c r="C212" s="63"/>
      <c r="D212" s="50"/>
      <c r="E212" s="13"/>
      <c r="F212" s="13"/>
      <c r="G212" s="182"/>
    </row>
    <row r="213" spans="1:7" ht="13.5" customHeight="1" x14ac:dyDescent="0.2">
      <c r="A213" s="131"/>
      <c r="B213" s="70"/>
      <c r="C213" s="63"/>
      <c r="D213" s="50"/>
      <c r="E213" s="13"/>
      <c r="F213" s="13"/>
      <c r="G213" s="182"/>
    </row>
    <row r="214" spans="1:7" ht="13.5" customHeight="1" x14ac:dyDescent="0.2">
      <c r="A214" s="131"/>
      <c r="B214" s="70"/>
      <c r="C214" s="64"/>
      <c r="D214" s="50"/>
      <c r="E214" s="13"/>
      <c r="F214" s="13"/>
      <c r="G214" s="182"/>
    </row>
    <row r="215" spans="1:7" ht="13.5" customHeight="1" x14ac:dyDescent="0.2">
      <c r="A215" s="70"/>
      <c r="B215" s="70"/>
      <c r="C215" s="63"/>
      <c r="D215" s="50"/>
      <c r="E215" s="13"/>
      <c r="F215" s="13"/>
      <c r="G215" s="182"/>
    </row>
    <row r="216" spans="1:7" ht="13.5" customHeight="1" x14ac:dyDescent="0.2">
      <c r="A216" s="131"/>
      <c r="B216" s="70"/>
      <c r="C216" s="63"/>
      <c r="D216" s="50"/>
      <c r="E216" s="13"/>
      <c r="F216" s="13"/>
      <c r="G216" s="182"/>
    </row>
    <row r="217" spans="1:7" ht="13.5" customHeight="1" x14ac:dyDescent="0.2">
      <c r="A217" s="131"/>
      <c r="B217" s="70"/>
      <c r="C217" s="64"/>
      <c r="D217" s="50"/>
      <c r="E217" s="13"/>
      <c r="F217" s="13"/>
      <c r="G217" s="182"/>
    </row>
    <row r="218" spans="1:7" ht="13.5" customHeight="1" x14ac:dyDescent="0.2">
      <c r="A218" s="70"/>
      <c r="B218" s="70"/>
      <c r="C218" s="63"/>
      <c r="D218" s="50"/>
      <c r="E218" s="13"/>
      <c r="F218" s="13"/>
      <c r="G218" s="182"/>
    </row>
    <row r="219" spans="1:7" ht="13.5" customHeight="1" x14ac:dyDescent="0.2">
      <c r="A219" s="131"/>
      <c r="B219" s="70"/>
      <c r="C219" s="63"/>
      <c r="D219" s="50"/>
      <c r="E219" s="13"/>
      <c r="F219" s="13"/>
      <c r="G219" s="182"/>
    </row>
    <row r="220" spans="1:7" ht="13.5" customHeight="1" x14ac:dyDescent="0.2">
      <c r="A220" s="131"/>
      <c r="B220" s="70"/>
      <c r="C220" s="64"/>
      <c r="D220" s="50"/>
      <c r="E220" s="13"/>
      <c r="F220" s="13"/>
      <c r="G220" s="182"/>
    </row>
    <row r="221" spans="1:7" ht="13.5" customHeight="1" x14ac:dyDescent="0.2">
      <c r="A221" s="70"/>
      <c r="B221" s="70"/>
      <c r="C221" s="63"/>
      <c r="D221" s="50"/>
      <c r="E221" s="13"/>
      <c r="F221" s="13"/>
      <c r="G221" s="182"/>
    </row>
    <row r="222" spans="1:7" ht="13.5" customHeight="1" x14ac:dyDescent="0.2">
      <c r="A222" s="70"/>
      <c r="B222" s="70"/>
      <c r="C222" s="63"/>
      <c r="D222" s="50"/>
      <c r="E222" s="13"/>
      <c r="F222" s="13"/>
      <c r="G222" s="182"/>
    </row>
    <row r="223" spans="1:7" ht="13.5" customHeight="1" x14ac:dyDescent="0.2">
      <c r="A223" s="70"/>
      <c r="B223" s="70"/>
      <c r="C223" s="63"/>
      <c r="D223" s="50"/>
      <c r="E223" s="13"/>
      <c r="F223" s="13"/>
      <c r="G223" s="182"/>
    </row>
    <row r="224" spans="1:7" ht="13.5" customHeight="1" x14ac:dyDescent="0.2">
      <c r="A224" s="131"/>
      <c r="B224" s="70"/>
      <c r="C224" s="86"/>
      <c r="D224" s="50"/>
      <c r="E224" s="13"/>
      <c r="F224" s="13"/>
      <c r="G224" s="182"/>
    </row>
    <row r="225" spans="1:7" ht="13.5" customHeight="1" x14ac:dyDescent="0.2">
      <c r="A225" s="131"/>
      <c r="B225" s="70"/>
      <c r="C225" s="85"/>
      <c r="D225" s="50"/>
      <c r="E225" s="13"/>
      <c r="F225" s="13"/>
      <c r="G225" s="182"/>
    </row>
    <row r="226" spans="1:7" ht="13.5" customHeight="1" x14ac:dyDescent="0.2">
      <c r="A226" s="131"/>
      <c r="B226" s="70"/>
      <c r="C226" s="87"/>
      <c r="D226" s="50"/>
      <c r="E226" s="13"/>
      <c r="F226" s="13"/>
      <c r="G226" s="182"/>
    </row>
    <row r="227" spans="1:7" ht="13.5" customHeight="1" x14ac:dyDescent="0.2">
      <c r="A227" s="131"/>
      <c r="B227" s="70"/>
      <c r="C227" s="88"/>
      <c r="D227" s="50"/>
      <c r="E227" s="13"/>
      <c r="F227" s="13"/>
      <c r="G227" s="182"/>
    </row>
    <row r="228" spans="1:7" ht="13.5" customHeight="1" x14ac:dyDescent="0.2">
      <c r="A228" s="91"/>
      <c r="B228" s="9"/>
      <c r="C228" s="56"/>
      <c r="D228" s="11"/>
      <c r="E228" s="12"/>
      <c r="F228" s="12"/>
      <c r="G228" s="182"/>
    </row>
    <row r="229" spans="1:7" ht="13.5" customHeight="1" x14ac:dyDescent="0.2">
      <c r="A229" s="9"/>
      <c r="B229" s="9"/>
      <c r="C229" s="56"/>
      <c r="D229" s="11"/>
      <c r="E229" s="12"/>
      <c r="F229" s="12"/>
      <c r="G229" s="182"/>
    </row>
    <row r="230" spans="1:7" ht="13.5" customHeight="1" x14ac:dyDescent="0.2">
      <c r="A230" s="9"/>
      <c r="B230" s="9"/>
      <c r="C230" s="56"/>
      <c r="D230" s="11"/>
      <c r="E230" s="12"/>
      <c r="F230" s="12"/>
      <c r="G230" s="182"/>
    </row>
    <row r="231" spans="1:7" ht="13.5" customHeight="1" x14ac:dyDescent="0.2">
      <c r="A231" s="91"/>
      <c r="B231" s="9"/>
      <c r="D231" s="11"/>
      <c r="E231" s="12"/>
      <c r="F231" s="12"/>
      <c r="G231" s="182"/>
    </row>
    <row r="232" spans="1:7" ht="13.5" customHeight="1" x14ac:dyDescent="0.2">
      <c r="A232" s="9"/>
      <c r="B232" s="9"/>
      <c r="C232" s="56"/>
      <c r="D232" s="11"/>
      <c r="E232" s="12"/>
      <c r="F232" s="12"/>
      <c r="G232" s="182"/>
    </row>
    <row r="233" spans="1:7" ht="13.5" customHeight="1" x14ac:dyDescent="0.2">
      <c r="A233" s="9"/>
      <c r="B233" s="9"/>
      <c r="C233" s="56"/>
      <c r="D233" s="11"/>
      <c r="E233" s="12"/>
      <c r="F233" s="12"/>
      <c r="G233" s="182"/>
    </row>
    <row r="234" spans="1:7" ht="13.5" customHeight="1" x14ac:dyDescent="0.2">
      <c r="A234" s="9"/>
      <c r="B234" s="9"/>
      <c r="C234" s="56"/>
      <c r="D234" s="11"/>
      <c r="E234" s="12"/>
      <c r="F234" s="12"/>
      <c r="G234" s="182"/>
    </row>
    <row r="235" spans="1:7" ht="13.5" customHeight="1" x14ac:dyDescent="0.2">
      <c r="A235" s="91"/>
      <c r="B235" s="9"/>
      <c r="C235" s="27"/>
      <c r="D235" s="11"/>
      <c r="E235" s="12"/>
      <c r="F235" s="12"/>
      <c r="G235" s="182"/>
    </row>
    <row r="236" spans="1:7" ht="13.5" customHeight="1" x14ac:dyDescent="0.2">
      <c r="A236" s="91"/>
      <c r="B236" s="9"/>
      <c r="C236" s="27"/>
      <c r="D236" s="11"/>
      <c r="E236" s="12"/>
      <c r="F236" s="12"/>
      <c r="G236" s="182"/>
    </row>
    <row r="237" spans="1:7" ht="13.5" customHeight="1" x14ac:dyDescent="0.2">
      <c r="A237" s="91"/>
      <c r="B237" s="9"/>
      <c r="D237" s="11"/>
      <c r="E237" s="12"/>
      <c r="F237" s="12"/>
      <c r="G237" s="182"/>
    </row>
    <row r="238" spans="1:7" ht="13.5" customHeight="1" x14ac:dyDescent="0.2">
      <c r="A238" s="9"/>
      <c r="B238" s="9"/>
      <c r="C238" s="56"/>
      <c r="D238" s="11"/>
      <c r="E238" s="12"/>
      <c r="F238" s="12"/>
      <c r="G238" s="182"/>
    </row>
    <row r="239" spans="1:7" ht="13.5" customHeight="1" x14ac:dyDescent="0.2">
      <c r="A239" s="9"/>
      <c r="B239" s="9"/>
      <c r="C239" s="56"/>
      <c r="D239" s="11"/>
      <c r="E239" s="12"/>
      <c r="F239" s="12"/>
      <c r="G239" s="182"/>
    </row>
    <row r="240" spans="1:7" ht="13.5" customHeight="1" x14ac:dyDescent="0.2">
      <c r="A240" s="9"/>
      <c r="B240" s="9"/>
      <c r="C240" s="56"/>
      <c r="D240" s="11"/>
      <c r="E240" s="12"/>
      <c r="F240" s="12"/>
      <c r="G240" s="182"/>
    </row>
    <row r="241" spans="1:7" ht="13.5" customHeight="1" x14ac:dyDescent="0.2">
      <c r="A241" s="9"/>
      <c r="B241" s="9"/>
      <c r="C241" s="56"/>
      <c r="D241" s="11"/>
      <c r="E241" s="12"/>
      <c r="F241" s="12"/>
      <c r="G241" s="182"/>
    </row>
    <row r="242" spans="1:7" x14ac:dyDescent="0.2">
      <c r="A242" s="132"/>
      <c r="B242" s="93"/>
      <c r="C242" s="94"/>
      <c r="D242" s="27"/>
      <c r="E242" s="27"/>
      <c r="F242" s="27"/>
      <c r="G242" s="182"/>
    </row>
  </sheetData>
  <mergeCells count="2">
    <mergeCell ref="A1:C1"/>
    <mergeCell ref="D1:G1"/>
  </mergeCells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tabColor rgb="FFFF0000"/>
  </sheetPr>
  <dimension ref="A1:X199"/>
  <sheetViews>
    <sheetView topLeftCell="A176" zoomScale="85" zoomScaleNormal="85" workbookViewId="0">
      <selection activeCell="G198" sqref="G198"/>
    </sheetView>
  </sheetViews>
  <sheetFormatPr defaultColWidth="9" defaultRowHeight="12.75" x14ac:dyDescent="0.2"/>
  <cols>
    <col min="1" max="1" width="14" style="1" customWidth="1"/>
    <col min="2" max="2" width="1.875" style="1" customWidth="1"/>
    <col min="3" max="3" width="99.25" style="1" customWidth="1"/>
    <col min="4" max="4" width="12" style="1" customWidth="1"/>
    <col min="5" max="5" width="12.375" style="1" customWidth="1"/>
    <col min="6" max="6" width="10.75" style="1" customWidth="1"/>
    <col min="7" max="7" width="11.875" style="1" customWidth="1"/>
    <col min="8" max="8" width="9.375" style="1" bestFit="1" customWidth="1"/>
    <col min="9" max="16384" width="9" style="1"/>
  </cols>
  <sheetData>
    <row r="1" spans="1:8" ht="13.5" customHeight="1" thickBot="1" x14ac:dyDescent="0.25">
      <c r="A1" s="1407" t="s">
        <v>4783</v>
      </c>
      <c r="B1" s="1407"/>
      <c r="C1" s="1408"/>
      <c r="D1" s="1409" t="s">
        <v>0</v>
      </c>
      <c r="E1" s="1410"/>
      <c r="F1" s="1410"/>
      <c r="G1" s="1411"/>
    </row>
    <row r="2" spans="1:8" ht="13.5" customHeight="1" thickBot="1" x14ac:dyDescent="0.25">
      <c r="A2" s="2" t="s">
        <v>2</v>
      </c>
      <c r="B2" s="3"/>
      <c r="C2" s="3" t="s">
        <v>2335</v>
      </c>
      <c r="D2" s="3" t="s">
        <v>4</v>
      </c>
      <c r="E2" s="3" t="s">
        <v>5</v>
      </c>
      <c r="F2" s="3" t="s">
        <v>6</v>
      </c>
      <c r="G2" s="5" t="s">
        <v>7</v>
      </c>
    </row>
    <row r="3" spans="1:8" ht="13.5" customHeight="1" x14ac:dyDescent="0.2">
      <c r="A3" s="8">
        <v>44075</v>
      </c>
      <c r="B3" s="56"/>
      <c r="C3" s="10" t="s">
        <v>8</v>
      </c>
      <c r="D3" s="11">
        <v>0</v>
      </c>
      <c r="E3" s="51"/>
      <c r="F3" s="12"/>
      <c r="G3" s="178">
        <v>9360.7900000000045</v>
      </c>
      <c r="H3" s="18">
        <v>9360.7900000000045</v>
      </c>
    </row>
    <row r="4" spans="1:8" ht="13.5" customHeight="1" x14ac:dyDescent="0.2">
      <c r="A4" s="180">
        <v>44075</v>
      </c>
      <c r="B4" s="56"/>
      <c r="C4" s="36" t="s">
        <v>4784</v>
      </c>
      <c r="D4" s="11"/>
      <c r="E4" s="30"/>
      <c r="F4" s="12">
        <v>250</v>
      </c>
      <c r="G4" s="182">
        <v>9610.7900000000045</v>
      </c>
      <c r="H4" s="18">
        <v>9610.7900000000045</v>
      </c>
    </row>
    <row r="5" spans="1:8" ht="13.5" customHeight="1" x14ac:dyDescent="0.2">
      <c r="A5" s="180"/>
      <c r="B5" s="56"/>
      <c r="C5" s="36" t="s">
        <v>4785</v>
      </c>
      <c r="D5" s="11"/>
      <c r="E5" s="30">
        <v>40</v>
      </c>
      <c r="F5" s="12"/>
      <c r="G5" s="182"/>
      <c r="H5" s="18">
        <v>9570.7900000000045</v>
      </c>
    </row>
    <row r="6" spans="1:8" ht="13.5" customHeight="1" x14ac:dyDescent="0.2">
      <c r="A6" s="180"/>
      <c r="B6" s="56"/>
      <c r="C6" s="36" t="s">
        <v>4686</v>
      </c>
      <c r="D6" s="11"/>
      <c r="E6" s="30">
        <v>70.98</v>
      </c>
      <c r="F6" s="12"/>
      <c r="G6" s="182"/>
      <c r="H6" s="18">
        <v>9499.8100000000049</v>
      </c>
    </row>
    <row r="7" spans="1:8" ht="13.5" customHeight="1" x14ac:dyDescent="0.2">
      <c r="A7" s="180"/>
      <c r="B7" s="56"/>
      <c r="C7" s="36" t="s">
        <v>4786</v>
      </c>
      <c r="D7" s="11"/>
      <c r="E7" s="30">
        <v>4.99</v>
      </c>
      <c r="F7" s="12"/>
      <c r="G7" s="182">
        <v>9494.8200000000052</v>
      </c>
      <c r="H7" s="18">
        <v>9494.8200000000052</v>
      </c>
    </row>
    <row r="8" spans="1:8" ht="13.5" customHeight="1" x14ac:dyDescent="0.2">
      <c r="A8" s="180">
        <v>44076</v>
      </c>
      <c r="B8" s="56"/>
      <c r="C8" s="36" t="s">
        <v>4787</v>
      </c>
      <c r="D8" s="11"/>
      <c r="E8" s="30">
        <v>3.48</v>
      </c>
      <c r="F8" s="12"/>
      <c r="G8" s="182">
        <v>9491.3400000000056</v>
      </c>
      <c r="H8" s="18">
        <v>9491.3400000000056</v>
      </c>
    </row>
    <row r="9" spans="1:8" ht="13.5" customHeight="1" x14ac:dyDescent="0.2">
      <c r="A9" s="180">
        <v>44077</v>
      </c>
      <c r="B9" s="56"/>
      <c r="C9" s="34" t="s">
        <v>4788</v>
      </c>
      <c r="D9" s="11"/>
      <c r="E9" s="30">
        <v>320</v>
      </c>
      <c r="F9" s="12"/>
      <c r="G9" s="182"/>
      <c r="H9" s="18">
        <v>9171.3400000000056</v>
      </c>
    </row>
    <row r="10" spans="1:8" ht="13.5" customHeight="1" x14ac:dyDescent="0.2">
      <c r="A10" s="180"/>
      <c r="B10" s="56"/>
      <c r="C10" s="36" t="s">
        <v>4789</v>
      </c>
      <c r="D10" s="11"/>
      <c r="E10" s="30">
        <v>80</v>
      </c>
      <c r="F10" s="12"/>
      <c r="G10" s="182"/>
      <c r="H10" s="18">
        <v>9091.3400000000056</v>
      </c>
    </row>
    <row r="11" spans="1:8" ht="13.5" customHeight="1" x14ac:dyDescent="0.2">
      <c r="A11" s="180"/>
      <c r="B11" s="56"/>
      <c r="C11" s="36" t="s">
        <v>4790</v>
      </c>
      <c r="D11" s="11"/>
      <c r="E11" s="30">
        <v>140</v>
      </c>
      <c r="F11" s="30"/>
      <c r="G11" s="182">
        <v>8951.3400000000056</v>
      </c>
      <c r="H11" s="18">
        <v>8951.3400000000056</v>
      </c>
    </row>
    <row r="12" spans="1:8" ht="13.5" customHeight="1" x14ac:dyDescent="0.2">
      <c r="A12" s="180">
        <v>44078</v>
      </c>
      <c r="B12" s="56"/>
      <c r="C12" s="36" t="s">
        <v>4791</v>
      </c>
      <c r="D12" s="11"/>
      <c r="E12" s="30">
        <v>26.57</v>
      </c>
      <c r="F12" s="30"/>
      <c r="G12" s="182"/>
      <c r="H12" s="18">
        <v>8924.7700000000059</v>
      </c>
    </row>
    <row r="13" spans="1:8" ht="13.5" customHeight="1" x14ac:dyDescent="0.2">
      <c r="A13" s="180"/>
      <c r="B13" s="56"/>
      <c r="C13" s="36" t="s">
        <v>4792</v>
      </c>
      <c r="D13" s="11"/>
      <c r="E13" s="30">
        <v>50</v>
      </c>
      <c r="F13" s="30"/>
      <c r="G13" s="182"/>
      <c r="H13" s="18">
        <v>8874.7700000000059</v>
      </c>
    </row>
    <row r="14" spans="1:8" ht="13.5" customHeight="1" x14ac:dyDescent="0.2">
      <c r="A14" s="180"/>
      <c r="B14" s="56"/>
      <c r="C14" s="36" t="s">
        <v>4793</v>
      </c>
      <c r="D14" s="11"/>
      <c r="E14" s="30">
        <v>80</v>
      </c>
      <c r="F14" s="30"/>
      <c r="G14" s="182"/>
      <c r="H14" s="18">
        <v>8794.7700000000059</v>
      </c>
    </row>
    <row r="15" spans="1:8" ht="13.5" customHeight="1" x14ac:dyDescent="0.2">
      <c r="A15" s="180"/>
      <c r="B15" s="56"/>
      <c r="C15" s="34" t="s">
        <v>4794</v>
      </c>
      <c r="D15" s="11"/>
      <c r="E15" s="30">
        <v>1.95</v>
      </c>
      <c r="F15" s="30"/>
      <c r="G15" s="182"/>
      <c r="H15" s="18">
        <v>8792.8200000000052</v>
      </c>
    </row>
    <row r="16" spans="1:8" ht="13.5" customHeight="1" x14ac:dyDescent="0.2">
      <c r="A16" s="180"/>
      <c r="B16" s="56"/>
      <c r="C16" s="34" t="s">
        <v>4795</v>
      </c>
      <c r="D16" s="11"/>
      <c r="E16" s="30">
        <v>7.34</v>
      </c>
      <c r="F16" s="30"/>
      <c r="G16" s="182"/>
      <c r="H16" s="18">
        <v>8785.480000000005</v>
      </c>
    </row>
    <row r="17" spans="1:8" ht="13.5" customHeight="1" x14ac:dyDescent="0.2">
      <c r="A17" s="180"/>
      <c r="B17" s="56"/>
      <c r="C17" s="34" t="s">
        <v>4796</v>
      </c>
      <c r="D17" s="11"/>
      <c r="E17" s="30">
        <v>4.95</v>
      </c>
      <c r="F17" s="30"/>
      <c r="G17" s="182"/>
      <c r="H17" s="18">
        <v>8780.5300000000043</v>
      </c>
    </row>
    <row r="18" spans="1:8" ht="13.5" customHeight="1" x14ac:dyDescent="0.2">
      <c r="A18" s="180"/>
      <c r="B18" s="56"/>
      <c r="C18" s="36" t="s">
        <v>4797</v>
      </c>
      <c r="D18" s="11"/>
      <c r="E18" s="30">
        <v>62</v>
      </c>
      <c r="F18" s="30"/>
      <c r="G18" s="182">
        <v>8718.5300000000043</v>
      </c>
      <c r="H18" s="18">
        <v>8718.5300000000043</v>
      </c>
    </row>
    <row r="19" spans="1:8" ht="13.5" customHeight="1" x14ac:dyDescent="0.2">
      <c r="A19" s="180">
        <v>44082</v>
      </c>
      <c r="B19" s="56"/>
      <c r="C19" s="36" t="s">
        <v>4798</v>
      </c>
      <c r="D19" s="11"/>
      <c r="E19" s="30"/>
      <c r="F19" s="30">
        <v>60</v>
      </c>
      <c r="G19" s="182"/>
      <c r="H19" s="18">
        <v>8778.5300000000043</v>
      </c>
    </row>
    <row r="20" spans="1:8" ht="13.5" customHeight="1" x14ac:dyDescent="0.2">
      <c r="A20" s="180"/>
      <c r="B20" s="56"/>
      <c r="C20" s="36" t="s">
        <v>4799</v>
      </c>
      <c r="D20" s="11"/>
      <c r="E20" s="30">
        <v>7.34</v>
      </c>
      <c r="F20" s="30"/>
      <c r="G20" s="182"/>
      <c r="H20" s="18">
        <v>8771.1900000000041</v>
      </c>
    </row>
    <row r="21" spans="1:8" ht="13.5" customHeight="1" x14ac:dyDescent="0.2">
      <c r="A21" s="180"/>
      <c r="B21" s="56"/>
      <c r="C21" s="36" t="s">
        <v>4800</v>
      </c>
      <c r="D21" s="11"/>
      <c r="E21" s="30"/>
      <c r="F21" s="30">
        <v>80</v>
      </c>
      <c r="G21" s="182"/>
      <c r="H21" s="18">
        <v>8851.1900000000041</v>
      </c>
    </row>
    <row r="22" spans="1:8" ht="13.5" customHeight="1" x14ac:dyDescent="0.2">
      <c r="A22" s="180"/>
      <c r="B22" s="56"/>
      <c r="C22" s="36" t="s">
        <v>4801</v>
      </c>
      <c r="D22" s="11"/>
      <c r="E22" s="30"/>
      <c r="F22" s="30">
        <v>1340</v>
      </c>
      <c r="G22" s="182">
        <v>10191.190000000004</v>
      </c>
      <c r="H22" s="18">
        <v>10191.190000000004</v>
      </c>
    </row>
    <row r="23" spans="1:8" ht="13.5" customHeight="1" x14ac:dyDescent="0.2">
      <c r="A23" s="180">
        <v>44083</v>
      </c>
      <c r="B23" s="56"/>
      <c r="C23" s="36" t="s">
        <v>4802</v>
      </c>
      <c r="D23" s="11"/>
      <c r="E23" s="30">
        <v>20</v>
      </c>
      <c r="F23" s="30"/>
      <c r="G23" s="182"/>
      <c r="H23" s="18">
        <v>10171.190000000004</v>
      </c>
    </row>
    <row r="24" spans="1:8" ht="13.5" customHeight="1" x14ac:dyDescent="0.2">
      <c r="A24" s="180"/>
      <c r="B24" s="56"/>
      <c r="C24" s="36" t="s">
        <v>4803</v>
      </c>
      <c r="D24" s="11"/>
      <c r="E24" s="30">
        <v>20</v>
      </c>
      <c r="F24" s="30"/>
      <c r="G24" s="182"/>
      <c r="H24" s="18">
        <v>10151.190000000004</v>
      </c>
    </row>
    <row r="25" spans="1:8" ht="13.5" customHeight="1" x14ac:dyDescent="0.2">
      <c r="A25" s="180"/>
      <c r="B25" s="56"/>
      <c r="C25" s="36" t="s">
        <v>4804</v>
      </c>
      <c r="D25" s="11"/>
      <c r="E25" s="30">
        <v>70</v>
      </c>
      <c r="F25" s="30"/>
      <c r="G25" s="182"/>
      <c r="H25" s="18">
        <v>10081.190000000004</v>
      </c>
    </row>
    <row r="26" spans="1:8" ht="13.5" customHeight="1" x14ac:dyDescent="0.2">
      <c r="A26" s="180"/>
      <c r="B26" s="56"/>
      <c r="C26" s="36" t="s">
        <v>4805</v>
      </c>
      <c r="D26" s="11"/>
      <c r="E26" s="30">
        <v>140</v>
      </c>
      <c r="F26" s="30"/>
      <c r="G26" s="182"/>
      <c r="H26" s="18">
        <v>9941.1900000000041</v>
      </c>
    </row>
    <row r="27" spans="1:8" ht="13.5" customHeight="1" x14ac:dyDescent="0.2">
      <c r="A27" s="180"/>
      <c r="B27" s="56"/>
      <c r="C27" s="36" t="s">
        <v>4806</v>
      </c>
      <c r="D27" s="11"/>
      <c r="E27" s="30">
        <v>140</v>
      </c>
      <c r="F27" s="12"/>
      <c r="G27" s="182"/>
      <c r="H27" s="18">
        <v>9801.1900000000041</v>
      </c>
    </row>
    <row r="28" spans="1:8" ht="13.5" customHeight="1" x14ac:dyDescent="0.2">
      <c r="A28" s="180"/>
      <c r="B28" s="56"/>
      <c r="C28" s="36" t="s">
        <v>4807</v>
      </c>
      <c r="D28" s="11"/>
      <c r="E28" s="30">
        <v>30</v>
      </c>
      <c r="F28" s="12"/>
      <c r="G28" s="182"/>
      <c r="H28" s="18">
        <v>9771.1900000000041</v>
      </c>
    </row>
    <row r="29" spans="1:8" ht="13.5" customHeight="1" x14ac:dyDescent="0.2">
      <c r="A29" s="180"/>
      <c r="B29" s="56"/>
      <c r="C29" s="36" t="s">
        <v>4808</v>
      </c>
      <c r="D29" s="11"/>
      <c r="E29" s="165">
        <v>180</v>
      </c>
      <c r="F29" s="12"/>
      <c r="G29" s="182"/>
      <c r="H29" s="18">
        <v>9591.1900000000041</v>
      </c>
    </row>
    <row r="30" spans="1:8" ht="13.5" customHeight="1" x14ac:dyDescent="0.2">
      <c r="A30" s="180"/>
      <c r="B30" s="56"/>
      <c r="C30" s="36" t="s">
        <v>4809</v>
      </c>
      <c r="D30" s="11"/>
      <c r="E30" s="30">
        <v>140</v>
      </c>
      <c r="F30" s="12"/>
      <c r="G30" s="182"/>
      <c r="H30" s="18">
        <v>9451.1900000000041</v>
      </c>
    </row>
    <row r="31" spans="1:8" ht="13.5" customHeight="1" x14ac:dyDescent="0.2">
      <c r="A31" s="180"/>
      <c r="B31" s="56"/>
      <c r="C31" s="36" t="s">
        <v>4810</v>
      </c>
      <c r="D31" s="11"/>
      <c r="E31" s="30">
        <v>120</v>
      </c>
      <c r="F31" s="12"/>
      <c r="G31" s="182"/>
      <c r="H31" s="18">
        <v>9331.1900000000041</v>
      </c>
    </row>
    <row r="32" spans="1:8" ht="13.5" customHeight="1" x14ac:dyDescent="0.2">
      <c r="A32" s="180"/>
      <c r="B32" s="56"/>
      <c r="C32" s="36" t="s">
        <v>4811</v>
      </c>
      <c r="D32" s="11"/>
      <c r="E32" s="30"/>
      <c r="F32" s="12">
        <v>250</v>
      </c>
      <c r="G32" s="182"/>
      <c r="H32" s="18">
        <v>9581.1900000000041</v>
      </c>
    </row>
    <row r="33" spans="1:24" s="64" customFormat="1" ht="13.5" customHeight="1" x14ac:dyDescent="0.2">
      <c r="A33" s="184"/>
      <c r="B33" s="63"/>
      <c r="C33" s="32" t="s">
        <v>4812</v>
      </c>
      <c r="D33" s="50"/>
      <c r="E33" s="51"/>
      <c r="F33" s="13">
        <v>60</v>
      </c>
      <c r="G33" s="53"/>
      <c r="H33" s="18">
        <v>9641.1900000000041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</row>
    <row r="34" spans="1:24" s="64" customFormat="1" ht="13.5" customHeight="1" x14ac:dyDescent="0.2">
      <c r="A34" s="184"/>
      <c r="B34" s="63"/>
      <c r="C34" s="63" t="s">
        <v>4813</v>
      </c>
      <c r="D34" s="50"/>
      <c r="E34" s="51"/>
      <c r="F34" s="13">
        <v>100</v>
      </c>
      <c r="G34" s="53"/>
      <c r="H34" s="18">
        <v>9741.1900000000041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</row>
    <row r="35" spans="1:24" s="64" customFormat="1" ht="13.5" customHeight="1" x14ac:dyDescent="0.2">
      <c r="A35" s="184"/>
      <c r="B35" s="63"/>
      <c r="C35" s="32" t="s">
        <v>4814</v>
      </c>
      <c r="D35" s="50"/>
      <c r="E35" s="51"/>
      <c r="F35" s="13">
        <v>1080</v>
      </c>
      <c r="G35" s="53">
        <v>10821.190000000004</v>
      </c>
      <c r="H35" s="18">
        <v>10821.190000000004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</row>
    <row r="36" spans="1:24" s="64" customFormat="1" ht="13.5" customHeight="1" x14ac:dyDescent="0.2">
      <c r="A36" s="184">
        <v>44084</v>
      </c>
      <c r="B36" s="63"/>
      <c r="C36" s="32" t="s">
        <v>4815</v>
      </c>
      <c r="D36" s="50"/>
      <c r="E36" s="165">
        <v>475</v>
      </c>
      <c r="F36" s="13"/>
      <c r="G36" s="53"/>
      <c r="H36" s="18">
        <v>10346.190000000004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</row>
    <row r="37" spans="1:24" s="64" customFormat="1" ht="13.5" customHeight="1" x14ac:dyDescent="0.2">
      <c r="A37" s="184"/>
      <c r="B37" s="63"/>
      <c r="C37" s="32" t="s">
        <v>4816</v>
      </c>
      <c r="D37" s="50"/>
      <c r="E37" s="51">
        <v>36.49</v>
      </c>
      <c r="F37" s="13"/>
      <c r="G37" s="53"/>
      <c r="H37" s="18">
        <v>10309.700000000004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</row>
    <row r="38" spans="1:24" s="64" customFormat="1" ht="13.5" customHeight="1" x14ac:dyDescent="0.2">
      <c r="A38" s="184"/>
      <c r="B38" s="63"/>
      <c r="C38" s="32" t="s">
        <v>4817</v>
      </c>
      <c r="D38" s="50"/>
      <c r="E38" s="51">
        <v>12.28</v>
      </c>
      <c r="F38" s="13"/>
      <c r="G38" s="53">
        <v>10297.420000000004</v>
      </c>
      <c r="H38" s="18">
        <v>10297.420000000004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</row>
    <row r="39" spans="1:24" s="64" customFormat="1" ht="13.5" customHeight="1" x14ac:dyDescent="0.2">
      <c r="A39" s="184">
        <v>44085</v>
      </c>
      <c r="B39" s="63"/>
      <c r="C39" s="32" t="s">
        <v>4818</v>
      </c>
      <c r="D39" s="50"/>
      <c r="E39" s="51">
        <v>61.9</v>
      </c>
      <c r="F39" s="13"/>
      <c r="G39" s="53"/>
      <c r="H39" s="18">
        <v>10235.520000000004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</row>
    <row r="40" spans="1:24" s="64" customFormat="1" ht="13.5" customHeight="1" x14ac:dyDescent="0.2">
      <c r="A40" s="184"/>
      <c r="B40" s="63"/>
      <c r="C40" s="32" t="s">
        <v>4819</v>
      </c>
      <c r="D40" s="50"/>
      <c r="E40" s="51">
        <v>21.37</v>
      </c>
      <c r="F40" s="13"/>
      <c r="G40" s="53"/>
      <c r="H40" s="18">
        <v>10214.150000000003</v>
      </c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</row>
    <row r="41" spans="1:24" s="64" customFormat="1" ht="13.5" customHeight="1" x14ac:dyDescent="0.2">
      <c r="A41" s="184"/>
      <c r="B41" s="63"/>
      <c r="C41" s="32" t="s">
        <v>4820</v>
      </c>
      <c r="D41" s="50"/>
      <c r="E41" s="51"/>
      <c r="F41" s="13">
        <v>200</v>
      </c>
      <c r="G41" s="53"/>
      <c r="H41" s="18">
        <v>10414.150000000003</v>
      </c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</row>
    <row r="42" spans="1:24" s="64" customFormat="1" ht="13.5" customHeight="1" x14ac:dyDescent="0.2">
      <c r="A42" s="184"/>
      <c r="B42" s="63"/>
      <c r="C42" s="32" t="s">
        <v>4821</v>
      </c>
      <c r="D42" s="50"/>
      <c r="E42" s="51"/>
      <c r="F42" s="13">
        <v>60</v>
      </c>
      <c r="G42" s="53"/>
      <c r="H42" s="18">
        <v>10474.150000000003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</row>
    <row r="43" spans="1:24" s="64" customFormat="1" ht="13.5" customHeight="1" x14ac:dyDescent="0.2">
      <c r="A43" s="184"/>
      <c r="B43" s="63"/>
      <c r="C43" s="32" t="s">
        <v>4822</v>
      </c>
      <c r="D43" s="50"/>
      <c r="E43" s="51"/>
      <c r="F43" s="13">
        <v>2800</v>
      </c>
      <c r="G43" s="53"/>
      <c r="H43" s="18">
        <v>13274.150000000003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 spans="1:24" s="64" customFormat="1" ht="13.5" customHeight="1" x14ac:dyDescent="0.2">
      <c r="A44" s="184"/>
      <c r="B44" s="63"/>
      <c r="C44" s="32" t="s">
        <v>4823</v>
      </c>
      <c r="D44" s="50"/>
      <c r="E44" s="51"/>
      <c r="F44" s="13">
        <v>60</v>
      </c>
      <c r="G44" s="53"/>
      <c r="H44" s="18">
        <v>13334.150000000003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 spans="1:24" s="64" customFormat="1" ht="13.5" customHeight="1" x14ac:dyDescent="0.2">
      <c r="A45" s="184"/>
      <c r="B45" s="63"/>
      <c r="C45" s="32" t="s">
        <v>4824</v>
      </c>
      <c r="D45" s="50"/>
      <c r="E45" s="51"/>
      <c r="F45" s="13">
        <v>180</v>
      </c>
      <c r="G45" s="53">
        <v>13514.150000000003</v>
      </c>
      <c r="H45" s="18">
        <v>13514.150000000003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</row>
    <row r="46" spans="1:24" s="64" customFormat="1" ht="13.5" customHeight="1" x14ac:dyDescent="0.2">
      <c r="A46" s="184">
        <v>44088</v>
      </c>
      <c r="B46" s="63"/>
      <c r="C46" s="32" t="s">
        <v>4825</v>
      </c>
      <c r="D46" s="50"/>
      <c r="E46" s="51">
        <v>42</v>
      </c>
      <c r="F46" s="13"/>
      <c r="G46" s="53">
        <v>13472.150000000003</v>
      </c>
      <c r="H46" s="18">
        <v>13472.150000000003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</row>
    <row r="47" spans="1:24" s="64" customFormat="1" ht="13.5" customHeight="1" x14ac:dyDescent="0.2">
      <c r="A47" s="184">
        <v>44089</v>
      </c>
      <c r="B47" s="63"/>
      <c r="C47" s="32" t="s">
        <v>4826</v>
      </c>
      <c r="D47" s="50"/>
      <c r="E47" s="165">
        <v>200</v>
      </c>
      <c r="F47" s="13"/>
      <c r="G47" s="53"/>
      <c r="H47" s="18">
        <v>13272.150000000003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 spans="1:24" s="64" customFormat="1" ht="13.5" customHeight="1" x14ac:dyDescent="0.2">
      <c r="A48" s="184"/>
      <c r="B48" s="63"/>
      <c r="C48" s="32" t="s">
        <v>4827</v>
      </c>
      <c r="D48" s="50"/>
      <c r="E48" s="51"/>
      <c r="F48" s="13">
        <v>5792.5</v>
      </c>
      <c r="G48" s="53">
        <v>19064.650000000001</v>
      </c>
      <c r="H48" s="18">
        <v>19064.650000000001</v>
      </c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 spans="1:24" s="64" customFormat="1" ht="13.5" customHeight="1" x14ac:dyDescent="0.2">
      <c r="A49" s="184">
        <v>44091</v>
      </c>
      <c r="B49" s="63"/>
      <c r="C49" s="32" t="s">
        <v>4828</v>
      </c>
      <c r="D49" s="50"/>
      <c r="E49" s="51">
        <v>320</v>
      </c>
      <c r="F49" s="13"/>
      <c r="G49" s="53"/>
      <c r="H49" s="18">
        <v>18744.650000000001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 spans="1:24" s="64" customFormat="1" ht="13.5" customHeight="1" x14ac:dyDescent="0.2">
      <c r="A50" s="184"/>
      <c r="B50" s="63"/>
      <c r="C50" s="32" t="s">
        <v>4829</v>
      </c>
      <c r="D50" s="50"/>
      <c r="E50" s="51">
        <v>40</v>
      </c>
      <c r="F50" s="13"/>
      <c r="G50" s="53"/>
      <c r="H50" s="18">
        <v>18704.650000000001</v>
      </c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 spans="1:24" s="64" customFormat="1" ht="13.5" customHeight="1" x14ac:dyDescent="0.2">
      <c r="A51" s="184"/>
      <c r="B51" s="63"/>
      <c r="C51" s="32" t="s">
        <v>4830</v>
      </c>
      <c r="D51" s="50"/>
      <c r="E51" s="51">
        <v>21.42</v>
      </c>
      <c r="F51" s="13"/>
      <c r="G51" s="53"/>
      <c r="H51" s="18">
        <v>18683.230000000003</v>
      </c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</row>
    <row r="52" spans="1:24" s="64" customFormat="1" ht="13.5" customHeight="1" x14ac:dyDescent="0.2">
      <c r="A52" s="184"/>
      <c r="B52" s="63"/>
      <c r="C52" s="32" t="s">
        <v>4831</v>
      </c>
      <c r="D52" s="50"/>
      <c r="E52" s="51">
        <v>5</v>
      </c>
      <c r="F52" s="13"/>
      <c r="G52" s="53"/>
      <c r="H52" s="18">
        <v>18678.230000000003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 spans="1:24" s="64" customFormat="1" ht="13.5" customHeight="1" x14ac:dyDescent="0.2">
      <c r="A53" s="184"/>
      <c r="B53" s="63"/>
      <c r="C53" s="32" t="s">
        <v>4832</v>
      </c>
      <c r="D53" s="50"/>
      <c r="E53" s="51">
        <v>60</v>
      </c>
      <c r="F53" s="13"/>
      <c r="G53" s="53"/>
      <c r="H53" s="18">
        <v>18618.230000000003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 spans="1:24" s="64" customFormat="1" ht="13.5" customHeight="1" x14ac:dyDescent="0.2">
      <c r="A54" s="184"/>
      <c r="B54" s="63"/>
      <c r="C54" s="32" t="s">
        <v>4833</v>
      </c>
      <c r="D54" s="50"/>
      <c r="E54" s="51">
        <v>100</v>
      </c>
      <c r="F54" s="13"/>
      <c r="G54" s="53">
        <v>18518.230000000003</v>
      </c>
      <c r="H54" s="18">
        <v>18518.230000000003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 spans="1:24" s="64" customFormat="1" ht="13.5" customHeight="1" x14ac:dyDescent="0.2">
      <c r="A55" s="184">
        <v>44092</v>
      </c>
      <c r="B55" s="63"/>
      <c r="C55" s="32" t="s">
        <v>4834</v>
      </c>
      <c r="D55" s="50"/>
      <c r="E55" s="165">
        <v>5792.5</v>
      </c>
      <c r="F55" s="13"/>
      <c r="G55" s="53"/>
      <c r="H55" s="18">
        <v>12725.730000000003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 spans="1:24" s="64" customFormat="1" ht="13.5" customHeight="1" x14ac:dyDescent="0.2">
      <c r="A56" s="184"/>
      <c r="B56" s="63"/>
      <c r="C56" s="32" t="s">
        <v>4835</v>
      </c>
      <c r="D56" s="50"/>
      <c r="E56" s="51">
        <v>10</v>
      </c>
      <c r="F56" s="13"/>
      <c r="G56" s="53"/>
      <c r="H56" s="18">
        <v>12715.730000000003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 spans="1:24" s="64" customFormat="1" ht="13.5" customHeight="1" x14ac:dyDescent="0.2">
      <c r="A57" s="184"/>
      <c r="B57" s="63"/>
      <c r="C57" s="32" t="s">
        <v>4836</v>
      </c>
      <c r="D57" s="50"/>
      <c r="E57" s="51">
        <v>3.5</v>
      </c>
      <c r="F57" s="13"/>
      <c r="G57" s="53">
        <v>12712.230000000003</v>
      </c>
      <c r="H57" s="18">
        <v>12712.230000000003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 spans="1:24" s="64" customFormat="1" ht="13.5" customHeight="1" x14ac:dyDescent="0.2">
      <c r="A58" s="184">
        <v>44097</v>
      </c>
      <c r="B58" s="63"/>
      <c r="C58" s="32" t="s">
        <v>4837</v>
      </c>
      <c r="D58" s="50"/>
      <c r="E58" s="51">
        <v>10.5</v>
      </c>
      <c r="F58" s="13"/>
      <c r="G58" s="53">
        <v>12701.730000000003</v>
      </c>
      <c r="H58" s="18">
        <v>12701.730000000003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 spans="1:24" s="64" customFormat="1" ht="13.5" customHeight="1" x14ac:dyDescent="0.2">
      <c r="A59" s="184">
        <v>44098</v>
      </c>
      <c r="B59" s="63"/>
      <c r="C59" s="32" t="s">
        <v>4838</v>
      </c>
      <c r="D59" s="50"/>
      <c r="E59" s="51">
        <v>29.96</v>
      </c>
      <c r="F59" s="13"/>
      <c r="G59" s="53"/>
      <c r="H59" s="18">
        <v>12671.770000000004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 spans="1:24" s="64" customFormat="1" ht="13.5" customHeight="1" x14ac:dyDescent="0.2">
      <c r="A60" s="184"/>
      <c r="B60" s="63"/>
      <c r="C60" s="32" t="s">
        <v>4839</v>
      </c>
      <c r="D60" s="50"/>
      <c r="E60" s="51">
        <v>53.46</v>
      </c>
      <c r="F60" s="13"/>
      <c r="G60" s="53"/>
      <c r="H60" s="18">
        <v>12618.310000000005</v>
      </c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 spans="1:24" s="64" customFormat="1" ht="13.5" customHeight="1" x14ac:dyDescent="0.2">
      <c r="A61" s="184"/>
      <c r="B61" s="63"/>
      <c r="C61" s="32" t="s">
        <v>4840</v>
      </c>
      <c r="D61" s="50"/>
      <c r="E61" s="51">
        <v>44.99</v>
      </c>
      <c r="F61" s="13"/>
      <c r="G61" s="53"/>
      <c r="H61" s="18">
        <v>12573.320000000005</v>
      </c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</row>
    <row r="62" spans="1:24" s="64" customFormat="1" ht="13.5" customHeight="1" x14ac:dyDescent="0.2">
      <c r="A62" s="184"/>
      <c r="B62" s="63"/>
      <c r="C62" s="32" t="s">
        <v>4841</v>
      </c>
      <c r="D62" s="50"/>
      <c r="E62" s="51">
        <v>40</v>
      </c>
      <c r="F62" s="13"/>
      <c r="G62" s="53"/>
      <c r="H62" s="18">
        <v>12533.320000000005</v>
      </c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 spans="1:24" s="64" customFormat="1" ht="13.5" customHeight="1" x14ac:dyDescent="0.2">
      <c r="A63" s="184"/>
      <c r="B63" s="63"/>
      <c r="C63" s="32" t="s">
        <v>4842</v>
      </c>
      <c r="D63" s="50"/>
      <c r="E63" s="51">
        <v>5</v>
      </c>
      <c r="F63" s="13"/>
      <c r="G63" s="53"/>
      <c r="H63" s="18">
        <v>12528.320000000005</v>
      </c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</row>
    <row r="64" spans="1:24" s="64" customFormat="1" ht="13.5" customHeight="1" x14ac:dyDescent="0.2">
      <c r="A64" s="184"/>
      <c r="B64" s="63"/>
      <c r="C64" s="32" t="s">
        <v>4843</v>
      </c>
      <c r="D64" s="50"/>
      <c r="E64" s="51">
        <v>15.4</v>
      </c>
      <c r="F64" s="13"/>
      <c r="G64" s="53"/>
      <c r="H64" s="18">
        <v>12512.920000000006</v>
      </c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</row>
    <row r="65" spans="1:24" s="64" customFormat="1" ht="13.5" customHeight="1" x14ac:dyDescent="0.2">
      <c r="A65" s="184"/>
      <c r="B65" s="63"/>
      <c r="C65" s="32" t="s">
        <v>4844</v>
      </c>
      <c r="D65" s="50"/>
      <c r="E65" s="51">
        <v>24.8</v>
      </c>
      <c r="F65" s="13"/>
      <c r="G65" s="53"/>
      <c r="H65" s="18">
        <v>12488.120000000006</v>
      </c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</row>
    <row r="66" spans="1:24" s="64" customFormat="1" ht="13.5" customHeight="1" x14ac:dyDescent="0.2">
      <c r="A66" s="184"/>
      <c r="B66" s="63"/>
      <c r="C66" s="32" t="s">
        <v>4845</v>
      </c>
      <c r="D66" s="50"/>
      <c r="E66" s="51">
        <v>8.98</v>
      </c>
      <c r="F66" s="13"/>
      <c r="G66" s="53"/>
      <c r="H66" s="18">
        <v>12479.140000000007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</row>
    <row r="67" spans="1:24" s="64" customFormat="1" ht="13.5" customHeight="1" x14ac:dyDescent="0.2">
      <c r="A67" s="184"/>
      <c r="B67" s="63"/>
      <c r="C67" s="32" t="s">
        <v>4846</v>
      </c>
      <c r="D67" s="50"/>
      <c r="E67" s="51">
        <v>10</v>
      </c>
      <c r="F67" s="13"/>
      <c r="G67" s="53"/>
      <c r="H67" s="18">
        <v>12469.140000000007</v>
      </c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 spans="1:24" s="64" customFormat="1" ht="13.5" customHeight="1" x14ac:dyDescent="0.2">
      <c r="A68" s="184"/>
      <c r="B68" s="63"/>
      <c r="C68" s="32" t="s">
        <v>4847</v>
      </c>
      <c r="D68" s="50"/>
      <c r="E68" s="51">
        <v>11.58</v>
      </c>
      <c r="F68" s="13"/>
      <c r="G68" s="53"/>
      <c r="H68" s="18">
        <v>12457.560000000007</v>
      </c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 spans="1:24" s="64" customFormat="1" ht="13.5" customHeight="1" x14ac:dyDescent="0.2">
      <c r="A69" s="184"/>
      <c r="B69" s="63"/>
      <c r="C69" s="32" t="s">
        <v>4848</v>
      </c>
      <c r="D69" s="50"/>
      <c r="E69" s="51">
        <v>149.9</v>
      </c>
      <c r="F69" s="13"/>
      <c r="G69" s="53">
        <v>12307.660000000007</v>
      </c>
      <c r="H69" s="18">
        <v>12307.660000000007</v>
      </c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 spans="1:24" s="64" customFormat="1" ht="13.5" customHeight="1" x14ac:dyDescent="0.2">
      <c r="A70" s="184">
        <v>44099</v>
      </c>
      <c r="B70" s="63"/>
      <c r="C70" s="32" t="s">
        <v>4849</v>
      </c>
      <c r="D70" s="50"/>
      <c r="E70" s="51">
        <v>39.25</v>
      </c>
      <c r="F70" s="13"/>
      <c r="G70" s="53"/>
      <c r="H70" s="18">
        <v>12268.410000000007</v>
      </c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</row>
    <row r="71" spans="1:24" s="64" customFormat="1" ht="13.5" customHeight="1" x14ac:dyDescent="0.2">
      <c r="A71" s="184"/>
      <c r="B71" s="63"/>
      <c r="C71" s="32" t="s">
        <v>4850</v>
      </c>
      <c r="D71" s="50"/>
      <c r="E71" s="51">
        <v>29.36</v>
      </c>
      <c r="F71" s="13"/>
      <c r="G71" s="53"/>
      <c r="H71" s="18">
        <v>12239.050000000007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 spans="1:24" s="64" customFormat="1" ht="13.5" customHeight="1" x14ac:dyDescent="0.2">
      <c r="A72" s="184"/>
      <c r="B72" s="63"/>
      <c r="C72" s="32" t="s">
        <v>4851</v>
      </c>
      <c r="D72" s="50"/>
      <c r="E72" s="51">
        <v>300</v>
      </c>
      <c r="F72" s="13"/>
      <c r="G72" s="53"/>
      <c r="H72" s="18">
        <v>11939.050000000007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 spans="1:24" s="64" customFormat="1" ht="13.5" customHeight="1" x14ac:dyDescent="0.2">
      <c r="A73" s="184"/>
      <c r="B73" s="63"/>
      <c r="C73" s="32" t="s">
        <v>4852</v>
      </c>
      <c r="D73" s="50"/>
      <c r="E73" s="51">
        <v>20</v>
      </c>
      <c r="F73" s="13"/>
      <c r="G73" s="53"/>
      <c r="H73" s="18">
        <v>11919.050000000007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 spans="1:24" s="64" customFormat="1" ht="13.5" customHeight="1" x14ac:dyDescent="0.2">
      <c r="A74" s="184"/>
      <c r="B74" s="63"/>
      <c r="C74" s="32" t="s">
        <v>4853</v>
      </c>
      <c r="D74" s="50"/>
      <c r="E74" s="51">
        <v>34.96</v>
      </c>
      <c r="F74" s="13"/>
      <c r="G74" s="53">
        <v>11850.990000000007</v>
      </c>
      <c r="H74" s="18">
        <v>11884.090000000007</v>
      </c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</row>
    <row r="75" spans="1:24" s="64" customFormat="1" ht="13.5" customHeight="1" x14ac:dyDescent="0.2">
      <c r="A75" s="184">
        <v>44102</v>
      </c>
      <c r="B75" s="63"/>
      <c r="C75" s="32" t="s">
        <v>4854</v>
      </c>
      <c r="D75" s="50"/>
      <c r="E75" s="51">
        <v>30.7</v>
      </c>
      <c r="F75" s="13"/>
      <c r="G75" s="53"/>
      <c r="H75" s="18">
        <v>11853.390000000007</v>
      </c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 spans="1:24" s="64" customFormat="1" ht="13.5" customHeight="1" x14ac:dyDescent="0.2">
      <c r="A76" s="184"/>
      <c r="B76" s="63"/>
      <c r="C76" s="32" t="s">
        <v>4855</v>
      </c>
      <c r="D76" s="50"/>
      <c r="E76" s="51">
        <v>3.3</v>
      </c>
      <c r="F76" s="13"/>
      <c r="G76" s="53">
        <v>11816.990000000007</v>
      </c>
      <c r="H76" s="18">
        <v>11850.090000000007</v>
      </c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 spans="1:24" s="64" customFormat="1" ht="13.5" customHeight="1" x14ac:dyDescent="0.2">
      <c r="A77" s="184">
        <v>44103</v>
      </c>
      <c r="B77" s="63"/>
      <c r="C77" s="32" t="s">
        <v>4856</v>
      </c>
      <c r="D77" s="50"/>
      <c r="E77" s="51">
        <v>37.17</v>
      </c>
      <c r="F77" s="13"/>
      <c r="G77" s="53"/>
      <c r="H77" s="18">
        <v>11812.920000000007</v>
      </c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 spans="1:24" s="64" customFormat="1" ht="13.5" customHeight="1" x14ac:dyDescent="0.2">
      <c r="A78" s="184"/>
      <c r="B78" s="63"/>
      <c r="C78" s="32" t="s">
        <v>4857</v>
      </c>
      <c r="D78" s="50"/>
      <c r="E78" s="51">
        <v>13.99</v>
      </c>
      <c r="F78" s="13"/>
      <c r="G78" s="53">
        <v>11765.830000000007</v>
      </c>
      <c r="H78" s="18">
        <v>11798.930000000008</v>
      </c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 spans="1:24" s="64" customFormat="1" ht="13.5" customHeight="1" x14ac:dyDescent="0.2">
      <c r="A79" s="184">
        <v>44104</v>
      </c>
      <c r="B79" s="63"/>
      <c r="C79" s="32" t="s">
        <v>4858</v>
      </c>
      <c r="D79" s="50"/>
      <c r="E79" s="51">
        <v>30</v>
      </c>
      <c r="F79" s="13"/>
      <c r="G79" s="178">
        <v>11735.830000000007</v>
      </c>
      <c r="H79" s="18">
        <v>11768.930000000008</v>
      </c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 spans="1:24" s="64" customFormat="1" ht="13.5" customHeight="1" thickBot="1" x14ac:dyDescent="0.25">
      <c r="A80" s="184"/>
      <c r="B80" s="63"/>
      <c r="C80" s="63"/>
      <c r="D80" s="50"/>
      <c r="E80" s="650">
        <f>-SUM(E5:E28,E30:E35,E37:E46,E49:E54,E56:E79)</f>
        <v>-3256.8600000000006</v>
      </c>
      <c r="F80" s="651">
        <f>SUM(F4:F79)</f>
        <v>12312.5</v>
      </c>
      <c r="G80" s="53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 spans="1:24" ht="13.5" customHeight="1" thickBot="1" x14ac:dyDescent="0.25">
      <c r="A81" s="2" t="s">
        <v>2</v>
      </c>
      <c r="B81" s="3"/>
      <c r="C81" s="3" t="s">
        <v>536</v>
      </c>
      <c r="D81" s="3" t="s">
        <v>4</v>
      </c>
      <c r="E81" s="3" t="s">
        <v>5</v>
      </c>
      <c r="F81" s="3" t="s">
        <v>6</v>
      </c>
      <c r="G81" s="5" t="s">
        <v>7</v>
      </c>
    </row>
    <row r="82" spans="1:24" ht="13.5" customHeight="1" x14ac:dyDescent="0.2">
      <c r="A82" s="8">
        <v>44075</v>
      </c>
      <c r="B82" s="56"/>
      <c r="C82" s="10" t="s">
        <v>8</v>
      </c>
      <c r="D82" s="11"/>
      <c r="E82" s="51"/>
      <c r="F82" s="12"/>
      <c r="G82" s="205">
        <v>32000</v>
      </c>
      <c r="H82" s="18">
        <v>32000</v>
      </c>
    </row>
    <row r="83" spans="1:24" ht="13.5" customHeight="1" x14ac:dyDescent="0.2">
      <c r="A83" s="171"/>
      <c r="B83" s="46"/>
      <c r="C83" s="32" t="s">
        <v>1002</v>
      </c>
      <c r="D83" s="11"/>
      <c r="E83" s="30">
        <v>6483.5</v>
      </c>
      <c r="F83" s="12"/>
      <c r="G83" s="182">
        <v>25516.5</v>
      </c>
      <c r="H83" s="18">
        <v>25516.5</v>
      </c>
    </row>
    <row r="84" spans="1:24" ht="13.5" customHeight="1" x14ac:dyDescent="0.2">
      <c r="A84" s="180">
        <v>44077</v>
      </c>
      <c r="B84" s="56"/>
      <c r="C84" s="742" t="s">
        <v>4859</v>
      </c>
      <c r="D84" s="11"/>
      <c r="E84" s="30"/>
      <c r="F84" s="12">
        <v>1087.5</v>
      </c>
      <c r="G84" s="182">
        <v>26604</v>
      </c>
      <c r="H84" s="18">
        <v>26604</v>
      </c>
    </row>
    <row r="85" spans="1:24" ht="13.5" customHeight="1" x14ac:dyDescent="0.2">
      <c r="A85" s="180"/>
      <c r="B85" s="56"/>
      <c r="C85" s="742" t="s">
        <v>4860</v>
      </c>
      <c r="D85" s="11"/>
      <c r="E85" s="30">
        <v>240</v>
      </c>
      <c r="F85" s="12"/>
      <c r="G85" s="182">
        <v>26364</v>
      </c>
      <c r="H85" s="18">
        <v>26364</v>
      </c>
    </row>
    <row r="86" spans="1:24" ht="13.5" customHeight="1" x14ac:dyDescent="0.2">
      <c r="A86" s="180">
        <v>44078</v>
      </c>
      <c r="B86" s="56"/>
      <c r="C86" s="742" t="s">
        <v>4861</v>
      </c>
      <c r="D86" s="11"/>
      <c r="E86" s="30"/>
      <c r="F86" s="12">
        <v>1087.5</v>
      </c>
      <c r="G86" s="182">
        <v>27451.5</v>
      </c>
      <c r="H86" s="18">
        <v>27451.5</v>
      </c>
    </row>
    <row r="87" spans="1:24" s="64" customFormat="1" ht="13.5" customHeight="1" x14ac:dyDescent="0.2">
      <c r="A87" s="184">
        <v>44082</v>
      </c>
      <c r="B87" s="63"/>
      <c r="C87" s="742" t="s">
        <v>4862</v>
      </c>
      <c r="D87" s="50"/>
      <c r="E87" s="51">
        <v>640</v>
      </c>
      <c r="F87" s="13"/>
      <c r="G87" s="182">
        <v>26811.5</v>
      </c>
      <c r="H87" s="18">
        <v>26811.5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 spans="1:24" s="64" customFormat="1" ht="13.5" customHeight="1" x14ac:dyDescent="0.2">
      <c r="A88" s="184"/>
      <c r="B88" s="63"/>
      <c r="C88" s="742" t="s">
        <v>4863</v>
      </c>
      <c r="D88" s="50"/>
      <c r="E88" s="51">
        <v>1074.76</v>
      </c>
      <c r="F88" s="13"/>
      <c r="G88" s="182">
        <v>25736.74</v>
      </c>
      <c r="H88" s="18">
        <v>25736.74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 spans="1:24" s="64" customFormat="1" ht="13.5" customHeight="1" x14ac:dyDescent="0.2">
      <c r="A89" s="184"/>
      <c r="B89" s="63"/>
      <c r="C89" s="742" t="s">
        <v>4864</v>
      </c>
      <c r="D89" s="50"/>
      <c r="E89" s="51">
        <v>500</v>
      </c>
      <c r="F89" s="13"/>
      <c r="G89" s="182">
        <v>25236.74</v>
      </c>
      <c r="H89" s="18">
        <v>25236.74</v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 spans="1:24" ht="13.5" customHeight="1" x14ac:dyDescent="0.2">
      <c r="A90" s="180"/>
      <c r="B90" s="56"/>
      <c r="C90" s="742" t="s">
        <v>4865</v>
      </c>
      <c r="D90" s="11"/>
      <c r="E90" s="30"/>
      <c r="F90" s="12">
        <v>3500</v>
      </c>
      <c r="G90" s="182">
        <v>28736.74</v>
      </c>
      <c r="H90" s="18">
        <v>28736.74</v>
      </c>
    </row>
    <row r="91" spans="1:24" ht="13.5" customHeight="1" x14ac:dyDescent="0.2">
      <c r="A91" s="180"/>
      <c r="B91" s="56"/>
      <c r="C91" s="742" t="s">
        <v>4866</v>
      </c>
      <c r="D91" s="11"/>
      <c r="E91" s="30"/>
      <c r="F91" s="12">
        <v>1100</v>
      </c>
      <c r="G91" s="182">
        <v>29836.74</v>
      </c>
      <c r="H91" s="18">
        <v>29836.74</v>
      </c>
    </row>
    <row r="92" spans="1:24" ht="13.5" customHeight="1" x14ac:dyDescent="0.2">
      <c r="A92" s="180"/>
      <c r="B92" s="56"/>
      <c r="C92" s="742" t="s">
        <v>4867</v>
      </c>
      <c r="D92" s="11"/>
      <c r="E92" s="552">
        <v>3400</v>
      </c>
      <c r="F92" s="12"/>
      <c r="G92" s="182">
        <v>26436.74</v>
      </c>
      <c r="H92" s="18">
        <v>26436.74</v>
      </c>
    </row>
    <row r="93" spans="1:24" ht="13.5" customHeight="1" x14ac:dyDescent="0.2">
      <c r="A93" s="180">
        <v>44084</v>
      </c>
      <c r="B93" s="56"/>
      <c r="C93" s="742" t="s">
        <v>4868</v>
      </c>
      <c r="D93" s="11"/>
      <c r="E93" s="30"/>
      <c r="F93" s="12">
        <v>220</v>
      </c>
      <c r="G93" s="182">
        <v>26656.74</v>
      </c>
      <c r="H93" s="18">
        <v>26656.74</v>
      </c>
    </row>
    <row r="94" spans="1:24" ht="13.5" customHeight="1" x14ac:dyDescent="0.2">
      <c r="A94" s="180"/>
      <c r="B94" s="56"/>
      <c r="C94" s="742" t="s">
        <v>4869</v>
      </c>
      <c r="D94" s="50"/>
      <c r="E94" s="51"/>
      <c r="F94" s="13">
        <v>200</v>
      </c>
      <c r="G94" s="182">
        <v>26856.74</v>
      </c>
      <c r="H94" s="18">
        <v>26856.74</v>
      </c>
    </row>
    <row r="95" spans="1:24" ht="13.5" customHeight="1" x14ac:dyDescent="0.2">
      <c r="A95" s="180"/>
      <c r="B95" s="56"/>
      <c r="C95" s="742" t="s">
        <v>4870</v>
      </c>
      <c r="D95" s="50"/>
      <c r="E95" s="51"/>
      <c r="F95" s="13">
        <v>100</v>
      </c>
      <c r="G95" s="182">
        <v>26956.74</v>
      </c>
      <c r="H95" s="18">
        <v>26956.74</v>
      </c>
    </row>
    <row r="96" spans="1:24" ht="13.5" customHeight="1" x14ac:dyDescent="0.2">
      <c r="A96" s="180"/>
      <c r="B96" s="56"/>
      <c r="C96" s="742" t="s">
        <v>4871</v>
      </c>
      <c r="D96" s="50"/>
      <c r="E96" s="51"/>
      <c r="F96" s="13">
        <v>250</v>
      </c>
      <c r="G96" s="182">
        <v>27206.74</v>
      </c>
      <c r="H96" s="18">
        <v>27206.74</v>
      </c>
    </row>
    <row r="97" spans="1:24" ht="13.5" customHeight="1" x14ac:dyDescent="0.2">
      <c r="A97" s="180">
        <v>44085</v>
      </c>
      <c r="B97" s="56"/>
      <c r="C97" s="742" t="s">
        <v>4872</v>
      </c>
      <c r="D97" s="50"/>
      <c r="E97" s="51">
        <v>210</v>
      </c>
      <c r="F97" s="13"/>
      <c r="G97" s="182">
        <v>26996.74</v>
      </c>
      <c r="H97" s="18">
        <v>26996.74</v>
      </c>
    </row>
    <row r="98" spans="1:24" ht="13.5" customHeight="1" x14ac:dyDescent="0.2">
      <c r="A98" s="180"/>
      <c r="B98" s="56"/>
      <c r="C98" s="742" t="s">
        <v>4873</v>
      </c>
      <c r="D98" s="11"/>
      <c r="E98" s="30"/>
      <c r="F98" s="12">
        <v>1390</v>
      </c>
      <c r="G98" s="182">
        <v>28386.74</v>
      </c>
      <c r="H98" s="18">
        <v>28386.74</v>
      </c>
    </row>
    <row r="99" spans="1:24" s="64" customFormat="1" ht="13.5" customHeight="1" x14ac:dyDescent="0.2">
      <c r="A99" s="184"/>
      <c r="B99" s="63"/>
      <c r="C99" s="742" t="s">
        <v>4874</v>
      </c>
      <c r="D99" s="50"/>
      <c r="E99" s="51"/>
      <c r="F99" s="13">
        <v>1240</v>
      </c>
      <c r="G99" s="182">
        <v>29626.74</v>
      </c>
      <c r="H99" s="18">
        <v>29626.74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 spans="1:24" ht="13.5" customHeight="1" x14ac:dyDescent="0.2">
      <c r="A100" s="180"/>
      <c r="B100" s="56"/>
      <c r="C100" s="742" t="s">
        <v>4875</v>
      </c>
      <c r="D100" s="11"/>
      <c r="E100" s="30"/>
      <c r="F100" s="12">
        <v>1790</v>
      </c>
      <c r="G100" s="182">
        <v>31416.74</v>
      </c>
      <c r="H100" s="18">
        <v>31416.74</v>
      </c>
    </row>
    <row r="101" spans="1:24" ht="13.5" customHeight="1" x14ac:dyDescent="0.2">
      <c r="A101" s="180"/>
      <c r="B101" s="56"/>
      <c r="C101" s="743" t="s">
        <v>4876</v>
      </c>
      <c r="D101" s="11"/>
      <c r="E101" s="30">
        <v>600</v>
      </c>
      <c r="F101" s="12"/>
      <c r="G101" s="182">
        <v>30816.74</v>
      </c>
      <c r="H101" s="18">
        <v>30816.74</v>
      </c>
    </row>
    <row r="102" spans="1:24" ht="13.5" customHeight="1" x14ac:dyDescent="0.2">
      <c r="A102" s="180"/>
      <c r="B102" s="56"/>
      <c r="C102" s="743" t="s">
        <v>4877</v>
      </c>
      <c r="D102" s="11"/>
      <c r="E102" s="30">
        <v>950</v>
      </c>
      <c r="F102" s="12"/>
      <c r="G102" s="182">
        <v>29866.74</v>
      </c>
      <c r="H102" s="18">
        <v>29866.74</v>
      </c>
    </row>
    <row r="103" spans="1:24" s="64" customFormat="1" ht="13.5" customHeight="1" x14ac:dyDescent="0.2">
      <c r="A103" s="184">
        <v>44088</v>
      </c>
      <c r="B103" s="63"/>
      <c r="C103" s="742" t="s">
        <v>4878</v>
      </c>
      <c r="D103" s="50"/>
      <c r="E103" s="51">
        <v>2490</v>
      </c>
      <c r="F103" s="13"/>
      <c r="G103" s="182">
        <v>27376.74</v>
      </c>
      <c r="H103" s="18">
        <v>27376.74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 spans="1:24" s="64" customFormat="1" ht="13.5" customHeight="1" x14ac:dyDescent="0.2">
      <c r="A104" s="184">
        <v>44089</v>
      </c>
      <c r="B104" s="63"/>
      <c r="C104" s="742" t="s">
        <v>4879</v>
      </c>
      <c r="D104" s="50"/>
      <c r="E104" s="51"/>
      <c r="F104" s="13">
        <v>1740</v>
      </c>
      <c r="G104" s="182">
        <v>29116.74</v>
      </c>
      <c r="H104" s="18">
        <v>29116.74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 spans="1:24" s="64" customFormat="1" ht="13.5" customHeight="1" x14ac:dyDescent="0.2">
      <c r="A105" s="184">
        <v>44091</v>
      </c>
      <c r="B105" s="63"/>
      <c r="C105" s="742" t="s">
        <v>4880</v>
      </c>
      <c r="D105" s="50"/>
      <c r="E105" s="51"/>
      <c r="F105" s="13">
        <v>945</v>
      </c>
      <c r="G105" s="182">
        <v>30061.74</v>
      </c>
      <c r="H105" s="18">
        <v>30061.74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 spans="1:24" s="64" customFormat="1" ht="13.5" customHeight="1" x14ac:dyDescent="0.2">
      <c r="A106" s="184"/>
      <c r="B106" s="63"/>
      <c r="C106" s="138" t="s">
        <v>4881</v>
      </c>
      <c r="D106" s="50"/>
      <c r="E106" s="51">
        <v>577.4</v>
      </c>
      <c r="F106" s="13"/>
      <c r="G106" s="182">
        <v>29484.34</v>
      </c>
      <c r="H106" s="18">
        <v>29484.34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</row>
    <row r="107" spans="1:24" s="64" customFormat="1" ht="13.5" customHeight="1" x14ac:dyDescent="0.2">
      <c r="A107" s="184"/>
      <c r="B107" s="63"/>
      <c r="C107" s="34" t="s">
        <v>4882</v>
      </c>
      <c r="D107" s="50"/>
      <c r="E107" s="51">
        <v>135</v>
      </c>
      <c r="F107" s="13"/>
      <c r="G107" s="182">
        <v>29349.34</v>
      </c>
      <c r="H107" s="18">
        <v>29349.34</v>
      </c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</row>
    <row r="108" spans="1:24" s="64" customFormat="1" ht="13.5" customHeight="1" x14ac:dyDescent="0.2">
      <c r="A108" s="184"/>
      <c r="B108" s="63"/>
      <c r="C108" s="34" t="s">
        <v>4883</v>
      </c>
      <c r="D108" s="50"/>
      <c r="E108" s="51">
        <v>140.66999999999999</v>
      </c>
      <c r="F108" s="13"/>
      <c r="G108" s="182">
        <v>29208.670000000002</v>
      </c>
      <c r="H108" s="18">
        <v>29208.670000000002</v>
      </c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</row>
    <row r="109" spans="1:24" s="64" customFormat="1" ht="13.5" customHeight="1" x14ac:dyDescent="0.2">
      <c r="A109" s="184">
        <v>44092</v>
      </c>
      <c r="B109" s="63"/>
      <c r="C109" s="34" t="s">
        <v>4714</v>
      </c>
      <c r="D109" s="50"/>
      <c r="E109" s="51">
        <v>54.8</v>
      </c>
      <c r="F109" s="13"/>
      <c r="G109" s="182">
        <v>29153.870000000003</v>
      </c>
      <c r="H109" s="18">
        <v>29153.870000000003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</row>
    <row r="110" spans="1:24" s="64" customFormat="1" ht="13.5" customHeight="1" x14ac:dyDescent="0.2">
      <c r="A110" s="184"/>
      <c r="B110" s="63"/>
      <c r="C110" s="32" t="s">
        <v>4884</v>
      </c>
      <c r="D110" s="50"/>
      <c r="E110" s="51">
        <v>183.25</v>
      </c>
      <c r="F110" s="13"/>
      <c r="G110" s="182">
        <v>28970.620000000003</v>
      </c>
      <c r="H110" s="18">
        <v>28970.620000000003</v>
      </c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</row>
    <row r="111" spans="1:24" s="64" customFormat="1" ht="13.5" customHeight="1" x14ac:dyDescent="0.2">
      <c r="A111" s="184"/>
      <c r="B111" s="63"/>
      <c r="C111" s="32" t="s">
        <v>4885</v>
      </c>
      <c r="D111" s="50"/>
      <c r="E111" s="51">
        <v>379.03</v>
      </c>
      <c r="F111" s="13"/>
      <c r="G111" s="182">
        <v>28591.590000000004</v>
      </c>
      <c r="H111" s="18">
        <v>28591.590000000004</v>
      </c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</row>
    <row r="112" spans="1:24" s="64" customFormat="1" ht="13.5" customHeight="1" x14ac:dyDescent="0.2">
      <c r="A112" s="184"/>
      <c r="B112" s="63"/>
      <c r="C112" s="138" t="s">
        <v>4717</v>
      </c>
      <c r="D112" s="50"/>
      <c r="E112" s="51">
        <v>41.59</v>
      </c>
      <c r="F112" s="13"/>
      <c r="G112" s="182">
        <v>28550.000000000004</v>
      </c>
      <c r="H112" s="18">
        <v>28550.000000000004</v>
      </c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</row>
    <row r="113" spans="1:24" s="64" customFormat="1" ht="13.5" customHeight="1" x14ac:dyDescent="0.2">
      <c r="A113" s="184">
        <v>44097</v>
      </c>
      <c r="B113" s="63"/>
      <c r="C113" s="742" t="s">
        <v>4886</v>
      </c>
      <c r="D113" s="50"/>
      <c r="E113" s="51"/>
      <c r="F113" s="13">
        <v>1008</v>
      </c>
      <c r="G113" s="182">
        <v>29558.000000000004</v>
      </c>
      <c r="H113" s="18">
        <v>29558.000000000004</v>
      </c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 spans="1:24" s="64" customFormat="1" ht="13.5" customHeight="1" x14ac:dyDescent="0.2">
      <c r="A114" s="184">
        <v>44100</v>
      </c>
      <c r="B114" s="63"/>
      <c r="C114" s="32" t="s">
        <v>4887</v>
      </c>
      <c r="D114" s="50"/>
      <c r="E114" s="51"/>
      <c r="F114" s="13">
        <v>2000</v>
      </c>
      <c r="G114" s="182">
        <v>31558.000000000004</v>
      </c>
      <c r="H114" s="18">
        <v>31558.000000000004</v>
      </c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 spans="1:24" s="64" customFormat="1" ht="13.5" customHeight="1" x14ac:dyDescent="0.2">
      <c r="A115" s="184"/>
      <c r="B115" s="63"/>
      <c r="C115" s="32" t="s">
        <v>2648</v>
      </c>
      <c r="D115" s="50"/>
      <c r="E115" s="51">
        <v>1000</v>
      </c>
      <c r="F115" s="13"/>
      <c r="G115" s="182">
        <v>30558.000000000004</v>
      </c>
      <c r="H115" s="18">
        <v>30558.000000000004</v>
      </c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</row>
    <row r="116" spans="1:24" s="64" customFormat="1" ht="13.5" customHeight="1" x14ac:dyDescent="0.2">
      <c r="A116" s="184"/>
      <c r="B116" s="63"/>
      <c r="C116" s="32" t="s">
        <v>4888</v>
      </c>
      <c r="D116" s="50"/>
      <c r="E116" s="51"/>
      <c r="F116" s="13">
        <v>1464</v>
      </c>
      <c r="G116" s="182">
        <v>32022.000000000004</v>
      </c>
      <c r="H116" s="18">
        <v>32022.000000000004</v>
      </c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</row>
    <row r="117" spans="1:24" s="64" customFormat="1" ht="13.5" customHeight="1" x14ac:dyDescent="0.2">
      <c r="A117" s="184">
        <v>44104</v>
      </c>
      <c r="B117" s="63"/>
      <c r="C117" s="32" t="s">
        <v>4889</v>
      </c>
      <c r="D117" s="50"/>
      <c r="E117" s="51">
        <v>1500</v>
      </c>
      <c r="F117" s="13"/>
      <c r="G117" s="182">
        <v>30522.000000000004</v>
      </c>
      <c r="H117" s="18">
        <v>30522.000000000004</v>
      </c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</row>
    <row r="118" spans="1:24" s="64" customFormat="1" ht="13.5" customHeight="1" x14ac:dyDescent="0.2">
      <c r="A118" s="184"/>
      <c r="B118" s="63"/>
      <c r="C118" s="32" t="s">
        <v>4890</v>
      </c>
      <c r="D118" s="50"/>
      <c r="E118" s="51">
        <v>22</v>
      </c>
      <c r="F118" s="13"/>
      <c r="G118" s="205">
        <v>30500.000000000004</v>
      </c>
      <c r="H118" s="18">
        <v>30500.000000000004</v>
      </c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</row>
    <row r="119" spans="1:24" ht="13.5" customHeight="1" thickBot="1" x14ac:dyDescent="0.25">
      <c r="A119" s="184"/>
      <c r="B119" s="56"/>
      <c r="C119" s="56"/>
      <c r="D119" s="11"/>
      <c r="E119" s="653">
        <f>-SUM(E83:E91,E97:E118)</f>
        <v>-17222</v>
      </c>
      <c r="F119" s="647">
        <f>SUM(F84:F118)</f>
        <v>19122</v>
      </c>
      <c r="G119" s="182"/>
      <c r="H119" s="18">
        <v>30500.000000000004</v>
      </c>
    </row>
    <row r="120" spans="1:24" ht="13.5" customHeight="1" thickBot="1" x14ac:dyDescent="0.25">
      <c r="A120" s="2" t="s">
        <v>2</v>
      </c>
      <c r="B120" s="3"/>
      <c r="C120" s="3" t="s">
        <v>3</v>
      </c>
      <c r="D120" s="3"/>
      <c r="E120" s="3"/>
      <c r="F120" s="3"/>
      <c r="G120" s="5" t="s">
        <v>7</v>
      </c>
    </row>
    <row r="121" spans="1:24" ht="13.5" customHeight="1" x14ac:dyDescent="0.2">
      <c r="A121" s="8">
        <v>44075</v>
      </c>
      <c r="B121" s="70"/>
      <c r="C121" s="10" t="s">
        <v>537</v>
      </c>
      <c r="D121" s="46"/>
      <c r="E121" s="67"/>
      <c r="F121" s="67"/>
      <c r="G121" s="205">
        <v>1029.1099999999969</v>
      </c>
      <c r="H121" s="18">
        <v>1029.1099999999969</v>
      </c>
    </row>
    <row r="122" spans="1:24" ht="13.5" customHeight="1" x14ac:dyDescent="0.2">
      <c r="A122" s="171">
        <v>44078</v>
      </c>
      <c r="B122" s="46"/>
      <c r="C122" s="34" t="s">
        <v>4891</v>
      </c>
      <c r="D122" s="46"/>
      <c r="E122" s="28">
        <v>-73.650000000000006</v>
      </c>
      <c r="F122" s="69"/>
      <c r="G122" s="182">
        <v>955.45999999999697</v>
      </c>
    </row>
    <row r="123" spans="1:24" ht="13.5" customHeight="1" x14ac:dyDescent="0.2">
      <c r="A123" s="171">
        <v>44082</v>
      </c>
      <c r="B123" s="46"/>
      <c r="C123" s="36" t="s">
        <v>4867</v>
      </c>
      <c r="D123" s="11"/>
      <c r="E123" s="30"/>
      <c r="F123" s="601">
        <v>3400</v>
      </c>
      <c r="G123" s="182">
        <v>4355.4599999999973</v>
      </c>
    </row>
    <row r="124" spans="1:24" ht="13.5" customHeight="1" x14ac:dyDescent="0.2">
      <c r="A124" s="171">
        <v>44083</v>
      </c>
      <c r="B124" s="46"/>
      <c r="C124" s="36" t="s">
        <v>4808</v>
      </c>
      <c r="D124" s="46"/>
      <c r="E124" s="69"/>
      <c r="F124" s="322">
        <v>180</v>
      </c>
      <c r="G124" s="182">
        <v>4535.4599999999973</v>
      </c>
    </row>
    <row r="125" spans="1:24" ht="13.5" customHeight="1" x14ac:dyDescent="0.2">
      <c r="A125" s="180">
        <v>44084</v>
      </c>
      <c r="B125" s="46"/>
      <c r="C125" s="34" t="s">
        <v>68</v>
      </c>
      <c r="D125" s="46"/>
      <c r="E125" s="69">
        <v>-119</v>
      </c>
      <c r="F125" s="69"/>
      <c r="G125" s="182">
        <v>4416.4599999999973</v>
      </c>
    </row>
    <row r="126" spans="1:24" ht="13.5" customHeight="1" x14ac:dyDescent="0.2">
      <c r="A126" s="180"/>
      <c r="B126" s="46"/>
      <c r="C126" s="32" t="s">
        <v>4815</v>
      </c>
      <c r="D126" s="46"/>
      <c r="E126" s="61"/>
      <c r="F126" s="600">
        <v>475</v>
      </c>
      <c r="G126" s="182">
        <v>4891.4599999999973</v>
      </c>
    </row>
    <row r="127" spans="1:24" ht="13.5" customHeight="1" x14ac:dyDescent="0.2">
      <c r="A127" s="180">
        <v>44085</v>
      </c>
      <c r="B127" s="46"/>
      <c r="C127" s="34" t="s">
        <v>62</v>
      </c>
      <c r="D127" s="46"/>
      <c r="E127" s="69">
        <v>-492.53</v>
      </c>
      <c r="F127" s="69"/>
      <c r="G127" s="182">
        <v>4398.9299999999976</v>
      </c>
    </row>
    <row r="128" spans="1:24" ht="13.5" customHeight="1" x14ac:dyDescent="0.2">
      <c r="A128" s="180">
        <v>44088</v>
      </c>
      <c r="B128" s="9"/>
      <c r="C128" s="34" t="s">
        <v>87</v>
      </c>
      <c r="D128" s="46"/>
      <c r="E128" s="61">
        <v>-56.95</v>
      </c>
      <c r="F128" s="61"/>
      <c r="G128" s="182">
        <v>4341.9799999999977</v>
      </c>
    </row>
    <row r="129" spans="1:7" ht="13.5" customHeight="1" x14ac:dyDescent="0.2">
      <c r="A129" s="746" t="s">
        <v>4892</v>
      </c>
      <c r="B129" s="747"/>
      <c r="C129" s="32" t="s">
        <v>4826</v>
      </c>
      <c r="D129" s="748" t="s">
        <v>4893</v>
      </c>
      <c r="E129" s="12"/>
      <c r="F129" s="168">
        <v>200</v>
      </c>
      <c r="G129" s="182">
        <v>4541.9799999999977</v>
      </c>
    </row>
    <row r="130" spans="1:7" ht="13.5" customHeight="1" x14ac:dyDescent="0.2">
      <c r="A130" s="746"/>
      <c r="B130" s="747"/>
      <c r="C130" s="34" t="s">
        <v>673</v>
      </c>
      <c r="D130" s="748" t="s">
        <v>488</v>
      </c>
      <c r="E130" s="12">
        <v>-99.98</v>
      </c>
      <c r="F130" s="12"/>
      <c r="G130" s="182">
        <v>4441.9999999999982</v>
      </c>
    </row>
    <row r="131" spans="1:7" ht="13.5" customHeight="1" x14ac:dyDescent="0.2">
      <c r="A131" s="746"/>
      <c r="B131" s="747"/>
      <c r="C131" s="33" t="s">
        <v>81</v>
      </c>
      <c r="D131" s="748" t="s">
        <v>488</v>
      </c>
      <c r="E131" s="12">
        <v>-52.35</v>
      </c>
      <c r="F131" s="12"/>
      <c r="G131" s="182">
        <v>4389.6499999999978</v>
      </c>
    </row>
    <row r="132" spans="1:7" ht="13.5" customHeight="1" x14ac:dyDescent="0.2">
      <c r="A132" s="746" t="s">
        <v>4894</v>
      </c>
      <c r="B132" s="747"/>
      <c r="C132" s="257" t="s">
        <v>4895</v>
      </c>
      <c r="D132" s="748" t="s">
        <v>4896</v>
      </c>
      <c r="E132" s="12">
        <v>-47.72</v>
      </c>
      <c r="F132" s="12"/>
      <c r="G132" s="182">
        <v>4341.9299999999976</v>
      </c>
    </row>
    <row r="133" spans="1:7" ht="13.5" customHeight="1" x14ac:dyDescent="0.2">
      <c r="A133" s="746"/>
      <c r="B133" s="748"/>
      <c r="C133" s="34" t="s">
        <v>18</v>
      </c>
      <c r="D133" s="748" t="s">
        <v>4897</v>
      </c>
      <c r="E133" s="43">
        <v>-452.19</v>
      </c>
      <c r="F133" s="43"/>
      <c r="G133" s="182">
        <v>3889.7399999999975</v>
      </c>
    </row>
    <row r="134" spans="1:7" ht="13.5" customHeight="1" x14ac:dyDescent="0.2">
      <c r="A134" s="746"/>
      <c r="B134" s="748"/>
      <c r="C134" s="257" t="s">
        <v>4898</v>
      </c>
      <c r="D134" s="748" t="s">
        <v>488</v>
      </c>
      <c r="E134" s="43">
        <v>-46.96</v>
      </c>
      <c r="F134" s="43"/>
      <c r="G134" s="182">
        <v>3842.7799999999975</v>
      </c>
    </row>
    <row r="135" spans="1:7" ht="13.5" customHeight="1" x14ac:dyDescent="0.2">
      <c r="A135" s="746"/>
      <c r="B135" s="748"/>
      <c r="C135" s="257" t="s">
        <v>4899</v>
      </c>
      <c r="D135" s="748" t="s">
        <v>488</v>
      </c>
      <c r="E135" s="43">
        <v>-48.26</v>
      </c>
      <c r="F135" s="43"/>
      <c r="G135" s="182">
        <v>3794.5199999999973</v>
      </c>
    </row>
    <row r="136" spans="1:7" ht="13.5" customHeight="1" x14ac:dyDescent="0.2">
      <c r="A136" s="171"/>
      <c r="B136" s="46"/>
      <c r="C136" s="36" t="s">
        <v>20</v>
      </c>
      <c r="D136" s="46"/>
      <c r="E136" s="69"/>
      <c r="F136" s="69">
        <v>0.06</v>
      </c>
      <c r="G136" s="182">
        <v>3794.5799999999972</v>
      </c>
    </row>
    <row r="137" spans="1:7" ht="13.5" customHeight="1" x14ac:dyDescent="0.2">
      <c r="A137" s="171"/>
      <c r="B137" s="46"/>
      <c r="C137" s="34" t="s">
        <v>3725</v>
      </c>
      <c r="D137" s="46"/>
      <c r="E137" s="69"/>
      <c r="F137" s="69">
        <v>280</v>
      </c>
      <c r="G137" s="182">
        <v>4074.5799999999972</v>
      </c>
    </row>
    <row r="138" spans="1:7" ht="13.5" customHeight="1" x14ac:dyDescent="0.2">
      <c r="A138" s="171"/>
      <c r="B138" s="46"/>
      <c r="C138" s="34" t="s">
        <v>134</v>
      </c>
      <c r="D138" s="46"/>
      <c r="E138" s="69">
        <v>-119</v>
      </c>
      <c r="F138" s="69"/>
      <c r="G138" s="182">
        <v>3955.5799999999972</v>
      </c>
    </row>
    <row r="139" spans="1:7" ht="13.5" customHeight="1" x14ac:dyDescent="0.2">
      <c r="A139" s="171" t="s">
        <v>4900</v>
      </c>
      <c r="B139" s="46"/>
      <c r="C139" s="33" t="s">
        <v>736</v>
      </c>
      <c r="D139" s="46" t="s">
        <v>488</v>
      </c>
      <c r="E139" s="69">
        <v>-44.25</v>
      </c>
      <c r="F139" s="69"/>
      <c r="G139" s="182">
        <v>3911.3299999999972</v>
      </c>
    </row>
    <row r="140" spans="1:7" ht="13.5" customHeight="1" x14ac:dyDescent="0.2">
      <c r="A140" s="171"/>
      <c r="B140" s="46"/>
      <c r="C140" s="36" t="s">
        <v>129</v>
      </c>
      <c r="D140" s="46" t="s">
        <v>488</v>
      </c>
      <c r="E140" s="69">
        <v>-47.41</v>
      </c>
      <c r="F140" s="69"/>
      <c r="G140" s="182">
        <v>3863.9199999999973</v>
      </c>
    </row>
    <row r="141" spans="1:7" ht="13.5" customHeight="1" x14ac:dyDescent="0.2">
      <c r="A141" s="171"/>
      <c r="B141" s="46"/>
      <c r="C141" s="34" t="s">
        <v>4901</v>
      </c>
      <c r="D141" s="46" t="s">
        <v>488</v>
      </c>
      <c r="E141" s="69">
        <v>-87.02</v>
      </c>
      <c r="F141" s="69"/>
      <c r="G141" s="182">
        <v>3776.8999999999974</v>
      </c>
    </row>
    <row r="142" spans="1:7" ht="13.5" customHeight="1" x14ac:dyDescent="0.2">
      <c r="A142" s="171"/>
      <c r="B142" s="46"/>
      <c r="C142" s="36" t="s">
        <v>130</v>
      </c>
      <c r="D142" s="46" t="s">
        <v>488</v>
      </c>
      <c r="E142" s="69">
        <v>-100.3</v>
      </c>
      <c r="F142" s="69"/>
      <c r="G142" s="182">
        <v>3676.5999999999972</v>
      </c>
    </row>
    <row r="143" spans="1:7" ht="13.5" customHeight="1" x14ac:dyDescent="0.2">
      <c r="A143" s="171" t="s">
        <v>4902</v>
      </c>
      <c r="B143" s="46"/>
      <c r="C143" s="34" t="s">
        <v>136</v>
      </c>
      <c r="D143" s="46" t="s">
        <v>488</v>
      </c>
      <c r="E143" s="69">
        <v>-45.9</v>
      </c>
      <c r="F143" s="69"/>
      <c r="G143" s="182">
        <v>3630.6999999999971</v>
      </c>
    </row>
    <row r="144" spans="1:7" ht="13.5" customHeight="1" x14ac:dyDescent="0.2">
      <c r="A144" s="171" t="s">
        <v>4903</v>
      </c>
      <c r="B144" s="46"/>
      <c r="C144" s="34" t="s">
        <v>4904</v>
      </c>
      <c r="D144" s="46" t="s">
        <v>488</v>
      </c>
      <c r="E144" s="69">
        <v>-1447</v>
      </c>
      <c r="F144" s="69"/>
      <c r="G144" s="182">
        <v>2183.6999999999971</v>
      </c>
    </row>
    <row r="145" spans="1:8" ht="13.5" customHeight="1" x14ac:dyDescent="0.2">
      <c r="A145" s="171"/>
      <c r="B145" s="46"/>
      <c r="C145" s="36" t="s">
        <v>20</v>
      </c>
      <c r="D145" s="46"/>
      <c r="E145" s="69"/>
      <c r="F145" s="69">
        <v>0.03</v>
      </c>
      <c r="G145" s="182">
        <v>2183.7299999999973</v>
      </c>
    </row>
    <row r="146" spans="1:8" ht="13.5" customHeight="1" x14ac:dyDescent="0.2">
      <c r="A146" s="171">
        <v>44099</v>
      </c>
      <c r="B146" s="46"/>
      <c r="C146" s="34" t="s">
        <v>86</v>
      </c>
      <c r="D146" s="46"/>
      <c r="E146" s="28">
        <v>-10.65</v>
      </c>
      <c r="F146" s="69"/>
      <c r="G146" s="205">
        <v>2173.0799999999972</v>
      </c>
    </row>
    <row r="147" spans="1:8" ht="13.5" customHeight="1" thickBot="1" x14ac:dyDescent="0.25">
      <c r="A147" s="171"/>
      <c r="B147" s="46"/>
      <c r="C147" s="34"/>
      <c r="D147" s="46"/>
      <c r="E147" s="654">
        <f>SUM(E122:E146)</f>
        <v>-3391.1200000000003</v>
      </c>
      <c r="F147" s="654">
        <f>SUM(F136:F146)</f>
        <v>280.08999999999997</v>
      </c>
      <c r="G147" s="182"/>
    </row>
    <row r="148" spans="1:8" ht="13.5" customHeight="1" thickBot="1" x14ac:dyDescent="0.25">
      <c r="A148" s="2" t="s">
        <v>2</v>
      </c>
      <c r="B148" s="3"/>
      <c r="C148" s="3" t="s">
        <v>481</v>
      </c>
      <c r="D148" s="3"/>
      <c r="E148" s="3"/>
      <c r="F148" s="3"/>
      <c r="G148" s="5" t="s">
        <v>7</v>
      </c>
    </row>
    <row r="149" spans="1:8" ht="13.5" customHeight="1" x14ac:dyDescent="0.2">
      <c r="A149" s="8">
        <v>44075</v>
      </c>
      <c r="B149" s="70"/>
      <c r="C149" s="10" t="s">
        <v>537</v>
      </c>
      <c r="D149" s="602"/>
      <c r="E149" s="61"/>
      <c r="F149" s="61"/>
      <c r="G149" s="205">
        <v>16120.93</v>
      </c>
      <c r="H149" s="18">
        <v>16120.93</v>
      </c>
    </row>
    <row r="150" spans="1:8" ht="13.5" customHeight="1" x14ac:dyDescent="0.2">
      <c r="A150" s="171" t="s">
        <v>4905</v>
      </c>
      <c r="B150" s="46" t="s">
        <v>483</v>
      </c>
      <c r="C150" s="34" t="s">
        <v>199</v>
      </c>
      <c r="D150" s="553" t="s">
        <v>488</v>
      </c>
      <c r="E150" s="557">
        <v>-168.09</v>
      </c>
      <c r="F150" s="69"/>
      <c r="G150" s="182">
        <v>15952.84</v>
      </c>
      <c r="H150" s="18">
        <v>15952.84</v>
      </c>
    </row>
    <row r="151" spans="1:8" ht="13.5" customHeight="1" x14ac:dyDescent="0.2">
      <c r="A151" s="171" t="s">
        <v>4906</v>
      </c>
      <c r="B151" s="46" t="s">
        <v>483</v>
      </c>
      <c r="C151" s="34" t="s">
        <v>382</v>
      </c>
      <c r="D151" s="553" t="s">
        <v>488</v>
      </c>
      <c r="E151" s="557">
        <v>-248.44</v>
      </c>
      <c r="F151" s="69"/>
      <c r="G151" s="182">
        <v>15704.4</v>
      </c>
      <c r="H151" s="18">
        <v>15704.4</v>
      </c>
    </row>
    <row r="152" spans="1:8" ht="13.5" customHeight="1" x14ac:dyDescent="0.2">
      <c r="A152" s="171" t="s">
        <v>4907</v>
      </c>
      <c r="B152" s="46" t="s">
        <v>483</v>
      </c>
      <c r="C152" s="34" t="s">
        <v>4908</v>
      </c>
      <c r="D152" s="553" t="s">
        <v>4909</v>
      </c>
      <c r="E152" s="557">
        <v>-280.89999999999998</v>
      </c>
      <c r="F152" s="69"/>
      <c r="G152" s="182" t="s">
        <v>483</v>
      </c>
      <c r="H152" s="18">
        <v>15423.5</v>
      </c>
    </row>
    <row r="153" spans="1:8" ht="13.5" customHeight="1" x14ac:dyDescent="0.2">
      <c r="A153" s="171"/>
      <c r="B153" s="46" t="s">
        <v>483</v>
      </c>
      <c r="C153" s="34" t="s">
        <v>4910</v>
      </c>
      <c r="D153" s="553" t="s">
        <v>488</v>
      </c>
      <c r="E153" s="557">
        <v>-185.38</v>
      </c>
      <c r="F153" s="69"/>
      <c r="G153" s="182"/>
      <c r="H153" s="18">
        <v>15238.12</v>
      </c>
    </row>
    <row r="154" spans="1:8" ht="13.5" customHeight="1" x14ac:dyDescent="0.2">
      <c r="A154" s="171"/>
      <c r="B154" s="46" t="s">
        <v>483</v>
      </c>
      <c r="C154" s="34" t="s">
        <v>4747</v>
      </c>
      <c r="D154" s="553" t="s">
        <v>4911</v>
      </c>
      <c r="E154" s="557">
        <v>-661.17</v>
      </c>
      <c r="F154" s="69" t="s">
        <v>483</v>
      </c>
      <c r="G154" s="182"/>
      <c r="H154" s="18">
        <v>14576.95</v>
      </c>
    </row>
    <row r="155" spans="1:8" ht="13.5" customHeight="1" x14ac:dyDescent="0.2">
      <c r="A155" s="171"/>
      <c r="B155" s="46" t="s">
        <v>483</v>
      </c>
      <c r="C155" s="34" t="s">
        <v>4912</v>
      </c>
      <c r="D155" s="553" t="s">
        <v>4913</v>
      </c>
      <c r="E155" s="557">
        <v>-1013.89</v>
      </c>
      <c r="F155" s="69"/>
      <c r="G155" s="182">
        <v>13563.06</v>
      </c>
      <c r="H155" s="18">
        <v>13563.060000000001</v>
      </c>
    </row>
    <row r="156" spans="1:8" ht="13.5" customHeight="1" x14ac:dyDescent="0.2">
      <c r="A156" s="171" t="s">
        <v>4914</v>
      </c>
      <c r="B156" s="46" t="s">
        <v>483</v>
      </c>
      <c r="C156" s="34" t="s">
        <v>180</v>
      </c>
      <c r="D156" s="11" t="s">
        <v>488</v>
      </c>
      <c r="E156" s="557">
        <v>-120.24</v>
      </c>
      <c r="F156" s="69"/>
      <c r="G156" s="182">
        <v>13442.82</v>
      </c>
      <c r="H156" s="18">
        <v>13442.820000000002</v>
      </c>
    </row>
    <row r="157" spans="1:8" ht="13.5" customHeight="1" x14ac:dyDescent="0.2">
      <c r="A157" s="171" t="s">
        <v>4915</v>
      </c>
      <c r="B157" s="46" t="s">
        <v>483</v>
      </c>
      <c r="C157" s="34" t="s">
        <v>4619</v>
      </c>
      <c r="D157" s="11" t="s">
        <v>488</v>
      </c>
      <c r="E157" s="557">
        <v>-600</v>
      </c>
      <c r="F157" s="69"/>
      <c r="G157" s="182" t="s">
        <v>483</v>
      </c>
      <c r="H157" s="18">
        <v>12842.820000000002</v>
      </c>
    </row>
    <row r="158" spans="1:8" ht="13.5" customHeight="1" x14ac:dyDescent="0.2">
      <c r="A158" s="171"/>
      <c r="B158" s="46" t="s">
        <v>483</v>
      </c>
      <c r="C158" s="34" t="s">
        <v>4620</v>
      </c>
      <c r="D158" s="11" t="s">
        <v>488</v>
      </c>
      <c r="E158" s="557">
        <v>-600</v>
      </c>
      <c r="F158" s="69"/>
      <c r="G158" s="182">
        <v>12242.82</v>
      </c>
      <c r="H158" s="18">
        <v>12242.820000000002</v>
      </c>
    </row>
    <row r="159" spans="1:8" ht="13.5" customHeight="1" x14ac:dyDescent="0.2">
      <c r="A159" s="171" t="s">
        <v>4916</v>
      </c>
      <c r="B159" s="46" t="s">
        <v>483</v>
      </c>
      <c r="C159" s="34" t="s">
        <v>4917</v>
      </c>
      <c r="D159" s="11" t="s">
        <v>4918</v>
      </c>
      <c r="E159" s="557">
        <v>-126.2</v>
      </c>
      <c r="F159" s="69"/>
      <c r="G159" s="182" t="s">
        <v>483</v>
      </c>
      <c r="H159" s="18">
        <v>12116.62</v>
      </c>
    </row>
    <row r="160" spans="1:8" ht="13.5" customHeight="1" x14ac:dyDescent="0.2">
      <c r="A160" s="171"/>
      <c r="B160" s="46" t="s">
        <v>483</v>
      </c>
      <c r="C160" s="34" t="s">
        <v>4919</v>
      </c>
      <c r="D160" s="11" t="s">
        <v>488</v>
      </c>
      <c r="E160" s="69"/>
      <c r="F160" s="557">
        <v>4980.5</v>
      </c>
      <c r="G160" s="182">
        <v>17097.12</v>
      </c>
      <c r="H160" s="18">
        <v>17097.120000000003</v>
      </c>
    </row>
    <row r="161" spans="1:9" ht="13.5" customHeight="1" x14ac:dyDescent="0.2">
      <c r="A161" s="171" t="s">
        <v>4920</v>
      </c>
      <c r="B161" s="46" t="s">
        <v>483</v>
      </c>
      <c r="C161" s="34" t="s">
        <v>4921</v>
      </c>
      <c r="D161" s="11" t="s">
        <v>488</v>
      </c>
      <c r="E161" s="322">
        <v>-90.7</v>
      </c>
      <c r="F161" s="69"/>
      <c r="G161" s="182">
        <v>17006.419999999998</v>
      </c>
      <c r="H161" s="18">
        <v>17006.420000000002</v>
      </c>
      <c r="I161" t="s">
        <v>4922</v>
      </c>
    </row>
    <row r="162" spans="1:9" ht="13.5" customHeight="1" x14ac:dyDescent="0.2">
      <c r="A162" s="171" t="s">
        <v>4923</v>
      </c>
      <c r="B162" s="46" t="s">
        <v>483</v>
      </c>
      <c r="C162" s="34" t="s">
        <v>4924</v>
      </c>
      <c r="D162" s="11" t="s">
        <v>4925</v>
      </c>
      <c r="E162" s="557">
        <v>-99.8</v>
      </c>
      <c r="F162" s="69" t="s">
        <v>483</v>
      </c>
      <c r="G162" s="182"/>
      <c r="H162" s="18">
        <v>16906.620000000003</v>
      </c>
    </row>
    <row r="163" spans="1:9" ht="13.5" customHeight="1" x14ac:dyDescent="0.2">
      <c r="A163" s="171"/>
      <c r="B163" s="46" t="s">
        <v>483</v>
      </c>
      <c r="C163" s="34" t="s">
        <v>4926</v>
      </c>
      <c r="D163" s="11" t="s">
        <v>4927</v>
      </c>
      <c r="E163" s="557">
        <v>-414.5</v>
      </c>
      <c r="F163" s="69" t="s">
        <v>483</v>
      </c>
      <c r="G163" s="182"/>
      <c r="H163" s="18">
        <v>16492.120000000003</v>
      </c>
    </row>
    <row r="164" spans="1:9" ht="13.5" customHeight="1" x14ac:dyDescent="0.2">
      <c r="A164" s="171"/>
      <c r="B164" s="46" t="s">
        <v>483</v>
      </c>
      <c r="C164" s="34" t="s">
        <v>4928</v>
      </c>
      <c r="D164" s="11" t="s">
        <v>488</v>
      </c>
      <c r="E164" s="557">
        <v>-59.99</v>
      </c>
      <c r="F164" s="69" t="s">
        <v>483</v>
      </c>
      <c r="G164" s="182"/>
      <c r="H164" s="18">
        <v>16432.13</v>
      </c>
    </row>
    <row r="165" spans="1:9" ht="13.5" customHeight="1" x14ac:dyDescent="0.2">
      <c r="A165" s="171"/>
      <c r="B165" s="46" t="s">
        <v>483</v>
      </c>
      <c r="C165" s="34" t="s">
        <v>4929</v>
      </c>
      <c r="D165" s="11" t="s">
        <v>488</v>
      </c>
      <c r="E165" s="557">
        <v>-398</v>
      </c>
      <c r="F165" s="69"/>
      <c r="G165" s="182">
        <v>16034.13</v>
      </c>
      <c r="H165" s="18">
        <v>16034.130000000001</v>
      </c>
    </row>
    <row r="166" spans="1:9" ht="13.5" customHeight="1" x14ac:dyDescent="0.2">
      <c r="A166" s="171">
        <v>44089</v>
      </c>
      <c r="B166" s="46"/>
      <c r="C166" s="34" t="s">
        <v>4204</v>
      </c>
      <c r="D166" s="11">
        <v>21603</v>
      </c>
      <c r="E166" s="557">
        <v>-789</v>
      </c>
      <c r="F166" s="69"/>
      <c r="G166" s="182"/>
      <c r="H166" s="18">
        <v>15245.130000000001</v>
      </c>
    </row>
    <row r="167" spans="1:9" ht="13.5" customHeight="1" x14ac:dyDescent="0.2">
      <c r="A167" s="171"/>
      <c r="B167" s="46"/>
      <c r="C167" s="34" t="s">
        <v>4930</v>
      </c>
      <c r="D167" s="11">
        <v>572</v>
      </c>
      <c r="E167" s="557">
        <v>-73.7</v>
      </c>
      <c r="F167" s="69"/>
      <c r="G167" s="182">
        <v>15171.43</v>
      </c>
      <c r="H167" s="18">
        <v>15171.43</v>
      </c>
    </row>
    <row r="168" spans="1:9" ht="13.5" customHeight="1" x14ac:dyDescent="0.2">
      <c r="A168" s="171" t="s">
        <v>4931</v>
      </c>
      <c r="B168" s="46" t="s">
        <v>483</v>
      </c>
      <c r="C168" s="34" t="s">
        <v>4631</v>
      </c>
      <c r="D168" s="11" t="s">
        <v>4932</v>
      </c>
      <c r="E168" s="557">
        <v>-1307.05</v>
      </c>
      <c r="F168" s="69"/>
      <c r="G168" s="182" t="s">
        <v>483</v>
      </c>
      <c r="H168" s="18">
        <v>13864.380000000001</v>
      </c>
    </row>
    <row r="169" spans="1:9" ht="13.5" customHeight="1" x14ac:dyDescent="0.2">
      <c r="A169" s="171"/>
      <c r="B169" s="46" t="s">
        <v>591</v>
      </c>
      <c r="C169" s="36" t="s">
        <v>4834</v>
      </c>
      <c r="D169" s="11" t="s">
        <v>4933</v>
      </c>
      <c r="E169" s="557"/>
      <c r="F169" s="322">
        <v>5792.5</v>
      </c>
      <c r="G169" s="182" t="s">
        <v>483</v>
      </c>
      <c r="H169" s="18">
        <v>19656.88</v>
      </c>
    </row>
    <row r="170" spans="1:9" ht="13.5" customHeight="1" x14ac:dyDescent="0.2">
      <c r="A170" s="171"/>
      <c r="B170" s="46" t="s">
        <v>483</v>
      </c>
      <c r="C170" s="34" t="s">
        <v>4934</v>
      </c>
      <c r="D170" s="11" t="s">
        <v>4935</v>
      </c>
      <c r="E170" s="557">
        <v>-836</v>
      </c>
      <c r="F170" s="69"/>
      <c r="G170" s="182" t="s">
        <v>483</v>
      </c>
      <c r="H170" s="18">
        <v>18820.88</v>
      </c>
    </row>
    <row r="171" spans="1:9" ht="13.5" customHeight="1" x14ac:dyDescent="0.2">
      <c r="A171" s="171"/>
      <c r="B171" s="46" t="s">
        <v>483</v>
      </c>
      <c r="C171" s="34" t="s">
        <v>4636</v>
      </c>
      <c r="D171" s="11" t="s">
        <v>4936</v>
      </c>
      <c r="E171" s="557">
        <v>-433.84</v>
      </c>
      <c r="F171" s="69"/>
      <c r="G171" s="182">
        <v>18387.04</v>
      </c>
      <c r="H171" s="18">
        <v>18387.04</v>
      </c>
    </row>
    <row r="172" spans="1:9" ht="13.5" customHeight="1" x14ac:dyDescent="0.2">
      <c r="A172" s="171" t="s">
        <v>4937</v>
      </c>
      <c r="B172" s="46" t="s">
        <v>483</v>
      </c>
      <c r="C172" s="34" t="s">
        <v>86</v>
      </c>
      <c r="D172" s="11" t="s">
        <v>488</v>
      </c>
      <c r="E172" s="557">
        <v>-109</v>
      </c>
      <c r="F172" s="69"/>
      <c r="G172" s="182">
        <v>18278.04</v>
      </c>
      <c r="H172" s="18">
        <v>18278.04</v>
      </c>
    </row>
    <row r="173" spans="1:9" ht="13.5" customHeight="1" x14ac:dyDescent="0.2">
      <c r="A173" s="171" t="s">
        <v>4938</v>
      </c>
      <c r="B173" s="46" t="s">
        <v>483</v>
      </c>
      <c r="C173" s="34" t="s">
        <v>4939</v>
      </c>
      <c r="D173" s="11" t="s">
        <v>4940</v>
      </c>
      <c r="E173" s="557">
        <v>-110</v>
      </c>
      <c r="F173" s="69" t="s">
        <v>483</v>
      </c>
      <c r="G173" s="182"/>
      <c r="H173" s="18">
        <v>18168.04</v>
      </c>
    </row>
    <row r="174" spans="1:9" ht="13.5" customHeight="1" x14ac:dyDescent="0.2">
      <c r="A174" s="171"/>
      <c r="B174" s="46" t="s">
        <v>483</v>
      </c>
      <c r="C174" s="36" t="s">
        <v>194</v>
      </c>
      <c r="D174" s="11" t="s">
        <v>488</v>
      </c>
      <c r="E174" s="557">
        <v>-63.03</v>
      </c>
      <c r="F174" s="69" t="s">
        <v>483</v>
      </c>
      <c r="G174" s="182"/>
      <c r="H174" s="18">
        <v>18105.010000000002</v>
      </c>
    </row>
    <row r="175" spans="1:9" ht="13.5" customHeight="1" x14ac:dyDescent="0.2">
      <c r="A175" s="171"/>
      <c r="B175" s="46" t="s">
        <v>483</v>
      </c>
      <c r="C175" s="36" t="s">
        <v>195</v>
      </c>
      <c r="D175" s="11" t="s">
        <v>488</v>
      </c>
      <c r="E175" s="557">
        <v>-290.89</v>
      </c>
      <c r="F175" s="69"/>
      <c r="G175" s="182">
        <v>17814.12</v>
      </c>
      <c r="H175" s="18">
        <v>17814.120000000003</v>
      </c>
    </row>
    <row r="176" spans="1:9" ht="13.5" customHeight="1" x14ac:dyDescent="0.2">
      <c r="A176" s="171" t="s">
        <v>4941</v>
      </c>
      <c r="B176" s="46" t="s">
        <v>483</v>
      </c>
      <c r="C176" s="34" t="s">
        <v>86</v>
      </c>
      <c r="D176" s="11" t="s">
        <v>488</v>
      </c>
      <c r="E176" s="557">
        <v>-13</v>
      </c>
      <c r="F176" s="69"/>
      <c r="G176" s="182">
        <v>17801.12</v>
      </c>
      <c r="H176" s="18">
        <v>17801.120000000003</v>
      </c>
    </row>
    <row r="177" spans="1:9" ht="13.5" customHeight="1" x14ac:dyDescent="0.2">
      <c r="A177" s="171" t="s">
        <v>4942</v>
      </c>
      <c r="B177" s="46" t="s">
        <v>483</v>
      </c>
      <c r="C177" s="34" t="s">
        <v>4943</v>
      </c>
      <c r="D177" s="11" t="s">
        <v>488</v>
      </c>
      <c r="E177" s="557">
        <v>-59.99</v>
      </c>
      <c r="F177" s="69"/>
      <c r="G177" s="182" t="s">
        <v>483</v>
      </c>
      <c r="H177" s="18">
        <v>17741.13</v>
      </c>
    </row>
    <row r="178" spans="1:9" ht="13.5" customHeight="1" x14ac:dyDescent="0.2">
      <c r="A178" s="171"/>
      <c r="B178" s="46" t="s">
        <v>483</v>
      </c>
      <c r="C178" s="34" t="s">
        <v>4944</v>
      </c>
      <c r="D178" s="11" t="s">
        <v>488</v>
      </c>
      <c r="E178" s="557">
        <v>-247.71</v>
      </c>
      <c r="F178" s="69"/>
      <c r="G178" s="182">
        <v>17493.419999999998</v>
      </c>
      <c r="H178" s="18">
        <v>17493.420000000002</v>
      </c>
    </row>
    <row r="179" spans="1:9" ht="13.5" customHeight="1" x14ac:dyDescent="0.2">
      <c r="A179" s="171" t="s">
        <v>4945</v>
      </c>
      <c r="B179" s="46" t="s">
        <v>483</v>
      </c>
      <c r="C179" s="36" t="s">
        <v>813</v>
      </c>
      <c r="D179" s="11" t="s">
        <v>4946</v>
      </c>
      <c r="E179" s="557">
        <v>-62.5</v>
      </c>
      <c r="F179" s="69"/>
      <c r="G179" s="205">
        <v>17430.919999999998</v>
      </c>
      <c r="H179" s="18">
        <v>17430.920000000002</v>
      </c>
    </row>
    <row r="180" spans="1:9" ht="13.5" customHeight="1" thickBot="1" x14ac:dyDescent="0.25">
      <c r="A180" s="171"/>
      <c r="B180" s="46"/>
      <c r="C180" s="34"/>
      <c r="D180" s="11"/>
      <c r="E180" s="654">
        <f>SUM(E150:E159,E162:E179)</f>
        <v>-9372.3099999999977</v>
      </c>
      <c r="F180" s="654">
        <f>SUM(F160)</f>
        <v>4980.5</v>
      </c>
      <c r="G180" s="182"/>
    </row>
    <row r="181" spans="1:9" ht="13.5" customHeight="1" thickBot="1" x14ac:dyDescent="0.25">
      <c r="A181" s="2" t="s">
        <v>2</v>
      </c>
      <c r="B181" s="3"/>
      <c r="C181" s="3" t="s">
        <v>525</v>
      </c>
      <c r="D181" s="3"/>
      <c r="E181" s="3"/>
      <c r="F181" s="3"/>
      <c r="G181" s="5" t="s">
        <v>7</v>
      </c>
    </row>
    <row r="182" spans="1:9" ht="13.5" customHeight="1" x14ac:dyDescent="0.2">
      <c r="A182" s="8">
        <v>44075</v>
      </c>
      <c r="B182" s="70"/>
      <c r="C182" s="10" t="s">
        <v>537</v>
      </c>
      <c r="D182" s="125"/>
      <c r="E182" s="67"/>
      <c r="F182" s="67"/>
      <c r="G182" s="205">
        <v>739.47999999999888</v>
      </c>
    </row>
    <row r="183" spans="1:9" ht="13.5" customHeight="1" x14ac:dyDescent="0.2">
      <c r="A183" s="171">
        <v>44083</v>
      </c>
      <c r="B183" s="46"/>
      <c r="C183" s="36" t="s">
        <v>530</v>
      </c>
      <c r="D183" s="11"/>
      <c r="E183" s="181">
        <v>930.05</v>
      </c>
      <c r="F183" s="69"/>
      <c r="G183" s="182">
        <v>-190.57000000000107</v>
      </c>
    </row>
    <row r="184" spans="1:9" ht="13.5" customHeight="1" x14ac:dyDescent="0.2">
      <c r="A184" s="171"/>
      <c r="B184" s="46"/>
      <c r="C184" s="32" t="s">
        <v>3758</v>
      </c>
      <c r="D184" s="229"/>
      <c r="E184" s="69"/>
      <c r="F184" s="557">
        <v>1000</v>
      </c>
      <c r="G184" s="749">
        <v>809.42999999999893</v>
      </c>
    </row>
    <row r="185" spans="1:9" ht="13.5" customHeight="1" thickBot="1" x14ac:dyDescent="0.25">
      <c r="A185" s="171"/>
      <c r="B185" s="46"/>
      <c r="C185" s="36"/>
      <c r="D185" s="229"/>
      <c r="E185" s="69"/>
      <c r="F185" s="69"/>
      <c r="G185" s="182"/>
      <c r="H185" s="653">
        <f>SUM(G3,G82,G121,G149,)</f>
        <v>58510.830000000009</v>
      </c>
      <c r="I185" s="33" t="s">
        <v>1798</v>
      </c>
    </row>
    <row r="186" spans="1:9" ht="13.5" customHeight="1" thickBot="1" x14ac:dyDescent="0.25">
      <c r="A186" s="561" t="s">
        <v>2</v>
      </c>
      <c r="B186" s="562"/>
      <c r="C186" s="562" t="s">
        <v>534</v>
      </c>
      <c r="D186" s="563" t="s">
        <v>4</v>
      </c>
      <c r="E186" s="562" t="s">
        <v>5</v>
      </c>
      <c r="F186" s="562" t="s">
        <v>6</v>
      </c>
      <c r="G186" s="564" t="s">
        <v>7</v>
      </c>
    </row>
    <row r="187" spans="1:9" ht="13.5" customHeight="1" x14ac:dyDescent="0.2">
      <c r="A187" s="568">
        <v>44412</v>
      </c>
      <c r="B187" s="569"/>
      <c r="C187" s="570" t="s">
        <v>8</v>
      </c>
      <c r="D187" s="571"/>
      <c r="E187" s="572"/>
      <c r="F187" s="573"/>
      <c r="G187" s="574">
        <v>50200</v>
      </c>
      <c r="H187" s="30">
        <f>G79</f>
        <v>11735.830000000007</v>
      </c>
      <c r="I187" s="33" t="s">
        <v>1799</v>
      </c>
    </row>
    <row r="188" spans="1:9" ht="13.5" customHeight="1" x14ac:dyDescent="0.2">
      <c r="A188" s="180">
        <v>44448</v>
      </c>
      <c r="B188" s="70"/>
      <c r="C188" s="32" t="s">
        <v>3758</v>
      </c>
      <c r="D188" s="50"/>
      <c r="E188" s="13"/>
      <c r="F188" s="183">
        <v>1000</v>
      </c>
      <c r="G188" s="205">
        <v>51200</v>
      </c>
    </row>
    <row r="189" spans="1:9" ht="13.5" customHeight="1" thickBot="1" x14ac:dyDescent="0.25">
      <c r="A189" s="70"/>
      <c r="B189" s="70"/>
      <c r="C189" s="63"/>
      <c r="D189" s="50"/>
      <c r="E189" s="13"/>
      <c r="F189" s="13"/>
      <c r="G189" s="182"/>
      <c r="H189" s="30">
        <f>SUM(G118,G146,G179)</f>
        <v>50104</v>
      </c>
      <c r="I189" s="33" t="s">
        <v>1797</v>
      </c>
    </row>
    <row r="190" spans="1:9" ht="13.5" thickBot="1" x14ac:dyDescent="0.25">
      <c r="A190" s="213"/>
      <c r="B190" s="214"/>
      <c r="C190" s="215" t="s">
        <v>539</v>
      </c>
      <c r="D190" s="216"/>
      <c r="E190" s="187"/>
      <c r="F190" s="187"/>
      <c r="G190" s="217" t="s">
        <v>7</v>
      </c>
    </row>
    <row r="191" spans="1:9" x14ac:dyDescent="0.2">
      <c r="A191" s="74" t="s">
        <v>540</v>
      </c>
      <c r="B191" s="74"/>
      <c r="C191" s="218" t="s">
        <v>541</v>
      </c>
      <c r="D191" s="219"/>
      <c r="E191" s="220"/>
      <c r="F191" s="220"/>
      <c r="G191" s="75">
        <v>0</v>
      </c>
      <c r="H191" s="30">
        <f>SUM(F180,E180,F147,E147,F119,E119,F80,E80,)</f>
        <v>3452.8000000000011</v>
      </c>
      <c r="I191" s="33" t="s">
        <v>3517</v>
      </c>
    </row>
    <row r="192" spans="1:9" x14ac:dyDescent="0.2">
      <c r="A192" s="221" t="s">
        <v>540</v>
      </c>
      <c r="B192" s="70"/>
      <c r="C192" s="63" t="s">
        <v>542</v>
      </c>
      <c r="D192" s="50"/>
      <c r="E192" s="13"/>
      <c r="F192" s="13"/>
      <c r="G192" s="75">
        <v>0</v>
      </c>
    </row>
    <row r="193" spans="1:8" x14ac:dyDescent="0.2">
      <c r="A193" s="70"/>
      <c r="B193" s="70"/>
      <c r="C193" s="222" t="s">
        <v>543</v>
      </c>
      <c r="D193" s="50"/>
      <c r="E193" s="13"/>
      <c r="F193" s="13"/>
      <c r="G193" s="14">
        <v>0</v>
      </c>
    </row>
    <row r="194" spans="1:8" x14ac:dyDescent="0.2">
      <c r="A194" s="70"/>
      <c r="B194" s="70"/>
      <c r="C194" s="63"/>
      <c r="D194" s="50"/>
      <c r="E194" s="13"/>
      <c r="F194" s="13"/>
      <c r="G194" s="14"/>
    </row>
    <row r="195" spans="1:8" x14ac:dyDescent="0.2">
      <c r="A195" s="70"/>
      <c r="B195" s="70"/>
      <c r="C195" s="222" t="s">
        <v>544</v>
      </c>
      <c r="D195" s="50"/>
      <c r="E195" s="13"/>
      <c r="F195" s="13"/>
      <c r="G195" s="14">
        <v>61839.830000000009</v>
      </c>
      <c r="H195" s="30">
        <f>SUM(H185+H191-H187-H189)</f>
        <v>123.80000000000291</v>
      </c>
    </row>
    <row r="196" spans="1:8" x14ac:dyDescent="0.2">
      <c r="A196" s="70"/>
      <c r="B196" s="70"/>
      <c r="C196" s="63"/>
      <c r="D196" s="50"/>
      <c r="E196" s="13"/>
      <c r="F196" s="13"/>
      <c r="G196" s="75"/>
    </row>
    <row r="197" spans="1:8" x14ac:dyDescent="0.2">
      <c r="A197" s="76"/>
      <c r="B197" s="76"/>
      <c r="C197" s="222" t="s">
        <v>545</v>
      </c>
      <c r="D197" s="78"/>
      <c r="E197" s="78"/>
      <c r="F197" s="78"/>
      <c r="G197" s="14">
        <v>0</v>
      </c>
    </row>
    <row r="198" spans="1:8" x14ac:dyDescent="0.2">
      <c r="A198" s="76"/>
      <c r="B198" s="76"/>
      <c r="C198" s="78"/>
      <c r="D198" s="78"/>
      <c r="E198" s="78"/>
      <c r="F198" s="78"/>
      <c r="G198" s="75"/>
    </row>
    <row r="199" spans="1:8" x14ac:dyDescent="0.2">
      <c r="A199" s="70"/>
      <c r="B199" s="70"/>
      <c r="C199" s="63"/>
      <c r="D199" s="50"/>
      <c r="E199" s="13"/>
      <c r="F199" s="13"/>
      <c r="G199" s="75"/>
    </row>
  </sheetData>
  <mergeCells count="2">
    <mergeCell ref="A1:C1"/>
    <mergeCell ref="D1:G1"/>
  </mergeCells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X260"/>
  <sheetViews>
    <sheetView topLeftCell="A177" zoomScale="86" zoomScaleNormal="86" workbookViewId="0">
      <selection activeCell="H192" sqref="H192"/>
    </sheetView>
  </sheetViews>
  <sheetFormatPr defaultColWidth="9" defaultRowHeight="12.75" x14ac:dyDescent="0.2"/>
  <cols>
    <col min="1" max="1" width="14" style="1" customWidth="1"/>
    <col min="2" max="2" width="1.875" style="1" customWidth="1"/>
    <col min="3" max="3" width="99.25" style="1" customWidth="1"/>
    <col min="4" max="4" width="12" style="1" customWidth="1"/>
    <col min="5" max="5" width="12.375" style="1" customWidth="1"/>
    <col min="6" max="6" width="10.75" style="1" customWidth="1"/>
    <col min="7" max="7" width="11.875" style="1" customWidth="1"/>
    <col min="8" max="9" width="9" style="1"/>
    <col min="10" max="10" width="9.875" style="1" bestFit="1" customWidth="1"/>
    <col min="11" max="16384" width="9" style="1"/>
  </cols>
  <sheetData>
    <row r="1" spans="1:8" ht="13.5" customHeight="1" thickBot="1" x14ac:dyDescent="0.25">
      <c r="A1" s="1407" t="s">
        <v>4947</v>
      </c>
      <c r="B1" s="1407"/>
      <c r="C1" s="1408"/>
      <c r="D1" s="1409" t="s">
        <v>0</v>
      </c>
      <c r="E1" s="1410"/>
      <c r="F1" s="1410"/>
      <c r="G1" s="1411"/>
    </row>
    <row r="2" spans="1:8" ht="13.5" customHeight="1" thickBot="1" x14ac:dyDescent="0.25">
      <c r="A2" s="2" t="s">
        <v>2</v>
      </c>
      <c r="B2" s="3"/>
      <c r="C2" s="3" t="s">
        <v>2335</v>
      </c>
      <c r="D2" s="3" t="s">
        <v>4</v>
      </c>
      <c r="E2" s="3" t="s">
        <v>5</v>
      </c>
      <c r="F2" s="3" t="s">
        <v>6</v>
      </c>
      <c r="G2" s="5" t="s">
        <v>7</v>
      </c>
    </row>
    <row r="3" spans="1:8" ht="13.5" customHeight="1" x14ac:dyDescent="0.2">
      <c r="A3" s="8">
        <v>44105</v>
      </c>
      <c r="B3" s="56"/>
      <c r="C3" s="10" t="s">
        <v>8</v>
      </c>
      <c r="D3" s="11">
        <v>0</v>
      </c>
      <c r="E3" s="51"/>
      <c r="F3" s="12"/>
      <c r="G3" s="178">
        <v>11735.830000000007</v>
      </c>
      <c r="H3" s="18">
        <v>11735.830000000007</v>
      </c>
    </row>
    <row r="4" spans="1:8" ht="13.5" customHeight="1" x14ac:dyDescent="0.2">
      <c r="A4" s="180">
        <v>44105</v>
      </c>
      <c r="B4" s="56"/>
      <c r="C4" s="36" t="s">
        <v>4948</v>
      </c>
      <c r="D4" s="11"/>
      <c r="E4" s="30">
        <v>2.75</v>
      </c>
      <c r="F4" s="12"/>
      <c r="G4" s="182"/>
      <c r="H4" s="18">
        <v>11733.080000000007</v>
      </c>
    </row>
    <row r="5" spans="1:8" ht="13.5" customHeight="1" x14ac:dyDescent="0.2">
      <c r="A5" s="180"/>
      <c r="B5" s="56"/>
      <c r="C5" s="36" t="s">
        <v>4949</v>
      </c>
      <c r="D5" s="11"/>
      <c r="E5" s="30">
        <v>1560</v>
      </c>
      <c r="F5" s="12"/>
      <c r="G5" s="182"/>
      <c r="H5" s="18">
        <v>10173.080000000007</v>
      </c>
    </row>
    <row r="6" spans="1:8" ht="13.5" customHeight="1" x14ac:dyDescent="0.2">
      <c r="A6" s="180"/>
      <c r="B6" s="56"/>
      <c r="C6" s="36" t="s">
        <v>4950</v>
      </c>
      <c r="D6" s="11"/>
      <c r="E6" s="30"/>
      <c r="F6" s="12">
        <v>250</v>
      </c>
      <c r="G6" s="182"/>
      <c r="H6" s="18">
        <v>10423.080000000007</v>
      </c>
    </row>
    <row r="7" spans="1:8" ht="13.5" customHeight="1" x14ac:dyDescent="0.2">
      <c r="A7" s="180"/>
      <c r="B7" s="56"/>
      <c r="C7" s="36" t="s">
        <v>4951</v>
      </c>
      <c r="D7" s="11"/>
      <c r="E7" s="30">
        <v>360</v>
      </c>
      <c r="F7" s="12"/>
      <c r="G7" s="182"/>
      <c r="H7" s="18">
        <v>10063.080000000007</v>
      </c>
    </row>
    <row r="8" spans="1:8" ht="13.5" customHeight="1" x14ac:dyDescent="0.2">
      <c r="A8" s="180"/>
      <c r="B8" s="56"/>
      <c r="C8" s="36" t="s">
        <v>4952</v>
      </c>
      <c r="D8" s="11"/>
      <c r="E8" s="30">
        <v>80</v>
      </c>
      <c r="F8" s="12"/>
      <c r="G8" s="182"/>
      <c r="H8" s="18">
        <v>9983.0800000000072</v>
      </c>
    </row>
    <row r="9" spans="1:8" ht="13.5" customHeight="1" x14ac:dyDescent="0.2">
      <c r="A9" s="180"/>
      <c r="B9" s="56"/>
      <c r="C9" s="34" t="s">
        <v>4953</v>
      </c>
      <c r="D9" s="11"/>
      <c r="E9" s="30">
        <v>100</v>
      </c>
      <c r="F9" s="12"/>
      <c r="G9" s="182"/>
      <c r="H9" s="18">
        <v>9883.0800000000072</v>
      </c>
    </row>
    <row r="10" spans="1:8" ht="13.5" customHeight="1" x14ac:dyDescent="0.2">
      <c r="A10" s="180"/>
      <c r="B10" s="56"/>
      <c r="C10" s="36" t="s">
        <v>4954</v>
      </c>
      <c r="D10" s="11"/>
      <c r="E10" s="30">
        <v>100</v>
      </c>
      <c r="F10" s="12"/>
      <c r="G10" s="182">
        <v>9783.0800000000072</v>
      </c>
      <c r="H10" s="18">
        <v>9783.0800000000072</v>
      </c>
    </row>
    <row r="11" spans="1:8" ht="13.5" customHeight="1" x14ac:dyDescent="0.2">
      <c r="A11" s="180">
        <v>44106</v>
      </c>
      <c r="B11" s="56"/>
      <c r="C11" s="36" t="s">
        <v>4955</v>
      </c>
      <c r="D11" s="11"/>
      <c r="E11" s="30"/>
      <c r="F11" s="30">
        <v>200</v>
      </c>
      <c r="G11" s="182"/>
      <c r="H11" s="18">
        <v>9983.0800000000072</v>
      </c>
    </row>
    <row r="12" spans="1:8" ht="13.5" customHeight="1" x14ac:dyDescent="0.2">
      <c r="A12" s="180"/>
      <c r="B12" s="56"/>
      <c r="C12" s="36" t="s">
        <v>4956</v>
      </c>
      <c r="D12" s="11"/>
      <c r="E12" s="30"/>
      <c r="F12" s="30">
        <v>60</v>
      </c>
      <c r="G12" s="182"/>
      <c r="H12" s="18">
        <v>10043.080000000007</v>
      </c>
    </row>
    <row r="13" spans="1:8" ht="13.5" customHeight="1" x14ac:dyDescent="0.2">
      <c r="A13" s="180"/>
      <c r="B13" s="56"/>
      <c r="C13" s="36" t="s">
        <v>4957</v>
      </c>
      <c r="D13" s="11"/>
      <c r="E13" s="30"/>
      <c r="F13" s="30">
        <v>1340</v>
      </c>
      <c r="G13" s="182"/>
      <c r="H13" s="18">
        <v>11383.080000000007</v>
      </c>
    </row>
    <row r="14" spans="1:8" ht="13.5" customHeight="1" x14ac:dyDescent="0.2">
      <c r="A14" s="180"/>
      <c r="B14" s="56"/>
      <c r="C14" s="36" t="s">
        <v>4958</v>
      </c>
      <c r="D14" s="11"/>
      <c r="E14" s="30">
        <v>360</v>
      </c>
      <c r="F14" s="30"/>
      <c r="G14" s="182">
        <v>11023.080000000007</v>
      </c>
      <c r="H14" s="18">
        <v>11023.080000000007</v>
      </c>
    </row>
    <row r="15" spans="1:8" ht="13.5" customHeight="1" x14ac:dyDescent="0.2">
      <c r="A15" s="180">
        <v>44109</v>
      </c>
      <c r="B15" s="56"/>
      <c r="C15" s="34" t="s">
        <v>4959</v>
      </c>
      <c r="D15" s="11"/>
      <c r="E15" s="30">
        <v>44.5</v>
      </c>
      <c r="F15" s="30"/>
      <c r="G15" s="182">
        <v>10978.580000000007</v>
      </c>
      <c r="H15" s="18">
        <v>10978.580000000007</v>
      </c>
    </row>
    <row r="16" spans="1:8" ht="13.5" customHeight="1" x14ac:dyDescent="0.2">
      <c r="A16" s="180">
        <v>44110</v>
      </c>
      <c r="B16" s="56"/>
      <c r="C16" s="34" t="s">
        <v>4960</v>
      </c>
      <c r="D16" s="11"/>
      <c r="E16" s="30">
        <v>211.96</v>
      </c>
      <c r="F16" s="30"/>
      <c r="G16" s="182"/>
      <c r="H16" s="18">
        <v>10766.620000000008</v>
      </c>
    </row>
    <row r="17" spans="1:8" ht="13.5" customHeight="1" x14ac:dyDescent="0.2">
      <c r="A17" s="180"/>
      <c r="B17" s="56"/>
      <c r="C17" s="34" t="s">
        <v>4961</v>
      </c>
      <c r="D17" s="11"/>
      <c r="E17" s="30">
        <v>16.5</v>
      </c>
      <c r="F17" s="30"/>
      <c r="G17" s="182"/>
      <c r="H17" s="18">
        <v>10750.120000000008</v>
      </c>
    </row>
    <row r="18" spans="1:8" ht="13.5" customHeight="1" x14ac:dyDescent="0.2">
      <c r="A18" s="180"/>
      <c r="B18" s="56"/>
      <c r="C18" s="36" t="s">
        <v>4962</v>
      </c>
      <c r="D18" s="11"/>
      <c r="E18" s="30"/>
      <c r="F18" s="30">
        <v>200</v>
      </c>
      <c r="G18" s="182">
        <v>10950.120000000008</v>
      </c>
      <c r="H18" s="18">
        <v>10950.120000000008</v>
      </c>
    </row>
    <row r="19" spans="1:8" ht="13.5" customHeight="1" x14ac:dyDescent="0.2">
      <c r="A19" s="180">
        <v>44111</v>
      </c>
      <c r="B19" s="56"/>
      <c r="C19" s="36" t="s">
        <v>4963</v>
      </c>
      <c r="D19" s="11"/>
      <c r="E19" s="30"/>
      <c r="F19" s="30">
        <v>250</v>
      </c>
      <c r="G19" s="182"/>
      <c r="H19" s="18">
        <v>11200.120000000008</v>
      </c>
    </row>
    <row r="20" spans="1:8" ht="13.5" customHeight="1" x14ac:dyDescent="0.2">
      <c r="A20" s="180"/>
      <c r="B20" s="56"/>
      <c r="C20" s="36" t="s">
        <v>4964</v>
      </c>
      <c r="D20" s="11"/>
      <c r="E20" s="30"/>
      <c r="F20" s="30">
        <v>60</v>
      </c>
      <c r="G20" s="182"/>
      <c r="H20" s="18">
        <v>11260.120000000008</v>
      </c>
    </row>
    <row r="21" spans="1:8" ht="13.5" customHeight="1" x14ac:dyDescent="0.2">
      <c r="A21" s="180"/>
      <c r="B21" s="56"/>
      <c r="C21" s="36" t="s">
        <v>4965</v>
      </c>
      <c r="D21" s="11"/>
      <c r="E21" s="30"/>
      <c r="F21" s="30">
        <v>60</v>
      </c>
      <c r="G21" s="182">
        <v>11320.120000000008</v>
      </c>
      <c r="H21" s="18">
        <v>11320.120000000008</v>
      </c>
    </row>
    <row r="22" spans="1:8" ht="13.5" customHeight="1" x14ac:dyDescent="0.2">
      <c r="A22" s="180">
        <v>44112</v>
      </c>
      <c r="B22" s="56"/>
      <c r="C22" s="36" t="s">
        <v>4966</v>
      </c>
      <c r="D22" s="11"/>
      <c r="E22" s="30"/>
      <c r="F22" s="30">
        <v>100</v>
      </c>
      <c r="G22" s="182"/>
      <c r="H22" s="18">
        <v>11420.120000000008</v>
      </c>
    </row>
    <row r="23" spans="1:8" ht="13.5" customHeight="1" x14ac:dyDescent="0.2">
      <c r="A23" s="180"/>
      <c r="B23" s="56"/>
      <c r="C23" s="36" t="s">
        <v>4967</v>
      </c>
      <c r="D23" s="11"/>
      <c r="E23" s="30">
        <v>48</v>
      </c>
      <c r="F23" s="30"/>
      <c r="G23" s="182">
        <v>11372.120000000008</v>
      </c>
      <c r="H23" s="18">
        <v>11372.120000000008</v>
      </c>
    </row>
    <row r="24" spans="1:8" ht="13.5" customHeight="1" x14ac:dyDescent="0.2">
      <c r="A24" s="180">
        <v>44113</v>
      </c>
      <c r="B24" s="56"/>
      <c r="C24" s="36" t="s">
        <v>4968</v>
      </c>
      <c r="D24" s="11"/>
      <c r="E24" s="30"/>
      <c r="F24" s="30">
        <v>80</v>
      </c>
      <c r="G24" s="182"/>
      <c r="H24" s="18">
        <v>11452.120000000008</v>
      </c>
    </row>
    <row r="25" spans="1:8" ht="13.5" customHeight="1" x14ac:dyDescent="0.2">
      <c r="A25" s="180"/>
      <c r="B25" s="56"/>
      <c r="C25" s="36" t="s">
        <v>4969</v>
      </c>
      <c r="D25" s="11"/>
      <c r="E25" s="30"/>
      <c r="F25" s="30">
        <v>1260</v>
      </c>
      <c r="G25" s="182"/>
      <c r="H25" s="18">
        <v>12712.120000000008</v>
      </c>
    </row>
    <row r="26" spans="1:8" ht="13.5" customHeight="1" x14ac:dyDescent="0.2">
      <c r="A26" s="180"/>
      <c r="B26" s="56"/>
      <c r="C26" s="36" t="s">
        <v>4970</v>
      </c>
      <c r="D26" s="11"/>
      <c r="E26" s="30">
        <v>50</v>
      </c>
      <c r="F26" s="30"/>
      <c r="G26" s="182"/>
      <c r="H26" s="18">
        <v>12662.120000000008</v>
      </c>
    </row>
    <row r="27" spans="1:8" ht="13.5" customHeight="1" x14ac:dyDescent="0.2">
      <c r="A27" s="180"/>
      <c r="B27" s="56"/>
      <c r="C27" s="36" t="s">
        <v>4958</v>
      </c>
      <c r="D27" s="11"/>
      <c r="E27" s="30">
        <v>300</v>
      </c>
      <c r="F27" s="12"/>
      <c r="G27" s="182"/>
      <c r="H27" s="18">
        <v>12362.120000000008</v>
      </c>
    </row>
    <row r="28" spans="1:8" ht="13.5" customHeight="1" x14ac:dyDescent="0.2">
      <c r="A28" s="180"/>
      <c r="B28" s="56"/>
      <c r="C28" s="36" t="s">
        <v>4971</v>
      </c>
      <c r="D28" s="11"/>
      <c r="E28" s="552">
        <v>5000</v>
      </c>
      <c r="F28" s="12"/>
      <c r="G28" s="182">
        <v>7362.1200000000081</v>
      </c>
      <c r="H28" s="18">
        <v>7362.1200000000081</v>
      </c>
    </row>
    <row r="29" spans="1:8" ht="13.5" customHeight="1" x14ac:dyDescent="0.2">
      <c r="A29" s="180">
        <v>44117</v>
      </c>
      <c r="B29" s="56"/>
      <c r="C29" s="36" t="s">
        <v>4972</v>
      </c>
      <c r="D29" s="11"/>
      <c r="E29" s="30">
        <v>36.549999999999997</v>
      </c>
      <c r="F29" s="12"/>
      <c r="G29" s="182"/>
      <c r="H29" s="18">
        <v>7325.5700000000079</v>
      </c>
    </row>
    <row r="30" spans="1:8" ht="13.5" customHeight="1" x14ac:dyDescent="0.2">
      <c r="A30" s="180"/>
      <c r="B30" s="56"/>
      <c r="C30" s="36" t="s">
        <v>4973</v>
      </c>
      <c r="D30" s="11"/>
      <c r="E30" s="30"/>
      <c r="F30" s="12">
        <v>1540</v>
      </c>
      <c r="G30" s="182"/>
      <c r="H30" s="18">
        <v>8865.570000000007</v>
      </c>
    </row>
    <row r="31" spans="1:8" ht="13.5" customHeight="1" x14ac:dyDescent="0.2">
      <c r="A31" s="180"/>
      <c r="B31" s="56"/>
      <c r="C31" s="36" t="s">
        <v>4974</v>
      </c>
      <c r="D31" s="11"/>
      <c r="E31" s="30"/>
      <c r="F31" s="12">
        <v>92.25</v>
      </c>
      <c r="G31" s="182"/>
      <c r="H31" s="18">
        <v>8957.820000000007</v>
      </c>
    </row>
    <row r="32" spans="1:8" ht="13.5" customHeight="1" x14ac:dyDescent="0.2">
      <c r="A32" s="180"/>
      <c r="B32" s="56"/>
      <c r="C32" s="36" t="s">
        <v>4975</v>
      </c>
      <c r="D32" s="11"/>
      <c r="E32" s="30"/>
      <c r="F32" s="12">
        <v>4000</v>
      </c>
      <c r="G32" s="182">
        <v>12957.820000000007</v>
      </c>
      <c r="H32" s="18">
        <v>12957.820000000007</v>
      </c>
    </row>
    <row r="33" spans="1:24" ht="13.5" customHeight="1" x14ac:dyDescent="0.2">
      <c r="A33" s="180">
        <v>44118</v>
      </c>
      <c r="B33" s="56"/>
      <c r="C33" s="36" t="s">
        <v>4678</v>
      </c>
      <c r="D33" s="11"/>
      <c r="E33" s="165">
        <v>200</v>
      </c>
      <c r="F33" s="12"/>
      <c r="G33" s="182">
        <v>12757.820000000007</v>
      </c>
      <c r="H33" s="18">
        <v>12757.820000000007</v>
      </c>
    </row>
    <row r="34" spans="1:24" ht="13.5" customHeight="1" x14ac:dyDescent="0.2">
      <c r="A34" s="180">
        <v>44119</v>
      </c>
      <c r="B34" s="56"/>
      <c r="C34" s="36" t="s">
        <v>4976</v>
      </c>
      <c r="D34" s="11"/>
      <c r="E34" s="30">
        <v>2000</v>
      </c>
      <c r="F34" s="12"/>
      <c r="G34" s="182"/>
      <c r="H34" s="18">
        <v>10757.820000000007</v>
      </c>
    </row>
    <row r="35" spans="1:24" ht="13.5" customHeight="1" x14ac:dyDescent="0.2">
      <c r="A35" s="180"/>
      <c r="B35" s="56"/>
      <c r="C35" s="36" t="s">
        <v>4977</v>
      </c>
      <c r="D35" s="11"/>
      <c r="E35" s="30">
        <v>62</v>
      </c>
      <c r="F35" s="12"/>
      <c r="G35" s="182"/>
      <c r="H35" s="18">
        <v>10695.820000000007</v>
      </c>
    </row>
    <row r="36" spans="1:24" ht="13.5" customHeight="1" x14ac:dyDescent="0.2">
      <c r="A36" s="180"/>
      <c r="B36" s="56"/>
      <c r="C36" s="36" t="s">
        <v>4978</v>
      </c>
      <c r="D36" s="11"/>
      <c r="E36" s="30">
        <v>380</v>
      </c>
      <c r="F36" s="12"/>
      <c r="G36" s="182"/>
      <c r="H36" s="18">
        <v>10315.820000000007</v>
      </c>
    </row>
    <row r="37" spans="1:24" ht="13.5" customHeight="1" x14ac:dyDescent="0.2">
      <c r="A37" s="180"/>
      <c r="B37" s="56"/>
      <c r="C37" s="36" t="s">
        <v>4979</v>
      </c>
      <c r="D37" s="11"/>
      <c r="E37" s="30">
        <v>47.5</v>
      </c>
      <c r="F37" s="12"/>
      <c r="G37" s="182"/>
      <c r="H37" s="18">
        <v>10268.320000000007</v>
      </c>
    </row>
    <row r="38" spans="1:24" ht="13.5" customHeight="1" x14ac:dyDescent="0.2">
      <c r="A38" s="180"/>
      <c r="B38" s="56"/>
      <c r="C38" s="36" t="s">
        <v>4980</v>
      </c>
      <c r="D38" s="11"/>
      <c r="E38" s="30">
        <v>27</v>
      </c>
      <c r="F38" s="12"/>
      <c r="G38" s="182">
        <v>10241.320000000007</v>
      </c>
      <c r="H38" s="18">
        <v>10241.320000000007</v>
      </c>
    </row>
    <row r="39" spans="1:24" ht="13.5" customHeight="1" x14ac:dyDescent="0.2">
      <c r="A39" s="180">
        <v>44120</v>
      </c>
      <c r="B39" s="56"/>
      <c r="C39" s="36" t="s">
        <v>4981</v>
      </c>
      <c r="D39" s="11"/>
      <c r="E39" s="30">
        <v>31</v>
      </c>
      <c r="F39" s="12"/>
      <c r="G39" s="182"/>
      <c r="H39" s="18">
        <v>10210.320000000007</v>
      </c>
    </row>
    <row r="40" spans="1:24" ht="13.5" customHeight="1" x14ac:dyDescent="0.2">
      <c r="A40" s="180"/>
      <c r="B40" s="56"/>
      <c r="C40" s="36" t="s">
        <v>4982</v>
      </c>
      <c r="D40" s="11"/>
      <c r="E40" s="30">
        <v>8.99</v>
      </c>
      <c r="F40" s="12"/>
      <c r="G40" s="182"/>
      <c r="H40" s="18">
        <v>10201.330000000007</v>
      </c>
    </row>
    <row r="41" spans="1:24" ht="13.5" customHeight="1" x14ac:dyDescent="0.2">
      <c r="A41" s="180"/>
      <c r="B41" s="56"/>
      <c r="C41" s="36" t="s">
        <v>4983</v>
      </c>
      <c r="D41" s="11"/>
      <c r="E41" s="30">
        <v>70</v>
      </c>
      <c r="F41" s="12"/>
      <c r="G41" s="182"/>
      <c r="H41" s="18">
        <v>10131.330000000007</v>
      </c>
    </row>
    <row r="42" spans="1:24" s="64" customFormat="1" ht="13.5" customHeight="1" x14ac:dyDescent="0.2">
      <c r="A42" s="184"/>
      <c r="B42" s="63"/>
      <c r="C42" s="32" t="s">
        <v>4984</v>
      </c>
      <c r="D42" s="50"/>
      <c r="E42" s="51">
        <v>240</v>
      </c>
      <c r="F42" s="13"/>
      <c r="G42" s="53"/>
      <c r="H42" s="18">
        <v>9891.3300000000072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</row>
    <row r="43" spans="1:24" s="64" customFormat="1" ht="13.5" customHeight="1" x14ac:dyDescent="0.2">
      <c r="A43" s="184"/>
      <c r="B43" s="63"/>
      <c r="C43" s="63" t="s">
        <v>4985</v>
      </c>
      <c r="D43" s="50"/>
      <c r="E43" s="51"/>
      <c r="F43" s="13">
        <v>900</v>
      </c>
      <c r="G43" s="53"/>
      <c r="H43" s="18">
        <v>10791.330000000007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 spans="1:24" s="64" customFormat="1" ht="13.5" customHeight="1" x14ac:dyDescent="0.2">
      <c r="A44" s="184"/>
      <c r="B44" s="63"/>
      <c r="C44" s="32" t="s">
        <v>4002</v>
      </c>
      <c r="D44" s="50"/>
      <c r="E44" s="51"/>
      <c r="F44" s="13">
        <v>500</v>
      </c>
      <c r="G44" s="53"/>
      <c r="H44" s="18">
        <v>11291.330000000007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 spans="1:24" s="64" customFormat="1" ht="13.5" customHeight="1" x14ac:dyDescent="0.2">
      <c r="A45" s="184"/>
      <c r="B45" s="63"/>
      <c r="C45" s="63" t="s">
        <v>4003</v>
      </c>
      <c r="D45" s="50"/>
      <c r="E45" s="51"/>
      <c r="F45" s="13">
        <v>7750</v>
      </c>
      <c r="G45" s="53"/>
      <c r="H45" s="18">
        <v>19041.330000000009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</row>
    <row r="46" spans="1:24" s="64" customFormat="1" ht="13.5" customHeight="1" x14ac:dyDescent="0.2">
      <c r="A46" s="184"/>
      <c r="B46" s="63"/>
      <c r="C46" s="32" t="s">
        <v>4986</v>
      </c>
      <c r="D46" s="50"/>
      <c r="E46" s="51"/>
      <c r="F46" s="13">
        <v>25</v>
      </c>
      <c r="G46" s="53">
        <v>19066.330000000009</v>
      </c>
      <c r="H46" s="18">
        <v>19066.330000000009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</row>
    <row r="47" spans="1:24" s="64" customFormat="1" ht="13.5" customHeight="1" x14ac:dyDescent="0.2">
      <c r="A47" s="184">
        <v>44123</v>
      </c>
      <c r="B47" s="63"/>
      <c r="C47" s="63" t="s">
        <v>4987</v>
      </c>
      <c r="D47" s="50"/>
      <c r="E47" s="51">
        <v>18.850000000000001</v>
      </c>
      <c r="F47" s="13"/>
      <c r="G47" s="53"/>
      <c r="H47" s="18">
        <v>19047.48000000001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 spans="1:24" s="64" customFormat="1" ht="13.5" customHeight="1" x14ac:dyDescent="0.2">
      <c r="A48" s="184"/>
      <c r="B48" s="63"/>
      <c r="C48" s="32" t="s">
        <v>4988</v>
      </c>
      <c r="D48" s="50"/>
      <c r="E48" s="165">
        <v>8250</v>
      </c>
      <c r="F48" s="13"/>
      <c r="G48" s="53"/>
      <c r="H48" s="18">
        <v>10797.48000000001</v>
      </c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 spans="1:24" s="64" customFormat="1" ht="13.5" customHeight="1" x14ac:dyDescent="0.2">
      <c r="A49" s="184"/>
      <c r="B49" s="63"/>
      <c r="C49" s="63" t="s">
        <v>4989</v>
      </c>
      <c r="D49" s="50"/>
      <c r="E49" s="51"/>
      <c r="F49" s="13">
        <v>60</v>
      </c>
      <c r="G49" s="53">
        <v>10857.48000000001</v>
      </c>
      <c r="H49" s="18">
        <v>10857.48000000001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 spans="1:24" s="64" customFormat="1" ht="13.5" customHeight="1" x14ac:dyDescent="0.2">
      <c r="A50" s="158">
        <v>44124</v>
      </c>
      <c r="B50" s="27"/>
      <c r="C50" s="36" t="s">
        <v>4990</v>
      </c>
      <c r="D50" s="27"/>
      <c r="E50" s="728">
        <v>4400</v>
      </c>
      <c r="F50" s="751"/>
      <c r="G50" s="752">
        <v>6457.4800000000105</v>
      </c>
      <c r="H50" s="18">
        <v>6457.4800000000105</v>
      </c>
      <c r="I50" s="1"/>
      <c r="J50" s="365">
        <v>6457.4800000000105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 spans="1:24" s="64" customFormat="1" ht="13.5" customHeight="1" x14ac:dyDescent="0.2">
      <c r="A51" s="184">
        <v>44125</v>
      </c>
      <c r="B51" s="63"/>
      <c r="C51" s="63" t="s">
        <v>4991</v>
      </c>
      <c r="D51" s="50"/>
      <c r="E51" s="51">
        <v>700</v>
      </c>
      <c r="F51" s="13"/>
      <c r="G51" s="53"/>
      <c r="H51" s="18">
        <v>5757.4800000000105</v>
      </c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</row>
    <row r="52" spans="1:24" s="64" customFormat="1" ht="13.5" customHeight="1" x14ac:dyDescent="0.2">
      <c r="A52" s="184"/>
      <c r="B52" s="63"/>
      <c r="C52" s="63" t="s">
        <v>4992</v>
      </c>
      <c r="D52" s="50"/>
      <c r="E52" s="51">
        <v>47.82</v>
      </c>
      <c r="F52" s="13"/>
      <c r="G52" s="53"/>
      <c r="H52" s="18">
        <v>5709.6600000000108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 spans="1:24" s="64" customFormat="1" ht="13.5" customHeight="1" x14ac:dyDescent="0.2">
      <c r="A53" s="184"/>
      <c r="B53" s="63"/>
      <c r="C53" s="63" t="s">
        <v>4993</v>
      </c>
      <c r="D53" s="50"/>
      <c r="E53" s="51"/>
      <c r="F53" s="13">
        <v>360</v>
      </c>
      <c r="G53" s="53"/>
      <c r="H53" s="18">
        <v>6069.6600000000108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 spans="1:24" s="64" customFormat="1" ht="13.5" customHeight="1" x14ac:dyDescent="0.2">
      <c r="A54" s="184"/>
      <c r="B54" s="63"/>
      <c r="C54" s="63" t="s">
        <v>4994</v>
      </c>
      <c r="D54" s="50"/>
      <c r="E54" s="51">
        <v>14.95</v>
      </c>
      <c r="F54" s="13"/>
      <c r="G54" s="53">
        <v>6054.710000000011</v>
      </c>
      <c r="H54" s="18">
        <v>6054.710000000011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 spans="1:24" s="64" customFormat="1" ht="13.5" customHeight="1" x14ac:dyDescent="0.2">
      <c r="A55" s="184">
        <v>44126</v>
      </c>
      <c r="B55" s="63"/>
      <c r="C55" s="63" t="s">
        <v>4995</v>
      </c>
      <c r="D55" s="50"/>
      <c r="E55" s="51">
        <v>64</v>
      </c>
      <c r="F55" s="13"/>
      <c r="G55" s="53"/>
      <c r="H55" s="18">
        <v>5990.710000000011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 spans="1:24" s="64" customFormat="1" ht="13.5" customHeight="1" x14ac:dyDescent="0.2">
      <c r="A56" s="184"/>
      <c r="B56" s="63"/>
      <c r="C56" s="63" t="s">
        <v>4996</v>
      </c>
      <c r="D56" s="50"/>
      <c r="E56" s="51">
        <v>6.8</v>
      </c>
      <c r="F56" s="13"/>
      <c r="G56" s="53">
        <v>5983.9100000000108</v>
      </c>
      <c r="H56" s="18">
        <v>5983.9100000000108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 spans="1:24" s="64" customFormat="1" ht="13.5" customHeight="1" x14ac:dyDescent="0.2">
      <c r="A57" s="184">
        <v>44127</v>
      </c>
      <c r="B57" s="63"/>
      <c r="C57" s="63" t="s">
        <v>4997</v>
      </c>
      <c r="D57" s="50"/>
      <c r="E57" s="51">
        <v>21.5</v>
      </c>
      <c r="F57" s="13"/>
      <c r="G57" s="53"/>
      <c r="H57" s="18">
        <v>5962.4100000000108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 spans="1:24" s="64" customFormat="1" ht="13.5" customHeight="1" x14ac:dyDescent="0.2">
      <c r="A58" s="184"/>
      <c r="B58" s="63"/>
      <c r="C58" s="63" t="s">
        <v>4998</v>
      </c>
      <c r="D58" s="50"/>
      <c r="E58" s="51">
        <v>12</v>
      </c>
      <c r="F58" s="13"/>
      <c r="G58" s="53"/>
      <c r="H58" s="18">
        <v>5950.4100000000108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 spans="1:24" s="64" customFormat="1" ht="13.5" customHeight="1" x14ac:dyDescent="0.2">
      <c r="A59" s="184"/>
      <c r="B59" s="63"/>
      <c r="C59" s="63" t="s">
        <v>4999</v>
      </c>
      <c r="D59" s="50"/>
      <c r="E59" s="51">
        <v>300</v>
      </c>
      <c r="F59" s="13"/>
      <c r="G59" s="53"/>
      <c r="H59" s="18">
        <v>5650.4100000000108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 spans="1:24" s="64" customFormat="1" ht="13.5" customHeight="1" x14ac:dyDescent="0.2">
      <c r="A60" s="184"/>
      <c r="B60" s="63"/>
      <c r="C60" s="63" t="s">
        <v>5000</v>
      </c>
      <c r="D60" s="50"/>
      <c r="E60" s="51">
        <v>180</v>
      </c>
      <c r="F60" s="13"/>
      <c r="G60" s="53"/>
      <c r="H60" s="18">
        <v>5470.4100000000108</v>
      </c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 spans="1:24" s="64" customFormat="1" ht="13.5" customHeight="1" x14ac:dyDescent="0.2">
      <c r="A61" s="184"/>
      <c r="B61" s="63"/>
      <c r="C61" s="63" t="s">
        <v>5001</v>
      </c>
      <c r="D61" s="50"/>
      <c r="E61" s="51">
        <v>70</v>
      </c>
      <c r="F61" s="13"/>
      <c r="G61" s="53"/>
      <c r="H61" s="18">
        <v>5400.4100000000108</v>
      </c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</row>
    <row r="62" spans="1:24" s="64" customFormat="1" ht="13.5" customHeight="1" x14ac:dyDescent="0.2">
      <c r="A62" s="184"/>
      <c r="B62" s="63"/>
      <c r="C62" s="63" t="s">
        <v>5002</v>
      </c>
      <c r="D62" s="50"/>
      <c r="E62" s="51">
        <v>30</v>
      </c>
      <c r="F62" s="13"/>
      <c r="G62" s="53"/>
      <c r="H62" s="18">
        <v>5370.4100000000108</v>
      </c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 spans="1:24" s="64" customFormat="1" ht="13.5" customHeight="1" x14ac:dyDescent="0.2">
      <c r="A63" s="184"/>
      <c r="B63" s="63"/>
      <c r="C63" s="32" t="s">
        <v>5003</v>
      </c>
      <c r="D63" s="50"/>
      <c r="E63" s="51">
        <v>400</v>
      </c>
      <c r="F63" s="13"/>
      <c r="G63" s="53">
        <v>4970.4100000000108</v>
      </c>
      <c r="H63" s="18">
        <v>4970.4100000000108</v>
      </c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</row>
    <row r="64" spans="1:24" s="64" customFormat="1" ht="13.5" customHeight="1" x14ac:dyDescent="0.2">
      <c r="A64" s="184">
        <v>44130</v>
      </c>
      <c r="B64" s="63"/>
      <c r="C64" s="63" t="s">
        <v>5004</v>
      </c>
      <c r="D64" s="50"/>
      <c r="E64" s="51">
        <v>43.7</v>
      </c>
      <c r="F64" s="13"/>
      <c r="G64" s="53"/>
      <c r="H64" s="18">
        <v>4926.710000000011</v>
      </c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</row>
    <row r="65" spans="1:24" s="64" customFormat="1" ht="13.5" customHeight="1" x14ac:dyDescent="0.2">
      <c r="A65" s="184"/>
      <c r="B65" s="63"/>
      <c r="C65" s="63" t="s">
        <v>5005</v>
      </c>
      <c r="D65" s="50"/>
      <c r="E65" s="51">
        <v>16</v>
      </c>
      <c r="F65" s="13"/>
      <c r="G65" s="53"/>
      <c r="H65" s="18">
        <v>4910.710000000011</v>
      </c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</row>
    <row r="66" spans="1:24" s="64" customFormat="1" ht="13.5" customHeight="1" x14ac:dyDescent="0.2">
      <c r="A66" s="184"/>
      <c r="B66" s="63"/>
      <c r="C66" s="63" t="s">
        <v>5006</v>
      </c>
      <c r="D66" s="50"/>
      <c r="E66" s="51">
        <v>45</v>
      </c>
      <c r="F66" s="13"/>
      <c r="G66" s="53">
        <v>4865.710000000011</v>
      </c>
      <c r="H66" s="18">
        <v>4865.710000000011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</row>
    <row r="67" spans="1:24" s="64" customFormat="1" ht="13.5" customHeight="1" x14ac:dyDescent="0.2">
      <c r="A67" s="184">
        <v>44131</v>
      </c>
      <c r="B67" s="63"/>
      <c r="C67" s="32" t="s">
        <v>5007</v>
      </c>
      <c r="D67" s="50"/>
      <c r="E67" s="552">
        <v>2000</v>
      </c>
      <c r="F67" s="13"/>
      <c r="G67" s="53">
        <v>2865.710000000011</v>
      </c>
      <c r="H67" s="18">
        <v>2865.710000000011</v>
      </c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 spans="1:24" s="64" customFormat="1" ht="13.5" customHeight="1" x14ac:dyDescent="0.2">
      <c r="A68" s="184">
        <v>44132</v>
      </c>
      <c r="B68" s="63"/>
      <c r="C68" s="63" t="s">
        <v>5008</v>
      </c>
      <c r="D68" s="50"/>
      <c r="E68" s="51">
        <v>30</v>
      </c>
      <c r="F68" s="13"/>
      <c r="G68" s="53"/>
      <c r="H68" s="18">
        <v>2835.710000000011</v>
      </c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 spans="1:24" s="64" customFormat="1" ht="13.5" customHeight="1" x14ac:dyDescent="0.2">
      <c r="A69" s="184"/>
      <c r="B69" s="63"/>
      <c r="C69" s="63" t="s">
        <v>5009</v>
      </c>
      <c r="D69" s="50"/>
      <c r="E69" s="51">
        <v>72</v>
      </c>
      <c r="F69" s="13"/>
      <c r="G69" s="53"/>
      <c r="H69" s="18">
        <v>2763.710000000011</v>
      </c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 spans="1:24" s="64" customFormat="1" ht="13.5" customHeight="1" x14ac:dyDescent="0.2">
      <c r="A70" s="184"/>
      <c r="B70" s="63"/>
      <c r="C70" s="63" t="s">
        <v>5010</v>
      </c>
      <c r="D70" s="50"/>
      <c r="E70" s="51">
        <v>119.97</v>
      </c>
      <c r="F70" s="13"/>
      <c r="G70" s="53"/>
      <c r="H70" s="18">
        <v>2643.7400000000112</v>
      </c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</row>
    <row r="71" spans="1:24" s="64" customFormat="1" ht="13.5" customHeight="1" x14ac:dyDescent="0.2">
      <c r="A71" s="184"/>
      <c r="B71" s="63"/>
      <c r="C71" s="63" t="s">
        <v>5011</v>
      </c>
      <c r="D71" s="50"/>
      <c r="E71" s="51"/>
      <c r="F71" s="13">
        <v>1464</v>
      </c>
      <c r="G71" s="53">
        <v>4107.7400000000107</v>
      </c>
      <c r="H71" s="18">
        <v>4107.7400000000107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 spans="1:24" s="64" customFormat="1" ht="13.5" customHeight="1" x14ac:dyDescent="0.2">
      <c r="A72" s="184">
        <v>44133</v>
      </c>
      <c r="B72" s="63"/>
      <c r="C72" s="63" t="s">
        <v>5012</v>
      </c>
      <c r="D72" s="50"/>
      <c r="E72" s="51">
        <v>380</v>
      </c>
      <c r="F72" s="13"/>
      <c r="G72" s="53"/>
      <c r="H72" s="18">
        <v>3727.7400000000107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 spans="1:24" s="64" customFormat="1" ht="13.5" customHeight="1" x14ac:dyDescent="0.2">
      <c r="A73" s="184"/>
      <c r="B73" s="63"/>
      <c r="C73" s="63" t="s">
        <v>5013</v>
      </c>
      <c r="D73" s="50"/>
      <c r="E73" s="51">
        <v>95</v>
      </c>
      <c r="F73" s="13"/>
      <c r="G73" s="53"/>
      <c r="H73" s="18">
        <v>3632.7400000000107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 spans="1:24" s="64" customFormat="1" ht="13.5" customHeight="1" x14ac:dyDescent="0.2">
      <c r="A74" s="184"/>
      <c r="B74" s="63"/>
      <c r="C74" s="63" t="s">
        <v>5014</v>
      </c>
      <c r="D74" s="50"/>
      <c r="E74" s="51">
        <v>0.7</v>
      </c>
      <c r="F74" s="13"/>
      <c r="G74" s="178">
        <v>3632.0400000000109</v>
      </c>
      <c r="H74" s="18">
        <v>3632.0400000000109</v>
      </c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</row>
    <row r="75" spans="1:24" s="64" customFormat="1" ht="13.5" customHeight="1" thickBot="1" x14ac:dyDescent="0.25">
      <c r="A75" s="184"/>
      <c r="B75" s="63"/>
      <c r="C75" s="63"/>
      <c r="D75" s="50"/>
      <c r="E75" s="650">
        <f>-SUM(E4:E27,E29,E34:E47,E51:E66,E68:E74)</f>
        <v>-8805.0399999999991</v>
      </c>
      <c r="F75" s="651">
        <f>SUM(F6:F74)</f>
        <v>20551.25</v>
      </c>
      <c r="G75" s="53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 spans="1:24" ht="13.5" customHeight="1" thickBot="1" x14ac:dyDescent="0.25">
      <c r="A76" s="2" t="s">
        <v>2</v>
      </c>
      <c r="B76" s="3"/>
      <c r="C76" s="3" t="s">
        <v>536</v>
      </c>
      <c r="D76" s="3" t="s">
        <v>4</v>
      </c>
      <c r="E76" s="3" t="s">
        <v>5</v>
      </c>
      <c r="F76" s="3" t="s">
        <v>6</v>
      </c>
      <c r="G76" s="5" t="s">
        <v>7</v>
      </c>
    </row>
    <row r="77" spans="1:24" ht="13.5" customHeight="1" x14ac:dyDescent="0.2">
      <c r="A77" s="8">
        <v>44105</v>
      </c>
      <c r="B77" s="56"/>
      <c r="C77" s="10" t="s">
        <v>8</v>
      </c>
      <c r="D77" s="11"/>
      <c r="E77" s="51"/>
      <c r="F77" s="12"/>
      <c r="G77" s="205">
        <v>30500.000000000004</v>
      </c>
    </row>
    <row r="78" spans="1:24" ht="13.5" customHeight="1" x14ac:dyDescent="0.2">
      <c r="A78" s="171"/>
      <c r="B78" s="46"/>
      <c r="C78" s="32" t="s">
        <v>1002</v>
      </c>
      <c r="D78" s="11"/>
      <c r="E78" s="30">
        <v>202.36000000000058</v>
      </c>
      <c r="F78" s="12"/>
      <c r="G78" s="182">
        <v>30297.640000000003</v>
      </c>
    </row>
    <row r="79" spans="1:24" s="64" customFormat="1" ht="13.5" customHeight="1" x14ac:dyDescent="0.2">
      <c r="A79" s="184"/>
      <c r="B79" s="63"/>
      <c r="C79" s="742" t="s">
        <v>5015</v>
      </c>
      <c r="D79" s="50"/>
      <c r="E79" s="51">
        <v>577.16999999999996</v>
      </c>
      <c r="F79" s="13"/>
      <c r="G79" s="182">
        <v>29720.470000000005</v>
      </c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 spans="1:24" ht="13.5" customHeight="1" x14ac:dyDescent="0.2">
      <c r="A80" s="180"/>
      <c r="B80" s="56"/>
      <c r="C80" s="742" t="s">
        <v>5016</v>
      </c>
      <c r="D80" s="11"/>
      <c r="E80" s="30"/>
      <c r="F80" s="12">
        <v>900</v>
      </c>
      <c r="G80" s="182">
        <v>30620.470000000005</v>
      </c>
    </row>
    <row r="81" spans="1:24" ht="13.5" customHeight="1" x14ac:dyDescent="0.2">
      <c r="A81" s="180"/>
      <c r="B81" s="56"/>
      <c r="C81" s="742" t="s">
        <v>5017</v>
      </c>
      <c r="D81" s="11"/>
      <c r="E81" s="30"/>
      <c r="F81" s="12">
        <v>1100</v>
      </c>
      <c r="G81" s="182">
        <v>31720.470000000005</v>
      </c>
    </row>
    <row r="82" spans="1:24" ht="13.5" customHeight="1" x14ac:dyDescent="0.2">
      <c r="A82" s="180"/>
      <c r="B82" s="56"/>
      <c r="C82" s="742" t="s">
        <v>5018</v>
      </c>
      <c r="D82" s="11"/>
      <c r="E82" s="30"/>
      <c r="F82" s="12">
        <v>220</v>
      </c>
      <c r="G82" s="182">
        <v>31940.470000000005</v>
      </c>
    </row>
    <row r="83" spans="1:24" ht="13.5" customHeight="1" x14ac:dyDescent="0.2">
      <c r="A83" s="180">
        <v>44112</v>
      </c>
      <c r="B83" s="56"/>
      <c r="C83" s="36" t="s">
        <v>5019</v>
      </c>
      <c r="D83" s="11"/>
      <c r="E83" s="30">
        <v>165.15</v>
      </c>
      <c r="F83" s="12"/>
      <c r="G83" s="182">
        <v>31775.320000000003</v>
      </c>
    </row>
    <row r="84" spans="1:24" ht="13.5" customHeight="1" x14ac:dyDescent="0.2">
      <c r="A84" s="180"/>
      <c r="B84" s="56"/>
      <c r="C84" s="742" t="s">
        <v>5020</v>
      </c>
      <c r="D84" s="50"/>
      <c r="E84" s="51"/>
      <c r="F84" s="13">
        <v>100</v>
      </c>
      <c r="G84" s="182">
        <v>31875.320000000003</v>
      </c>
    </row>
    <row r="85" spans="1:24" ht="13.5" customHeight="1" x14ac:dyDescent="0.2">
      <c r="A85" s="180"/>
      <c r="B85" s="56"/>
      <c r="C85" s="742" t="s">
        <v>5021</v>
      </c>
      <c r="D85" s="50"/>
      <c r="E85" s="51"/>
      <c r="F85" s="13">
        <v>250</v>
      </c>
      <c r="G85" s="182">
        <v>32125.320000000003</v>
      </c>
    </row>
    <row r="86" spans="1:24" ht="13.5" customHeight="1" x14ac:dyDescent="0.2">
      <c r="A86" s="180">
        <v>44113</v>
      </c>
      <c r="B86" s="56"/>
      <c r="C86" s="36" t="s">
        <v>5022</v>
      </c>
      <c r="D86" s="11"/>
      <c r="E86" s="30">
        <v>167.31</v>
      </c>
      <c r="F86" s="12"/>
      <c r="G86" s="182">
        <v>31958.010000000002</v>
      </c>
    </row>
    <row r="87" spans="1:24" s="64" customFormat="1" ht="13.5" customHeight="1" x14ac:dyDescent="0.2">
      <c r="A87" s="184"/>
      <c r="B87" s="63"/>
      <c r="C87" s="36" t="s">
        <v>5023</v>
      </c>
      <c r="D87" s="50"/>
      <c r="E87" s="30">
        <v>167.31</v>
      </c>
      <c r="F87" s="13"/>
      <c r="G87" s="182">
        <v>31790.7</v>
      </c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 spans="1:24" s="64" customFormat="1" ht="13.5" customHeight="1" x14ac:dyDescent="0.2">
      <c r="A88" s="184"/>
      <c r="B88" s="63"/>
      <c r="C88" s="36" t="s">
        <v>5024</v>
      </c>
      <c r="D88" s="50"/>
      <c r="E88" s="30">
        <v>168.33</v>
      </c>
      <c r="F88" s="13"/>
      <c r="G88" s="182">
        <v>31622.37</v>
      </c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 spans="1:24" s="64" customFormat="1" ht="13.5" customHeight="1" x14ac:dyDescent="0.2">
      <c r="A89" s="184"/>
      <c r="B89" s="63"/>
      <c r="C89" s="36" t="s">
        <v>5025</v>
      </c>
      <c r="D89" s="50"/>
      <c r="E89" s="30">
        <v>165.69</v>
      </c>
      <c r="F89" s="13"/>
      <c r="G89" s="182">
        <v>31456.68</v>
      </c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 spans="1:24" s="64" customFormat="1" ht="13.5" customHeight="1" x14ac:dyDescent="0.2">
      <c r="A90" s="184"/>
      <c r="B90" s="63"/>
      <c r="C90" s="36" t="s">
        <v>4971</v>
      </c>
      <c r="D90" s="50"/>
      <c r="E90" s="51"/>
      <c r="F90" s="277">
        <v>5000</v>
      </c>
      <c r="G90" s="182">
        <v>36456.68</v>
      </c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 spans="1:24" s="64" customFormat="1" ht="13.5" customHeight="1" x14ac:dyDescent="0.2">
      <c r="A91" s="184"/>
      <c r="B91" s="63"/>
      <c r="C91" s="34" t="s">
        <v>5026</v>
      </c>
      <c r="D91" s="50"/>
      <c r="E91" s="51">
        <v>2000</v>
      </c>
      <c r="F91" s="13"/>
      <c r="G91" s="182">
        <v>34456.68</v>
      </c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 spans="1:24" s="64" customFormat="1" ht="13.5" customHeight="1" x14ac:dyDescent="0.2">
      <c r="A92" s="184"/>
      <c r="B92" s="63"/>
      <c r="C92" s="742" t="s">
        <v>5027</v>
      </c>
      <c r="D92" s="50"/>
      <c r="E92" s="51"/>
      <c r="F92" s="13">
        <v>3500</v>
      </c>
      <c r="G92" s="182">
        <v>37956.68</v>
      </c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 spans="1:24" s="64" customFormat="1" ht="13.5" customHeight="1" x14ac:dyDescent="0.2">
      <c r="A93" s="184"/>
      <c r="B93" s="63"/>
      <c r="C93" s="742" t="s">
        <v>5028</v>
      </c>
      <c r="D93" s="50"/>
      <c r="E93" s="51"/>
      <c r="F93" s="13">
        <v>200</v>
      </c>
      <c r="G93" s="182">
        <v>38156.68</v>
      </c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 spans="1:24" s="64" customFormat="1" ht="13.5" customHeight="1" x14ac:dyDescent="0.2">
      <c r="A94" s="184">
        <v>44117</v>
      </c>
      <c r="B94" s="63"/>
      <c r="C94" s="742" t="s">
        <v>5029</v>
      </c>
      <c r="D94" s="50"/>
      <c r="E94" s="51">
        <v>640</v>
      </c>
      <c r="F94" s="13"/>
      <c r="G94" s="182">
        <v>37516.68</v>
      </c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 spans="1:24" s="64" customFormat="1" ht="13.5" customHeight="1" x14ac:dyDescent="0.2">
      <c r="A95" s="184"/>
      <c r="B95" s="63"/>
      <c r="C95" s="742" t="s">
        <v>4864</v>
      </c>
      <c r="D95" s="50"/>
      <c r="E95" s="51">
        <v>500</v>
      </c>
      <c r="F95" s="13"/>
      <c r="G95" s="182">
        <v>37016.68</v>
      </c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 spans="1:24" s="64" customFormat="1" ht="13.5" customHeight="1" x14ac:dyDescent="0.2">
      <c r="A96" s="184">
        <v>44118</v>
      </c>
      <c r="B96" s="63"/>
      <c r="C96" s="742" t="s">
        <v>5030</v>
      </c>
      <c r="D96" s="11"/>
      <c r="E96" s="30"/>
      <c r="F96" s="12">
        <v>1390</v>
      </c>
      <c r="G96" s="182">
        <v>38406.68</v>
      </c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 spans="1:24" s="64" customFormat="1" ht="13.5" customHeight="1" x14ac:dyDescent="0.2">
      <c r="A97" s="184"/>
      <c r="B97" s="63"/>
      <c r="C97" s="742" t="s">
        <v>5031</v>
      </c>
      <c r="D97" s="50"/>
      <c r="E97" s="51"/>
      <c r="F97" s="13">
        <v>1240</v>
      </c>
      <c r="G97" s="182">
        <v>39646.68</v>
      </c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 spans="1:24" s="64" customFormat="1" ht="13.5" customHeight="1" x14ac:dyDescent="0.2">
      <c r="A98" s="184"/>
      <c r="B98" s="63"/>
      <c r="C98" s="742" t="s">
        <v>5032</v>
      </c>
      <c r="D98" s="50"/>
      <c r="E98" s="51"/>
      <c r="F98" s="13">
        <v>1740</v>
      </c>
      <c r="G98" s="182">
        <v>41386.68</v>
      </c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</row>
    <row r="99" spans="1:24" s="64" customFormat="1" ht="13.5" customHeight="1" x14ac:dyDescent="0.2">
      <c r="A99" s="184"/>
      <c r="B99" s="63"/>
      <c r="C99" s="742" t="s">
        <v>5033</v>
      </c>
      <c r="D99" s="11"/>
      <c r="E99" s="30"/>
      <c r="F99" s="12">
        <v>1790</v>
      </c>
      <c r="G99" s="182">
        <v>43176.68</v>
      </c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 spans="1:24" s="64" customFormat="1" ht="13.5" customHeight="1" x14ac:dyDescent="0.2">
      <c r="A100" s="184">
        <v>44119</v>
      </c>
      <c r="B100" s="63"/>
      <c r="C100" s="743" t="s">
        <v>4710</v>
      </c>
      <c r="D100" s="50"/>
      <c r="E100" s="552">
        <v>5000</v>
      </c>
      <c r="F100" s="13"/>
      <c r="G100" s="182">
        <v>38176.68</v>
      </c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 spans="1:24" s="64" customFormat="1" ht="13.5" customHeight="1" x14ac:dyDescent="0.2">
      <c r="A101" s="184">
        <v>44123</v>
      </c>
      <c r="B101" s="63"/>
      <c r="C101" s="743" t="s">
        <v>5034</v>
      </c>
      <c r="D101" s="50"/>
      <c r="E101" s="51"/>
      <c r="F101" s="13">
        <v>945</v>
      </c>
      <c r="G101" s="182">
        <v>39121.68</v>
      </c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</row>
    <row r="102" spans="1:24" s="64" customFormat="1" ht="13.5" customHeight="1" x14ac:dyDescent="0.2">
      <c r="A102" s="184"/>
      <c r="B102" s="63"/>
      <c r="C102" s="36" t="s">
        <v>4990</v>
      </c>
      <c r="D102" s="50"/>
      <c r="E102" s="51"/>
      <c r="F102" s="277">
        <v>4400</v>
      </c>
      <c r="G102" s="182">
        <v>43521.68</v>
      </c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</row>
    <row r="103" spans="1:24" s="64" customFormat="1" ht="13.5" customHeight="1" x14ac:dyDescent="0.2">
      <c r="A103" s="184"/>
      <c r="B103" s="63"/>
      <c r="C103" s="743" t="s">
        <v>5035</v>
      </c>
      <c r="D103" s="50"/>
      <c r="E103" s="51">
        <v>20</v>
      </c>
      <c r="F103" s="12"/>
      <c r="G103" s="182">
        <v>43501.68</v>
      </c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 spans="1:24" s="64" customFormat="1" ht="13.5" customHeight="1" x14ac:dyDescent="0.2">
      <c r="A104" s="184">
        <v>44124</v>
      </c>
      <c r="B104" s="63"/>
      <c r="C104" s="36" t="s">
        <v>5036</v>
      </c>
      <c r="D104" s="50"/>
      <c r="E104" s="51">
        <v>4400</v>
      </c>
      <c r="F104" s="13"/>
      <c r="G104" s="182">
        <v>39101.68</v>
      </c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 spans="1:24" s="64" customFormat="1" ht="13.5" customHeight="1" x14ac:dyDescent="0.2">
      <c r="A105" s="184"/>
      <c r="B105" s="63"/>
      <c r="C105" s="34" t="s">
        <v>5037</v>
      </c>
      <c r="D105" s="50"/>
      <c r="E105" s="51">
        <v>160</v>
      </c>
      <c r="F105" s="13"/>
      <c r="G105" s="182">
        <v>38941.68</v>
      </c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 spans="1:24" s="64" customFormat="1" ht="13.5" customHeight="1" x14ac:dyDescent="0.2">
      <c r="A106" s="184"/>
      <c r="B106" s="63"/>
      <c r="C106" s="34" t="s">
        <v>4714</v>
      </c>
      <c r="D106" s="50"/>
      <c r="E106" s="51">
        <v>54.8</v>
      </c>
      <c r="F106" s="13"/>
      <c r="G106" s="182">
        <v>38886.879999999997</v>
      </c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</row>
    <row r="107" spans="1:24" s="64" customFormat="1" ht="13.5" customHeight="1" x14ac:dyDescent="0.2">
      <c r="A107" s="184"/>
      <c r="B107" s="63"/>
      <c r="C107" s="32" t="s">
        <v>5038</v>
      </c>
      <c r="D107" s="50"/>
      <c r="E107" s="30">
        <v>183.25</v>
      </c>
      <c r="F107" s="13"/>
      <c r="G107" s="182">
        <v>38703.629999999997</v>
      </c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</row>
    <row r="108" spans="1:24" s="64" customFormat="1" ht="13.5" customHeight="1" x14ac:dyDescent="0.2">
      <c r="A108" s="184"/>
      <c r="B108" s="63"/>
      <c r="C108" s="32" t="s">
        <v>5039</v>
      </c>
      <c r="D108" s="50"/>
      <c r="E108" s="51">
        <v>379.03</v>
      </c>
      <c r="F108" s="13"/>
      <c r="G108" s="182">
        <v>38324.6</v>
      </c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</row>
    <row r="109" spans="1:24" s="64" customFormat="1" ht="13.5" customHeight="1" x14ac:dyDescent="0.2">
      <c r="A109" s="184"/>
      <c r="B109" s="63"/>
      <c r="C109" s="138" t="s">
        <v>5040</v>
      </c>
      <c r="D109" s="50"/>
      <c r="E109" s="51">
        <v>1328.6</v>
      </c>
      <c r="F109" s="13"/>
      <c r="G109" s="182">
        <v>36996</v>
      </c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</row>
    <row r="110" spans="1:24" s="64" customFormat="1" ht="13.5" customHeight="1" x14ac:dyDescent="0.2">
      <c r="A110" s="184"/>
      <c r="B110" s="63"/>
      <c r="C110" s="138" t="s">
        <v>5041</v>
      </c>
      <c r="D110" s="50"/>
      <c r="E110" s="51">
        <v>36</v>
      </c>
      <c r="F110" s="13"/>
      <c r="G110" s="182">
        <v>36960</v>
      </c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</row>
    <row r="111" spans="1:24" s="64" customFormat="1" ht="13.5" customHeight="1" x14ac:dyDescent="0.2">
      <c r="A111" s="184"/>
      <c r="B111" s="63"/>
      <c r="C111" s="32" t="s">
        <v>5042</v>
      </c>
      <c r="D111" s="50"/>
      <c r="E111" s="51">
        <v>18</v>
      </c>
      <c r="F111" s="13"/>
      <c r="G111" s="182">
        <v>36942</v>
      </c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</row>
    <row r="112" spans="1:24" s="64" customFormat="1" ht="13.5" customHeight="1" x14ac:dyDescent="0.2">
      <c r="A112" s="184">
        <v>44131</v>
      </c>
      <c r="B112" s="63"/>
      <c r="C112" s="32" t="s">
        <v>5007</v>
      </c>
      <c r="D112" s="50"/>
      <c r="E112" s="51"/>
      <c r="F112" s="168">
        <v>2000</v>
      </c>
      <c r="G112" s="182">
        <v>38942</v>
      </c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</row>
    <row r="113" spans="1:24" s="64" customFormat="1" ht="13.5" customHeight="1" x14ac:dyDescent="0.2">
      <c r="A113" s="184"/>
      <c r="B113" s="63"/>
      <c r="C113" s="138" t="s">
        <v>5043</v>
      </c>
      <c r="D113" s="50"/>
      <c r="E113" s="51">
        <v>1900</v>
      </c>
      <c r="F113" s="13"/>
      <c r="G113" s="182">
        <v>37042</v>
      </c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 spans="1:24" ht="13.5" customHeight="1" x14ac:dyDescent="0.2">
      <c r="A114" s="180">
        <v>44132</v>
      </c>
      <c r="B114" s="56"/>
      <c r="C114" s="743" t="s">
        <v>5044</v>
      </c>
      <c r="D114" s="11"/>
      <c r="E114" s="30">
        <v>475</v>
      </c>
      <c r="F114" s="12"/>
      <c r="G114" s="182">
        <v>36567</v>
      </c>
    </row>
    <row r="115" spans="1:24" ht="13.5" customHeight="1" x14ac:dyDescent="0.2">
      <c r="A115" s="184"/>
      <c r="B115" s="63"/>
      <c r="C115" s="743" t="s">
        <v>5045</v>
      </c>
      <c r="D115" s="50"/>
      <c r="E115" s="30">
        <v>475</v>
      </c>
      <c r="F115" s="13"/>
      <c r="G115" s="182">
        <v>36092</v>
      </c>
    </row>
    <row r="116" spans="1:24" ht="13.5" customHeight="1" x14ac:dyDescent="0.2">
      <c r="A116" s="184"/>
      <c r="B116" s="63"/>
      <c r="C116" s="743" t="s">
        <v>5045</v>
      </c>
      <c r="D116" s="50"/>
      <c r="E116" s="30"/>
      <c r="F116" s="13">
        <v>475</v>
      </c>
      <c r="G116" s="205">
        <v>36567</v>
      </c>
    </row>
    <row r="117" spans="1:24" ht="13.5" customHeight="1" thickBot="1" x14ac:dyDescent="0.25">
      <c r="A117" s="184"/>
      <c r="B117" s="63"/>
      <c r="C117" s="36"/>
      <c r="D117" s="50"/>
      <c r="E117" s="653">
        <f>-SUM(E78:E99,E103:E116)</f>
        <v>-14183</v>
      </c>
      <c r="F117" s="651">
        <f>SUM(F80:F89,F92:F101,F116)</f>
        <v>13850</v>
      </c>
      <c r="G117" s="182"/>
    </row>
    <row r="118" spans="1:24" ht="13.5" customHeight="1" thickBot="1" x14ac:dyDescent="0.25">
      <c r="A118" s="2" t="s">
        <v>2</v>
      </c>
      <c r="B118" s="3"/>
      <c r="C118" s="3" t="s">
        <v>3</v>
      </c>
      <c r="D118" s="3"/>
      <c r="E118" s="3"/>
      <c r="F118" s="3"/>
      <c r="G118" s="5" t="s">
        <v>7</v>
      </c>
    </row>
    <row r="119" spans="1:24" ht="13.5" customHeight="1" x14ac:dyDescent="0.2">
      <c r="A119" s="8">
        <v>44105</v>
      </c>
      <c r="B119" s="70"/>
      <c r="C119" s="10" t="s">
        <v>537</v>
      </c>
      <c r="D119" s="46"/>
      <c r="E119" s="67"/>
      <c r="F119" s="67"/>
      <c r="G119" s="205">
        <v>2173.0799999999972</v>
      </c>
    </row>
    <row r="120" spans="1:24" ht="13.5" customHeight="1" x14ac:dyDescent="0.2">
      <c r="A120" s="171">
        <v>44110</v>
      </c>
      <c r="B120" s="46"/>
      <c r="C120" s="34" t="s">
        <v>55</v>
      </c>
      <c r="D120" s="46"/>
      <c r="E120" s="69">
        <v>-400</v>
      </c>
      <c r="F120" s="69"/>
      <c r="G120" s="182">
        <v>1773.0799999999972</v>
      </c>
    </row>
    <row r="121" spans="1:24" ht="13.5" customHeight="1" x14ac:dyDescent="0.2">
      <c r="A121" s="171"/>
      <c r="B121" s="46"/>
      <c r="C121" s="36" t="s">
        <v>20</v>
      </c>
      <c r="D121" s="46" t="s">
        <v>488</v>
      </c>
      <c r="E121" s="69"/>
      <c r="F121" s="69">
        <v>0.02</v>
      </c>
      <c r="G121" s="182">
        <v>1773.0999999999972</v>
      </c>
    </row>
    <row r="122" spans="1:24" ht="13.5" customHeight="1" x14ac:dyDescent="0.2">
      <c r="A122" s="171" t="s">
        <v>5046</v>
      </c>
      <c r="B122" s="46"/>
      <c r="C122" s="36" t="s">
        <v>20</v>
      </c>
      <c r="D122" s="46" t="s">
        <v>488</v>
      </c>
      <c r="E122" s="69"/>
      <c r="F122" s="69">
        <v>0.12</v>
      </c>
      <c r="G122" s="182">
        <v>1773.2199999999971</v>
      </c>
    </row>
    <row r="123" spans="1:24" ht="13.5" customHeight="1" x14ac:dyDescent="0.2">
      <c r="A123" s="180" t="s">
        <v>5047</v>
      </c>
      <c r="B123" s="46"/>
      <c r="C123" s="34" t="s">
        <v>87</v>
      </c>
      <c r="D123" s="46" t="s">
        <v>488</v>
      </c>
      <c r="E123" s="69">
        <v>-56.95</v>
      </c>
      <c r="F123" s="69"/>
      <c r="G123" s="182">
        <v>1716.269999999997</v>
      </c>
    </row>
    <row r="124" spans="1:24" ht="13.5" customHeight="1" x14ac:dyDescent="0.2">
      <c r="A124" s="180"/>
      <c r="B124" s="46"/>
      <c r="C124" s="34" t="s">
        <v>68</v>
      </c>
      <c r="D124" s="46" t="s">
        <v>5048</v>
      </c>
      <c r="E124" s="61">
        <v>-119</v>
      </c>
      <c r="F124" s="61"/>
      <c r="G124" s="182">
        <v>1597.269999999997</v>
      </c>
    </row>
    <row r="125" spans="1:24" ht="13.5" customHeight="1" x14ac:dyDescent="0.2">
      <c r="A125" s="180"/>
      <c r="B125" s="46"/>
      <c r="C125" s="34" t="s">
        <v>673</v>
      </c>
      <c r="D125" s="46" t="s">
        <v>488</v>
      </c>
      <c r="E125" s="69">
        <v>-103.98</v>
      </c>
      <c r="F125" s="69"/>
      <c r="G125" s="182">
        <v>1493.289999999997</v>
      </c>
    </row>
    <row r="126" spans="1:24" ht="13.5" customHeight="1" x14ac:dyDescent="0.2">
      <c r="A126" s="180"/>
      <c r="B126" s="9"/>
      <c r="C126" s="33" t="s">
        <v>81</v>
      </c>
      <c r="D126" s="46" t="s">
        <v>488</v>
      </c>
      <c r="E126" s="61">
        <v>-52.35</v>
      </c>
      <c r="F126" s="61"/>
      <c r="G126" s="182">
        <v>1440.9399999999971</v>
      </c>
    </row>
    <row r="127" spans="1:24" ht="13.5" customHeight="1" x14ac:dyDescent="0.2">
      <c r="A127" s="180"/>
      <c r="B127" s="9"/>
      <c r="C127" s="34" t="s">
        <v>62</v>
      </c>
      <c r="D127" s="46"/>
      <c r="E127" s="61">
        <v>-484.98</v>
      </c>
      <c r="F127" s="61"/>
      <c r="G127" s="182">
        <v>955.95999999999708</v>
      </c>
    </row>
    <row r="128" spans="1:24" ht="13.5" customHeight="1" x14ac:dyDescent="0.2">
      <c r="A128" s="180">
        <v>44118</v>
      </c>
      <c r="B128" s="9"/>
      <c r="C128" s="36" t="s">
        <v>4678</v>
      </c>
      <c r="D128" s="46"/>
      <c r="E128" s="61"/>
      <c r="F128" s="600">
        <v>200</v>
      </c>
      <c r="G128" s="182">
        <v>1155.9599999999971</v>
      </c>
    </row>
    <row r="129" spans="1:7" ht="13.5" customHeight="1" x14ac:dyDescent="0.2">
      <c r="A129" s="180">
        <v>44119</v>
      </c>
      <c r="B129" s="9"/>
      <c r="C129" s="34" t="s">
        <v>5049</v>
      </c>
      <c r="D129" s="46"/>
      <c r="E129" s="61">
        <v>-91.4</v>
      </c>
      <c r="F129" s="61"/>
      <c r="G129" s="182">
        <v>1064.559999999997</v>
      </c>
    </row>
    <row r="130" spans="1:7" ht="13.5" customHeight="1" x14ac:dyDescent="0.2">
      <c r="A130" s="180"/>
      <c r="B130" s="9"/>
      <c r="C130" s="34" t="s">
        <v>5050</v>
      </c>
      <c r="D130" s="46"/>
      <c r="E130" s="733">
        <v>-40.42</v>
      </c>
      <c r="F130" s="61"/>
      <c r="G130" s="182">
        <v>1024.1399999999969</v>
      </c>
    </row>
    <row r="131" spans="1:7" ht="13.5" customHeight="1" x14ac:dyDescent="0.2">
      <c r="A131" s="180"/>
      <c r="B131" s="46"/>
      <c r="C131" s="34" t="s">
        <v>4710</v>
      </c>
      <c r="D131" s="46"/>
      <c r="E131" s="69"/>
      <c r="F131" s="322">
        <v>5000</v>
      </c>
      <c r="G131" s="182">
        <v>6024.1399999999967</v>
      </c>
    </row>
    <row r="132" spans="1:7" ht="13.5" customHeight="1" x14ac:dyDescent="0.2">
      <c r="A132" s="180">
        <v>44123</v>
      </c>
      <c r="B132" s="46"/>
      <c r="C132" s="34" t="s">
        <v>4899</v>
      </c>
      <c r="D132" s="46"/>
      <c r="E132" s="69">
        <v>-47.61</v>
      </c>
      <c r="F132" s="69"/>
      <c r="G132" s="182">
        <v>5976.529999999997</v>
      </c>
    </row>
    <row r="133" spans="1:7" ht="13.5" customHeight="1" x14ac:dyDescent="0.2">
      <c r="A133" s="180"/>
      <c r="B133" s="46"/>
      <c r="C133" s="34" t="s">
        <v>5051</v>
      </c>
      <c r="D133" s="46"/>
      <c r="E133" s="69">
        <v>-350</v>
      </c>
      <c r="F133" s="69"/>
      <c r="G133" s="182">
        <v>5626.529999999997</v>
      </c>
    </row>
    <row r="134" spans="1:7" ht="13.5" customHeight="1" x14ac:dyDescent="0.2">
      <c r="A134" s="171"/>
      <c r="B134" s="46"/>
      <c r="C134" s="34" t="s">
        <v>5052</v>
      </c>
      <c r="D134" s="46" t="s">
        <v>488</v>
      </c>
      <c r="E134" s="69"/>
      <c r="F134" s="69">
        <v>75.900000000000006</v>
      </c>
      <c r="G134" s="182">
        <v>5702.4299999999967</v>
      </c>
    </row>
    <row r="135" spans="1:7" ht="13.5" customHeight="1" x14ac:dyDescent="0.2">
      <c r="A135" s="171" t="s">
        <v>5053</v>
      </c>
      <c r="B135" s="46"/>
      <c r="C135" s="34" t="s">
        <v>86</v>
      </c>
      <c r="D135" s="46" t="s">
        <v>488</v>
      </c>
      <c r="E135" s="69">
        <v>-10.65</v>
      </c>
      <c r="F135" s="69"/>
      <c r="G135" s="182">
        <v>5691.779999999997</v>
      </c>
    </row>
    <row r="136" spans="1:7" ht="13.5" customHeight="1" x14ac:dyDescent="0.2">
      <c r="A136" s="171"/>
      <c r="B136" s="46"/>
      <c r="C136" s="34" t="s">
        <v>134</v>
      </c>
      <c r="D136" s="46" t="s">
        <v>5054</v>
      </c>
      <c r="E136" s="69">
        <v>-119</v>
      </c>
      <c r="F136" s="69"/>
      <c r="G136" s="182">
        <v>5572.779999999997</v>
      </c>
    </row>
    <row r="137" spans="1:7" ht="13.5" customHeight="1" x14ac:dyDescent="0.2">
      <c r="A137" s="171"/>
      <c r="B137" s="46"/>
      <c r="C137" s="34" t="s">
        <v>3725</v>
      </c>
      <c r="D137" s="46" t="s">
        <v>488</v>
      </c>
      <c r="E137" s="69"/>
      <c r="F137" s="69">
        <v>280</v>
      </c>
      <c r="G137" s="182">
        <v>5852.779999999997</v>
      </c>
    </row>
    <row r="138" spans="1:7" ht="13.5" customHeight="1" x14ac:dyDescent="0.2">
      <c r="A138" s="171" t="s">
        <v>5055</v>
      </c>
      <c r="B138" s="46"/>
      <c r="C138" s="33" t="s">
        <v>736</v>
      </c>
      <c r="D138" s="46" t="s">
        <v>488</v>
      </c>
      <c r="E138" s="69">
        <v>-42.89</v>
      </c>
      <c r="F138" s="69"/>
      <c r="G138" s="182">
        <v>5809.89</v>
      </c>
    </row>
    <row r="139" spans="1:7" ht="13.5" customHeight="1" x14ac:dyDescent="0.2">
      <c r="A139" s="171"/>
      <c r="B139" s="46"/>
      <c r="C139" s="36" t="s">
        <v>129</v>
      </c>
      <c r="D139" s="46" t="s">
        <v>488</v>
      </c>
      <c r="E139" s="69">
        <v>-45.96</v>
      </c>
      <c r="F139" s="69"/>
      <c r="G139" s="182">
        <v>5763.93</v>
      </c>
    </row>
    <row r="140" spans="1:7" ht="13.5" customHeight="1" x14ac:dyDescent="0.2">
      <c r="A140" s="171"/>
      <c r="B140" s="46"/>
      <c r="C140" s="34" t="s">
        <v>5056</v>
      </c>
      <c r="D140" s="46" t="s">
        <v>488</v>
      </c>
      <c r="E140" s="69">
        <v>-45.96</v>
      </c>
      <c r="F140" s="69"/>
      <c r="G140" s="182">
        <v>5717.97</v>
      </c>
    </row>
    <row r="141" spans="1:7" ht="13.5" customHeight="1" x14ac:dyDescent="0.2">
      <c r="A141" s="171"/>
      <c r="B141" s="46"/>
      <c r="C141" s="34" t="s">
        <v>4899</v>
      </c>
      <c r="D141" s="46" t="s">
        <v>488</v>
      </c>
      <c r="E141" s="69">
        <v>-45.96</v>
      </c>
      <c r="F141" s="69"/>
      <c r="G141" s="182">
        <v>5672.01</v>
      </c>
    </row>
    <row r="142" spans="1:7" ht="13.5" customHeight="1" x14ac:dyDescent="0.2">
      <c r="A142" s="171"/>
      <c r="B142" s="46"/>
      <c r="C142" s="34" t="s">
        <v>130</v>
      </c>
      <c r="D142" s="46" t="s">
        <v>488</v>
      </c>
      <c r="E142" s="69">
        <v>-123.39</v>
      </c>
      <c r="F142" s="69"/>
      <c r="G142" s="182">
        <v>5548.62</v>
      </c>
    </row>
    <row r="143" spans="1:7" ht="13.5" customHeight="1" x14ac:dyDescent="0.2">
      <c r="A143" s="171" t="s">
        <v>5057</v>
      </c>
      <c r="B143" s="46"/>
      <c r="C143" s="34" t="s">
        <v>136</v>
      </c>
      <c r="D143" s="46" t="s">
        <v>488</v>
      </c>
      <c r="E143" s="69">
        <v>-45.9</v>
      </c>
      <c r="F143" s="69"/>
      <c r="G143" s="182">
        <v>5502.72</v>
      </c>
    </row>
    <row r="144" spans="1:7" ht="13.5" customHeight="1" x14ac:dyDescent="0.2">
      <c r="A144" s="171" t="s">
        <v>5058</v>
      </c>
      <c r="B144" s="46"/>
      <c r="C144" s="34" t="s">
        <v>5059</v>
      </c>
      <c r="D144" s="46" t="s">
        <v>5060</v>
      </c>
      <c r="E144" s="69">
        <v>-530</v>
      </c>
      <c r="F144" s="69"/>
      <c r="G144" s="182">
        <v>4972.72</v>
      </c>
    </row>
    <row r="145" spans="1:8" ht="13.5" customHeight="1" x14ac:dyDescent="0.2">
      <c r="A145" s="171"/>
      <c r="B145" s="46"/>
      <c r="C145" s="34" t="s">
        <v>5059</v>
      </c>
      <c r="D145" s="46" t="s">
        <v>5061</v>
      </c>
      <c r="E145" s="69">
        <v>-2788</v>
      </c>
      <c r="F145" s="69"/>
      <c r="G145" s="205">
        <v>2184.7199999999998</v>
      </c>
    </row>
    <row r="146" spans="1:8" ht="13.5" customHeight="1" thickBot="1" x14ac:dyDescent="0.25">
      <c r="A146" s="171"/>
      <c r="B146" s="46"/>
      <c r="C146" s="34"/>
      <c r="D146" s="46"/>
      <c r="E146" s="654">
        <f>SUM(E120:E145)</f>
        <v>-5544.4000000000005</v>
      </c>
      <c r="F146" s="654">
        <f>SUM(F121:F122,F134:F145)</f>
        <v>356.04</v>
      </c>
      <c r="G146" s="182"/>
    </row>
    <row r="147" spans="1:8" ht="13.5" customHeight="1" thickBot="1" x14ac:dyDescent="0.25">
      <c r="A147" s="2" t="s">
        <v>2</v>
      </c>
      <c r="B147" s="3"/>
      <c r="C147" s="3" t="s">
        <v>481</v>
      </c>
      <c r="D147" s="3"/>
      <c r="E147" s="3"/>
      <c r="F147" s="3"/>
      <c r="G147" s="5" t="s">
        <v>7</v>
      </c>
    </row>
    <row r="148" spans="1:8" ht="13.5" customHeight="1" x14ac:dyDescent="0.2">
      <c r="A148" s="8">
        <v>44105</v>
      </c>
      <c r="B148" s="70"/>
      <c r="C148" s="10" t="s">
        <v>537</v>
      </c>
      <c r="D148" s="602"/>
      <c r="E148" s="67"/>
      <c r="F148" s="67"/>
      <c r="G148" s="205">
        <v>17430.919999999998</v>
      </c>
      <c r="H148" s="18">
        <v>17430.919999999998</v>
      </c>
    </row>
    <row r="149" spans="1:8" ht="13.5" customHeight="1" x14ac:dyDescent="0.2">
      <c r="A149" s="171" t="s">
        <v>5062</v>
      </c>
      <c r="B149" s="46" t="s">
        <v>483</v>
      </c>
      <c r="C149" s="34" t="s">
        <v>199</v>
      </c>
      <c r="D149" s="553" t="s">
        <v>488</v>
      </c>
      <c r="E149" s="557">
        <v>-192.12</v>
      </c>
      <c r="F149" s="69"/>
      <c r="G149" s="182">
        <v>17238.8</v>
      </c>
      <c r="H149" s="18">
        <v>17238.8</v>
      </c>
    </row>
    <row r="150" spans="1:8" ht="13.5" customHeight="1" x14ac:dyDescent="0.2">
      <c r="A150" s="171" t="s">
        <v>5063</v>
      </c>
      <c r="B150" s="46" t="s">
        <v>483</v>
      </c>
      <c r="C150" s="34" t="s">
        <v>5064</v>
      </c>
      <c r="D150" s="553" t="s">
        <v>5065</v>
      </c>
      <c r="E150" s="557">
        <v>-917.72</v>
      </c>
      <c r="F150" s="69"/>
      <c r="G150" s="182" t="s">
        <v>483</v>
      </c>
      <c r="H150" s="18">
        <v>16321.08</v>
      </c>
    </row>
    <row r="151" spans="1:8" ht="13.5" customHeight="1" x14ac:dyDescent="0.2">
      <c r="A151" s="171"/>
      <c r="B151" s="46" t="s">
        <v>483</v>
      </c>
      <c r="C151" s="34" t="s">
        <v>5066</v>
      </c>
      <c r="D151" s="553" t="s">
        <v>5067</v>
      </c>
      <c r="E151" s="557">
        <v>-56.55</v>
      </c>
      <c r="F151" s="69"/>
      <c r="G151" s="182" t="s">
        <v>483</v>
      </c>
      <c r="H151" s="18">
        <v>16264.53</v>
      </c>
    </row>
    <row r="152" spans="1:8" ht="13.5" customHeight="1" x14ac:dyDescent="0.2">
      <c r="A152" s="171"/>
      <c r="B152" s="46" t="s">
        <v>483</v>
      </c>
      <c r="C152" s="34" t="s">
        <v>5068</v>
      </c>
      <c r="D152" s="553" t="s">
        <v>5069</v>
      </c>
      <c r="E152" s="557">
        <v>-183.06</v>
      </c>
      <c r="F152" s="69"/>
      <c r="G152" s="182">
        <v>16081.47</v>
      </c>
      <c r="H152" s="18">
        <v>16081.470000000001</v>
      </c>
    </row>
    <row r="153" spans="1:8" ht="13.5" customHeight="1" x14ac:dyDescent="0.2">
      <c r="A153" s="171" t="s">
        <v>5070</v>
      </c>
      <c r="B153" s="46" t="s">
        <v>483</v>
      </c>
      <c r="C153" s="34" t="s">
        <v>180</v>
      </c>
      <c r="D153" s="553" t="s">
        <v>488</v>
      </c>
      <c r="E153" s="557">
        <v>-345.63</v>
      </c>
      <c r="F153" s="69"/>
      <c r="G153" s="182" t="s">
        <v>483</v>
      </c>
      <c r="H153" s="18">
        <v>15735.840000000002</v>
      </c>
    </row>
    <row r="154" spans="1:8" ht="13.5" customHeight="1" x14ac:dyDescent="0.2">
      <c r="A154" s="171"/>
      <c r="B154" s="46" t="s">
        <v>483</v>
      </c>
      <c r="C154" s="34" t="s">
        <v>382</v>
      </c>
      <c r="D154" s="553" t="s">
        <v>488</v>
      </c>
      <c r="E154" s="557">
        <v>-253.96</v>
      </c>
      <c r="F154" s="69"/>
      <c r="G154" s="182">
        <v>15481.88</v>
      </c>
      <c r="H154" s="18">
        <v>15481.880000000003</v>
      </c>
    </row>
    <row r="155" spans="1:8" ht="13.5" customHeight="1" x14ac:dyDescent="0.2">
      <c r="A155" s="171"/>
      <c r="B155" s="46" t="s">
        <v>483</v>
      </c>
      <c r="C155" s="34" t="s">
        <v>4912</v>
      </c>
      <c r="D155" s="11" t="s">
        <v>5071</v>
      </c>
      <c r="E155" s="557">
        <v>-1076.68</v>
      </c>
      <c r="F155" s="69" t="s">
        <v>483</v>
      </c>
      <c r="G155" s="182"/>
      <c r="H155" s="18">
        <v>14405.200000000003</v>
      </c>
    </row>
    <row r="156" spans="1:8" ht="13.5" customHeight="1" x14ac:dyDescent="0.2">
      <c r="A156" s="171"/>
      <c r="B156" s="46" t="s">
        <v>483</v>
      </c>
      <c r="C156" s="34" t="s">
        <v>4747</v>
      </c>
      <c r="D156" s="11" t="s">
        <v>5072</v>
      </c>
      <c r="E156" s="557">
        <v>-661.17</v>
      </c>
      <c r="F156" s="69"/>
      <c r="G156" s="182">
        <v>13744.03</v>
      </c>
      <c r="H156" s="18">
        <v>13744.030000000002</v>
      </c>
    </row>
    <row r="157" spans="1:8" ht="13.5" customHeight="1" x14ac:dyDescent="0.2">
      <c r="A157" s="171" t="s">
        <v>5073</v>
      </c>
      <c r="B157" s="46" t="s">
        <v>483</v>
      </c>
      <c r="C157" s="34" t="s">
        <v>4619</v>
      </c>
      <c r="D157" s="11" t="s">
        <v>5074</v>
      </c>
      <c r="E157" s="557">
        <v>-600</v>
      </c>
      <c r="F157" s="69"/>
      <c r="G157" s="182" t="s">
        <v>483</v>
      </c>
      <c r="H157" s="18">
        <v>13144.030000000002</v>
      </c>
    </row>
    <row r="158" spans="1:8" ht="13.5" customHeight="1" x14ac:dyDescent="0.2">
      <c r="A158" s="171"/>
      <c r="B158" s="46" t="s">
        <v>483</v>
      </c>
      <c r="C158" s="34" t="s">
        <v>4620</v>
      </c>
      <c r="D158" s="11" t="s">
        <v>488</v>
      </c>
      <c r="E158" s="557">
        <v>-600</v>
      </c>
      <c r="F158" s="69"/>
      <c r="G158" s="182">
        <v>12544.03</v>
      </c>
      <c r="H158" s="18">
        <v>12544.030000000002</v>
      </c>
    </row>
    <row r="159" spans="1:8" ht="13.5" customHeight="1" x14ac:dyDescent="0.2">
      <c r="A159" s="171" t="s">
        <v>5075</v>
      </c>
      <c r="B159" s="46" t="s">
        <v>483</v>
      </c>
      <c r="C159" s="34" t="s">
        <v>5076</v>
      </c>
      <c r="D159" s="11" t="s">
        <v>5077</v>
      </c>
      <c r="E159" s="557">
        <v>-616.6</v>
      </c>
      <c r="F159" s="69" t="s">
        <v>483</v>
      </c>
      <c r="G159" s="182"/>
      <c r="H159" s="18">
        <v>11927.430000000002</v>
      </c>
    </row>
    <row r="160" spans="1:8" ht="13.5" customHeight="1" x14ac:dyDescent="0.2">
      <c r="A160" s="171"/>
      <c r="B160" s="46" t="s">
        <v>483</v>
      </c>
      <c r="C160" s="34" t="s">
        <v>5078</v>
      </c>
      <c r="D160" s="11" t="s">
        <v>5079</v>
      </c>
      <c r="E160" s="557">
        <v>-490</v>
      </c>
      <c r="F160" s="69" t="s">
        <v>483</v>
      </c>
      <c r="G160" s="182"/>
      <c r="H160" s="18">
        <v>11437.430000000002</v>
      </c>
    </row>
    <row r="161" spans="1:8" ht="13.5" customHeight="1" x14ac:dyDescent="0.2">
      <c r="A161" s="171"/>
      <c r="B161" s="46" t="s">
        <v>483</v>
      </c>
      <c r="C161" s="34" t="s">
        <v>5080</v>
      </c>
      <c r="D161" s="11" t="s">
        <v>488</v>
      </c>
      <c r="E161" s="69"/>
      <c r="F161" s="557">
        <v>4980.5</v>
      </c>
      <c r="G161" s="182"/>
      <c r="H161" s="18">
        <v>16417.93</v>
      </c>
    </row>
    <row r="162" spans="1:8" ht="13.5" customHeight="1" x14ac:dyDescent="0.2">
      <c r="A162" s="171"/>
      <c r="B162" s="46" t="s">
        <v>483</v>
      </c>
      <c r="C162" s="34" t="s">
        <v>5081</v>
      </c>
      <c r="D162" s="11" t="s">
        <v>5082</v>
      </c>
      <c r="E162" s="557">
        <v>-123.7</v>
      </c>
      <c r="F162" s="69"/>
      <c r="G162" s="182">
        <v>16294.23</v>
      </c>
      <c r="H162" s="18">
        <v>16294.23</v>
      </c>
    </row>
    <row r="163" spans="1:8" ht="13.5" customHeight="1" x14ac:dyDescent="0.2">
      <c r="A163" s="171" t="s">
        <v>5083</v>
      </c>
      <c r="B163" s="46" t="s">
        <v>483</v>
      </c>
      <c r="C163" s="34" t="s">
        <v>5084</v>
      </c>
      <c r="D163" s="11" t="s">
        <v>5085</v>
      </c>
      <c r="E163" s="557">
        <v>-262.89999999999998</v>
      </c>
      <c r="F163" s="69"/>
      <c r="G163" s="182">
        <v>16031.33</v>
      </c>
      <c r="H163" s="18">
        <v>16031.33</v>
      </c>
    </row>
    <row r="164" spans="1:8" ht="13.5" customHeight="1" x14ac:dyDescent="0.2">
      <c r="A164" s="171" t="s">
        <v>5086</v>
      </c>
      <c r="B164" s="46" t="s">
        <v>483</v>
      </c>
      <c r="C164" s="34" t="s">
        <v>4204</v>
      </c>
      <c r="D164" s="11" t="s">
        <v>5087</v>
      </c>
      <c r="E164" s="557">
        <v>-789</v>
      </c>
      <c r="F164" s="69"/>
      <c r="G164" s="182">
        <v>15242.33</v>
      </c>
      <c r="H164" s="18">
        <v>15242.33</v>
      </c>
    </row>
    <row r="165" spans="1:8" ht="13.5" customHeight="1" x14ac:dyDescent="0.2">
      <c r="A165" s="171">
        <v>44123</v>
      </c>
      <c r="B165" s="46"/>
      <c r="C165" s="34" t="s">
        <v>4988</v>
      </c>
      <c r="D165" s="11"/>
      <c r="E165" s="557"/>
      <c r="F165" s="322">
        <v>8250</v>
      </c>
      <c r="G165" s="182">
        <v>23492.33</v>
      </c>
      <c r="H165" s="18">
        <v>23492.33</v>
      </c>
    </row>
    <row r="166" spans="1:8" ht="13.5" customHeight="1" x14ac:dyDescent="0.2">
      <c r="A166" s="171">
        <v>44124</v>
      </c>
      <c r="B166" s="46"/>
      <c r="C166" s="34" t="s">
        <v>4631</v>
      </c>
      <c r="D166" s="11"/>
      <c r="E166" s="557">
        <v>-1331.82</v>
      </c>
      <c r="F166" s="69"/>
      <c r="G166" s="182"/>
      <c r="H166" s="18">
        <v>22160.510000000002</v>
      </c>
    </row>
    <row r="167" spans="1:8" ht="13.5" customHeight="1" x14ac:dyDescent="0.2">
      <c r="A167" s="171"/>
      <c r="B167" s="46" t="s">
        <v>483</v>
      </c>
      <c r="C167" s="34" t="s">
        <v>4636</v>
      </c>
      <c r="D167" s="11" t="s">
        <v>5088</v>
      </c>
      <c r="E167" s="557">
        <v>-433.84</v>
      </c>
      <c r="F167" s="69"/>
      <c r="G167" s="182">
        <v>21726.67</v>
      </c>
      <c r="H167" s="18">
        <v>21726.670000000002</v>
      </c>
    </row>
    <row r="168" spans="1:8" ht="13.5" customHeight="1" x14ac:dyDescent="0.2">
      <c r="A168" s="171" t="s">
        <v>5089</v>
      </c>
      <c r="B168" s="46" t="s">
        <v>483</v>
      </c>
      <c r="C168" s="34" t="s">
        <v>86</v>
      </c>
      <c r="D168" s="11" t="s">
        <v>488</v>
      </c>
      <c r="E168" s="557">
        <v>-109</v>
      </c>
      <c r="F168" s="69"/>
      <c r="G168" s="182"/>
      <c r="H168" s="18">
        <v>21617.670000000002</v>
      </c>
    </row>
    <row r="169" spans="1:8" ht="13.5" customHeight="1" x14ac:dyDescent="0.2">
      <c r="A169" s="171"/>
      <c r="B169" s="46" t="s">
        <v>483</v>
      </c>
      <c r="C169" s="34" t="s">
        <v>194</v>
      </c>
      <c r="D169" s="11" t="s">
        <v>488</v>
      </c>
      <c r="E169" s="557">
        <v>-70.02</v>
      </c>
      <c r="F169" s="69"/>
      <c r="G169" s="182"/>
      <c r="H169" s="18">
        <v>21547.65</v>
      </c>
    </row>
    <row r="170" spans="1:8" ht="13.5" customHeight="1" x14ac:dyDescent="0.2">
      <c r="A170" s="171"/>
      <c r="B170" s="46" t="s">
        <v>483</v>
      </c>
      <c r="C170" s="34" t="s">
        <v>195</v>
      </c>
      <c r="D170" s="11" t="s">
        <v>488</v>
      </c>
      <c r="E170" s="557">
        <v>-323.19</v>
      </c>
      <c r="F170" s="69"/>
      <c r="G170" s="182"/>
      <c r="H170" s="18">
        <v>21224.460000000003</v>
      </c>
    </row>
    <row r="171" spans="1:8" ht="13.5" customHeight="1" x14ac:dyDescent="0.2">
      <c r="A171" s="171"/>
      <c r="B171" s="46" t="s">
        <v>483</v>
      </c>
      <c r="C171" s="34" t="s">
        <v>196</v>
      </c>
      <c r="D171" s="11" t="s">
        <v>488</v>
      </c>
      <c r="E171" s="557">
        <v>-894.99</v>
      </c>
      <c r="F171" s="69"/>
      <c r="G171" s="182"/>
      <c r="H171" s="18">
        <v>20329.47</v>
      </c>
    </row>
    <row r="172" spans="1:8" ht="13.5" customHeight="1" x14ac:dyDescent="0.2">
      <c r="A172" s="171"/>
      <c r="B172" s="46" t="s">
        <v>483</v>
      </c>
      <c r="C172" s="34" t="s">
        <v>197</v>
      </c>
      <c r="D172" s="11" t="s">
        <v>488</v>
      </c>
      <c r="E172" s="557">
        <v>-1491.65</v>
      </c>
      <c r="F172" s="69"/>
      <c r="G172" s="182">
        <v>18837.82</v>
      </c>
      <c r="H172" s="18">
        <v>18837.82</v>
      </c>
    </row>
    <row r="173" spans="1:8" ht="13.5" customHeight="1" x14ac:dyDescent="0.2">
      <c r="A173" s="171" t="s">
        <v>5089</v>
      </c>
      <c r="B173" s="46" t="s">
        <v>483</v>
      </c>
      <c r="C173" s="34" t="s">
        <v>4934</v>
      </c>
      <c r="D173" s="11" t="s">
        <v>5090</v>
      </c>
      <c r="E173" s="557">
        <v>-836</v>
      </c>
      <c r="F173" s="69"/>
      <c r="G173" s="182">
        <v>18001.82</v>
      </c>
      <c r="H173" s="18">
        <v>18001.82</v>
      </c>
    </row>
    <row r="174" spans="1:8" ht="13.5" customHeight="1" x14ac:dyDescent="0.2">
      <c r="A174" s="171" t="s">
        <v>5091</v>
      </c>
      <c r="B174" s="46" t="s">
        <v>483</v>
      </c>
      <c r="C174" s="34" t="s">
        <v>86</v>
      </c>
      <c r="D174" s="11" t="s">
        <v>488</v>
      </c>
      <c r="E174" s="557">
        <v>-13</v>
      </c>
      <c r="F174" s="69"/>
      <c r="G174" s="182">
        <v>17988.82</v>
      </c>
      <c r="H174" s="18">
        <v>17988.82</v>
      </c>
    </row>
    <row r="175" spans="1:8" ht="13.5" customHeight="1" x14ac:dyDescent="0.2">
      <c r="A175" s="171" t="s">
        <v>5092</v>
      </c>
      <c r="B175" s="46" t="s">
        <v>483</v>
      </c>
      <c r="C175" s="34" t="s">
        <v>813</v>
      </c>
      <c r="D175" s="11" t="s">
        <v>5093</v>
      </c>
      <c r="E175" s="557">
        <v>-62.5</v>
      </c>
      <c r="F175" s="69"/>
      <c r="G175" s="205">
        <v>17926.32</v>
      </c>
      <c r="H175" s="18">
        <v>17926.32</v>
      </c>
    </row>
    <row r="176" spans="1:8" ht="13.5" customHeight="1" thickBot="1" x14ac:dyDescent="0.25">
      <c r="A176" s="171"/>
      <c r="B176" s="46"/>
      <c r="C176" s="34"/>
      <c r="D176" s="11"/>
      <c r="E176" s="654">
        <f>SUM(E149:E175)</f>
        <v>-12735.1</v>
      </c>
      <c r="F176" s="69">
        <f>SUM(F161)</f>
        <v>4980.5</v>
      </c>
      <c r="G176" s="182"/>
    </row>
    <row r="177" spans="1:9" ht="13.5" customHeight="1" thickBot="1" x14ac:dyDescent="0.25">
      <c r="A177" s="2" t="s">
        <v>2</v>
      </c>
      <c r="B177" s="3"/>
      <c r="C177" s="3" t="s">
        <v>525</v>
      </c>
      <c r="D177" s="3"/>
      <c r="E177" s="3"/>
      <c r="F177" s="3"/>
      <c r="G177" s="5" t="s">
        <v>7</v>
      </c>
    </row>
    <row r="178" spans="1:9" ht="13.5" customHeight="1" x14ac:dyDescent="0.2">
      <c r="A178" s="8">
        <v>44105</v>
      </c>
      <c r="B178" s="70"/>
      <c r="C178" s="10" t="s">
        <v>537</v>
      </c>
      <c r="D178" s="125"/>
      <c r="E178" s="67"/>
      <c r="F178" s="67"/>
      <c r="G178" s="205">
        <v>809.42999999999893</v>
      </c>
    </row>
    <row r="179" spans="1:9" ht="13.5" customHeight="1" x14ac:dyDescent="0.2">
      <c r="A179" s="171">
        <v>44475</v>
      </c>
      <c r="B179" s="46"/>
      <c r="C179" s="34" t="s">
        <v>613</v>
      </c>
      <c r="D179" s="11"/>
      <c r="E179" s="181">
        <v>16.5</v>
      </c>
      <c r="F179" s="69"/>
      <c r="G179" s="182">
        <v>792.92999999999893</v>
      </c>
    </row>
    <row r="180" spans="1:9" ht="13.5" customHeight="1" x14ac:dyDescent="0.2">
      <c r="A180" s="171"/>
      <c r="B180" s="46"/>
      <c r="C180" s="32" t="s">
        <v>3758</v>
      </c>
      <c r="D180" s="229"/>
      <c r="E180" s="69"/>
      <c r="F180" s="557">
        <v>1000</v>
      </c>
      <c r="G180" s="182">
        <v>1792.9299999999989</v>
      </c>
    </row>
    <row r="181" spans="1:9" ht="13.5" customHeight="1" x14ac:dyDescent="0.2">
      <c r="A181" s="171">
        <v>44111</v>
      </c>
      <c r="B181" s="46"/>
      <c r="C181" s="36" t="s">
        <v>530</v>
      </c>
      <c r="D181" s="11"/>
      <c r="E181" s="181">
        <v>930.05</v>
      </c>
      <c r="F181" s="69"/>
      <c r="G181" s="182">
        <v>862.87999999999897</v>
      </c>
      <c r="H181" s="653">
        <f>SUM(G3,G77,G119,G148)</f>
        <v>61839.83</v>
      </c>
      <c r="I181" s="33" t="s">
        <v>1798</v>
      </c>
    </row>
    <row r="182" spans="1:9" ht="13.5" customHeight="1" x14ac:dyDescent="0.2">
      <c r="A182" s="171">
        <v>44123</v>
      </c>
      <c r="B182" s="46"/>
      <c r="C182" s="34" t="s">
        <v>5094</v>
      </c>
      <c r="D182" s="229"/>
      <c r="E182" s="69"/>
      <c r="F182" s="557">
        <v>25</v>
      </c>
      <c r="G182" s="182">
        <v>887.87999999999897</v>
      </c>
    </row>
    <row r="183" spans="1:9" ht="13.5" customHeight="1" x14ac:dyDescent="0.2">
      <c r="A183" s="171">
        <v>44497</v>
      </c>
      <c r="B183" s="46"/>
      <c r="C183" s="36" t="s">
        <v>5095</v>
      </c>
      <c r="D183" s="229"/>
      <c r="E183" s="557">
        <v>500</v>
      </c>
      <c r="F183" s="69"/>
      <c r="G183" s="205">
        <v>387.87999999999897</v>
      </c>
      <c r="H183" s="30">
        <f>G74</f>
        <v>3632.0400000000109</v>
      </c>
      <c r="I183" s="33" t="s">
        <v>1799</v>
      </c>
    </row>
    <row r="184" spans="1:9" ht="13.5" customHeight="1" thickBot="1" x14ac:dyDescent="0.25">
      <c r="A184" s="180"/>
      <c r="B184" s="46"/>
      <c r="C184" s="34"/>
      <c r="D184" s="229"/>
      <c r="E184" s="69"/>
      <c r="F184" s="69"/>
      <c r="G184" s="182"/>
    </row>
    <row r="185" spans="1:9" ht="13.5" customHeight="1" thickBot="1" x14ac:dyDescent="0.25">
      <c r="A185" s="561" t="s">
        <v>2</v>
      </c>
      <c r="B185" s="562"/>
      <c r="C185" s="562" t="s">
        <v>534</v>
      </c>
      <c r="D185" s="563" t="s">
        <v>4</v>
      </c>
      <c r="E185" s="562" t="s">
        <v>5</v>
      </c>
      <c r="F185" s="562" t="s">
        <v>6</v>
      </c>
      <c r="G185" s="564" t="s">
        <v>7</v>
      </c>
      <c r="H185" s="30">
        <f>SUM(G116,G145,G175)</f>
        <v>56678.04</v>
      </c>
      <c r="I185" s="33" t="s">
        <v>1797</v>
      </c>
    </row>
    <row r="186" spans="1:9" ht="13.5" customHeight="1" x14ac:dyDescent="0.2">
      <c r="A186" s="568">
        <v>44448</v>
      </c>
      <c r="B186" s="569"/>
      <c r="C186" s="570" t="s">
        <v>8</v>
      </c>
      <c r="D186" s="571"/>
      <c r="E186" s="572"/>
      <c r="F186" s="573"/>
      <c r="G186" s="574">
        <v>51200</v>
      </c>
    </row>
    <row r="187" spans="1:9" ht="13.5" customHeight="1" x14ac:dyDescent="0.2">
      <c r="A187" s="180">
        <v>44475</v>
      </c>
      <c r="B187" s="70"/>
      <c r="C187" s="32" t="s">
        <v>3758</v>
      </c>
      <c r="D187" s="50"/>
      <c r="E187" s="13"/>
      <c r="F187" s="183">
        <v>1000</v>
      </c>
      <c r="G187" s="205">
        <v>52200</v>
      </c>
      <c r="H187" s="30">
        <f>SUM(E75,F75,E117,F117,E146,F146,E176,F176,)</f>
        <v>-1529.75</v>
      </c>
      <c r="I187" s="33" t="s">
        <v>3517</v>
      </c>
    </row>
    <row r="188" spans="1:9" ht="13.5" customHeight="1" thickBot="1" x14ac:dyDescent="0.25">
      <c r="A188" s="70"/>
      <c r="B188" s="70"/>
      <c r="C188" s="63"/>
      <c r="D188" s="50"/>
      <c r="E188" s="13"/>
      <c r="F188" s="13"/>
      <c r="G188" s="182"/>
    </row>
    <row r="189" spans="1:9" ht="13.5" customHeight="1" thickBot="1" x14ac:dyDescent="0.25">
      <c r="A189" s="213"/>
      <c r="B189" s="214"/>
      <c r="C189" s="215" t="s">
        <v>539</v>
      </c>
      <c r="D189" s="216"/>
      <c r="E189" s="187"/>
      <c r="F189" s="187"/>
      <c r="G189" s="217" t="s">
        <v>7</v>
      </c>
    </row>
    <row r="190" spans="1:9" ht="13.5" customHeight="1" x14ac:dyDescent="0.2">
      <c r="A190" s="74" t="s">
        <v>540</v>
      </c>
      <c r="B190" s="74"/>
      <c r="C190" s="218" t="s">
        <v>541</v>
      </c>
      <c r="D190" s="219"/>
      <c r="E190" s="220"/>
      <c r="F190" s="220"/>
      <c r="G190" s="75">
        <v>0</v>
      </c>
    </row>
    <row r="191" spans="1:9" ht="13.5" customHeight="1" x14ac:dyDescent="0.2">
      <c r="A191" s="221" t="s">
        <v>540</v>
      </c>
      <c r="B191" s="70"/>
      <c r="C191" s="63" t="s">
        <v>542</v>
      </c>
      <c r="D191" s="50"/>
      <c r="E191" s="13"/>
      <c r="F191" s="13"/>
      <c r="G191" s="75">
        <v>0</v>
      </c>
      <c r="H191" s="30">
        <f>SUM(H181+H187-H183-H185)</f>
        <v>-7.2759576141834259E-12</v>
      </c>
    </row>
    <row r="192" spans="1:9" ht="13.5" customHeight="1" x14ac:dyDescent="0.2">
      <c r="A192" s="70"/>
      <c r="B192" s="70"/>
      <c r="C192" s="222" t="s">
        <v>543</v>
      </c>
      <c r="D192" s="50"/>
      <c r="E192" s="13"/>
      <c r="F192" s="13"/>
      <c r="G192" s="14">
        <v>0</v>
      </c>
    </row>
    <row r="193" spans="1:7" ht="13.5" customHeight="1" x14ac:dyDescent="0.2">
      <c r="A193" s="70"/>
      <c r="B193" s="70"/>
      <c r="C193" s="63"/>
      <c r="D193" s="50"/>
      <c r="E193" s="13"/>
      <c r="F193" s="13"/>
      <c r="G193" s="14"/>
    </row>
    <row r="194" spans="1:7" ht="13.5" customHeight="1" x14ac:dyDescent="0.2">
      <c r="A194" s="70"/>
      <c r="B194" s="70"/>
      <c r="C194" s="222" t="s">
        <v>544</v>
      </c>
      <c r="D194" s="50"/>
      <c r="E194" s="13"/>
      <c r="F194" s="13"/>
      <c r="G194" s="14">
        <v>60310.080000000009</v>
      </c>
    </row>
    <row r="195" spans="1:7" ht="13.5" customHeight="1" x14ac:dyDescent="0.2">
      <c r="A195" s="70"/>
      <c r="B195" s="70"/>
      <c r="C195" s="63"/>
      <c r="D195" s="50"/>
      <c r="E195" s="13"/>
      <c r="F195" s="13"/>
      <c r="G195" s="75"/>
    </row>
    <row r="196" spans="1:7" ht="13.5" customHeight="1" x14ac:dyDescent="0.2">
      <c r="A196" s="76"/>
      <c r="B196" s="76"/>
      <c r="C196" s="222" t="s">
        <v>545</v>
      </c>
      <c r="D196" s="78"/>
      <c r="E196" s="78"/>
      <c r="F196" s="78"/>
      <c r="G196" s="14">
        <v>0</v>
      </c>
    </row>
    <row r="197" spans="1:7" ht="13.5" customHeight="1" x14ac:dyDescent="0.2">
      <c r="A197" s="76"/>
      <c r="B197" s="76"/>
      <c r="C197" s="78"/>
      <c r="D197" s="78"/>
      <c r="E197" s="78"/>
      <c r="F197" s="78"/>
      <c r="G197" s="75"/>
    </row>
    <row r="198" spans="1:7" ht="13.5" customHeight="1" x14ac:dyDescent="0.2">
      <c r="A198" s="70"/>
      <c r="B198" s="70"/>
      <c r="C198" s="63"/>
      <c r="D198" s="50"/>
      <c r="E198" s="13"/>
      <c r="F198" s="13"/>
      <c r="G198" s="75"/>
    </row>
    <row r="199" spans="1:7" ht="13.5" customHeight="1" x14ac:dyDescent="0.2">
      <c r="A199" s="70"/>
      <c r="B199" s="70"/>
      <c r="C199" s="63"/>
      <c r="D199" s="50"/>
      <c r="E199" s="13"/>
      <c r="F199" s="13"/>
      <c r="G199" s="182"/>
    </row>
    <row r="200" spans="1:7" ht="13.5" customHeight="1" x14ac:dyDescent="0.2">
      <c r="A200" s="70"/>
      <c r="B200" s="70"/>
      <c r="C200" s="63"/>
      <c r="D200" s="50"/>
      <c r="E200" s="13"/>
      <c r="F200" s="13"/>
      <c r="G200" s="182"/>
    </row>
    <row r="201" spans="1:7" ht="13.5" customHeight="1" x14ac:dyDescent="0.2">
      <c r="A201" s="70"/>
      <c r="B201" s="70"/>
      <c r="C201" s="63"/>
      <c r="D201" s="50"/>
      <c r="E201" s="13"/>
      <c r="F201" s="13"/>
      <c r="G201" s="182"/>
    </row>
    <row r="202" spans="1:7" ht="13.5" customHeight="1" x14ac:dyDescent="0.2">
      <c r="A202" s="70"/>
      <c r="B202" s="70"/>
      <c r="C202" s="63"/>
      <c r="D202" s="50"/>
      <c r="E202" s="13"/>
      <c r="F202" s="13"/>
      <c r="G202" s="182"/>
    </row>
    <row r="203" spans="1:7" ht="13.5" customHeight="1" x14ac:dyDescent="0.2">
      <c r="A203" s="70"/>
      <c r="B203" s="70"/>
      <c r="C203" s="63"/>
      <c r="D203" s="50"/>
      <c r="E203" s="13"/>
      <c r="F203" s="13"/>
      <c r="G203" s="182"/>
    </row>
    <row r="204" spans="1:7" ht="13.5" customHeight="1" x14ac:dyDescent="0.2">
      <c r="A204" s="70"/>
      <c r="B204" s="70"/>
      <c r="C204" s="63"/>
      <c r="D204" s="50"/>
      <c r="E204" s="13"/>
      <c r="F204" s="13"/>
      <c r="G204" s="182"/>
    </row>
    <row r="205" spans="1:7" ht="13.5" customHeight="1" x14ac:dyDescent="0.2">
      <c r="A205" s="70"/>
      <c r="B205" s="70"/>
      <c r="C205" s="63"/>
      <c r="D205" s="50"/>
      <c r="E205" s="13"/>
      <c r="F205" s="13"/>
      <c r="G205" s="182"/>
    </row>
    <row r="206" spans="1:7" ht="13.5" customHeight="1" x14ac:dyDescent="0.2">
      <c r="A206" s="70"/>
      <c r="B206" s="70"/>
      <c r="C206" s="63"/>
      <c r="D206" s="50"/>
      <c r="E206" s="13"/>
      <c r="F206" s="13"/>
      <c r="G206" s="182"/>
    </row>
    <row r="207" spans="1:7" ht="13.5" customHeight="1" x14ac:dyDescent="0.2">
      <c r="A207" s="70"/>
      <c r="B207" s="70"/>
      <c r="C207" s="63"/>
      <c r="D207" s="50"/>
      <c r="E207" s="13"/>
      <c r="F207" s="13"/>
      <c r="G207" s="182"/>
    </row>
    <row r="208" spans="1:7" ht="13.5" customHeight="1" x14ac:dyDescent="0.2">
      <c r="A208" s="70"/>
      <c r="B208" s="70"/>
      <c r="C208" s="63"/>
      <c r="D208" s="50"/>
      <c r="E208" s="13"/>
      <c r="F208" s="13"/>
      <c r="G208" s="182"/>
    </row>
    <row r="209" spans="1:7" ht="13.5" customHeight="1" x14ac:dyDescent="0.2">
      <c r="A209" s="70"/>
      <c r="B209" s="70"/>
      <c r="C209" s="63"/>
      <c r="D209" s="50"/>
      <c r="E209" s="13"/>
      <c r="F209" s="13"/>
      <c r="G209" s="182"/>
    </row>
    <row r="210" spans="1:7" ht="13.5" customHeight="1" x14ac:dyDescent="0.2">
      <c r="A210" s="70"/>
      <c r="B210" s="70"/>
      <c r="C210" s="63"/>
      <c r="D210" s="50"/>
      <c r="E210" s="13"/>
      <c r="F210" s="13"/>
      <c r="G210" s="182"/>
    </row>
    <row r="211" spans="1:7" ht="13.5" customHeight="1" x14ac:dyDescent="0.2">
      <c r="A211" s="70"/>
      <c r="B211" s="70"/>
      <c r="C211" s="63"/>
      <c r="D211" s="50"/>
      <c r="E211" s="13"/>
      <c r="F211" s="13"/>
      <c r="G211" s="182"/>
    </row>
    <row r="212" spans="1:7" ht="13.5" customHeight="1" x14ac:dyDescent="0.2">
      <c r="A212" s="70"/>
      <c r="B212" s="70"/>
      <c r="C212" s="63"/>
      <c r="D212" s="50"/>
      <c r="E212" s="13"/>
      <c r="F212" s="13"/>
      <c r="G212" s="182"/>
    </row>
    <row r="213" spans="1:7" ht="13.5" customHeight="1" x14ac:dyDescent="0.2">
      <c r="A213" s="70"/>
      <c r="B213" s="70"/>
      <c r="C213" s="63"/>
      <c r="D213" s="50"/>
      <c r="E213" s="13"/>
      <c r="F213" s="13"/>
      <c r="G213" s="182"/>
    </row>
    <row r="214" spans="1:7" ht="13.5" customHeight="1" x14ac:dyDescent="0.2">
      <c r="A214" s="70"/>
      <c r="B214" s="70"/>
      <c r="C214" s="63"/>
      <c r="D214" s="50"/>
      <c r="E214" s="13"/>
      <c r="F214" s="13"/>
      <c r="G214" s="182"/>
    </row>
    <row r="215" spans="1:7" ht="13.5" customHeight="1" x14ac:dyDescent="0.2">
      <c r="A215" s="70"/>
      <c r="B215" s="70"/>
      <c r="C215" s="63"/>
      <c r="D215" s="50"/>
      <c r="E215" s="13"/>
      <c r="F215" s="13"/>
      <c r="G215" s="182"/>
    </row>
    <row r="216" spans="1:7" ht="13.5" customHeight="1" x14ac:dyDescent="0.2">
      <c r="A216" s="70"/>
      <c r="B216" s="70"/>
      <c r="C216" s="63"/>
      <c r="D216" s="50"/>
      <c r="E216" s="13"/>
      <c r="F216" s="13"/>
      <c r="G216" s="182"/>
    </row>
    <row r="217" spans="1:7" ht="13.5" customHeight="1" x14ac:dyDescent="0.2">
      <c r="A217" s="70"/>
      <c r="B217" s="70"/>
      <c r="C217" s="63"/>
      <c r="D217" s="50"/>
      <c r="E217" s="13"/>
      <c r="F217" s="13"/>
      <c r="G217" s="182"/>
    </row>
    <row r="218" spans="1:7" ht="13.5" customHeight="1" x14ac:dyDescent="0.2">
      <c r="A218" s="70"/>
      <c r="B218" s="70"/>
      <c r="C218" s="63"/>
      <c r="D218" s="50"/>
      <c r="E218" s="13"/>
      <c r="F218" s="13"/>
      <c r="G218" s="182"/>
    </row>
    <row r="219" spans="1:7" ht="13.5" customHeight="1" x14ac:dyDescent="0.2">
      <c r="A219" s="70"/>
      <c r="B219" s="70"/>
      <c r="C219" s="63"/>
      <c r="D219" s="50"/>
      <c r="E219" s="13"/>
      <c r="F219" s="13"/>
      <c r="G219" s="182"/>
    </row>
    <row r="220" spans="1:7" ht="13.5" customHeight="1" x14ac:dyDescent="0.2">
      <c r="A220" s="70"/>
      <c r="B220" s="70"/>
      <c r="C220" s="63"/>
      <c r="D220" s="50"/>
      <c r="E220" s="13"/>
      <c r="F220" s="13"/>
      <c r="G220" s="182"/>
    </row>
    <row r="221" spans="1:7" ht="13.5" customHeight="1" x14ac:dyDescent="0.2">
      <c r="A221" s="70"/>
      <c r="B221" s="70"/>
      <c r="C221" s="63"/>
      <c r="D221" s="50"/>
      <c r="E221" s="13"/>
      <c r="F221" s="13"/>
      <c r="G221" s="182"/>
    </row>
    <row r="222" spans="1:7" ht="13.5" customHeight="1" x14ac:dyDescent="0.2">
      <c r="A222" s="70"/>
      <c r="B222" s="70"/>
      <c r="C222" s="63"/>
      <c r="D222" s="50"/>
      <c r="E222" s="13"/>
      <c r="F222" s="13"/>
      <c r="G222" s="182"/>
    </row>
    <row r="223" spans="1:7" ht="13.5" customHeight="1" x14ac:dyDescent="0.2">
      <c r="A223" s="70"/>
      <c r="B223" s="70"/>
      <c r="C223" s="63"/>
      <c r="D223" s="50"/>
      <c r="E223" s="13"/>
      <c r="F223" s="13"/>
      <c r="G223" s="182"/>
    </row>
    <row r="224" spans="1:7" ht="13.5" customHeight="1" x14ac:dyDescent="0.2">
      <c r="A224" s="70"/>
      <c r="B224" s="70"/>
      <c r="C224" s="63"/>
      <c r="D224" s="50"/>
      <c r="E224" s="13"/>
      <c r="F224" s="13"/>
      <c r="G224" s="182"/>
    </row>
    <row r="225" spans="1:7" ht="13.5" customHeight="1" x14ac:dyDescent="0.2">
      <c r="A225" s="70"/>
      <c r="B225" s="70"/>
      <c r="C225" s="63"/>
      <c r="D225" s="50"/>
      <c r="E225" s="13"/>
      <c r="F225" s="13"/>
      <c r="G225" s="182"/>
    </row>
    <row r="226" spans="1:7" ht="13.5" customHeight="1" x14ac:dyDescent="0.2">
      <c r="A226" s="131"/>
      <c r="B226" s="70"/>
      <c r="C226" s="64"/>
      <c r="D226" s="50"/>
      <c r="E226" s="13"/>
      <c r="F226" s="13"/>
      <c r="G226" s="182"/>
    </row>
    <row r="227" spans="1:7" ht="13.5" customHeight="1" x14ac:dyDescent="0.2">
      <c r="A227" s="70"/>
      <c r="B227" s="70"/>
      <c r="C227" s="63"/>
      <c r="D227" s="50"/>
      <c r="E227" s="13"/>
      <c r="F227" s="13"/>
      <c r="G227" s="182"/>
    </row>
    <row r="228" spans="1:7" ht="13.5" customHeight="1" x14ac:dyDescent="0.2">
      <c r="A228" s="70"/>
      <c r="B228" s="70"/>
      <c r="C228" s="63"/>
      <c r="D228" s="50"/>
      <c r="E228" s="13"/>
      <c r="F228" s="13"/>
      <c r="G228" s="182"/>
    </row>
    <row r="229" spans="1:7" ht="13.5" customHeight="1" x14ac:dyDescent="0.2">
      <c r="A229" s="131"/>
      <c r="B229" s="70"/>
      <c r="C229" s="85"/>
      <c r="D229" s="50"/>
      <c r="E229" s="13"/>
      <c r="F229" s="13"/>
      <c r="G229" s="182"/>
    </row>
    <row r="230" spans="1:7" ht="13.5" customHeight="1" x14ac:dyDescent="0.2">
      <c r="A230" s="131"/>
      <c r="B230" s="70"/>
      <c r="C230" s="63"/>
      <c r="D230" s="50"/>
      <c r="E230" s="13"/>
      <c r="F230" s="13"/>
      <c r="G230" s="182"/>
    </row>
    <row r="231" spans="1:7" ht="13.5" customHeight="1" x14ac:dyDescent="0.2">
      <c r="A231" s="131"/>
      <c r="B231" s="70"/>
      <c r="C231" s="63"/>
      <c r="D231" s="50"/>
      <c r="E231" s="13"/>
      <c r="F231" s="13"/>
      <c r="G231" s="182"/>
    </row>
    <row r="232" spans="1:7" ht="13.5" customHeight="1" x14ac:dyDescent="0.2">
      <c r="A232" s="131"/>
      <c r="B232" s="70"/>
      <c r="C232" s="64"/>
      <c r="D232" s="50"/>
      <c r="E232" s="13"/>
      <c r="F232" s="13"/>
      <c r="G232" s="182"/>
    </row>
    <row r="233" spans="1:7" ht="13.5" customHeight="1" x14ac:dyDescent="0.2">
      <c r="A233" s="70"/>
      <c r="B233" s="70"/>
      <c r="C233" s="63"/>
      <c r="D233" s="50"/>
      <c r="E233" s="13"/>
      <c r="F233" s="13"/>
      <c r="G233" s="182"/>
    </row>
    <row r="234" spans="1:7" ht="13.5" customHeight="1" x14ac:dyDescent="0.2">
      <c r="A234" s="131"/>
      <c r="B234" s="70"/>
      <c r="C234" s="63"/>
      <c r="D234" s="50"/>
      <c r="E234" s="13"/>
      <c r="F234" s="13"/>
      <c r="G234" s="182"/>
    </row>
    <row r="235" spans="1:7" ht="13.5" customHeight="1" x14ac:dyDescent="0.2">
      <c r="A235" s="131"/>
      <c r="B235" s="70"/>
      <c r="C235" s="64"/>
      <c r="D235" s="50"/>
      <c r="E235" s="13"/>
      <c r="F235" s="13"/>
      <c r="G235" s="182"/>
    </row>
    <row r="236" spans="1:7" ht="13.5" customHeight="1" x14ac:dyDescent="0.2">
      <c r="A236" s="70"/>
      <c r="B236" s="70"/>
      <c r="C236" s="63"/>
      <c r="D236" s="50"/>
      <c r="E236" s="13"/>
      <c r="F236" s="13"/>
      <c r="G236" s="182"/>
    </row>
    <row r="237" spans="1:7" ht="13.5" customHeight="1" x14ac:dyDescent="0.2">
      <c r="A237" s="131"/>
      <c r="B237" s="70"/>
      <c r="C237" s="63"/>
      <c r="D237" s="50"/>
      <c r="E237" s="13"/>
      <c r="F237" s="13"/>
      <c r="G237" s="182"/>
    </row>
    <row r="238" spans="1:7" ht="13.5" customHeight="1" x14ac:dyDescent="0.2">
      <c r="A238" s="131"/>
      <c r="B238" s="70"/>
      <c r="C238" s="64"/>
      <c r="D238" s="50"/>
      <c r="E238" s="13"/>
      <c r="F238" s="13"/>
      <c r="G238" s="182"/>
    </row>
    <row r="239" spans="1:7" ht="13.5" customHeight="1" x14ac:dyDescent="0.2">
      <c r="A239" s="70"/>
      <c r="B239" s="70"/>
      <c r="C239" s="63"/>
      <c r="D239" s="50"/>
      <c r="E239" s="13"/>
      <c r="F239" s="13"/>
      <c r="G239" s="182"/>
    </row>
    <row r="240" spans="1:7" ht="13.5" customHeight="1" x14ac:dyDescent="0.2">
      <c r="A240" s="70"/>
      <c r="B240" s="70"/>
      <c r="C240" s="63"/>
      <c r="D240" s="50"/>
      <c r="E240" s="13"/>
      <c r="F240" s="13"/>
      <c r="G240" s="182"/>
    </row>
    <row r="241" spans="1:7" ht="13.5" customHeight="1" x14ac:dyDescent="0.2">
      <c r="A241" s="70"/>
      <c r="B241" s="70"/>
      <c r="C241" s="63"/>
      <c r="D241" s="50"/>
      <c r="E241" s="13"/>
      <c r="F241" s="13"/>
      <c r="G241" s="182"/>
    </row>
    <row r="242" spans="1:7" ht="13.5" customHeight="1" x14ac:dyDescent="0.2">
      <c r="A242" s="131"/>
      <c r="B242" s="70"/>
      <c r="C242" s="86"/>
      <c r="D242" s="50"/>
      <c r="E242" s="13"/>
      <c r="F242" s="13"/>
      <c r="G242" s="182"/>
    </row>
    <row r="243" spans="1:7" ht="13.5" customHeight="1" x14ac:dyDescent="0.2">
      <c r="A243" s="131"/>
      <c r="B243" s="70"/>
      <c r="C243" s="85"/>
      <c r="D243" s="50"/>
      <c r="E243" s="13"/>
      <c r="F243" s="13"/>
      <c r="G243" s="182"/>
    </row>
    <row r="244" spans="1:7" ht="13.5" customHeight="1" x14ac:dyDescent="0.2">
      <c r="A244" s="131"/>
      <c r="B244" s="70"/>
      <c r="C244" s="87"/>
      <c r="D244" s="50"/>
      <c r="E244" s="13"/>
      <c r="F244" s="13"/>
      <c r="G244" s="182"/>
    </row>
    <row r="245" spans="1:7" ht="13.5" customHeight="1" x14ac:dyDescent="0.2">
      <c r="A245" s="131"/>
      <c r="B245" s="70"/>
      <c r="C245" s="88"/>
      <c r="D245" s="50"/>
      <c r="E245" s="13"/>
      <c r="F245" s="13"/>
      <c r="G245" s="182"/>
    </row>
    <row r="246" spans="1:7" ht="13.5" customHeight="1" x14ac:dyDescent="0.2">
      <c r="A246" s="91"/>
      <c r="B246" s="9"/>
      <c r="C246" s="56"/>
      <c r="D246" s="11"/>
      <c r="E246" s="12"/>
      <c r="F246" s="12"/>
      <c r="G246" s="182"/>
    </row>
    <row r="247" spans="1:7" ht="13.5" customHeight="1" x14ac:dyDescent="0.2">
      <c r="A247" s="9"/>
      <c r="B247" s="9"/>
      <c r="C247" s="56"/>
      <c r="D247" s="11"/>
      <c r="E247" s="12"/>
      <c r="F247" s="12"/>
      <c r="G247" s="182"/>
    </row>
    <row r="248" spans="1:7" ht="13.5" customHeight="1" x14ac:dyDescent="0.2">
      <c r="A248" s="9"/>
      <c r="B248" s="9"/>
      <c r="C248" s="56"/>
      <c r="D248" s="11"/>
      <c r="E248" s="12"/>
      <c r="F248" s="12"/>
      <c r="G248" s="182"/>
    </row>
    <row r="249" spans="1:7" ht="13.5" customHeight="1" x14ac:dyDescent="0.2">
      <c r="A249" s="91"/>
      <c r="B249" s="9"/>
      <c r="D249" s="11"/>
      <c r="E249" s="12"/>
      <c r="F249" s="12"/>
      <c r="G249" s="182"/>
    </row>
    <row r="250" spans="1:7" ht="13.5" customHeight="1" x14ac:dyDescent="0.2">
      <c r="A250" s="9"/>
      <c r="B250" s="9"/>
      <c r="C250" s="56"/>
      <c r="D250" s="11"/>
      <c r="E250" s="12"/>
      <c r="F250" s="12"/>
      <c r="G250" s="182"/>
    </row>
    <row r="251" spans="1:7" ht="13.5" customHeight="1" x14ac:dyDescent="0.2">
      <c r="A251" s="9"/>
      <c r="B251" s="9"/>
      <c r="C251" s="56"/>
      <c r="D251" s="11"/>
      <c r="E251" s="12"/>
      <c r="F251" s="12"/>
      <c r="G251" s="182"/>
    </row>
    <row r="252" spans="1:7" ht="13.5" customHeight="1" x14ac:dyDescent="0.2">
      <c r="A252" s="9"/>
      <c r="B252" s="9"/>
      <c r="C252" s="56"/>
      <c r="D252" s="11"/>
      <c r="E252" s="12"/>
      <c r="F252" s="12"/>
      <c r="G252" s="182"/>
    </row>
    <row r="253" spans="1:7" ht="13.5" customHeight="1" x14ac:dyDescent="0.2">
      <c r="A253" s="91"/>
      <c r="B253" s="9"/>
      <c r="C253" s="27"/>
      <c r="D253" s="11"/>
      <c r="E253" s="12"/>
      <c r="F253" s="12"/>
      <c r="G253" s="182"/>
    </row>
    <row r="254" spans="1:7" ht="13.5" customHeight="1" x14ac:dyDescent="0.2">
      <c r="A254" s="91"/>
      <c r="B254" s="9"/>
      <c r="C254" s="27"/>
      <c r="D254" s="11"/>
      <c r="E254" s="12"/>
      <c r="F254" s="12"/>
      <c r="G254" s="182"/>
    </row>
    <row r="255" spans="1:7" ht="13.5" customHeight="1" x14ac:dyDescent="0.2">
      <c r="A255" s="91"/>
      <c r="B255" s="9"/>
      <c r="D255" s="11"/>
      <c r="E255" s="12"/>
      <c r="F255" s="12"/>
      <c r="G255" s="182"/>
    </row>
    <row r="256" spans="1:7" ht="13.5" customHeight="1" x14ac:dyDescent="0.2">
      <c r="A256" s="9"/>
      <c r="B256" s="9"/>
      <c r="C256" s="56"/>
      <c r="D256" s="11"/>
      <c r="E256" s="12"/>
      <c r="F256" s="12"/>
      <c r="G256" s="182"/>
    </row>
    <row r="257" spans="1:7" ht="13.5" customHeight="1" x14ac:dyDescent="0.2">
      <c r="A257" s="9"/>
      <c r="B257" s="9"/>
      <c r="C257" s="56"/>
      <c r="D257" s="11"/>
      <c r="E257" s="12"/>
      <c r="F257" s="12"/>
      <c r="G257" s="182"/>
    </row>
    <row r="258" spans="1:7" ht="13.5" customHeight="1" x14ac:dyDescent="0.2">
      <c r="A258" s="9"/>
      <c r="B258" s="9"/>
      <c r="C258" s="56"/>
      <c r="D258" s="11"/>
      <c r="E258" s="12"/>
      <c r="F258" s="12"/>
      <c r="G258" s="182"/>
    </row>
    <row r="259" spans="1:7" ht="13.5" customHeight="1" x14ac:dyDescent="0.2">
      <c r="A259" s="9"/>
      <c r="B259" s="9"/>
      <c r="C259" s="56"/>
      <c r="D259" s="11"/>
      <c r="E259" s="12"/>
      <c r="F259" s="12"/>
      <c r="G259" s="182"/>
    </row>
    <row r="260" spans="1:7" x14ac:dyDescent="0.2">
      <c r="A260" s="132"/>
      <c r="B260" s="93"/>
      <c r="C260" s="94"/>
      <c r="D260" s="27"/>
      <c r="E260" s="27"/>
      <c r="F260" s="27"/>
      <c r="G260" s="182"/>
    </row>
  </sheetData>
  <mergeCells count="2">
    <mergeCell ref="A1:C1"/>
    <mergeCell ref="D1:G1"/>
  </mergeCells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X309"/>
  <sheetViews>
    <sheetView topLeftCell="A217" zoomScale="85" zoomScaleNormal="85" workbookViewId="0">
      <selection activeCell="H224" sqref="H224"/>
    </sheetView>
  </sheetViews>
  <sheetFormatPr defaultColWidth="9" defaultRowHeight="12.75" x14ac:dyDescent="0.2"/>
  <cols>
    <col min="1" max="1" width="14" style="1" customWidth="1"/>
    <col min="2" max="2" width="1.875" style="1" customWidth="1"/>
    <col min="3" max="3" width="99.25" style="1" customWidth="1"/>
    <col min="4" max="4" width="12" style="1" customWidth="1"/>
    <col min="5" max="5" width="12.375" style="1" customWidth="1"/>
    <col min="6" max="6" width="10.75" style="1" customWidth="1"/>
    <col min="7" max="7" width="11.875" style="1" customWidth="1"/>
    <col min="8" max="8" width="9.375" style="1" bestFit="1" customWidth="1"/>
    <col min="9" max="9" width="12.625" style="1" customWidth="1"/>
    <col min="10" max="16384" width="9" style="1"/>
  </cols>
  <sheetData>
    <row r="1" spans="1:8" ht="13.5" customHeight="1" thickBot="1" x14ac:dyDescent="0.25">
      <c r="A1" s="1407" t="s">
        <v>5096</v>
      </c>
      <c r="B1" s="1407"/>
      <c r="C1" s="1408"/>
      <c r="D1" s="1409" t="s">
        <v>0</v>
      </c>
      <c r="E1" s="1410"/>
      <c r="F1" s="1410"/>
      <c r="G1" s="1411"/>
    </row>
    <row r="2" spans="1:8" ht="13.5" customHeight="1" thickBot="1" x14ac:dyDescent="0.25">
      <c r="A2" s="2" t="s">
        <v>2</v>
      </c>
      <c r="B2" s="3"/>
      <c r="C2" s="3" t="s">
        <v>2335</v>
      </c>
      <c r="D2" s="3" t="s">
        <v>4</v>
      </c>
      <c r="E2" s="3" t="s">
        <v>5</v>
      </c>
      <c r="F2" s="3" t="s">
        <v>6</v>
      </c>
      <c r="G2" s="5" t="s">
        <v>7</v>
      </c>
    </row>
    <row r="3" spans="1:8" ht="13.5" customHeight="1" x14ac:dyDescent="0.2">
      <c r="A3" s="8">
        <v>44136</v>
      </c>
      <c r="B3" s="56"/>
      <c r="C3" s="10" t="s">
        <v>8</v>
      </c>
      <c r="D3" s="11">
        <v>0</v>
      </c>
      <c r="E3" s="51"/>
      <c r="F3" s="12"/>
      <c r="G3" s="178">
        <v>3632.0400000000109</v>
      </c>
      <c r="H3" s="18">
        <v>3632.0400000000109</v>
      </c>
    </row>
    <row r="4" spans="1:8" ht="13.5" customHeight="1" x14ac:dyDescent="0.2">
      <c r="A4" s="180">
        <v>44139</v>
      </c>
      <c r="B4" s="56"/>
      <c r="C4" s="36" t="s">
        <v>5097</v>
      </c>
      <c r="D4" s="11"/>
      <c r="E4" s="30"/>
      <c r="F4" s="12">
        <v>250</v>
      </c>
      <c r="G4" s="182"/>
      <c r="H4" s="18">
        <v>3882.0400000000109</v>
      </c>
    </row>
    <row r="5" spans="1:8" ht="13.5" customHeight="1" x14ac:dyDescent="0.2">
      <c r="A5" s="180"/>
      <c r="B5" s="56"/>
      <c r="C5" s="36" t="s">
        <v>5098</v>
      </c>
      <c r="D5" s="11"/>
      <c r="E5" s="30">
        <v>30</v>
      </c>
      <c r="F5" s="12"/>
      <c r="G5" s="182"/>
      <c r="H5" s="18">
        <v>3852.0400000000109</v>
      </c>
    </row>
    <row r="6" spans="1:8" ht="13.5" customHeight="1" x14ac:dyDescent="0.2">
      <c r="A6" s="180"/>
      <c r="B6" s="56"/>
      <c r="C6" s="36" t="s">
        <v>5099</v>
      </c>
      <c r="D6" s="11"/>
      <c r="E6" s="30">
        <v>4.75</v>
      </c>
      <c r="F6" s="12"/>
      <c r="G6" s="182"/>
      <c r="H6" s="18">
        <v>3847.2900000000109</v>
      </c>
    </row>
    <row r="7" spans="1:8" ht="13.5" customHeight="1" x14ac:dyDescent="0.2">
      <c r="A7" s="180"/>
      <c r="B7" s="56"/>
      <c r="C7" s="36" t="s">
        <v>5100</v>
      </c>
      <c r="D7" s="11"/>
      <c r="E7" s="30">
        <v>53</v>
      </c>
      <c r="F7" s="12"/>
      <c r="G7" s="182"/>
      <c r="H7" s="18">
        <v>3794.2900000000109</v>
      </c>
    </row>
    <row r="8" spans="1:8" ht="13.5" customHeight="1" x14ac:dyDescent="0.2">
      <c r="A8" s="180"/>
      <c r="B8" s="56"/>
      <c r="C8" s="36" t="s">
        <v>5101</v>
      </c>
      <c r="D8" s="11"/>
      <c r="E8" s="30">
        <v>300</v>
      </c>
      <c r="F8" s="12"/>
      <c r="G8" s="182"/>
      <c r="H8" s="18">
        <v>3494.2900000000109</v>
      </c>
    </row>
    <row r="9" spans="1:8" ht="13.5" customHeight="1" x14ac:dyDescent="0.2">
      <c r="A9" s="180"/>
      <c r="B9" s="56"/>
      <c r="C9" s="34" t="s">
        <v>5102</v>
      </c>
      <c r="D9" s="11"/>
      <c r="E9" s="30">
        <v>100</v>
      </c>
      <c r="F9" s="12"/>
      <c r="G9" s="182"/>
      <c r="H9" s="18">
        <v>3394.2900000000109</v>
      </c>
    </row>
    <row r="10" spans="1:8" ht="13.5" customHeight="1" x14ac:dyDescent="0.2">
      <c r="A10" s="180"/>
      <c r="B10" s="56"/>
      <c r="C10" s="36" t="s">
        <v>5103</v>
      </c>
      <c r="D10" s="11"/>
      <c r="E10" s="30">
        <v>124.09</v>
      </c>
      <c r="F10" s="12"/>
      <c r="G10" s="182"/>
      <c r="H10" s="18">
        <v>3270.2000000000107</v>
      </c>
    </row>
    <row r="11" spans="1:8" ht="13.5" customHeight="1" x14ac:dyDescent="0.2">
      <c r="A11" s="180"/>
      <c r="B11" s="56"/>
      <c r="C11" s="32" t="s">
        <v>5104</v>
      </c>
      <c r="D11" s="11"/>
      <c r="E11" s="165">
        <v>160</v>
      </c>
      <c r="F11" s="30"/>
      <c r="G11" s="182">
        <v>3110.2000000000107</v>
      </c>
      <c r="H11" s="18">
        <v>3110.2000000000107</v>
      </c>
    </row>
    <row r="12" spans="1:8" ht="13.5" customHeight="1" x14ac:dyDescent="0.2">
      <c r="A12" s="180">
        <v>44140</v>
      </c>
      <c r="B12" s="56"/>
      <c r="C12" s="36" t="s">
        <v>5105</v>
      </c>
      <c r="D12" s="11"/>
      <c r="E12" s="30">
        <v>5</v>
      </c>
      <c r="F12" s="30"/>
      <c r="G12" s="182"/>
      <c r="H12" s="18">
        <v>3105.2000000000107</v>
      </c>
    </row>
    <row r="13" spans="1:8" ht="13.5" customHeight="1" x14ac:dyDescent="0.2">
      <c r="A13" s="180"/>
      <c r="B13" s="56"/>
      <c r="C13" s="36" t="s">
        <v>5106</v>
      </c>
      <c r="D13" s="11"/>
      <c r="E13" s="30">
        <v>4</v>
      </c>
      <c r="F13" s="30"/>
      <c r="G13" s="182"/>
      <c r="H13" s="18">
        <v>3101.2000000000107</v>
      </c>
    </row>
    <row r="14" spans="1:8" ht="13.5" customHeight="1" x14ac:dyDescent="0.2">
      <c r="A14" s="180"/>
      <c r="B14" s="56"/>
      <c r="C14" s="36" t="s">
        <v>5107</v>
      </c>
      <c r="D14" s="11"/>
      <c r="E14" s="30">
        <v>250</v>
      </c>
      <c r="F14" s="30"/>
      <c r="G14" s="182">
        <v>2851.2000000000107</v>
      </c>
      <c r="H14" s="18">
        <v>2851.2000000000107</v>
      </c>
    </row>
    <row r="15" spans="1:8" ht="13.5" customHeight="1" x14ac:dyDescent="0.2">
      <c r="A15" s="180">
        <v>44141</v>
      </c>
      <c r="B15" s="56"/>
      <c r="C15" s="34" t="s">
        <v>5108</v>
      </c>
      <c r="D15" s="11"/>
      <c r="E15" s="30"/>
      <c r="F15" s="30">
        <v>200</v>
      </c>
      <c r="G15" s="182"/>
      <c r="H15" s="18">
        <v>3051.2000000000107</v>
      </c>
    </row>
    <row r="16" spans="1:8" ht="13.5" customHeight="1" x14ac:dyDescent="0.2">
      <c r="A16" s="180"/>
      <c r="B16" s="56"/>
      <c r="C16" s="34" t="s">
        <v>5109</v>
      </c>
      <c r="D16" s="11"/>
      <c r="E16" s="30"/>
      <c r="F16" s="30">
        <v>60</v>
      </c>
      <c r="G16" s="182"/>
      <c r="H16" s="18">
        <v>3111.2000000000107</v>
      </c>
    </row>
    <row r="17" spans="1:8" ht="13.5" customHeight="1" x14ac:dyDescent="0.2">
      <c r="A17" s="180"/>
      <c r="B17" s="56"/>
      <c r="C17" s="34" t="s">
        <v>5110</v>
      </c>
      <c r="D17" s="11"/>
      <c r="E17" s="30">
        <v>30</v>
      </c>
      <c r="F17" s="30"/>
      <c r="G17" s="182"/>
      <c r="H17" s="18">
        <v>3081.2000000000107</v>
      </c>
    </row>
    <row r="18" spans="1:8" ht="13.5" customHeight="1" x14ac:dyDescent="0.2">
      <c r="A18" s="180"/>
      <c r="B18" s="56"/>
      <c r="C18" s="36" t="s">
        <v>4135</v>
      </c>
      <c r="D18" s="11"/>
      <c r="E18" s="30">
        <v>3</v>
      </c>
      <c r="F18" s="30"/>
      <c r="G18" s="182"/>
      <c r="H18" s="18">
        <v>3078.2000000000107</v>
      </c>
    </row>
    <row r="19" spans="1:8" ht="13.5" customHeight="1" x14ac:dyDescent="0.2">
      <c r="A19" s="180"/>
      <c r="B19" s="56"/>
      <c r="C19" s="36" t="s">
        <v>5111</v>
      </c>
      <c r="D19" s="11"/>
      <c r="E19" s="30">
        <v>120</v>
      </c>
      <c r="F19" s="30"/>
      <c r="G19" s="182"/>
      <c r="H19" s="18">
        <v>2958.2000000000107</v>
      </c>
    </row>
    <row r="20" spans="1:8" ht="13.5" customHeight="1" x14ac:dyDescent="0.2">
      <c r="A20" s="180"/>
      <c r="B20" s="56"/>
      <c r="C20" s="32" t="s">
        <v>5112</v>
      </c>
      <c r="D20" s="11"/>
      <c r="E20" s="165">
        <v>570</v>
      </c>
      <c r="F20" s="30"/>
      <c r="G20" s="182">
        <v>2388.2000000000107</v>
      </c>
      <c r="H20" s="18">
        <v>2388.2000000000107</v>
      </c>
    </row>
    <row r="21" spans="1:8" ht="13.5" customHeight="1" x14ac:dyDescent="0.2">
      <c r="A21" s="180">
        <v>44144</v>
      </c>
      <c r="B21" s="56"/>
      <c r="C21" s="36" t="s">
        <v>5113</v>
      </c>
      <c r="D21" s="11"/>
      <c r="E21" s="30"/>
      <c r="F21" s="30">
        <v>100</v>
      </c>
      <c r="G21" s="182"/>
      <c r="H21" s="18">
        <v>2488.2000000000107</v>
      </c>
    </row>
    <row r="22" spans="1:8" ht="13.5" customHeight="1" x14ac:dyDescent="0.2">
      <c r="A22" s="180"/>
      <c r="B22" s="56"/>
      <c r="C22" s="36" t="s">
        <v>3987</v>
      </c>
      <c r="D22" s="11"/>
      <c r="E22" s="30">
        <v>100</v>
      </c>
      <c r="F22" s="30"/>
      <c r="G22" s="182"/>
      <c r="H22" s="18">
        <v>2388.2000000000107</v>
      </c>
    </row>
    <row r="23" spans="1:8" ht="13.5" customHeight="1" x14ac:dyDescent="0.2">
      <c r="A23" s="180"/>
      <c r="B23" s="56"/>
      <c r="C23" s="36" t="s">
        <v>5114</v>
      </c>
      <c r="D23" s="11"/>
      <c r="E23" s="30">
        <v>120</v>
      </c>
      <c r="F23" s="30"/>
      <c r="G23" s="182"/>
      <c r="H23" s="18">
        <v>2268.2000000000107</v>
      </c>
    </row>
    <row r="24" spans="1:8" ht="13.5" customHeight="1" x14ac:dyDescent="0.2">
      <c r="A24" s="180"/>
      <c r="B24" s="56"/>
      <c r="C24" s="36" t="s">
        <v>5115</v>
      </c>
      <c r="D24" s="11"/>
      <c r="E24" s="30">
        <v>395.9</v>
      </c>
      <c r="F24" s="30"/>
      <c r="G24" s="182"/>
      <c r="H24" s="18">
        <v>1872.3000000000106</v>
      </c>
    </row>
    <row r="25" spans="1:8" ht="13.5" customHeight="1" x14ac:dyDescent="0.2">
      <c r="A25" s="180"/>
      <c r="B25" s="56"/>
      <c r="C25" s="36" t="s">
        <v>5116</v>
      </c>
      <c r="D25" s="11"/>
      <c r="E25" s="30"/>
      <c r="F25" s="30">
        <v>1340</v>
      </c>
      <c r="G25" s="182"/>
      <c r="H25" s="18">
        <v>3212.3000000000106</v>
      </c>
    </row>
    <row r="26" spans="1:8" ht="13.5" customHeight="1" x14ac:dyDescent="0.2">
      <c r="A26" s="180"/>
      <c r="B26" s="56"/>
      <c r="C26" s="36" t="s">
        <v>5117</v>
      </c>
      <c r="D26" s="11"/>
      <c r="E26" s="30"/>
      <c r="F26" s="30">
        <v>250</v>
      </c>
      <c r="G26" s="182"/>
      <c r="H26" s="18">
        <v>3462.3000000000106</v>
      </c>
    </row>
    <row r="27" spans="1:8" ht="13.5" customHeight="1" x14ac:dyDescent="0.2">
      <c r="A27" s="180"/>
      <c r="B27" s="56"/>
      <c r="C27" s="36" t="s">
        <v>5118</v>
      </c>
      <c r="D27" s="11"/>
      <c r="E27" s="30"/>
      <c r="F27" s="12">
        <v>60</v>
      </c>
      <c r="G27" s="182"/>
      <c r="H27" s="18">
        <v>3522.3000000000106</v>
      </c>
    </row>
    <row r="28" spans="1:8" ht="13.5" customHeight="1" x14ac:dyDescent="0.2">
      <c r="A28" s="180"/>
      <c r="B28" s="56"/>
      <c r="C28" s="36" t="s">
        <v>5119</v>
      </c>
      <c r="D28" s="11"/>
      <c r="E28" s="30"/>
      <c r="F28" s="12">
        <v>60</v>
      </c>
      <c r="G28" s="182">
        <v>3582.3000000000106</v>
      </c>
      <c r="H28" s="18">
        <v>3582.3000000000106</v>
      </c>
    </row>
    <row r="29" spans="1:8" ht="13.5" customHeight="1" x14ac:dyDescent="0.2">
      <c r="A29" s="180">
        <v>44145</v>
      </c>
      <c r="B29" s="56"/>
      <c r="C29" s="36" t="s">
        <v>5120</v>
      </c>
      <c r="D29" s="11"/>
      <c r="E29" s="165">
        <v>400</v>
      </c>
      <c r="F29" s="12"/>
      <c r="G29" s="182">
        <v>2932.3000000000106</v>
      </c>
      <c r="H29" s="18">
        <v>3182.3000000000106</v>
      </c>
    </row>
    <row r="30" spans="1:8" ht="13.5" customHeight="1" x14ac:dyDescent="0.2">
      <c r="A30" s="180">
        <v>44146</v>
      </c>
      <c r="B30" s="56"/>
      <c r="C30" s="36" t="s">
        <v>5121</v>
      </c>
      <c r="D30" s="11"/>
      <c r="E30" s="30"/>
      <c r="F30" s="12">
        <v>2200</v>
      </c>
      <c r="G30" s="182">
        <v>5382.3000000000102</v>
      </c>
      <c r="H30" s="18">
        <v>5382.3000000000102</v>
      </c>
    </row>
    <row r="31" spans="1:8" ht="13.5" customHeight="1" x14ac:dyDescent="0.2">
      <c r="A31" s="180">
        <v>44147</v>
      </c>
      <c r="B31" s="56"/>
      <c r="C31" s="36" t="s">
        <v>5122</v>
      </c>
      <c r="D31" s="11"/>
      <c r="E31" s="30">
        <v>22.3</v>
      </c>
      <c r="F31" s="12"/>
      <c r="G31" s="182"/>
      <c r="H31" s="18">
        <v>5360.00000000001</v>
      </c>
    </row>
    <row r="32" spans="1:8" ht="13.5" customHeight="1" x14ac:dyDescent="0.2">
      <c r="A32" s="180"/>
      <c r="B32" s="56"/>
      <c r="C32" s="36" t="s">
        <v>5123</v>
      </c>
      <c r="D32" s="11"/>
      <c r="E32" s="30">
        <v>8.75</v>
      </c>
      <c r="F32" s="12"/>
      <c r="G32" s="182"/>
      <c r="H32" s="18">
        <v>5351.25000000001</v>
      </c>
    </row>
    <row r="33" spans="1:8" ht="13.5" customHeight="1" x14ac:dyDescent="0.2">
      <c r="A33" s="180"/>
      <c r="B33" s="56"/>
      <c r="C33" s="36" t="s">
        <v>5124</v>
      </c>
      <c r="D33" s="11"/>
      <c r="E33" s="30">
        <v>6.25</v>
      </c>
      <c r="F33" s="12"/>
      <c r="G33" s="182"/>
      <c r="H33" s="18">
        <v>5345.00000000001</v>
      </c>
    </row>
    <row r="34" spans="1:8" ht="13.5" customHeight="1" x14ac:dyDescent="0.2">
      <c r="A34" s="180"/>
      <c r="B34" s="56"/>
      <c r="C34" s="36" t="s">
        <v>5125</v>
      </c>
      <c r="D34" s="11"/>
      <c r="E34" s="30">
        <v>23.75</v>
      </c>
      <c r="F34" s="12"/>
      <c r="G34" s="182"/>
      <c r="H34" s="18">
        <v>5321.25000000001</v>
      </c>
    </row>
    <row r="35" spans="1:8" ht="13.5" customHeight="1" x14ac:dyDescent="0.2">
      <c r="A35" s="180"/>
      <c r="B35" s="56"/>
      <c r="C35" s="36" t="s">
        <v>5126</v>
      </c>
      <c r="D35" s="11"/>
      <c r="E35" s="30">
        <v>250</v>
      </c>
      <c r="F35" s="12"/>
      <c r="G35" s="182"/>
      <c r="H35" s="18">
        <v>5071.25000000001</v>
      </c>
    </row>
    <row r="36" spans="1:8" ht="13.5" customHeight="1" x14ac:dyDescent="0.2">
      <c r="A36" s="180"/>
      <c r="B36" s="56"/>
      <c r="C36" s="36" t="s">
        <v>5127</v>
      </c>
      <c r="D36" s="11"/>
      <c r="E36" s="30">
        <v>8.75</v>
      </c>
      <c r="F36" s="12"/>
      <c r="G36" s="182"/>
      <c r="H36" s="18">
        <v>5062.50000000001</v>
      </c>
    </row>
    <row r="37" spans="1:8" ht="13.5" customHeight="1" x14ac:dyDescent="0.2">
      <c r="A37" s="180"/>
      <c r="B37" s="56"/>
      <c r="C37" s="36" t="s">
        <v>5128</v>
      </c>
      <c r="D37" s="11"/>
      <c r="E37" s="30">
        <v>5</v>
      </c>
      <c r="F37" s="12"/>
      <c r="G37" s="182"/>
      <c r="H37" s="18">
        <v>5057.50000000001</v>
      </c>
    </row>
    <row r="38" spans="1:8" ht="13.5" customHeight="1" x14ac:dyDescent="0.2">
      <c r="A38" s="180"/>
      <c r="B38" s="56"/>
      <c r="C38" s="36" t="s">
        <v>5129</v>
      </c>
      <c r="D38" s="11"/>
      <c r="E38" s="30">
        <v>60</v>
      </c>
      <c r="F38" s="12"/>
      <c r="G38" s="182"/>
      <c r="H38" s="18">
        <v>4997.50000000001</v>
      </c>
    </row>
    <row r="39" spans="1:8" ht="13.5" customHeight="1" x14ac:dyDescent="0.2">
      <c r="A39" s="180"/>
      <c r="B39" s="56"/>
      <c r="C39" s="36" t="s">
        <v>5130</v>
      </c>
      <c r="D39" s="11"/>
      <c r="E39" s="30">
        <v>12.04</v>
      </c>
      <c r="F39" s="12"/>
      <c r="G39" s="182"/>
      <c r="H39" s="18">
        <v>4985.46000000001</v>
      </c>
    </row>
    <row r="40" spans="1:8" ht="13.5" customHeight="1" x14ac:dyDescent="0.2">
      <c r="A40" s="180"/>
      <c r="B40" s="56"/>
      <c r="C40" s="36" t="s">
        <v>5131</v>
      </c>
      <c r="D40" s="11"/>
      <c r="E40" s="30">
        <v>28.5</v>
      </c>
      <c r="F40" s="12"/>
      <c r="G40" s="182"/>
      <c r="H40" s="18">
        <v>4956.96000000001</v>
      </c>
    </row>
    <row r="41" spans="1:8" ht="13.5" customHeight="1" x14ac:dyDescent="0.2">
      <c r="A41" s="180"/>
      <c r="B41" s="56"/>
      <c r="C41" s="36" t="s">
        <v>5132</v>
      </c>
      <c r="D41" s="11"/>
      <c r="E41" s="30">
        <v>32.950000000000003</v>
      </c>
      <c r="F41" s="12"/>
      <c r="G41" s="182"/>
      <c r="H41" s="18">
        <v>4924.0100000000102</v>
      </c>
    </row>
    <row r="42" spans="1:8" ht="13.5" customHeight="1" x14ac:dyDescent="0.2">
      <c r="A42" s="180"/>
      <c r="B42" s="56"/>
      <c r="C42" s="36" t="s">
        <v>5133</v>
      </c>
      <c r="D42" s="11"/>
      <c r="E42" s="30">
        <v>40.06</v>
      </c>
      <c r="F42" s="12"/>
      <c r="G42" s="182"/>
      <c r="H42" s="18">
        <v>4883.9500000000098</v>
      </c>
    </row>
    <row r="43" spans="1:8" ht="13.5" customHeight="1" x14ac:dyDescent="0.2">
      <c r="A43" s="180"/>
      <c r="B43" s="56"/>
      <c r="C43" s="36" t="s">
        <v>5134</v>
      </c>
      <c r="D43" s="11"/>
      <c r="E43" s="30">
        <v>42.2</v>
      </c>
      <c r="F43" s="12"/>
      <c r="G43" s="182"/>
      <c r="H43" s="18">
        <v>4841.75000000001</v>
      </c>
    </row>
    <row r="44" spans="1:8" ht="13.5" customHeight="1" x14ac:dyDescent="0.2">
      <c r="A44" s="180"/>
      <c r="B44" s="56"/>
      <c r="C44" s="36" t="s">
        <v>5135</v>
      </c>
      <c r="D44" s="11"/>
      <c r="E44" s="30">
        <v>120</v>
      </c>
      <c r="F44" s="12"/>
      <c r="G44" s="182"/>
      <c r="H44" s="18">
        <v>4721.75000000001</v>
      </c>
    </row>
    <row r="45" spans="1:8" ht="13.5" customHeight="1" x14ac:dyDescent="0.2">
      <c r="A45" s="180"/>
      <c r="B45" s="56"/>
      <c r="C45" s="36" t="s">
        <v>5012</v>
      </c>
      <c r="D45" s="11"/>
      <c r="E45" s="30">
        <v>380</v>
      </c>
      <c r="F45" s="12"/>
      <c r="G45" s="182"/>
      <c r="H45" s="18">
        <v>4341.75000000001</v>
      </c>
    </row>
    <row r="46" spans="1:8" ht="13.5" customHeight="1" x14ac:dyDescent="0.2">
      <c r="A46" s="180"/>
      <c r="B46" s="56"/>
      <c r="C46" s="36" t="s">
        <v>5136</v>
      </c>
      <c r="D46" s="11"/>
      <c r="E46" s="30">
        <v>47.5</v>
      </c>
      <c r="F46" s="12"/>
      <c r="G46" s="182"/>
      <c r="H46" s="18">
        <v>4294.25000000001</v>
      </c>
    </row>
    <row r="47" spans="1:8" ht="13.5" customHeight="1" x14ac:dyDescent="0.2">
      <c r="A47" s="180"/>
      <c r="B47" s="56"/>
      <c r="C47" s="36" t="s">
        <v>5137</v>
      </c>
      <c r="D47" s="11"/>
      <c r="E47" s="552">
        <v>1000</v>
      </c>
      <c r="F47" s="12"/>
      <c r="G47" s="182"/>
      <c r="H47" s="18">
        <v>3294.25000000001</v>
      </c>
    </row>
    <row r="48" spans="1:8" ht="13.5" customHeight="1" x14ac:dyDescent="0.2">
      <c r="A48" s="180"/>
      <c r="B48" s="56"/>
      <c r="C48" s="36" t="s">
        <v>5138</v>
      </c>
      <c r="D48" s="11"/>
      <c r="E48" s="30"/>
      <c r="F48" s="12">
        <v>1260</v>
      </c>
      <c r="G48" s="182"/>
      <c r="H48" s="18">
        <v>4554.25000000001</v>
      </c>
    </row>
    <row r="49" spans="1:8" ht="13.5" customHeight="1" x14ac:dyDescent="0.2">
      <c r="A49" s="180"/>
      <c r="B49" s="56"/>
      <c r="C49" s="36" t="s">
        <v>5139</v>
      </c>
      <c r="D49" s="11"/>
      <c r="E49" s="30"/>
      <c r="F49" s="12">
        <v>80</v>
      </c>
      <c r="G49" s="182"/>
      <c r="H49" s="18">
        <v>4634.25000000001</v>
      </c>
    </row>
    <row r="50" spans="1:8" ht="13.5" customHeight="1" x14ac:dyDescent="0.2">
      <c r="A50" s="180"/>
      <c r="B50" s="56"/>
      <c r="C50" s="36" t="s">
        <v>5140</v>
      </c>
      <c r="D50" s="11"/>
      <c r="E50" s="30"/>
      <c r="F50" s="12">
        <v>800</v>
      </c>
      <c r="G50" s="182">
        <v>5434.25000000001</v>
      </c>
      <c r="H50" s="18">
        <v>5434.25000000001</v>
      </c>
    </row>
    <row r="51" spans="1:8" ht="13.5" customHeight="1" x14ac:dyDescent="0.2">
      <c r="A51" s="180">
        <v>44148</v>
      </c>
      <c r="B51" s="56"/>
      <c r="C51" s="36" t="s">
        <v>5141</v>
      </c>
      <c r="D51" s="11"/>
      <c r="E51" s="30">
        <v>300</v>
      </c>
      <c r="F51" s="12"/>
      <c r="G51" s="182"/>
      <c r="H51" s="18">
        <v>5134.25000000001</v>
      </c>
    </row>
    <row r="52" spans="1:8" ht="13.5" customHeight="1" x14ac:dyDescent="0.2">
      <c r="A52" s="180"/>
      <c r="B52" s="56"/>
      <c r="C52" s="36" t="s">
        <v>5142</v>
      </c>
      <c r="D52" s="11"/>
      <c r="E52" s="30">
        <v>15</v>
      </c>
      <c r="F52" s="12"/>
      <c r="G52" s="182"/>
      <c r="H52" s="18">
        <v>5119.25000000001</v>
      </c>
    </row>
    <row r="53" spans="1:8" ht="13.5" customHeight="1" x14ac:dyDescent="0.2">
      <c r="A53" s="180"/>
      <c r="B53" s="56"/>
      <c r="C53" s="36" t="s">
        <v>5143</v>
      </c>
      <c r="D53" s="11"/>
      <c r="E53" s="30">
        <v>47.99</v>
      </c>
      <c r="F53" s="12"/>
      <c r="G53" s="182"/>
      <c r="H53" s="18">
        <v>5071.2600000000102</v>
      </c>
    </row>
    <row r="54" spans="1:8" ht="13.5" customHeight="1" x14ac:dyDescent="0.2">
      <c r="A54" s="180"/>
      <c r="B54" s="56"/>
      <c r="C54" s="36" t="s">
        <v>5144</v>
      </c>
      <c r="D54" s="11"/>
      <c r="E54" s="30">
        <v>35</v>
      </c>
      <c r="F54" s="12"/>
      <c r="G54" s="182"/>
      <c r="H54" s="18">
        <v>5036.2600000000102</v>
      </c>
    </row>
    <row r="55" spans="1:8" ht="13.5" customHeight="1" x14ac:dyDescent="0.2">
      <c r="A55" s="180"/>
      <c r="B55" s="56"/>
      <c r="C55" s="36" t="s">
        <v>5145</v>
      </c>
      <c r="D55" s="11"/>
      <c r="E55" s="30">
        <v>43.5</v>
      </c>
      <c r="F55" s="12"/>
      <c r="G55" s="182"/>
      <c r="H55" s="18">
        <v>4992.7600000000102</v>
      </c>
    </row>
    <row r="56" spans="1:8" ht="13.5" customHeight="1" x14ac:dyDescent="0.2">
      <c r="A56" s="180"/>
      <c r="B56" s="56"/>
      <c r="C56" s="36" t="s">
        <v>5146</v>
      </c>
      <c r="D56" s="11"/>
      <c r="E56" s="30">
        <v>5.98</v>
      </c>
      <c r="F56" s="12"/>
      <c r="G56" s="182"/>
      <c r="H56" s="18">
        <v>4986.7800000000107</v>
      </c>
    </row>
    <row r="57" spans="1:8" ht="13.5" customHeight="1" x14ac:dyDescent="0.2">
      <c r="A57" s="180"/>
      <c r="B57" s="56"/>
      <c r="C57" s="36" t="s">
        <v>5147</v>
      </c>
      <c r="D57" s="11"/>
      <c r="E57" s="30">
        <v>12.5</v>
      </c>
      <c r="F57" s="12"/>
      <c r="G57" s="182"/>
      <c r="H57" s="18">
        <v>4974.2800000000107</v>
      </c>
    </row>
    <row r="58" spans="1:8" ht="13.5" customHeight="1" x14ac:dyDescent="0.2">
      <c r="A58" s="180"/>
      <c r="B58" s="56"/>
      <c r="C58" s="36" t="s">
        <v>5148</v>
      </c>
      <c r="D58" s="11"/>
      <c r="E58" s="30">
        <v>5</v>
      </c>
      <c r="F58" s="12"/>
      <c r="G58" s="182"/>
      <c r="H58" s="18">
        <v>4969.2800000000107</v>
      </c>
    </row>
    <row r="59" spans="1:8" ht="13.5" customHeight="1" x14ac:dyDescent="0.2">
      <c r="A59" s="180"/>
      <c r="B59" s="56"/>
      <c r="C59" s="36" t="s">
        <v>5149</v>
      </c>
      <c r="D59" s="11"/>
      <c r="E59" s="30">
        <v>12.74</v>
      </c>
      <c r="F59" s="12"/>
      <c r="G59" s="182"/>
      <c r="H59" s="18">
        <v>4956.5400000000109</v>
      </c>
    </row>
    <row r="60" spans="1:8" ht="13.5" customHeight="1" x14ac:dyDescent="0.2">
      <c r="A60" s="180"/>
      <c r="B60" s="56"/>
      <c r="C60" s="36" t="s">
        <v>5150</v>
      </c>
      <c r="D60" s="11"/>
      <c r="E60" s="30">
        <v>4.4000000000000004</v>
      </c>
      <c r="F60" s="12"/>
      <c r="G60" s="182"/>
      <c r="H60" s="18">
        <v>4952.1400000000112</v>
      </c>
    </row>
    <row r="61" spans="1:8" ht="13.5" customHeight="1" x14ac:dyDescent="0.2">
      <c r="A61" s="180"/>
      <c r="B61" s="56"/>
      <c r="C61" s="36" t="s">
        <v>5151</v>
      </c>
      <c r="D61" s="11"/>
      <c r="E61" s="30">
        <v>5</v>
      </c>
      <c r="F61" s="12"/>
      <c r="G61" s="182"/>
      <c r="H61" s="18">
        <v>4947.1400000000112</v>
      </c>
    </row>
    <row r="62" spans="1:8" ht="13.5" customHeight="1" x14ac:dyDescent="0.2">
      <c r="A62" s="180"/>
      <c r="B62" s="56"/>
      <c r="C62" s="36" t="s">
        <v>5152</v>
      </c>
      <c r="D62" s="11"/>
      <c r="E62" s="30">
        <v>240</v>
      </c>
      <c r="F62" s="12"/>
      <c r="G62" s="182"/>
      <c r="H62" s="18">
        <v>4707.1400000000112</v>
      </c>
    </row>
    <row r="63" spans="1:8" ht="13.5" customHeight="1" x14ac:dyDescent="0.2">
      <c r="A63" s="180"/>
      <c r="B63" s="56"/>
      <c r="C63" s="36" t="s">
        <v>5153</v>
      </c>
      <c r="D63" s="11"/>
      <c r="E63" s="30">
        <v>480</v>
      </c>
      <c r="F63" s="12"/>
      <c r="G63" s="182"/>
      <c r="H63" s="18">
        <v>4227.1400000000112</v>
      </c>
    </row>
    <row r="64" spans="1:8" ht="13.5" customHeight="1" x14ac:dyDescent="0.2">
      <c r="A64" s="180"/>
      <c r="B64" s="56"/>
      <c r="C64" s="32" t="s">
        <v>5154</v>
      </c>
      <c r="D64" s="11"/>
      <c r="E64" s="165">
        <v>1109</v>
      </c>
      <c r="F64" s="12"/>
      <c r="G64" s="182">
        <v>3118.1400000000112</v>
      </c>
      <c r="H64" s="18">
        <v>3118.1400000000112</v>
      </c>
    </row>
    <row r="65" spans="1:9" ht="13.5" customHeight="1" x14ac:dyDescent="0.2">
      <c r="A65" s="180">
        <v>44152</v>
      </c>
      <c r="B65" s="56"/>
      <c r="C65" s="36" t="s">
        <v>5155</v>
      </c>
      <c r="D65" s="11"/>
      <c r="E65" s="30"/>
      <c r="F65" s="12">
        <v>4650</v>
      </c>
      <c r="G65" s="182"/>
      <c r="H65" s="18">
        <v>7768.1400000000112</v>
      </c>
    </row>
    <row r="66" spans="1:9" ht="13.5" customHeight="1" x14ac:dyDescent="0.2">
      <c r="A66" s="180"/>
      <c r="B66" s="56"/>
      <c r="C66" s="36" t="s">
        <v>5156</v>
      </c>
      <c r="D66" s="11"/>
      <c r="E66" s="30"/>
      <c r="F66" s="12">
        <v>525</v>
      </c>
      <c r="G66" s="182"/>
      <c r="H66" s="18">
        <v>8293.1400000000103</v>
      </c>
    </row>
    <row r="67" spans="1:9" ht="13.5" customHeight="1" x14ac:dyDescent="0.2">
      <c r="A67" s="180"/>
      <c r="B67" s="56"/>
      <c r="C67" s="36" t="s">
        <v>5157</v>
      </c>
      <c r="D67" s="11"/>
      <c r="E67" s="30"/>
      <c r="F67" s="12">
        <v>7750</v>
      </c>
      <c r="G67" s="182">
        <v>16043.14000000001</v>
      </c>
      <c r="H67" s="18">
        <v>16043.14000000001</v>
      </c>
      <c r="I67" s="18"/>
    </row>
    <row r="68" spans="1:9" ht="13.5" customHeight="1" x14ac:dyDescent="0.2">
      <c r="A68" s="180">
        <v>44153</v>
      </c>
      <c r="B68" s="56"/>
      <c r="C68" s="36" t="s">
        <v>4678</v>
      </c>
      <c r="D68" s="11"/>
      <c r="E68" s="165">
        <v>200</v>
      </c>
      <c r="F68" s="12"/>
      <c r="G68" s="182"/>
      <c r="H68" s="18">
        <v>15843.14000000001</v>
      </c>
      <c r="I68" s="18"/>
    </row>
    <row r="69" spans="1:9" ht="13.5" customHeight="1" x14ac:dyDescent="0.2">
      <c r="A69" s="180"/>
      <c r="B69" s="56"/>
      <c r="C69" s="36" t="s">
        <v>5158</v>
      </c>
      <c r="D69" s="11"/>
      <c r="E69" s="165">
        <v>7500</v>
      </c>
      <c r="F69" s="12"/>
      <c r="G69" s="182"/>
      <c r="H69" s="18">
        <v>8343.1400000000103</v>
      </c>
    </row>
    <row r="70" spans="1:9" ht="13.5" customHeight="1" x14ac:dyDescent="0.2">
      <c r="A70" s="180"/>
      <c r="B70" s="56"/>
      <c r="C70" s="36" t="s">
        <v>5159</v>
      </c>
      <c r="D70" s="11"/>
      <c r="E70" s="30"/>
      <c r="F70" s="168">
        <v>570</v>
      </c>
      <c r="G70" s="182"/>
      <c r="H70" s="18">
        <v>8913.1400000000103</v>
      </c>
    </row>
    <row r="71" spans="1:9" ht="13.5" customHeight="1" x14ac:dyDescent="0.2">
      <c r="A71" s="180"/>
      <c r="B71" s="56"/>
      <c r="C71" s="36" t="s">
        <v>5160</v>
      </c>
      <c r="D71" s="11"/>
      <c r="E71" s="30">
        <v>400</v>
      </c>
      <c r="F71" s="12"/>
      <c r="G71" s="182"/>
      <c r="H71" s="18">
        <v>8513.1400000000103</v>
      </c>
    </row>
    <row r="72" spans="1:9" ht="13.5" customHeight="1" x14ac:dyDescent="0.2">
      <c r="A72" s="180"/>
      <c r="B72" s="56"/>
      <c r="C72" s="36" t="s">
        <v>5161</v>
      </c>
      <c r="D72" s="11"/>
      <c r="E72" s="30">
        <v>50</v>
      </c>
      <c r="F72" s="12"/>
      <c r="G72" s="182"/>
      <c r="H72" s="18">
        <v>8463.1400000000103</v>
      </c>
    </row>
    <row r="73" spans="1:9" ht="13.5" customHeight="1" x14ac:dyDescent="0.2">
      <c r="A73" s="180"/>
      <c r="B73" s="56"/>
      <c r="C73" s="36" t="s">
        <v>5162</v>
      </c>
      <c r="D73" s="11"/>
      <c r="E73" s="30">
        <v>120</v>
      </c>
      <c r="F73" s="12"/>
      <c r="G73" s="182"/>
      <c r="H73" s="18">
        <v>8343.1400000000103</v>
      </c>
    </row>
    <row r="74" spans="1:9" ht="13.5" customHeight="1" x14ac:dyDescent="0.2">
      <c r="A74" s="180"/>
      <c r="B74" s="56"/>
      <c r="C74" s="36" t="s">
        <v>5163</v>
      </c>
      <c r="D74" s="11"/>
      <c r="E74" s="30"/>
      <c r="F74" s="168">
        <v>1109</v>
      </c>
      <c r="G74" s="182"/>
      <c r="H74" s="18">
        <v>9452.1400000000103</v>
      </c>
    </row>
    <row r="75" spans="1:9" ht="13.5" customHeight="1" x14ac:dyDescent="0.2">
      <c r="A75" s="180"/>
      <c r="B75" s="56"/>
      <c r="C75" s="36" t="s">
        <v>5164</v>
      </c>
      <c r="D75" s="11"/>
      <c r="E75" s="30">
        <v>329</v>
      </c>
      <c r="F75" s="12"/>
      <c r="G75" s="182"/>
      <c r="H75" s="18">
        <v>9123.1400000000103</v>
      </c>
    </row>
    <row r="76" spans="1:9" ht="13.5" customHeight="1" x14ac:dyDescent="0.2">
      <c r="A76" s="180"/>
      <c r="B76" s="56"/>
      <c r="C76" s="36" t="s">
        <v>5165</v>
      </c>
      <c r="D76" s="11"/>
      <c r="E76" s="30">
        <v>420</v>
      </c>
      <c r="F76" s="12"/>
      <c r="G76" s="182"/>
      <c r="H76" s="18">
        <v>8703.1400000000103</v>
      </c>
    </row>
    <row r="77" spans="1:9" ht="13.5" customHeight="1" x14ac:dyDescent="0.2">
      <c r="A77" s="180"/>
      <c r="B77" s="56"/>
      <c r="C77" s="36" t="s">
        <v>5166</v>
      </c>
      <c r="D77" s="11"/>
      <c r="E77" s="30">
        <v>360</v>
      </c>
      <c r="F77" s="12"/>
      <c r="G77" s="182"/>
      <c r="H77" s="18">
        <v>8343.1400000000103</v>
      </c>
    </row>
    <row r="78" spans="1:9" ht="13.5" customHeight="1" x14ac:dyDescent="0.2">
      <c r="A78" s="180"/>
      <c r="B78" s="56"/>
      <c r="C78" s="36" t="s">
        <v>5167</v>
      </c>
      <c r="D78" s="11"/>
      <c r="E78" s="30"/>
      <c r="F78" s="168">
        <v>160</v>
      </c>
      <c r="G78" s="182"/>
      <c r="H78" s="18">
        <v>8503.1400000000103</v>
      </c>
    </row>
    <row r="79" spans="1:9" ht="13.5" customHeight="1" x14ac:dyDescent="0.2">
      <c r="A79" s="180"/>
      <c r="B79" s="56"/>
      <c r="C79" s="36" t="s">
        <v>5168</v>
      </c>
      <c r="D79" s="11"/>
      <c r="E79" s="30">
        <v>30</v>
      </c>
      <c r="F79" s="12"/>
      <c r="G79" s="182"/>
      <c r="H79" s="18">
        <v>8473.1400000000103</v>
      </c>
    </row>
    <row r="80" spans="1:9" ht="13.5" customHeight="1" x14ac:dyDescent="0.2">
      <c r="A80" s="180"/>
      <c r="B80" s="56"/>
      <c r="C80" s="36" t="s">
        <v>5169</v>
      </c>
      <c r="D80" s="11"/>
      <c r="E80" s="30">
        <v>17.5</v>
      </c>
      <c r="F80" s="12"/>
      <c r="G80" s="182"/>
      <c r="H80" s="18">
        <v>8455.6400000000103</v>
      </c>
    </row>
    <row r="81" spans="1:24" ht="13.5" customHeight="1" x14ac:dyDescent="0.2">
      <c r="A81" s="180"/>
      <c r="B81" s="56"/>
      <c r="C81" s="36" t="s">
        <v>5170</v>
      </c>
      <c r="D81" s="11"/>
      <c r="E81" s="30">
        <v>40</v>
      </c>
      <c r="F81" s="12"/>
      <c r="G81" s="182"/>
      <c r="H81" s="18">
        <v>8415.6400000000103</v>
      </c>
    </row>
    <row r="82" spans="1:24" ht="13.5" customHeight="1" x14ac:dyDescent="0.2">
      <c r="A82" s="180"/>
      <c r="B82" s="56"/>
      <c r="C82" s="36" t="s">
        <v>5171</v>
      </c>
      <c r="D82" s="11"/>
      <c r="E82" s="30">
        <v>26.8</v>
      </c>
      <c r="F82" s="12"/>
      <c r="G82" s="182"/>
      <c r="H82" s="18">
        <v>8388.8400000000111</v>
      </c>
    </row>
    <row r="83" spans="1:24" ht="13.5" customHeight="1" x14ac:dyDescent="0.2">
      <c r="A83" s="180"/>
      <c r="B83" s="56"/>
      <c r="C83" s="36" t="s">
        <v>5172</v>
      </c>
      <c r="D83" s="11"/>
      <c r="E83" s="30">
        <v>2.9</v>
      </c>
      <c r="F83" s="12"/>
      <c r="G83" s="182"/>
      <c r="H83" s="18">
        <v>8385.9400000000114</v>
      </c>
    </row>
    <row r="84" spans="1:24" ht="13.5" customHeight="1" x14ac:dyDescent="0.2">
      <c r="A84" s="180"/>
      <c r="B84" s="56"/>
      <c r="C84" s="36" t="s">
        <v>5173</v>
      </c>
      <c r="D84" s="11"/>
      <c r="E84" s="30">
        <v>25</v>
      </c>
      <c r="F84" s="12"/>
      <c r="G84" s="182"/>
      <c r="H84" s="18">
        <v>8360.9400000000114</v>
      </c>
    </row>
    <row r="85" spans="1:24" s="64" customFormat="1" ht="13.5" customHeight="1" x14ac:dyDescent="0.2">
      <c r="A85" s="184"/>
      <c r="B85" s="63"/>
      <c r="C85" s="32" t="s">
        <v>5174</v>
      </c>
      <c r="D85" s="50"/>
      <c r="E85" s="51">
        <v>19.45</v>
      </c>
      <c r="F85" s="13"/>
      <c r="G85" s="53"/>
      <c r="H85" s="18">
        <v>8341.4900000000107</v>
      </c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 spans="1:24" s="64" customFormat="1" ht="13.5" customHeight="1" x14ac:dyDescent="0.2">
      <c r="A86" s="184"/>
      <c r="B86" s="63"/>
      <c r="C86" s="63" t="s">
        <v>5175</v>
      </c>
      <c r="D86" s="50"/>
      <c r="E86" s="51">
        <v>13.25</v>
      </c>
      <c r="F86" s="13"/>
      <c r="G86" s="53"/>
      <c r="H86" s="18">
        <v>8328.2400000000107</v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 spans="1:24" s="64" customFormat="1" ht="13.5" customHeight="1" x14ac:dyDescent="0.2">
      <c r="A87" s="184"/>
      <c r="B87" s="63"/>
      <c r="C87" s="32" t="s">
        <v>5176</v>
      </c>
      <c r="D87" s="50"/>
      <c r="E87" s="51">
        <v>426</v>
      </c>
      <c r="F87" s="13"/>
      <c r="G87" s="53"/>
      <c r="H87" s="18">
        <v>7902.2400000000107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 spans="1:24" s="64" customFormat="1" ht="13.5" customHeight="1" x14ac:dyDescent="0.2">
      <c r="A88" s="184"/>
      <c r="B88" s="63"/>
      <c r="C88" s="63" t="s">
        <v>5177</v>
      </c>
      <c r="D88" s="50"/>
      <c r="E88" s="51">
        <v>75</v>
      </c>
      <c r="F88" s="13"/>
      <c r="G88" s="53">
        <v>7827.2400000000107</v>
      </c>
      <c r="H88" s="18">
        <v>7827.2400000000107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 spans="1:24" s="64" customFormat="1" ht="13.5" customHeight="1" x14ac:dyDescent="0.2">
      <c r="A89" s="184">
        <v>44154</v>
      </c>
      <c r="B89" s="63"/>
      <c r="C89" s="63" t="s">
        <v>5178</v>
      </c>
      <c r="D89" s="50"/>
      <c r="E89" s="51">
        <v>1207</v>
      </c>
      <c r="F89" s="13"/>
      <c r="G89" s="53">
        <v>6620.2400000000107</v>
      </c>
      <c r="H89" s="18">
        <v>6620.2400000000107</v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 spans="1:24" s="64" customFormat="1" ht="13.5" customHeight="1" x14ac:dyDescent="0.2">
      <c r="A90" s="184">
        <v>44155</v>
      </c>
      <c r="B90" s="63"/>
      <c r="C90" s="63" t="s">
        <v>5179</v>
      </c>
      <c r="D90" s="50"/>
      <c r="E90" s="51">
        <v>60</v>
      </c>
      <c r="F90" s="13"/>
      <c r="G90" s="53"/>
      <c r="H90" s="18">
        <v>6560.2400000000107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 spans="1:24" s="64" customFormat="1" ht="13.5" customHeight="1" x14ac:dyDescent="0.2">
      <c r="A91" s="184"/>
      <c r="B91" s="63"/>
      <c r="C91" s="63" t="s">
        <v>5180</v>
      </c>
      <c r="D91" s="50"/>
      <c r="E91" s="51">
        <v>120</v>
      </c>
      <c r="F91" s="13"/>
      <c r="G91" s="53"/>
      <c r="H91" s="18">
        <v>6440.2400000000107</v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 spans="1:24" s="64" customFormat="1" ht="13.5" customHeight="1" x14ac:dyDescent="0.2">
      <c r="A92" s="184"/>
      <c r="B92" s="63"/>
      <c r="C92" s="32" t="s">
        <v>5181</v>
      </c>
      <c r="D92" s="50"/>
      <c r="E92" s="51">
        <v>300</v>
      </c>
      <c r="F92" s="13"/>
      <c r="G92" s="53"/>
      <c r="H92" s="18">
        <v>6140.2400000000107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 spans="1:24" s="64" customFormat="1" ht="13.5" customHeight="1" x14ac:dyDescent="0.2">
      <c r="A93" s="184"/>
      <c r="B93" s="63"/>
      <c r="C93" s="63" t="s">
        <v>5182</v>
      </c>
      <c r="D93" s="50"/>
      <c r="E93" s="51">
        <v>3500</v>
      </c>
      <c r="F93" s="13"/>
      <c r="G93" s="53">
        <v>2640.2400000000107</v>
      </c>
      <c r="H93" s="18">
        <v>2640.2400000000107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 spans="1:24" s="64" customFormat="1" ht="13.5" customHeight="1" x14ac:dyDescent="0.2">
      <c r="A94" s="184">
        <v>44158</v>
      </c>
      <c r="B94" s="63"/>
      <c r="C94" s="63" t="s">
        <v>5183</v>
      </c>
      <c r="D94" s="50"/>
      <c r="E94" s="51"/>
      <c r="F94" s="13">
        <v>18.649999999999999</v>
      </c>
      <c r="G94" s="53">
        <v>2658.8900000000108</v>
      </c>
      <c r="H94" s="18">
        <v>2658.8900000000108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 spans="1:24" s="64" customFormat="1" ht="13.5" customHeight="1" x14ac:dyDescent="0.2">
      <c r="A95" s="184">
        <v>44161</v>
      </c>
      <c r="B95" s="63"/>
      <c r="C95" s="63" t="s">
        <v>5184</v>
      </c>
      <c r="D95" s="50"/>
      <c r="E95" s="51">
        <v>30</v>
      </c>
      <c r="F95" s="13"/>
      <c r="G95" s="53"/>
      <c r="H95" s="18">
        <v>2628.8900000000108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 spans="1:24" s="64" customFormat="1" ht="13.5" customHeight="1" x14ac:dyDescent="0.2">
      <c r="A96" s="184"/>
      <c r="B96" s="63"/>
      <c r="C96" s="63" t="s">
        <v>5185</v>
      </c>
      <c r="D96" s="50"/>
      <c r="E96" s="51"/>
      <c r="F96" s="13">
        <v>66</v>
      </c>
      <c r="G96" s="53"/>
      <c r="H96" s="18">
        <v>2694.8900000000108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 spans="1:24" s="64" customFormat="1" ht="13.5" customHeight="1" x14ac:dyDescent="0.2">
      <c r="A97" s="184"/>
      <c r="B97" s="63"/>
      <c r="C97" s="63" t="s">
        <v>5186</v>
      </c>
      <c r="D97" s="50"/>
      <c r="E97" s="51"/>
      <c r="F97" s="13">
        <v>95.3</v>
      </c>
      <c r="G97" s="53"/>
      <c r="H97" s="18">
        <v>2790.190000000011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 spans="1:24" s="64" customFormat="1" ht="13.5" customHeight="1" x14ac:dyDescent="0.2">
      <c r="A98" s="184"/>
      <c r="B98" s="63"/>
      <c r="C98" s="63" t="s">
        <v>5187</v>
      </c>
      <c r="D98" s="50"/>
      <c r="E98" s="51">
        <v>380</v>
      </c>
      <c r="F98" s="13"/>
      <c r="G98" s="53"/>
      <c r="H98" s="18">
        <v>2410.190000000011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</row>
    <row r="99" spans="1:24" s="64" customFormat="1" ht="13.5" customHeight="1" x14ac:dyDescent="0.2">
      <c r="A99" s="184"/>
      <c r="B99" s="63"/>
      <c r="C99" s="63" t="s">
        <v>5188</v>
      </c>
      <c r="D99" s="50"/>
      <c r="E99" s="51">
        <v>95</v>
      </c>
      <c r="F99" s="13"/>
      <c r="G99" s="53">
        <v>2315.190000000011</v>
      </c>
      <c r="H99" s="18">
        <v>2315.190000000011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 spans="1:24" s="64" customFormat="1" ht="13.5" customHeight="1" x14ac:dyDescent="0.2">
      <c r="A100" s="184">
        <v>44162</v>
      </c>
      <c r="B100" s="63"/>
      <c r="C100" s="36" t="s">
        <v>5120</v>
      </c>
      <c r="D100" s="50"/>
      <c r="E100" s="51"/>
      <c r="F100" s="168">
        <v>400</v>
      </c>
      <c r="G100" s="53"/>
      <c r="H100" s="18">
        <v>2715.190000000011</v>
      </c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 spans="1:24" s="64" customFormat="1" ht="13.5" customHeight="1" x14ac:dyDescent="0.2">
      <c r="A101" s="184"/>
      <c r="B101" s="63"/>
      <c r="C101" s="32" t="s">
        <v>5189</v>
      </c>
      <c r="D101" s="50"/>
      <c r="E101" s="51">
        <v>207</v>
      </c>
      <c r="F101" s="13"/>
      <c r="G101" s="53"/>
      <c r="H101" s="18">
        <v>2508.190000000011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</row>
    <row r="102" spans="1:24" s="64" customFormat="1" ht="13.5" customHeight="1" x14ac:dyDescent="0.2">
      <c r="A102" s="184"/>
      <c r="B102" s="63"/>
      <c r="C102" s="32" t="s">
        <v>5190</v>
      </c>
      <c r="D102" s="50"/>
      <c r="E102" s="51">
        <v>149.80000000000001</v>
      </c>
      <c r="F102" s="13"/>
      <c r="G102" s="53"/>
      <c r="H102" s="18">
        <v>2358.3900000000108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</row>
    <row r="103" spans="1:24" s="64" customFormat="1" ht="13.5" customHeight="1" x14ac:dyDescent="0.2">
      <c r="A103" s="184"/>
      <c r="B103" s="63"/>
      <c r="C103" s="63" t="s">
        <v>5191</v>
      </c>
      <c r="D103" s="50"/>
      <c r="E103" s="51">
        <v>300</v>
      </c>
      <c r="F103" s="13"/>
      <c r="G103" s="178">
        <v>2058.3900000000108</v>
      </c>
      <c r="H103" s="18">
        <v>2058.3900000000108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 spans="1:24" s="64" customFormat="1" ht="13.5" customHeight="1" thickBot="1" x14ac:dyDescent="0.25">
      <c r="A104" s="184"/>
      <c r="B104" s="63"/>
      <c r="C104" s="63"/>
      <c r="D104" s="50"/>
      <c r="E104" s="650">
        <f>-SUM(E5:E10,E12:E19,E22:E28,E31:E46,E51:E63,E71:E103)</f>
        <v>-12638.599999999999</v>
      </c>
      <c r="F104" s="651">
        <f>SUM(F4:F69,F94:F97,)</f>
        <v>19764.95</v>
      </c>
      <c r="G104" s="53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 spans="1:24" ht="13.5" customHeight="1" thickBot="1" x14ac:dyDescent="0.25">
      <c r="A105" s="2" t="s">
        <v>2</v>
      </c>
      <c r="B105" s="3"/>
      <c r="C105" s="3" t="s">
        <v>536</v>
      </c>
      <c r="D105" s="3" t="s">
        <v>4</v>
      </c>
      <c r="E105" s="3" t="s">
        <v>5</v>
      </c>
      <c r="F105" s="3" t="s">
        <v>6</v>
      </c>
      <c r="G105" s="5" t="s">
        <v>7</v>
      </c>
    </row>
    <row r="106" spans="1:24" ht="13.5" customHeight="1" x14ac:dyDescent="0.2">
      <c r="A106" s="8">
        <v>44136</v>
      </c>
      <c r="B106" s="56"/>
      <c r="C106" s="10" t="s">
        <v>8</v>
      </c>
      <c r="D106" s="11"/>
      <c r="E106" s="51"/>
      <c r="F106" s="12"/>
      <c r="G106" s="205">
        <v>36567</v>
      </c>
    </row>
    <row r="107" spans="1:24" ht="13.5" customHeight="1" x14ac:dyDescent="0.2">
      <c r="A107" s="171"/>
      <c r="B107" s="46"/>
      <c r="C107" s="32" t="s">
        <v>1002</v>
      </c>
      <c r="D107" s="11"/>
      <c r="E107" s="30">
        <v>11835.609999999999</v>
      </c>
      <c r="F107" s="12"/>
      <c r="G107" s="203">
        <v>24731.39</v>
      </c>
    </row>
    <row r="108" spans="1:24" ht="13.5" customHeight="1" x14ac:dyDescent="0.2">
      <c r="A108" s="180"/>
      <c r="B108" s="56"/>
      <c r="C108" s="742" t="s">
        <v>5192</v>
      </c>
      <c r="D108" s="11"/>
      <c r="E108" s="30"/>
      <c r="F108" s="12">
        <v>900</v>
      </c>
      <c r="G108" s="203">
        <v>25631.39</v>
      </c>
    </row>
    <row r="109" spans="1:24" ht="13.5" customHeight="1" x14ac:dyDescent="0.2">
      <c r="A109" s="180"/>
      <c r="B109" s="56"/>
      <c r="C109" s="742" t="s">
        <v>5193</v>
      </c>
      <c r="D109" s="11"/>
      <c r="E109" s="30"/>
      <c r="F109" s="12">
        <v>220</v>
      </c>
      <c r="G109" s="203">
        <v>25851.39</v>
      </c>
    </row>
    <row r="110" spans="1:24" ht="13.5" customHeight="1" x14ac:dyDescent="0.2">
      <c r="A110" s="180"/>
      <c r="B110" s="56"/>
      <c r="C110" s="742" t="s">
        <v>5194</v>
      </c>
      <c r="D110" s="11"/>
      <c r="E110" s="30"/>
      <c r="F110" s="12">
        <v>1450</v>
      </c>
      <c r="G110" s="203">
        <v>27301.39</v>
      </c>
    </row>
    <row r="111" spans="1:24" ht="13.5" customHeight="1" x14ac:dyDescent="0.2">
      <c r="A111" s="180">
        <v>44141</v>
      </c>
      <c r="B111" s="56"/>
      <c r="C111" s="742" t="s">
        <v>5195</v>
      </c>
      <c r="D111" s="11"/>
      <c r="E111" s="30"/>
      <c r="F111" s="12">
        <v>1100</v>
      </c>
      <c r="G111" s="203">
        <v>28401.39</v>
      </c>
    </row>
    <row r="112" spans="1:24" ht="13.5" customHeight="1" x14ac:dyDescent="0.2">
      <c r="A112" s="180"/>
      <c r="B112" s="56"/>
      <c r="C112" s="34" t="s">
        <v>5196</v>
      </c>
      <c r="D112" s="11"/>
      <c r="E112" s="30">
        <v>291.66000000000003</v>
      </c>
      <c r="F112" s="12"/>
      <c r="G112" s="203">
        <v>28109.73</v>
      </c>
    </row>
    <row r="113" spans="1:24" ht="13.5" customHeight="1" x14ac:dyDescent="0.2">
      <c r="A113" s="180"/>
      <c r="B113" s="56"/>
      <c r="C113" s="34" t="s">
        <v>205</v>
      </c>
      <c r="D113" s="11"/>
      <c r="E113" s="30">
        <v>12</v>
      </c>
      <c r="F113" s="12"/>
      <c r="G113" s="203">
        <v>28097.73</v>
      </c>
    </row>
    <row r="114" spans="1:24" ht="13.5" customHeight="1" x14ac:dyDescent="0.2">
      <c r="A114" s="180">
        <v>44144</v>
      </c>
      <c r="B114" s="56"/>
      <c r="C114" s="34" t="s">
        <v>5197</v>
      </c>
      <c r="D114" s="11"/>
      <c r="E114" s="30">
        <v>400</v>
      </c>
      <c r="F114" s="12"/>
      <c r="G114" s="203">
        <v>27697.73</v>
      </c>
    </row>
    <row r="115" spans="1:24" ht="13.5" customHeight="1" x14ac:dyDescent="0.2">
      <c r="A115" s="180">
        <v>44145</v>
      </c>
      <c r="B115" s="56"/>
      <c r="C115" s="742" t="s">
        <v>5198</v>
      </c>
      <c r="D115" s="11"/>
      <c r="E115" s="30"/>
      <c r="F115" s="12">
        <v>200</v>
      </c>
      <c r="G115" s="203">
        <v>27897.73</v>
      </c>
    </row>
    <row r="116" spans="1:24" ht="13.5" customHeight="1" x14ac:dyDescent="0.2">
      <c r="A116" s="180"/>
      <c r="B116" s="56"/>
      <c r="C116" s="34" t="s">
        <v>5199</v>
      </c>
      <c r="D116" s="11"/>
      <c r="E116" s="30">
        <v>1000</v>
      </c>
      <c r="F116" s="12"/>
      <c r="G116" s="203">
        <v>26897.73</v>
      </c>
    </row>
    <row r="117" spans="1:24" s="64" customFormat="1" ht="13.5" customHeight="1" x14ac:dyDescent="0.2">
      <c r="A117" s="184">
        <v>44146</v>
      </c>
      <c r="B117" s="63"/>
      <c r="C117" s="742" t="s">
        <v>5200</v>
      </c>
      <c r="D117" s="50"/>
      <c r="E117" s="51"/>
      <c r="F117" s="13">
        <v>100</v>
      </c>
      <c r="G117" s="203">
        <v>26997.73</v>
      </c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</row>
    <row r="118" spans="1:24" s="64" customFormat="1" ht="13.5" customHeight="1" x14ac:dyDescent="0.2">
      <c r="A118" s="184"/>
      <c r="B118" s="63"/>
      <c r="C118" s="742" t="s">
        <v>5201</v>
      </c>
      <c r="D118" s="50"/>
      <c r="E118" s="51"/>
      <c r="F118" s="13">
        <v>250</v>
      </c>
      <c r="G118" s="203">
        <v>27247.73</v>
      </c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</row>
    <row r="119" spans="1:24" s="64" customFormat="1" ht="13.5" customHeight="1" x14ac:dyDescent="0.2">
      <c r="A119" s="184"/>
      <c r="B119" s="63"/>
      <c r="C119" s="742" t="s">
        <v>5202</v>
      </c>
      <c r="D119" s="50"/>
      <c r="E119" s="51"/>
      <c r="F119" s="13">
        <v>1240</v>
      </c>
      <c r="G119" s="203">
        <v>28487.73</v>
      </c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</row>
    <row r="120" spans="1:24" s="64" customFormat="1" ht="13.5" customHeight="1" x14ac:dyDescent="0.2">
      <c r="A120" s="184"/>
      <c r="B120" s="63"/>
      <c r="C120" s="742" t="s">
        <v>5203</v>
      </c>
      <c r="D120" s="50"/>
      <c r="E120" s="51"/>
      <c r="F120" s="13">
        <v>1390</v>
      </c>
      <c r="G120" s="203">
        <v>29877.73</v>
      </c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</row>
    <row r="121" spans="1:24" s="64" customFormat="1" ht="13.5" customHeight="1" x14ac:dyDescent="0.2">
      <c r="A121" s="184"/>
      <c r="B121" s="63"/>
      <c r="C121" s="742" t="s">
        <v>5204</v>
      </c>
      <c r="D121" s="50"/>
      <c r="E121" s="51"/>
      <c r="F121" s="13">
        <v>3500</v>
      </c>
      <c r="G121" s="203">
        <v>33377.729999999996</v>
      </c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</row>
    <row r="122" spans="1:24" s="64" customFormat="1" ht="13.5" customHeight="1" x14ac:dyDescent="0.2">
      <c r="A122" s="184"/>
      <c r="B122" s="63"/>
      <c r="C122" s="742" t="s">
        <v>5205</v>
      </c>
      <c r="D122" s="50"/>
      <c r="E122" s="51"/>
      <c r="F122" s="13">
        <v>1740</v>
      </c>
      <c r="G122" s="203">
        <v>35117.729999999996</v>
      </c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</row>
    <row r="123" spans="1:24" s="64" customFormat="1" ht="13.5" customHeight="1" x14ac:dyDescent="0.2">
      <c r="A123" s="184"/>
      <c r="B123" s="63"/>
      <c r="C123" s="742" t="s">
        <v>5206</v>
      </c>
      <c r="D123" s="50"/>
      <c r="E123" s="51"/>
      <c r="F123" s="13">
        <v>1790</v>
      </c>
      <c r="G123" s="203">
        <v>36907.729999999996</v>
      </c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</row>
    <row r="124" spans="1:24" s="64" customFormat="1" ht="13.5" customHeight="1" x14ac:dyDescent="0.2">
      <c r="A124" s="184"/>
      <c r="B124" s="63"/>
      <c r="C124" s="742" t="s">
        <v>5207</v>
      </c>
      <c r="D124" s="50"/>
      <c r="E124" s="51">
        <v>640</v>
      </c>
      <c r="F124" s="13"/>
      <c r="G124" s="203">
        <v>36267.729999999996</v>
      </c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</row>
    <row r="125" spans="1:24" s="64" customFormat="1" ht="13.5" customHeight="1" x14ac:dyDescent="0.2">
      <c r="A125" s="184"/>
      <c r="B125" s="63"/>
      <c r="C125" s="742" t="s">
        <v>5208</v>
      </c>
      <c r="D125" s="50"/>
      <c r="E125" s="51">
        <v>600</v>
      </c>
      <c r="F125" s="13"/>
      <c r="G125" s="203">
        <v>35667.729999999996</v>
      </c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</row>
    <row r="126" spans="1:24" s="64" customFormat="1" ht="13.5" customHeight="1" x14ac:dyDescent="0.2">
      <c r="A126" s="184"/>
      <c r="B126" s="63"/>
      <c r="C126" s="742" t="s">
        <v>4864</v>
      </c>
      <c r="D126" s="50"/>
      <c r="E126" s="51">
        <v>500</v>
      </c>
      <c r="F126" s="13"/>
      <c r="G126" s="203">
        <v>35167.729999999996</v>
      </c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</row>
    <row r="127" spans="1:24" s="64" customFormat="1" ht="13.5" customHeight="1" x14ac:dyDescent="0.2">
      <c r="A127" s="184"/>
      <c r="B127" s="63"/>
      <c r="C127" s="742" t="s">
        <v>5015</v>
      </c>
      <c r="D127" s="50"/>
      <c r="E127" s="51">
        <v>1268</v>
      </c>
      <c r="F127" s="13"/>
      <c r="G127" s="203">
        <v>33899.729999999996</v>
      </c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 spans="1:24" s="64" customFormat="1" ht="13.5" customHeight="1" x14ac:dyDescent="0.2">
      <c r="A128" s="184">
        <v>44147</v>
      </c>
      <c r="B128" s="63"/>
      <c r="C128" s="743" t="s">
        <v>5209</v>
      </c>
      <c r="D128" s="50"/>
      <c r="E128" s="51">
        <v>380</v>
      </c>
      <c r="F128" s="13"/>
      <c r="G128" s="203">
        <v>33519.729999999996</v>
      </c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</row>
    <row r="129" spans="1:24" s="64" customFormat="1" ht="13.5" customHeight="1" x14ac:dyDescent="0.2">
      <c r="A129" s="184"/>
      <c r="B129" s="63"/>
      <c r="C129" s="742" t="s">
        <v>5210</v>
      </c>
      <c r="D129" s="50"/>
      <c r="E129" s="51">
        <v>570</v>
      </c>
      <c r="F129" s="13"/>
      <c r="G129" s="203">
        <v>32949.729999999996</v>
      </c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</row>
    <row r="130" spans="1:24" ht="13.5" customHeight="1" x14ac:dyDescent="0.2">
      <c r="A130" s="180"/>
      <c r="B130" s="56"/>
      <c r="C130" s="34" t="s">
        <v>5196</v>
      </c>
      <c r="D130" s="11"/>
      <c r="E130" s="30">
        <v>290.2</v>
      </c>
      <c r="F130" s="12"/>
      <c r="G130" s="203">
        <v>32659.529999999995</v>
      </c>
    </row>
    <row r="131" spans="1:24" ht="13.5" customHeight="1" x14ac:dyDescent="0.2">
      <c r="A131" s="180"/>
      <c r="B131" s="56"/>
      <c r="C131" s="36" t="s">
        <v>5137</v>
      </c>
      <c r="D131" s="11"/>
      <c r="E131" s="30"/>
      <c r="F131" s="277">
        <v>1000</v>
      </c>
      <c r="G131" s="203">
        <v>33659.53</v>
      </c>
    </row>
    <row r="132" spans="1:24" ht="13.5" customHeight="1" x14ac:dyDescent="0.2">
      <c r="A132" s="180"/>
      <c r="B132" s="56"/>
      <c r="C132" s="34" t="s">
        <v>5211</v>
      </c>
      <c r="D132" s="11"/>
      <c r="E132" s="30">
        <v>215</v>
      </c>
      <c r="F132" s="12"/>
      <c r="G132" s="203">
        <v>33444.53</v>
      </c>
    </row>
    <row r="133" spans="1:24" ht="13.5" customHeight="1" x14ac:dyDescent="0.2">
      <c r="A133" s="180"/>
      <c r="B133" s="56"/>
      <c r="C133" s="34" t="s">
        <v>5212</v>
      </c>
      <c r="D133" s="11"/>
      <c r="E133" s="30">
        <v>419</v>
      </c>
      <c r="F133" s="12"/>
      <c r="G133" s="203">
        <v>33025.53</v>
      </c>
    </row>
    <row r="134" spans="1:24" s="64" customFormat="1" ht="13.5" customHeight="1" x14ac:dyDescent="0.2">
      <c r="A134" s="184"/>
      <c r="B134" s="63"/>
      <c r="C134" s="742" t="s">
        <v>5213</v>
      </c>
      <c r="D134" s="50"/>
      <c r="E134" s="51">
        <v>310</v>
      </c>
      <c r="F134" s="13"/>
      <c r="G134" s="203">
        <v>32715.53</v>
      </c>
      <c r="H134" s="1"/>
      <c r="I134" s="1">
        <v>34000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</row>
    <row r="135" spans="1:24" s="64" customFormat="1" ht="13.5" customHeight="1" x14ac:dyDescent="0.2">
      <c r="A135" s="184">
        <v>44152</v>
      </c>
      <c r="B135" s="63"/>
      <c r="C135" s="36" t="s">
        <v>5214</v>
      </c>
      <c r="D135" s="11"/>
      <c r="E135" s="30"/>
      <c r="F135" s="12">
        <v>4000</v>
      </c>
      <c r="G135" s="203">
        <v>36715.53</v>
      </c>
    </row>
    <row r="136" spans="1:24" ht="13.5" customHeight="1" x14ac:dyDescent="0.2">
      <c r="A136" s="180">
        <v>44154</v>
      </c>
      <c r="B136" s="56"/>
      <c r="C136" s="743" t="s">
        <v>5215</v>
      </c>
      <c r="D136" s="11"/>
      <c r="E136" s="30"/>
      <c r="F136" s="12">
        <v>945</v>
      </c>
      <c r="G136" s="203">
        <v>37660.53</v>
      </c>
      <c r="I136" s="137" t="s">
        <v>5216</v>
      </c>
    </row>
    <row r="137" spans="1:24" ht="13.5" customHeight="1" x14ac:dyDescent="0.2">
      <c r="A137" s="180"/>
      <c r="B137" s="56"/>
      <c r="C137" s="34" t="s">
        <v>5217</v>
      </c>
      <c r="D137" s="11"/>
      <c r="E137" s="30">
        <v>70</v>
      </c>
      <c r="F137" s="12"/>
      <c r="G137" s="203">
        <v>37590.53</v>
      </c>
    </row>
    <row r="138" spans="1:24" ht="13.5" customHeight="1" x14ac:dyDescent="0.2">
      <c r="A138" s="180"/>
      <c r="B138" s="56"/>
      <c r="C138" s="34" t="s">
        <v>5218</v>
      </c>
      <c r="D138" s="11"/>
      <c r="E138" s="30">
        <v>216</v>
      </c>
      <c r="F138" s="12"/>
      <c r="G138" s="203">
        <v>37374.53</v>
      </c>
    </row>
    <row r="139" spans="1:24" ht="13.5" customHeight="1" x14ac:dyDescent="0.2">
      <c r="A139" s="180"/>
      <c r="B139" s="56"/>
      <c r="C139" s="34" t="s">
        <v>5219</v>
      </c>
      <c r="D139" s="11"/>
      <c r="E139" s="30">
        <v>360.53</v>
      </c>
      <c r="F139" s="12"/>
      <c r="G139" s="203">
        <v>37014</v>
      </c>
    </row>
    <row r="140" spans="1:24" ht="13.5" customHeight="1" x14ac:dyDescent="0.2">
      <c r="A140" s="180"/>
      <c r="B140" s="56"/>
      <c r="C140" s="34" t="s">
        <v>5220</v>
      </c>
      <c r="D140" s="11"/>
      <c r="E140" s="30">
        <v>1750</v>
      </c>
      <c r="F140" s="12"/>
      <c r="G140" s="203">
        <v>35264</v>
      </c>
      <c r="I140" s="1">
        <v>36500</v>
      </c>
      <c r="J140" s="18">
        <v>-1236</v>
      </c>
    </row>
    <row r="141" spans="1:24" s="64" customFormat="1" ht="13.5" customHeight="1" x14ac:dyDescent="0.2">
      <c r="A141" s="184"/>
      <c r="B141" s="63"/>
      <c r="C141" s="34" t="s">
        <v>3872</v>
      </c>
      <c r="D141" s="50"/>
      <c r="E141" s="51">
        <v>100</v>
      </c>
      <c r="F141" s="13"/>
      <c r="G141" s="203">
        <v>35164</v>
      </c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</row>
    <row r="142" spans="1:24" s="64" customFormat="1" ht="13.5" customHeight="1" x14ac:dyDescent="0.2">
      <c r="A142" s="184"/>
      <c r="B142" s="63"/>
      <c r="C142" s="34" t="s">
        <v>4714</v>
      </c>
      <c r="D142" s="50"/>
      <c r="E142" s="51">
        <v>54.8</v>
      </c>
      <c r="F142" s="13"/>
      <c r="G142" s="203">
        <v>35109.199999999997</v>
      </c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</row>
    <row r="143" spans="1:24" s="64" customFormat="1" ht="13.5" customHeight="1" x14ac:dyDescent="0.2">
      <c r="A143" s="184"/>
      <c r="B143" s="63"/>
      <c r="C143" s="32" t="s">
        <v>5221</v>
      </c>
      <c r="D143" s="50"/>
      <c r="E143" s="30">
        <v>183.25</v>
      </c>
      <c r="F143" s="13"/>
      <c r="G143" s="203">
        <v>34925.949999999997</v>
      </c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</row>
    <row r="144" spans="1:24" s="64" customFormat="1" ht="13.5" customHeight="1" x14ac:dyDescent="0.2">
      <c r="A144" s="184"/>
      <c r="B144" s="63"/>
      <c r="C144" s="32" t="s">
        <v>5222</v>
      </c>
      <c r="D144" s="50"/>
      <c r="E144" s="51">
        <v>379.03</v>
      </c>
      <c r="F144" s="13"/>
      <c r="G144" s="203">
        <v>34546.92</v>
      </c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</row>
    <row r="145" spans="1:24" s="64" customFormat="1" ht="13.5" customHeight="1" x14ac:dyDescent="0.2">
      <c r="A145" s="180">
        <v>44159</v>
      </c>
      <c r="B145" s="63"/>
      <c r="C145" s="742" t="s">
        <v>5223</v>
      </c>
      <c r="D145" s="50"/>
      <c r="E145" s="51"/>
      <c r="F145" s="13">
        <v>1221</v>
      </c>
      <c r="G145" s="203">
        <v>35767.919999999998</v>
      </c>
      <c r="H145" s="1"/>
      <c r="I145" s="1">
        <v>36500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</row>
    <row r="146" spans="1:24" s="64" customFormat="1" ht="13.5" customHeight="1" x14ac:dyDescent="0.2">
      <c r="A146" s="184"/>
      <c r="B146" s="63"/>
      <c r="C146" s="34" t="s">
        <v>5224</v>
      </c>
      <c r="D146" s="50"/>
      <c r="E146" s="51"/>
      <c r="F146" s="277">
        <v>10000</v>
      </c>
      <c r="G146" s="203">
        <v>45767.92</v>
      </c>
      <c r="H146" s="1"/>
      <c r="I146" s="1">
        <v>46500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</row>
    <row r="147" spans="1:24" s="64" customFormat="1" ht="13.5" customHeight="1" x14ac:dyDescent="0.2">
      <c r="A147" s="184">
        <v>44161</v>
      </c>
      <c r="B147" s="63"/>
      <c r="C147" s="32" t="s">
        <v>5225</v>
      </c>
      <c r="D147" s="50"/>
      <c r="E147" s="51">
        <v>150</v>
      </c>
      <c r="F147" s="13"/>
      <c r="G147" s="203">
        <v>45617.919999999998</v>
      </c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</row>
    <row r="148" spans="1:24" s="64" customFormat="1" ht="13.5" customHeight="1" x14ac:dyDescent="0.2">
      <c r="A148" s="184"/>
      <c r="B148" s="63"/>
      <c r="C148" s="32" t="s">
        <v>5226</v>
      </c>
      <c r="D148" s="50"/>
      <c r="E148" s="51">
        <v>15</v>
      </c>
      <c r="F148" s="13"/>
      <c r="G148" s="203">
        <v>45602.92</v>
      </c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</row>
    <row r="149" spans="1:24" s="64" customFormat="1" ht="13.5" customHeight="1" x14ac:dyDescent="0.2">
      <c r="A149" s="184">
        <v>44162</v>
      </c>
      <c r="B149" s="63"/>
      <c r="C149" s="32" t="s">
        <v>5227</v>
      </c>
      <c r="D149" s="50"/>
      <c r="E149" s="51">
        <v>740</v>
      </c>
      <c r="F149" s="13"/>
      <c r="G149" s="203">
        <v>44862.92</v>
      </c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</row>
    <row r="150" spans="1:24" s="64" customFormat="1" ht="13.5" customHeight="1" x14ac:dyDescent="0.2">
      <c r="A150" s="184"/>
      <c r="B150" s="63"/>
      <c r="C150" s="742" t="s">
        <v>5228</v>
      </c>
      <c r="D150" s="11"/>
      <c r="E150" s="30"/>
      <c r="F150" s="12">
        <v>220</v>
      </c>
      <c r="G150" s="203">
        <v>45082.92</v>
      </c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</row>
    <row r="151" spans="1:24" s="64" customFormat="1" ht="13.5" customHeight="1" x14ac:dyDescent="0.2">
      <c r="A151" s="184"/>
      <c r="B151" s="63"/>
      <c r="C151" s="742" t="s">
        <v>5229</v>
      </c>
      <c r="D151" s="50"/>
      <c r="E151" s="51"/>
      <c r="F151" s="13">
        <v>900</v>
      </c>
      <c r="G151" s="203">
        <v>45982.92</v>
      </c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</row>
    <row r="152" spans="1:24" s="64" customFormat="1" ht="13.5" customHeight="1" x14ac:dyDescent="0.2">
      <c r="A152" s="184">
        <v>44165</v>
      </c>
      <c r="B152" s="63"/>
      <c r="C152" s="32" t="s">
        <v>5230</v>
      </c>
      <c r="D152" s="50"/>
      <c r="E152" s="51">
        <v>228.9</v>
      </c>
      <c r="F152" s="13"/>
      <c r="G152" s="203">
        <v>45754.02</v>
      </c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</row>
    <row r="153" spans="1:24" s="64" customFormat="1" ht="13.5" customHeight="1" x14ac:dyDescent="0.2">
      <c r="A153" s="184"/>
      <c r="B153" s="63"/>
      <c r="C153" s="32" t="s">
        <v>5231</v>
      </c>
      <c r="D153" s="50"/>
      <c r="E153" s="51">
        <v>244.02</v>
      </c>
      <c r="F153" s="13"/>
      <c r="G153" s="205">
        <v>45510</v>
      </c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</row>
    <row r="154" spans="1:24" ht="13.5" customHeight="1" thickBot="1" x14ac:dyDescent="0.25">
      <c r="A154" s="180"/>
      <c r="B154" s="56"/>
      <c r="C154" s="56"/>
      <c r="D154" s="11"/>
      <c r="E154" s="653">
        <f>-SUM(E107:E153)</f>
        <v>-23222.999999999996</v>
      </c>
      <c r="F154" s="647">
        <f>SUM(F108:F130,F135:F145,F150:F153)</f>
        <v>21166</v>
      </c>
      <c r="G154" s="182"/>
    </row>
    <row r="155" spans="1:24" ht="13.5" customHeight="1" thickBot="1" x14ac:dyDescent="0.25">
      <c r="A155" s="2" t="s">
        <v>2</v>
      </c>
      <c r="B155" s="3"/>
      <c r="C155" s="3" t="s">
        <v>3</v>
      </c>
      <c r="D155" s="3"/>
      <c r="E155" s="3"/>
      <c r="F155" s="3"/>
      <c r="G155" s="5" t="s">
        <v>7</v>
      </c>
    </row>
    <row r="156" spans="1:24" ht="13.5" customHeight="1" x14ac:dyDescent="0.2">
      <c r="A156" s="8">
        <v>44136</v>
      </c>
      <c r="B156" s="70"/>
      <c r="C156" s="10" t="s">
        <v>537</v>
      </c>
      <c r="D156" s="46"/>
      <c r="E156" s="67"/>
      <c r="F156" s="67"/>
      <c r="G156" s="205">
        <v>2184.7199999999998</v>
      </c>
    </row>
    <row r="157" spans="1:24" ht="13.5" customHeight="1" x14ac:dyDescent="0.2">
      <c r="A157" s="171"/>
      <c r="B157" s="46"/>
      <c r="C157" s="36" t="s">
        <v>20</v>
      </c>
      <c r="D157" s="46"/>
      <c r="E157" s="13"/>
      <c r="F157" s="13">
        <v>0.04</v>
      </c>
      <c r="G157" s="182">
        <v>2184.7599999999998</v>
      </c>
    </row>
    <row r="158" spans="1:24" ht="13.5" customHeight="1" x14ac:dyDescent="0.2">
      <c r="A158" s="171" t="s">
        <v>5232</v>
      </c>
      <c r="B158" s="46"/>
      <c r="C158" s="34" t="s">
        <v>5059</v>
      </c>
      <c r="D158" s="46" t="s">
        <v>5233</v>
      </c>
      <c r="E158" s="13">
        <v>-163.95</v>
      </c>
      <c r="F158" s="13"/>
      <c r="G158" s="182">
        <v>2020.8099999999997</v>
      </c>
    </row>
    <row r="159" spans="1:24" ht="13.5" customHeight="1" x14ac:dyDescent="0.2">
      <c r="A159" s="171"/>
      <c r="B159" s="46"/>
      <c r="C159" s="36" t="s">
        <v>20</v>
      </c>
      <c r="D159" s="46" t="s">
        <v>488</v>
      </c>
      <c r="E159" s="13"/>
      <c r="F159" s="13">
        <v>0.01</v>
      </c>
      <c r="G159" s="182">
        <v>2020.8199999999997</v>
      </c>
    </row>
    <row r="160" spans="1:24" ht="13.5" customHeight="1" x14ac:dyDescent="0.2">
      <c r="A160" s="180" t="s">
        <v>5234</v>
      </c>
      <c r="B160" s="46"/>
      <c r="C160" s="34" t="s">
        <v>68</v>
      </c>
      <c r="D160" s="46" t="s">
        <v>5235</v>
      </c>
      <c r="E160" s="13">
        <v>-119</v>
      </c>
      <c r="F160" s="13"/>
      <c r="G160" s="182">
        <v>1901.8199999999997</v>
      </c>
    </row>
    <row r="161" spans="1:7" ht="13.5" customHeight="1" x14ac:dyDescent="0.2">
      <c r="A161" s="180"/>
      <c r="B161" s="46"/>
      <c r="C161" s="36" t="s">
        <v>20</v>
      </c>
      <c r="D161" s="46" t="s">
        <v>488</v>
      </c>
      <c r="E161" s="13"/>
      <c r="F161" s="13">
        <v>0.01</v>
      </c>
      <c r="G161" s="182">
        <v>1901.8299999999997</v>
      </c>
    </row>
    <row r="162" spans="1:7" ht="13.5" customHeight="1" x14ac:dyDescent="0.2">
      <c r="A162" s="180" t="s">
        <v>5236</v>
      </c>
      <c r="B162" s="46"/>
      <c r="C162" s="34" t="s">
        <v>5237</v>
      </c>
      <c r="D162" s="46" t="s">
        <v>488</v>
      </c>
      <c r="E162" s="13"/>
      <c r="F162" s="13">
        <v>727.5</v>
      </c>
      <c r="G162" s="182">
        <v>2629.33</v>
      </c>
    </row>
    <row r="163" spans="1:7" ht="13.5" customHeight="1" x14ac:dyDescent="0.2">
      <c r="A163" s="180"/>
      <c r="B163" s="46"/>
      <c r="C163" s="34" t="s">
        <v>5238</v>
      </c>
      <c r="D163" s="46" t="s">
        <v>488</v>
      </c>
      <c r="E163" s="13">
        <v>-88.78</v>
      </c>
      <c r="F163" s="13"/>
      <c r="G163" s="182">
        <v>2540.5499999999997</v>
      </c>
    </row>
    <row r="164" spans="1:7" ht="13.5" customHeight="1" x14ac:dyDescent="0.2">
      <c r="A164" s="180" t="s">
        <v>5239</v>
      </c>
      <c r="B164" s="9"/>
      <c r="C164" s="34" t="s">
        <v>87</v>
      </c>
      <c r="D164" s="46" t="s">
        <v>488</v>
      </c>
      <c r="E164" s="753">
        <v>-70.39</v>
      </c>
      <c r="F164" s="13"/>
      <c r="G164" s="182">
        <v>2470.16</v>
      </c>
    </row>
    <row r="165" spans="1:7" ht="13.5" customHeight="1" x14ac:dyDescent="0.2">
      <c r="A165" s="180" t="s">
        <v>5240</v>
      </c>
      <c r="B165" s="9"/>
      <c r="C165" s="33" t="s">
        <v>81</v>
      </c>
      <c r="D165" s="46" t="s">
        <v>488</v>
      </c>
      <c r="E165" s="753">
        <v>-52.35</v>
      </c>
      <c r="F165" s="13"/>
      <c r="G165" s="182">
        <v>2417.81</v>
      </c>
    </row>
    <row r="166" spans="1:7" ht="13.5" customHeight="1" x14ac:dyDescent="0.2">
      <c r="A166" s="180"/>
      <c r="B166" s="9"/>
      <c r="C166" s="36" t="s">
        <v>20</v>
      </c>
      <c r="D166" s="46" t="s">
        <v>488</v>
      </c>
      <c r="E166" s="13"/>
      <c r="F166" s="13">
        <v>0.11</v>
      </c>
      <c r="G166" s="182">
        <v>2417.92</v>
      </c>
    </row>
    <row r="167" spans="1:7" ht="13.5" customHeight="1" x14ac:dyDescent="0.2">
      <c r="A167" s="180" t="s">
        <v>5241</v>
      </c>
      <c r="B167" s="9"/>
      <c r="C167" s="34" t="s">
        <v>5242</v>
      </c>
      <c r="D167" s="46" t="s">
        <v>488</v>
      </c>
      <c r="E167" s="13">
        <v>-46.12</v>
      </c>
      <c r="F167" s="13"/>
      <c r="G167" s="182">
        <v>2371.8000000000002</v>
      </c>
    </row>
    <row r="168" spans="1:7" ht="13.5" customHeight="1" x14ac:dyDescent="0.2">
      <c r="A168" s="180"/>
      <c r="B168" s="9"/>
      <c r="C168" s="34" t="s">
        <v>5243</v>
      </c>
      <c r="D168" s="46" t="s">
        <v>488</v>
      </c>
      <c r="E168" s="13">
        <v>-236.09</v>
      </c>
      <c r="F168" s="13"/>
      <c r="G168" s="182">
        <v>2135.71</v>
      </c>
    </row>
    <row r="169" spans="1:7" ht="13.5" customHeight="1" x14ac:dyDescent="0.2">
      <c r="A169" s="180"/>
      <c r="B169" s="46"/>
      <c r="C169" s="34" t="s">
        <v>5244</v>
      </c>
      <c r="D169" s="46" t="s">
        <v>488</v>
      </c>
      <c r="E169" s="13">
        <v>-100</v>
      </c>
      <c r="F169" s="13"/>
      <c r="G169" s="182">
        <v>2035.71</v>
      </c>
    </row>
    <row r="170" spans="1:7" ht="13.5" customHeight="1" x14ac:dyDescent="0.2">
      <c r="A170" s="180">
        <v>44153</v>
      </c>
      <c r="B170" s="46"/>
      <c r="C170" s="34" t="s">
        <v>673</v>
      </c>
      <c r="D170" s="46" t="s">
        <v>488</v>
      </c>
      <c r="E170" s="13">
        <v>-123.98</v>
      </c>
      <c r="F170" s="13"/>
      <c r="G170" s="182">
        <v>1911.73</v>
      </c>
    </row>
    <row r="171" spans="1:7" ht="13.5" customHeight="1" x14ac:dyDescent="0.2">
      <c r="A171" s="180" t="s">
        <v>5245</v>
      </c>
      <c r="B171" s="46"/>
      <c r="C171" s="36" t="s">
        <v>4678</v>
      </c>
      <c r="D171" s="46"/>
      <c r="E171" s="69"/>
      <c r="F171" s="322">
        <v>200</v>
      </c>
      <c r="G171" s="182">
        <v>2111.73</v>
      </c>
    </row>
    <row r="172" spans="1:7" ht="13.5" customHeight="1" x14ac:dyDescent="0.2">
      <c r="A172" s="180" t="s">
        <v>5246</v>
      </c>
      <c r="B172" s="46"/>
      <c r="C172" s="34" t="s">
        <v>134</v>
      </c>
      <c r="D172" s="46" t="s">
        <v>5247</v>
      </c>
      <c r="E172" s="13">
        <v>-119</v>
      </c>
      <c r="F172" s="13"/>
      <c r="G172" s="182">
        <v>1992.73</v>
      </c>
    </row>
    <row r="173" spans="1:7" ht="13.5" customHeight="1" x14ac:dyDescent="0.2">
      <c r="A173" s="180" t="s">
        <v>5248</v>
      </c>
      <c r="B173" s="46"/>
      <c r="C173" s="34" t="s">
        <v>3725</v>
      </c>
      <c r="D173" s="46">
        <v>11023</v>
      </c>
      <c r="E173" s="13"/>
      <c r="F173" s="13">
        <v>280</v>
      </c>
      <c r="G173" s="182">
        <v>2272.73</v>
      </c>
    </row>
    <row r="174" spans="1:7" ht="13.5" customHeight="1" x14ac:dyDescent="0.2">
      <c r="A174" s="180"/>
      <c r="B174" s="46"/>
      <c r="C174" s="33" t="s">
        <v>736</v>
      </c>
      <c r="D174" s="46" t="s">
        <v>488</v>
      </c>
      <c r="E174" s="13">
        <v>-43.04</v>
      </c>
      <c r="F174" s="13"/>
      <c r="G174" s="182">
        <v>2229.69</v>
      </c>
    </row>
    <row r="175" spans="1:7" ht="13.5" customHeight="1" x14ac:dyDescent="0.2">
      <c r="A175" s="180"/>
      <c r="B175" s="46"/>
      <c r="C175" s="36" t="s">
        <v>129</v>
      </c>
      <c r="D175" s="46" t="s">
        <v>488</v>
      </c>
      <c r="E175" s="13">
        <v>-46.12</v>
      </c>
      <c r="F175" s="13"/>
      <c r="G175" s="182">
        <v>2183.5700000000002</v>
      </c>
    </row>
    <row r="176" spans="1:7" ht="13.5" customHeight="1" x14ac:dyDescent="0.2">
      <c r="A176" s="180"/>
      <c r="B176" s="46"/>
      <c r="C176" s="34" t="s">
        <v>4901</v>
      </c>
      <c r="D176" s="46" t="s">
        <v>488</v>
      </c>
      <c r="E176" s="13">
        <v>-46.12</v>
      </c>
      <c r="F176" s="13"/>
      <c r="G176" s="182">
        <v>2137.4500000000003</v>
      </c>
    </row>
    <row r="177" spans="1:8" ht="13.5" customHeight="1" x14ac:dyDescent="0.2">
      <c r="A177" s="180"/>
      <c r="B177" s="46"/>
      <c r="C177" s="34" t="s">
        <v>130</v>
      </c>
      <c r="D177" s="46" t="s">
        <v>488</v>
      </c>
      <c r="E177" s="13">
        <v>-135.74</v>
      </c>
      <c r="F177" s="13"/>
      <c r="G177" s="182">
        <v>2001.7100000000003</v>
      </c>
    </row>
    <row r="178" spans="1:8" ht="13.5" customHeight="1" x14ac:dyDescent="0.2">
      <c r="A178" s="180" t="s">
        <v>5249</v>
      </c>
      <c r="B178" s="46"/>
      <c r="C178" s="34" t="s">
        <v>4901</v>
      </c>
      <c r="D178" s="46" t="s">
        <v>488</v>
      </c>
      <c r="E178" s="13">
        <v>-9.1999999999999993</v>
      </c>
      <c r="F178" s="13"/>
      <c r="G178" s="182">
        <v>1992.5100000000002</v>
      </c>
    </row>
    <row r="179" spans="1:8" ht="13.5" customHeight="1" x14ac:dyDescent="0.2">
      <c r="A179" s="180" t="s">
        <v>5250</v>
      </c>
      <c r="B179" s="46"/>
      <c r="C179" s="34" t="s">
        <v>5056</v>
      </c>
      <c r="D179" s="46" t="s">
        <v>488</v>
      </c>
      <c r="E179" s="13">
        <v>-55.34</v>
      </c>
      <c r="F179" s="13"/>
      <c r="G179" s="182">
        <v>1937.1700000000003</v>
      </c>
    </row>
    <row r="180" spans="1:8" ht="13.5" customHeight="1" x14ac:dyDescent="0.2">
      <c r="A180" s="180"/>
      <c r="B180" s="46"/>
      <c r="C180" s="34" t="s">
        <v>136</v>
      </c>
      <c r="D180" s="46" t="s">
        <v>488</v>
      </c>
      <c r="E180" s="13">
        <v>-45.9</v>
      </c>
      <c r="F180" s="13"/>
      <c r="G180" s="205">
        <v>1891.2700000000002</v>
      </c>
    </row>
    <row r="181" spans="1:8" ht="13.5" customHeight="1" thickBot="1" x14ac:dyDescent="0.25">
      <c r="A181" s="171"/>
      <c r="B181" s="46"/>
      <c r="C181" s="34"/>
      <c r="D181" s="46"/>
      <c r="E181" s="654">
        <f>SUM(E158:E180)</f>
        <v>-1501.12</v>
      </c>
      <c r="F181" s="654">
        <f>SUM(F157:F169,F173)</f>
        <v>1007.67</v>
      </c>
      <c r="G181" s="182"/>
    </row>
    <row r="182" spans="1:8" ht="13.5" customHeight="1" thickBot="1" x14ac:dyDescent="0.25">
      <c r="A182" s="2" t="s">
        <v>2</v>
      </c>
      <c r="B182" s="3"/>
      <c r="C182" s="3" t="s">
        <v>481</v>
      </c>
      <c r="D182" s="3"/>
      <c r="E182" s="3"/>
      <c r="F182" s="3"/>
      <c r="G182" s="5" t="s">
        <v>7</v>
      </c>
    </row>
    <row r="183" spans="1:8" ht="13.5" customHeight="1" x14ac:dyDescent="0.2">
      <c r="A183" s="8">
        <v>44136</v>
      </c>
      <c r="B183" s="70"/>
      <c r="C183" s="10" t="s">
        <v>537</v>
      </c>
      <c r="D183" s="602"/>
      <c r="E183" s="67"/>
      <c r="F183" s="67"/>
      <c r="G183" s="205">
        <v>17926.32</v>
      </c>
      <c r="H183" s="18">
        <v>17926.32</v>
      </c>
    </row>
    <row r="184" spans="1:8" ht="13.5" customHeight="1" x14ac:dyDescent="0.2">
      <c r="A184" s="171" t="s">
        <v>5251</v>
      </c>
      <c r="B184" s="46" t="s">
        <v>483</v>
      </c>
      <c r="C184" s="34" t="s">
        <v>199</v>
      </c>
      <c r="D184" s="553" t="s">
        <v>488</v>
      </c>
      <c r="E184" s="557">
        <v>-209.11</v>
      </c>
      <c r="F184" s="69"/>
      <c r="G184" s="182" t="s">
        <v>483</v>
      </c>
      <c r="H184" s="18">
        <v>17717.21</v>
      </c>
    </row>
    <row r="185" spans="1:8" ht="13.5" customHeight="1" x14ac:dyDescent="0.2">
      <c r="A185" s="171"/>
      <c r="B185" s="46" t="s">
        <v>483</v>
      </c>
      <c r="C185" s="34" t="s">
        <v>4924</v>
      </c>
      <c r="D185" s="553" t="s">
        <v>488</v>
      </c>
      <c r="E185" s="557">
        <v>-116</v>
      </c>
      <c r="F185" s="69"/>
      <c r="G185" s="182" t="s">
        <v>483</v>
      </c>
      <c r="H185" s="18">
        <v>17601.21</v>
      </c>
    </row>
    <row r="186" spans="1:8" ht="13.5" customHeight="1" x14ac:dyDescent="0.2">
      <c r="A186" s="171"/>
      <c r="B186" s="46" t="s">
        <v>483</v>
      </c>
      <c r="C186" s="34" t="s">
        <v>5252</v>
      </c>
      <c r="D186" s="553" t="s">
        <v>5253</v>
      </c>
      <c r="E186" s="557">
        <v>-120.35</v>
      </c>
      <c r="F186" s="69"/>
      <c r="G186" s="182">
        <v>17480.86</v>
      </c>
      <c r="H186" s="18">
        <v>17480.86</v>
      </c>
    </row>
    <row r="187" spans="1:8" ht="13.5" customHeight="1" x14ac:dyDescent="0.2">
      <c r="A187" s="171" t="s">
        <v>5254</v>
      </c>
      <c r="B187" s="46" t="s">
        <v>483</v>
      </c>
      <c r="C187" s="34" t="s">
        <v>180</v>
      </c>
      <c r="D187" s="553" t="s">
        <v>488</v>
      </c>
      <c r="E187" s="557">
        <v>-406.21</v>
      </c>
      <c r="F187" s="69"/>
      <c r="G187" s="182">
        <v>17074.650000000001</v>
      </c>
      <c r="H187" s="18">
        <v>17074.650000000001</v>
      </c>
    </row>
    <row r="188" spans="1:8" ht="13.5" customHeight="1" x14ac:dyDescent="0.2">
      <c r="A188" s="171" t="s">
        <v>5255</v>
      </c>
      <c r="B188" s="46" t="s">
        <v>483</v>
      </c>
      <c r="C188" s="34" t="s">
        <v>4747</v>
      </c>
      <c r="D188" s="553" t="s">
        <v>5256</v>
      </c>
      <c r="E188" s="557">
        <v>-661.17</v>
      </c>
      <c r="F188" s="69"/>
      <c r="G188" s="182" t="s">
        <v>483</v>
      </c>
      <c r="H188" s="18">
        <v>16413.480000000003</v>
      </c>
    </row>
    <row r="189" spans="1:8" ht="13.5" customHeight="1" x14ac:dyDescent="0.2">
      <c r="A189" s="171"/>
      <c r="B189" s="46" t="s">
        <v>483</v>
      </c>
      <c r="C189" s="34" t="s">
        <v>4912</v>
      </c>
      <c r="D189" s="11" t="s">
        <v>5257</v>
      </c>
      <c r="E189" s="557">
        <v>-1076.68</v>
      </c>
      <c r="F189" s="69"/>
      <c r="G189" s="182" t="s">
        <v>483</v>
      </c>
      <c r="H189" s="18">
        <v>15336.800000000003</v>
      </c>
    </row>
    <row r="190" spans="1:8" ht="13.5" customHeight="1" x14ac:dyDescent="0.2">
      <c r="A190" s="171"/>
      <c r="B190" s="46" t="s">
        <v>483</v>
      </c>
      <c r="C190" s="34" t="s">
        <v>382</v>
      </c>
      <c r="D190" s="11" t="s">
        <v>488</v>
      </c>
      <c r="E190" s="557">
        <v>-253.96</v>
      </c>
      <c r="F190" s="69"/>
      <c r="G190" s="182">
        <v>15082.84</v>
      </c>
      <c r="H190" s="18">
        <v>15082.840000000004</v>
      </c>
    </row>
    <row r="191" spans="1:8" ht="13.5" customHeight="1" x14ac:dyDescent="0.2">
      <c r="A191" s="171" t="s">
        <v>5258</v>
      </c>
      <c r="B191" s="46" t="s">
        <v>483</v>
      </c>
      <c r="C191" s="34" t="s">
        <v>4619</v>
      </c>
      <c r="D191" s="11" t="s">
        <v>488</v>
      </c>
      <c r="E191" s="557">
        <v>-600</v>
      </c>
      <c r="F191" s="69"/>
      <c r="G191" s="182" t="s">
        <v>483</v>
      </c>
      <c r="H191" s="18">
        <v>14482.840000000004</v>
      </c>
    </row>
    <row r="192" spans="1:8" ht="13.5" customHeight="1" x14ac:dyDescent="0.2">
      <c r="A192" s="171"/>
      <c r="B192" s="46" t="s">
        <v>483</v>
      </c>
      <c r="C192" s="34" t="s">
        <v>5076</v>
      </c>
      <c r="D192" s="11" t="s">
        <v>488</v>
      </c>
      <c r="E192" s="557">
        <v>-233.75</v>
      </c>
      <c r="F192" s="69"/>
      <c r="G192" s="182">
        <v>14249.09</v>
      </c>
      <c r="H192" s="18">
        <v>14249.090000000004</v>
      </c>
    </row>
    <row r="193" spans="1:9" ht="13.5" customHeight="1" x14ac:dyDescent="0.2">
      <c r="A193" s="171" t="s">
        <v>5259</v>
      </c>
      <c r="B193" s="46" t="s">
        <v>483</v>
      </c>
      <c r="C193" s="34" t="s">
        <v>5260</v>
      </c>
      <c r="D193" s="11" t="s">
        <v>488</v>
      </c>
      <c r="E193" s="69"/>
      <c r="F193" s="557">
        <v>4980.5</v>
      </c>
      <c r="G193" s="182" t="s">
        <v>483</v>
      </c>
      <c r="H193" s="18">
        <v>19229.590000000004</v>
      </c>
    </row>
    <row r="194" spans="1:9" ht="13.5" customHeight="1" x14ac:dyDescent="0.2">
      <c r="A194" s="171"/>
      <c r="B194" s="46" t="s">
        <v>483</v>
      </c>
      <c r="C194" s="34" t="s">
        <v>4620</v>
      </c>
      <c r="D194" s="11" t="s">
        <v>488</v>
      </c>
      <c r="E194" s="557">
        <v>-600</v>
      </c>
      <c r="F194" s="69"/>
      <c r="G194" s="182">
        <v>18629.59</v>
      </c>
      <c r="H194" s="18">
        <v>18629.590000000004</v>
      </c>
    </row>
    <row r="195" spans="1:9" ht="13.5" customHeight="1" x14ac:dyDescent="0.2">
      <c r="A195" s="171" t="s">
        <v>5261</v>
      </c>
      <c r="B195" s="46" t="s">
        <v>591</v>
      </c>
      <c r="C195" s="36" t="s">
        <v>5158</v>
      </c>
      <c r="D195" s="11" t="s">
        <v>5262</v>
      </c>
      <c r="E195" s="557"/>
      <c r="F195" s="322">
        <v>7500</v>
      </c>
      <c r="G195" s="182">
        <v>26129.59</v>
      </c>
      <c r="H195" s="18">
        <v>26129.590000000004</v>
      </c>
    </row>
    <row r="196" spans="1:9" ht="13.5" customHeight="1" x14ac:dyDescent="0.2">
      <c r="A196" s="171" t="s">
        <v>5263</v>
      </c>
      <c r="B196" s="46" t="s">
        <v>483</v>
      </c>
      <c r="C196" s="34" t="s">
        <v>4631</v>
      </c>
      <c r="D196" s="11" t="s">
        <v>5264</v>
      </c>
      <c r="E196" s="557">
        <v>-1331.82</v>
      </c>
      <c r="F196" s="69"/>
      <c r="G196" s="182" t="s">
        <v>483</v>
      </c>
      <c r="H196" s="18">
        <v>24797.770000000004</v>
      </c>
    </row>
    <row r="197" spans="1:9" ht="13.5" customHeight="1" x14ac:dyDescent="0.2">
      <c r="A197" s="171"/>
      <c r="B197" s="46" t="s">
        <v>483</v>
      </c>
      <c r="C197" s="34" t="s">
        <v>194</v>
      </c>
      <c r="D197" s="11" t="s">
        <v>488</v>
      </c>
      <c r="E197" s="557">
        <v>-86.16</v>
      </c>
      <c r="F197" s="69"/>
      <c r="G197" s="182" t="s">
        <v>483</v>
      </c>
      <c r="H197" s="18">
        <v>24711.610000000004</v>
      </c>
    </row>
    <row r="198" spans="1:9" ht="13.5" customHeight="1" x14ac:dyDescent="0.2">
      <c r="A198" s="171"/>
      <c r="B198" s="46" t="s">
        <v>483</v>
      </c>
      <c r="C198" s="34" t="s">
        <v>195</v>
      </c>
      <c r="D198" s="11" t="s">
        <v>488</v>
      </c>
      <c r="E198" s="557">
        <v>-397.67</v>
      </c>
      <c r="F198" s="69"/>
      <c r="G198" s="182" t="s">
        <v>483</v>
      </c>
      <c r="H198" s="18">
        <v>24313.940000000006</v>
      </c>
    </row>
    <row r="199" spans="1:9" ht="13.5" customHeight="1" x14ac:dyDescent="0.2">
      <c r="A199" s="171"/>
      <c r="B199" s="46" t="s">
        <v>483</v>
      </c>
      <c r="C199" s="34" t="s">
        <v>5078</v>
      </c>
      <c r="D199" s="11" t="s">
        <v>488</v>
      </c>
      <c r="E199" s="557">
        <v>-740</v>
      </c>
      <c r="F199" s="69"/>
      <c r="G199" s="182" t="s">
        <v>483</v>
      </c>
      <c r="H199" s="18">
        <v>23573.940000000006</v>
      </c>
    </row>
    <row r="200" spans="1:9" ht="13.5" customHeight="1" x14ac:dyDescent="0.2">
      <c r="A200" s="171"/>
      <c r="B200" s="46" t="s">
        <v>483</v>
      </c>
      <c r="C200" s="34" t="s">
        <v>5265</v>
      </c>
      <c r="D200" s="11" t="s">
        <v>488</v>
      </c>
      <c r="E200" s="557">
        <v>-1414.67</v>
      </c>
      <c r="F200" s="69"/>
      <c r="G200" s="182">
        <v>22159.27</v>
      </c>
      <c r="H200" s="18">
        <v>22159.270000000004</v>
      </c>
    </row>
    <row r="201" spans="1:9" ht="13.5" customHeight="1" x14ac:dyDescent="0.2">
      <c r="A201" s="171" t="s">
        <v>5263</v>
      </c>
      <c r="B201" s="46" t="s">
        <v>483</v>
      </c>
      <c r="C201" s="34" t="s">
        <v>4636</v>
      </c>
      <c r="D201" s="11" t="s">
        <v>5266</v>
      </c>
      <c r="E201" s="557">
        <v>-433.84</v>
      </c>
      <c r="F201" s="69"/>
      <c r="G201" s="182" t="s">
        <v>483</v>
      </c>
      <c r="H201" s="18">
        <v>21725.430000000004</v>
      </c>
    </row>
    <row r="202" spans="1:9" ht="13.5" customHeight="1" x14ac:dyDescent="0.2">
      <c r="A202" s="171"/>
      <c r="B202" s="46" t="s">
        <v>483</v>
      </c>
      <c r="C202" s="32" t="s">
        <v>3383</v>
      </c>
      <c r="D202" s="11" t="s">
        <v>5267</v>
      </c>
      <c r="E202" s="557">
        <v>-542.29999999999995</v>
      </c>
      <c r="F202" s="69"/>
      <c r="G202" s="182">
        <v>21183.13</v>
      </c>
      <c r="H202" s="18">
        <v>21183.130000000005</v>
      </c>
      <c r="I202" s="18"/>
    </row>
    <row r="203" spans="1:9" ht="13.5" customHeight="1" x14ac:dyDescent="0.2">
      <c r="A203" s="171" t="s">
        <v>5268</v>
      </c>
      <c r="B203" s="46" t="s">
        <v>483</v>
      </c>
      <c r="C203" s="34" t="s">
        <v>86</v>
      </c>
      <c r="D203" s="11" t="s">
        <v>488</v>
      </c>
      <c r="E203" s="557">
        <v>-109</v>
      </c>
      <c r="F203" s="69"/>
      <c r="G203" s="182" t="s">
        <v>483</v>
      </c>
      <c r="H203" s="18">
        <v>21074.130000000005</v>
      </c>
    </row>
    <row r="204" spans="1:9" ht="13.5" customHeight="1" x14ac:dyDescent="0.2">
      <c r="A204" s="171"/>
      <c r="B204" s="46" t="s">
        <v>483</v>
      </c>
      <c r="C204" s="32" t="s">
        <v>5269</v>
      </c>
      <c r="D204" s="11" t="s">
        <v>5270</v>
      </c>
      <c r="E204" s="557">
        <v>-348.33</v>
      </c>
      <c r="F204" s="69"/>
      <c r="G204" s="182" t="s">
        <v>483</v>
      </c>
      <c r="H204" s="18">
        <v>20725.800000000003</v>
      </c>
    </row>
    <row r="205" spans="1:9" ht="13.5" customHeight="1" x14ac:dyDescent="0.2">
      <c r="A205" s="171"/>
      <c r="B205" s="46" t="s">
        <v>483</v>
      </c>
      <c r="C205" s="34" t="s">
        <v>4934</v>
      </c>
      <c r="D205" s="11" t="s">
        <v>5271</v>
      </c>
      <c r="E205" s="557">
        <v>-836</v>
      </c>
      <c r="F205" s="69"/>
      <c r="G205" s="182">
        <v>19889.8</v>
      </c>
      <c r="H205" s="18">
        <v>19889.800000000003</v>
      </c>
    </row>
    <row r="206" spans="1:9" ht="13.5" customHeight="1" x14ac:dyDescent="0.2">
      <c r="A206" s="171" t="s">
        <v>5272</v>
      </c>
      <c r="B206" s="46" t="s">
        <v>483</v>
      </c>
      <c r="C206" s="34" t="s">
        <v>5224</v>
      </c>
      <c r="D206" s="11" t="s">
        <v>488</v>
      </c>
      <c r="E206" s="601">
        <v>-10000</v>
      </c>
      <c r="F206" s="557"/>
      <c r="G206" s="182">
        <v>9889.7999999999993</v>
      </c>
      <c r="H206" s="18">
        <v>9889.8000000000029</v>
      </c>
    </row>
    <row r="207" spans="1:9" ht="13.5" customHeight="1" x14ac:dyDescent="0.2">
      <c r="A207" s="171" t="s">
        <v>5273</v>
      </c>
      <c r="B207" s="46" t="s">
        <v>483</v>
      </c>
      <c r="C207" s="34" t="s">
        <v>86</v>
      </c>
      <c r="D207" s="11" t="s">
        <v>488</v>
      </c>
      <c r="E207" s="557">
        <v>-13</v>
      </c>
      <c r="F207" s="69"/>
      <c r="G207" s="182" t="s">
        <v>483</v>
      </c>
      <c r="H207" s="18">
        <v>9876.8000000000029</v>
      </c>
    </row>
    <row r="208" spans="1:9" ht="13.5" customHeight="1" x14ac:dyDescent="0.2">
      <c r="A208" s="171"/>
      <c r="B208" s="46" t="s">
        <v>483</v>
      </c>
      <c r="C208" s="34" t="s">
        <v>4924</v>
      </c>
      <c r="D208" s="11" t="s">
        <v>5274</v>
      </c>
      <c r="E208" s="557">
        <v>-109.8</v>
      </c>
      <c r="F208" s="69"/>
      <c r="G208" s="182">
        <v>9767</v>
      </c>
      <c r="H208" s="18">
        <v>9767.0000000000036</v>
      </c>
    </row>
    <row r="209" spans="1:9" ht="13.5" customHeight="1" x14ac:dyDescent="0.2">
      <c r="A209" s="171" t="s">
        <v>5275</v>
      </c>
      <c r="B209" s="46" t="s">
        <v>483</v>
      </c>
      <c r="C209" s="34" t="s">
        <v>813</v>
      </c>
      <c r="D209" s="11" t="s">
        <v>5276</v>
      </c>
      <c r="E209" s="557">
        <v>-62.5</v>
      </c>
      <c r="F209" s="69"/>
      <c r="G209" s="182" t="s">
        <v>483</v>
      </c>
      <c r="H209" s="18">
        <v>9704.5000000000036</v>
      </c>
    </row>
    <row r="210" spans="1:9" ht="13.5" customHeight="1" x14ac:dyDescent="0.2">
      <c r="A210" s="171"/>
      <c r="B210" s="46" t="s">
        <v>483</v>
      </c>
      <c r="C210" s="34" t="s">
        <v>5277</v>
      </c>
      <c r="D210" s="11" t="s">
        <v>5278</v>
      </c>
      <c r="E210" s="557">
        <v>-2016.92</v>
      </c>
      <c r="F210" s="69"/>
      <c r="G210" s="205">
        <v>7687.58</v>
      </c>
      <c r="H210" s="18">
        <v>7687.5800000000036</v>
      </c>
    </row>
    <row r="211" spans="1:9" ht="13.5" customHeight="1" thickBot="1" x14ac:dyDescent="0.25">
      <c r="A211" s="171"/>
      <c r="B211" s="46"/>
      <c r="C211" s="34"/>
      <c r="D211" s="11"/>
      <c r="E211" s="654">
        <f>SUM(E184:E205,E207:E210)</f>
        <v>-12719.239999999998</v>
      </c>
      <c r="F211" s="654">
        <f>SUM(F193)</f>
        <v>4980.5</v>
      </c>
      <c r="G211" s="182"/>
    </row>
    <row r="212" spans="1:9" ht="13.5" customHeight="1" thickBot="1" x14ac:dyDescent="0.25">
      <c r="A212" s="2" t="s">
        <v>2</v>
      </c>
      <c r="B212" s="3"/>
      <c r="C212" s="3" t="s">
        <v>525</v>
      </c>
      <c r="D212" s="3"/>
      <c r="E212" s="3"/>
      <c r="F212" s="3"/>
      <c r="G212" s="5" t="s">
        <v>7</v>
      </c>
    </row>
    <row r="213" spans="1:9" ht="13.5" customHeight="1" x14ac:dyDescent="0.2">
      <c r="A213" s="8">
        <v>44136</v>
      </c>
      <c r="B213" s="70"/>
      <c r="C213" s="10" t="s">
        <v>537</v>
      </c>
      <c r="D213" s="125"/>
      <c r="E213" s="67"/>
      <c r="F213" s="67"/>
      <c r="G213" s="205">
        <v>387.87999999999897</v>
      </c>
    </row>
    <row r="214" spans="1:9" ht="13.5" customHeight="1" x14ac:dyDescent="0.2">
      <c r="A214" s="171">
        <v>44144</v>
      </c>
      <c r="B214" s="46"/>
      <c r="C214" s="36" t="s">
        <v>530</v>
      </c>
      <c r="D214" s="11"/>
      <c r="E214" s="181">
        <v>930.05</v>
      </c>
      <c r="F214" s="69"/>
      <c r="G214" s="182">
        <v>-542.17000000000098</v>
      </c>
    </row>
    <row r="215" spans="1:9" ht="13.5" customHeight="1" x14ac:dyDescent="0.2">
      <c r="A215" s="171">
        <v>44154</v>
      </c>
      <c r="B215" s="46"/>
      <c r="C215" s="34" t="s">
        <v>5279</v>
      </c>
      <c r="D215" s="229"/>
      <c r="E215" s="69"/>
      <c r="F215" s="557">
        <v>775</v>
      </c>
      <c r="G215" s="182">
        <v>232.82999999999902</v>
      </c>
    </row>
    <row r="216" spans="1:9" ht="13.5" customHeight="1" x14ac:dyDescent="0.2">
      <c r="A216" s="171" t="s">
        <v>5272</v>
      </c>
      <c r="B216" s="46"/>
      <c r="C216" s="34" t="s">
        <v>5224</v>
      </c>
      <c r="D216" s="229"/>
      <c r="E216" s="69"/>
      <c r="F216" s="557">
        <v>10000</v>
      </c>
      <c r="G216" s="182">
        <v>10232.829999999998</v>
      </c>
    </row>
    <row r="217" spans="1:9" ht="13.5" customHeight="1" x14ac:dyDescent="0.2">
      <c r="A217" s="180">
        <v>44526</v>
      </c>
      <c r="B217" s="46"/>
      <c r="C217" s="34" t="s">
        <v>613</v>
      </c>
      <c r="D217" s="229"/>
      <c r="E217" s="557">
        <v>30</v>
      </c>
      <c r="F217" s="69"/>
      <c r="G217" s="205">
        <v>10202.829999999998</v>
      </c>
    </row>
    <row r="218" spans="1:9" ht="13.5" customHeight="1" thickBot="1" x14ac:dyDescent="0.25">
      <c r="A218" s="79"/>
      <c r="B218" s="79"/>
      <c r="C218" s="78"/>
      <c r="D218" s="78"/>
      <c r="E218" s="78"/>
      <c r="F218" s="78"/>
      <c r="G218" s="182"/>
    </row>
    <row r="219" spans="1:9" ht="13.5" customHeight="1" thickBot="1" x14ac:dyDescent="0.25">
      <c r="A219" s="561" t="s">
        <v>2</v>
      </c>
      <c r="B219" s="562"/>
      <c r="C219" s="562" t="s">
        <v>534</v>
      </c>
      <c r="D219" s="563" t="s">
        <v>4</v>
      </c>
      <c r="E219" s="562" t="s">
        <v>5</v>
      </c>
      <c r="F219" s="562" t="s">
        <v>6</v>
      </c>
      <c r="G219" s="564" t="s">
        <v>7</v>
      </c>
    </row>
    <row r="220" spans="1:9" ht="13.5" customHeight="1" x14ac:dyDescent="0.2">
      <c r="A220" s="568">
        <v>44448</v>
      </c>
      <c r="B220" s="569"/>
      <c r="C220" s="570" t="s">
        <v>8</v>
      </c>
      <c r="D220" s="571"/>
      <c r="E220" s="572"/>
      <c r="F220" s="573"/>
      <c r="G220" s="574">
        <v>51200</v>
      </c>
    </row>
    <row r="221" spans="1:9" ht="13.5" customHeight="1" x14ac:dyDescent="0.2">
      <c r="A221" s="180">
        <v>44475</v>
      </c>
      <c r="B221" s="70"/>
      <c r="C221" s="32" t="s">
        <v>3758</v>
      </c>
      <c r="D221" s="50"/>
      <c r="E221" s="13"/>
      <c r="F221" s="183">
        <v>1000</v>
      </c>
      <c r="G221" s="205">
        <v>52200</v>
      </c>
    </row>
    <row r="222" spans="1:9" ht="13.5" customHeight="1" thickBot="1" x14ac:dyDescent="0.25">
      <c r="A222" s="754"/>
      <c r="B222" s="755"/>
      <c r="C222" s="347"/>
      <c r="D222" s="348"/>
      <c r="E222" s="350"/>
      <c r="F222" s="756"/>
      <c r="G222" s="757"/>
    </row>
    <row r="223" spans="1:9" ht="13.5" customHeight="1" thickBot="1" x14ac:dyDescent="0.25">
      <c r="A223" s="2" t="s">
        <v>2</v>
      </c>
      <c r="B223" s="3"/>
      <c r="C223" s="3" t="s">
        <v>5280</v>
      </c>
      <c r="D223" s="3"/>
      <c r="E223" s="3"/>
      <c r="F223" s="3"/>
      <c r="G223" s="5" t="s">
        <v>7</v>
      </c>
    </row>
    <row r="224" spans="1:9" ht="13.5" customHeight="1" x14ac:dyDescent="0.2">
      <c r="A224" s="8">
        <v>44136</v>
      </c>
      <c r="B224" s="70"/>
      <c r="C224" s="10" t="s">
        <v>537</v>
      </c>
      <c r="D224" s="125"/>
      <c r="E224" s="67"/>
      <c r="F224" s="67"/>
      <c r="G224" s="205">
        <v>0</v>
      </c>
      <c r="H224" s="653">
        <f>SUM(G3,G106,G156,G183,)</f>
        <v>60310.080000000009</v>
      </c>
      <c r="I224" s="33" t="s">
        <v>1798</v>
      </c>
    </row>
    <row r="225" spans="1:9" ht="13.5" customHeight="1" x14ac:dyDescent="0.2">
      <c r="A225" s="171">
        <v>44160</v>
      </c>
      <c r="B225" s="46"/>
      <c r="C225" s="36" t="s">
        <v>5281</v>
      </c>
      <c r="D225" s="11"/>
      <c r="E225" s="30">
        <v>11.82</v>
      </c>
      <c r="F225" s="69"/>
      <c r="G225" s="182"/>
    </row>
    <row r="226" spans="1:9" ht="13.5" customHeight="1" x14ac:dyDescent="0.2">
      <c r="A226" s="171">
        <v>44161</v>
      </c>
      <c r="B226" s="46"/>
      <c r="C226" s="36" t="s">
        <v>5282</v>
      </c>
      <c r="D226" s="229"/>
      <c r="E226" s="69">
        <v>64.08</v>
      </c>
      <c r="F226" s="69"/>
      <c r="G226" s="182"/>
      <c r="H226" s="30">
        <f>G103</f>
        <v>2058.3900000000108</v>
      </c>
      <c r="I226" s="33" t="s">
        <v>1799</v>
      </c>
    </row>
    <row r="227" spans="1:9" ht="13.5" customHeight="1" x14ac:dyDescent="0.2">
      <c r="A227" s="171"/>
      <c r="B227" s="46"/>
      <c r="C227" s="34"/>
      <c r="D227" s="229"/>
      <c r="E227" s="69"/>
      <c r="F227" s="69"/>
      <c r="G227" s="182"/>
    </row>
    <row r="228" spans="1:9" ht="13.5" customHeight="1" x14ac:dyDescent="0.2">
      <c r="A228" s="79"/>
      <c r="B228" s="79"/>
      <c r="C228" s="78"/>
      <c r="D228" s="78"/>
      <c r="E228" s="78"/>
      <c r="F228" s="78"/>
      <c r="G228" s="182"/>
      <c r="H228" s="30">
        <f>SUM(G153,G180,G210)</f>
        <v>55088.85</v>
      </c>
      <c r="I228" s="33" t="s">
        <v>1797</v>
      </c>
    </row>
    <row r="229" spans="1:9" ht="13.5" customHeight="1" x14ac:dyDescent="0.2">
      <c r="A229" s="79"/>
      <c r="B229" s="79"/>
      <c r="C229" s="78"/>
      <c r="D229" s="78"/>
      <c r="E229" s="78"/>
      <c r="F229" s="78"/>
      <c r="G229" s="182"/>
    </row>
    <row r="230" spans="1:9" ht="13.5" customHeight="1" x14ac:dyDescent="0.2">
      <c r="A230" s="79"/>
      <c r="B230" s="79"/>
      <c r="C230" s="78"/>
      <c r="D230" s="78"/>
      <c r="E230" s="78"/>
      <c r="F230" s="78"/>
      <c r="G230" s="182"/>
      <c r="H230" s="30">
        <f>SUM(F211,E211,F181,E181,F154,E154,F104,E104,)</f>
        <v>-3162.8399999999929</v>
      </c>
      <c r="I230" s="33" t="s">
        <v>3517</v>
      </c>
    </row>
    <row r="231" spans="1:9" ht="13.5" customHeight="1" x14ac:dyDescent="0.2">
      <c r="A231" s="79"/>
      <c r="B231" s="79"/>
      <c r="C231" s="78"/>
      <c r="D231" s="78"/>
      <c r="E231" s="78"/>
      <c r="F231" s="78"/>
      <c r="G231" s="182"/>
    </row>
    <row r="232" spans="1:9" ht="13.5" customHeight="1" x14ac:dyDescent="0.2">
      <c r="A232" s="79"/>
      <c r="B232" s="79"/>
      <c r="C232" s="78"/>
      <c r="D232" s="78"/>
      <c r="E232" s="78"/>
      <c r="F232" s="78"/>
      <c r="G232" s="182"/>
    </row>
    <row r="233" spans="1:9" ht="13.5" customHeight="1" x14ac:dyDescent="0.2">
      <c r="A233" s="70"/>
      <c r="B233" s="70"/>
      <c r="C233" s="63"/>
      <c r="D233" s="50"/>
      <c r="E233" s="13"/>
      <c r="F233" s="13"/>
      <c r="G233" s="182"/>
    </row>
    <row r="234" spans="1:9" ht="13.5" customHeight="1" x14ac:dyDescent="0.2">
      <c r="A234" s="70"/>
      <c r="B234" s="70"/>
      <c r="C234" s="63"/>
      <c r="D234" s="50"/>
      <c r="E234" s="13"/>
      <c r="F234" s="13"/>
      <c r="G234" s="182"/>
      <c r="H234" s="30">
        <f>SUM(H224+H230-H226-H228)</f>
        <v>7.2759576141834259E-12</v>
      </c>
    </row>
    <row r="235" spans="1:9" ht="13.5" customHeight="1" x14ac:dyDescent="0.2">
      <c r="A235" s="70"/>
      <c r="B235" s="70"/>
      <c r="C235" s="63"/>
      <c r="D235" s="50"/>
      <c r="E235" s="13"/>
      <c r="F235" s="13"/>
      <c r="G235" s="182"/>
    </row>
    <row r="236" spans="1:9" ht="13.5" customHeight="1" x14ac:dyDescent="0.2">
      <c r="A236" s="70"/>
      <c r="B236" s="70"/>
      <c r="C236" s="63"/>
      <c r="D236" s="50"/>
      <c r="E236" s="13"/>
      <c r="F236" s="13"/>
      <c r="G236" s="182"/>
    </row>
    <row r="237" spans="1:9" ht="13.5" customHeight="1" thickBot="1" x14ac:dyDescent="0.25">
      <c r="A237" s="70"/>
      <c r="B237" s="70"/>
      <c r="C237" s="63"/>
      <c r="D237" s="50"/>
      <c r="E237" s="13"/>
      <c r="F237" s="13"/>
      <c r="G237" s="182"/>
    </row>
    <row r="238" spans="1:9" ht="13.5" customHeight="1" thickBot="1" x14ac:dyDescent="0.25">
      <c r="A238" s="213"/>
      <c r="B238" s="214"/>
      <c r="C238" s="215" t="s">
        <v>539</v>
      </c>
      <c r="D238" s="216"/>
      <c r="E238" s="187"/>
      <c r="F238" s="187"/>
      <c r="G238" s="217" t="s">
        <v>7</v>
      </c>
    </row>
    <row r="239" spans="1:9" ht="13.5" customHeight="1" x14ac:dyDescent="0.2">
      <c r="A239" s="74" t="s">
        <v>540</v>
      </c>
      <c r="B239" s="74"/>
      <c r="C239" s="218" t="s">
        <v>541</v>
      </c>
      <c r="D239" s="219"/>
      <c r="E239" s="220"/>
      <c r="F239" s="220"/>
      <c r="G239" s="75">
        <v>0</v>
      </c>
    </row>
    <row r="240" spans="1:9" ht="13.5" customHeight="1" x14ac:dyDescent="0.2">
      <c r="A240" s="221" t="s">
        <v>540</v>
      </c>
      <c r="B240" s="70"/>
      <c r="C240" s="63" t="s">
        <v>542</v>
      </c>
      <c r="D240" s="50"/>
      <c r="E240" s="13"/>
      <c r="F240" s="13"/>
      <c r="G240" s="75">
        <v>0</v>
      </c>
    </row>
    <row r="241" spans="1:7" ht="13.5" customHeight="1" x14ac:dyDescent="0.2">
      <c r="A241" s="70"/>
      <c r="B241" s="70"/>
      <c r="C241" s="222" t="s">
        <v>543</v>
      </c>
      <c r="D241" s="50"/>
      <c r="E241" s="13"/>
      <c r="F241" s="13"/>
      <c r="G241" s="14">
        <v>0</v>
      </c>
    </row>
    <row r="242" spans="1:7" ht="13.5" customHeight="1" x14ac:dyDescent="0.2">
      <c r="A242" s="70"/>
      <c r="B242" s="70"/>
      <c r="C242" s="63"/>
      <c r="D242" s="50"/>
      <c r="E242" s="13"/>
      <c r="F242" s="13"/>
      <c r="G242" s="14"/>
    </row>
    <row r="243" spans="1:7" ht="13.5" customHeight="1" x14ac:dyDescent="0.2">
      <c r="A243" s="70"/>
      <c r="B243" s="70"/>
      <c r="C243" s="222" t="s">
        <v>544</v>
      </c>
      <c r="D243" s="50"/>
      <c r="E243" s="13"/>
      <c r="F243" s="13"/>
      <c r="G243" s="14">
        <v>0</v>
      </c>
    </row>
    <row r="244" spans="1:7" ht="13.5" customHeight="1" x14ac:dyDescent="0.2">
      <c r="A244" s="70"/>
      <c r="B244" s="70"/>
      <c r="C244" s="63"/>
      <c r="D244" s="50"/>
      <c r="E244" s="13"/>
      <c r="F244" s="13"/>
      <c r="G244" s="75"/>
    </row>
    <row r="245" spans="1:7" ht="13.5" customHeight="1" x14ac:dyDescent="0.2">
      <c r="A245" s="76"/>
      <c r="B245" s="76"/>
      <c r="C245" s="222" t="s">
        <v>545</v>
      </c>
      <c r="D245" s="78"/>
      <c r="E245" s="78"/>
      <c r="F245" s="78"/>
      <c r="G245" s="14">
        <v>0</v>
      </c>
    </row>
    <row r="246" spans="1:7" ht="13.5" customHeight="1" x14ac:dyDescent="0.2">
      <c r="A246" s="76"/>
      <c r="B246" s="76"/>
      <c r="C246" s="78"/>
      <c r="D246" s="78"/>
      <c r="E246" s="78"/>
      <c r="F246" s="78"/>
      <c r="G246" s="75"/>
    </row>
    <row r="247" spans="1:7" ht="13.5" customHeight="1" x14ac:dyDescent="0.2">
      <c r="A247" s="70"/>
      <c r="B247" s="70"/>
      <c r="C247" s="63"/>
      <c r="D247" s="50"/>
      <c r="E247" s="13"/>
      <c r="F247" s="13"/>
      <c r="G247" s="75"/>
    </row>
    <row r="248" spans="1:7" ht="13.5" customHeight="1" x14ac:dyDescent="0.2">
      <c r="A248" s="70"/>
      <c r="B248" s="70"/>
      <c r="C248" s="63"/>
      <c r="D248" s="50"/>
      <c r="E248" s="13"/>
      <c r="F248" s="13"/>
      <c r="G248" s="182"/>
    </row>
    <row r="249" spans="1:7" ht="13.5" customHeight="1" x14ac:dyDescent="0.2">
      <c r="A249" s="70"/>
      <c r="B249" s="70"/>
      <c r="C249" s="63"/>
      <c r="D249" s="50"/>
      <c r="E249" s="13"/>
      <c r="F249" s="13"/>
      <c r="G249" s="182"/>
    </row>
    <row r="250" spans="1:7" ht="13.5" customHeight="1" x14ac:dyDescent="0.2">
      <c r="A250" s="70"/>
      <c r="B250" s="70"/>
      <c r="C250" s="63"/>
      <c r="D250" s="50"/>
      <c r="E250" s="13"/>
      <c r="F250" s="13"/>
      <c r="G250" s="182"/>
    </row>
    <row r="251" spans="1:7" ht="13.5" customHeight="1" x14ac:dyDescent="0.2">
      <c r="A251" s="70"/>
      <c r="B251" s="70"/>
      <c r="C251" s="63"/>
      <c r="D251" s="50"/>
      <c r="E251" s="13"/>
      <c r="F251" s="13"/>
      <c r="G251" s="182"/>
    </row>
    <row r="252" spans="1:7" ht="13.5" customHeight="1" x14ac:dyDescent="0.2">
      <c r="A252" s="70"/>
      <c r="B252" s="70"/>
      <c r="C252" s="63"/>
      <c r="D252" s="50"/>
      <c r="E252" s="13"/>
      <c r="F252" s="13"/>
      <c r="G252" s="182"/>
    </row>
    <row r="253" spans="1:7" ht="13.5" customHeight="1" x14ac:dyDescent="0.2">
      <c r="A253" s="70"/>
      <c r="B253" s="70"/>
      <c r="C253" s="63"/>
      <c r="D253" s="50"/>
      <c r="E253" s="13"/>
      <c r="F253" s="13"/>
      <c r="G253" s="182"/>
    </row>
    <row r="254" spans="1:7" ht="13.5" customHeight="1" x14ac:dyDescent="0.2">
      <c r="A254" s="70"/>
      <c r="B254" s="70"/>
      <c r="C254" s="63"/>
      <c r="D254" s="50"/>
      <c r="E254" s="13"/>
      <c r="F254" s="13"/>
      <c r="G254" s="182"/>
    </row>
    <row r="255" spans="1:7" ht="13.5" customHeight="1" x14ac:dyDescent="0.2">
      <c r="A255" s="70"/>
      <c r="B255" s="70"/>
      <c r="C255" s="63"/>
      <c r="D255" s="50"/>
      <c r="E255" s="13"/>
      <c r="F255" s="13"/>
      <c r="G255" s="182"/>
    </row>
    <row r="256" spans="1:7" ht="13.5" customHeight="1" x14ac:dyDescent="0.2">
      <c r="A256" s="70"/>
      <c r="B256" s="70"/>
      <c r="C256" s="63"/>
      <c r="D256" s="50"/>
      <c r="E256" s="13"/>
      <c r="F256" s="13"/>
      <c r="G256" s="182"/>
    </row>
    <row r="257" spans="1:7" ht="13.5" customHeight="1" x14ac:dyDescent="0.2">
      <c r="A257" s="70"/>
      <c r="B257" s="70"/>
      <c r="C257" s="63"/>
      <c r="D257" s="50"/>
      <c r="E257" s="13"/>
      <c r="F257" s="13"/>
      <c r="G257" s="182"/>
    </row>
    <row r="258" spans="1:7" ht="13.5" customHeight="1" x14ac:dyDescent="0.2">
      <c r="A258" s="70"/>
      <c r="B258" s="70"/>
      <c r="C258" s="63"/>
      <c r="D258" s="50"/>
      <c r="E258" s="13"/>
      <c r="F258" s="13"/>
      <c r="G258" s="182"/>
    </row>
    <row r="259" spans="1:7" ht="13.5" customHeight="1" x14ac:dyDescent="0.2">
      <c r="A259" s="70"/>
      <c r="B259" s="70"/>
      <c r="C259" s="63"/>
      <c r="D259" s="50"/>
      <c r="E259" s="13"/>
      <c r="F259" s="13"/>
      <c r="G259" s="182"/>
    </row>
    <row r="260" spans="1:7" ht="13.5" customHeight="1" x14ac:dyDescent="0.2">
      <c r="A260" s="70"/>
      <c r="B260" s="70"/>
      <c r="C260" s="63"/>
      <c r="D260" s="50"/>
      <c r="E260" s="13"/>
      <c r="F260" s="13"/>
      <c r="G260" s="182"/>
    </row>
    <row r="261" spans="1:7" ht="13.5" customHeight="1" x14ac:dyDescent="0.2">
      <c r="A261" s="70"/>
      <c r="B261" s="70"/>
      <c r="C261" s="63"/>
      <c r="D261" s="50"/>
      <c r="E261" s="13"/>
      <c r="F261" s="13"/>
      <c r="G261" s="182"/>
    </row>
    <row r="262" spans="1:7" ht="13.5" customHeight="1" x14ac:dyDescent="0.2">
      <c r="A262" s="70"/>
      <c r="B262" s="70"/>
      <c r="C262" s="63"/>
      <c r="D262" s="50"/>
      <c r="E262" s="13"/>
      <c r="F262" s="13"/>
      <c r="G262" s="182"/>
    </row>
    <row r="263" spans="1:7" ht="13.5" customHeight="1" x14ac:dyDescent="0.2">
      <c r="A263" s="70"/>
      <c r="B263" s="70"/>
      <c r="C263" s="63"/>
      <c r="D263" s="50"/>
      <c r="E263" s="13"/>
      <c r="F263" s="13"/>
      <c r="G263" s="182"/>
    </row>
    <row r="264" spans="1:7" ht="13.5" customHeight="1" x14ac:dyDescent="0.2">
      <c r="A264" s="70"/>
      <c r="B264" s="70"/>
      <c r="C264" s="63"/>
      <c r="D264" s="50"/>
      <c r="E264" s="13"/>
      <c r="F264" s="13"/>
      <c r="G264" s="182"/>
    </row>
    <row r="265" spans="1:7" ht="13.5" customHeight="1" x14ac:dyDescent="0.2">
      <c r="A265" s="70"/>
      <c r="B265" s="70"/>
      <c r="C265" s="63"/>
      <c r="D265" s="50"/>
      <c r="E265" s="13"/>
      <c r="F265" s="13"/>
      <c r="G265" s="182"/>
    </row>
    <row r="266" spans="1:7" ht="13.5" customHeight="1" x14ac:dyDescent="0.2">
      <c r="A266" s="70"/>
      <c r="B266" s="70"/>
      <c r="C266" s="63"/>
      <c r="D266" s="50"/>
      <c r="E266" s="13"/>
      <c r="F266" s="13"/>
      <c r="G266" s="182"/>
    </row>
    <row r="267" spans="1:7" ht="13.5" customHeight="1" x14ac:dyDescent="0.2">
      <c r="A267" s="70"/>
      <c r="B267" s="70"/>
      <c r="C267" s="63"/>
      <c r="D267" s="50"/>
      <c r="E267" s="13"/>
      <c r="F267" s="13"/>
      <c r="G267" s="182"/>
    </row>
    <row r="268" spans="1:7" ht="13.5" customHeight="1" x14ac:dyDescent="0.2">
      <c r="A268" s="70"/>
      <c r="B268" s="70"/>
      <c r="C268" s="63"/>
      <c r="D268" s="50"/>
      <c r="E268" s="13"/>
      <c r="F268" s="13"/>
      <c r="G268" s="182"/>
    </row>
    <row r="269" spans="1:7" ht="13.5" customHeight="1" x14ac:dyDescent="0.2">
      <c r="A269" s="70"/>
      <c r="B269" s="70"/>
      <c r="C269" s="63"/>
      <c r="D269" s="50"/>
      <c r="E269" s="13"/>
      <c r="F269" s="13"/>
      <c r="G269" s="182"/>
    </row>
    <row r="270" spans="1:7" ht="13.5" customHeight="1" x14ac:dyDescent="0.2">
      <c r="A270" s="70"/>
      <c r="B270" s="70"/>
      <c r="C270" s="63"/>
      <c r="D270" s="50"/>
      <c r="E270" s="13"/>
      <c r="F270" s="13"/>
      <c r="G270" s="182"/>
    </row>
    <row r="271" spans="1:7" ht="13.5" customHeight="1" x14ac:dyDescent="0.2">
      <c r="A271" s="70"/>
      <c r="B271" s="70"/>
      <c r="C271" s="63"/>
      <c r="D271" s="50"/>
      <c r="E271" s="13"/>
      <c r="F271" s="13"/>
      <c r="G271" s="182"/>
    </row>
    <row r="272" spans="1:7" ht="13.5" customHeight="1" x14ac:dyDescent="0.2">
      <c r="A272" s="70"/>
      <c r="B272" s="70"/>
      <c r="C272" s="63"/>
      <c r="D272" s="50"/>
      <c r="E272" s="13"/>
      <c r="F272" s="13"/>
      <c r="G272" s="182"/>
    </row>
    <row r="273" spans="1:7" ht="13.5" customHeight="1" x14ac:dyDescent="0.2">
      <c r="A273" s="70"/>
      <c r="B273" s="70"/>
      <c r="C273" s="63"/>
      <c r="D273" s="50"/>
      <c r="E273" s="13"/>
      <c r="F273" s="13"/>
      <c r="G273" s="182"/>
    </row>
    <row r="274" spans="1:7" ht="13.5" customHeight="1" x14ac:dyDescent="0.2">
      <c r="A274" s="70"/>
      <c r="B274" s="70"/>
      <c r="C274" s="63"/>
      <c r="D274" s="50"/>
      <c r="E274" s="13"/>
      <c r="F274" s="13"/>
      <c r="G274" s="182"/>
    </row>
    <row r="275" spans="1:7" ht="13.5" customHeight="1" x14ac:dyDescent="0.2">
      <c r="A275" s="131"/>
      <c r="B275" s="70"/>
      <c r="C275" s="64"/>
      <c r="D275" s="50"/>
      <c r="E275" s="13"/>
      <c r="F275" s="13"/>
      <c r="G275" s="182"/>
    </row>
    <row r="276" spans="1:7" ht="13.5" customHeight="1" x14ac:dyDescent="0.2">
      <c r="A276" s="70"/>
      <c r="B276" s="70"/>
      <c r="C276" s="63"/>
      <c r="D276" s="50"/>
      <c r="E276" s="13"/>
      <c r="F276" s="13"/>
      <c r="G276" s="182"/>
    </row>
    <row r="277" spans="1:7" ht="13.5" customHeight="1" x14ac:dyDescent="0.2">
      <c r="A277" s="70"/>
      <c r="B277" s="70"/>
      <c r="C277" s="63"/>
      <c r="D277" s="50"/>
      <c r="E277" s="13"/>
      <c r="F277" s="13"/>
      <c r="G277" s="182"/>
    </row>
    <row r="278" spans="1:7" ht="13.5" customHeight="1" x14ac:dyDescent="0.2">
      <c r="A278" s="131"/>
      <c r="B278" s="70"/>
      <c r="C278" s="85"/>
      <c r="D278" s="50"/>
      <c r="E278" s="13"/>
      <c r="F278" s="13"/>
      <c r="G278" s="182"/>
    </row>
    <row r="279" spans="1:7" ht="13.5" customHeight="1" x14ac:dyDescent="0.2">
      <c r="A279" s="131"/>
      <c r="B279" s="70"/>
      <c r="C279" s="63"/>
      <c r="D279" s="50"/>
      <c r="E279" s="13"/>
      <c r="F279" s="13"/>
      <c r="G279" s="182"/>
    </row>
    <row r="280" spans="1:7" ht="13.5" customHeight="1" x14ac:dyDescent="0.2">
      <c r="A280" s="131"/>
      <c r="B280" s="70"/>
      <c r="C280" s="63"/>
      <c r="D280" s="50"/>
      <c r="E280" s="13"/>
      <c r="F280" s="13"/>
      <c r="G280" s="182"/>
    </row>
    <row r="281" spans="1:7" ht="13.5" customHeight="1" x14ac:dyDescent="0.2">
      <c r="A281" s="131"/>
      <c r="B281" s="70"/>
      <c r="C281" s="64"/>
      <c r="D281" s="50"/>
      <c r="E281" s="13"/>
      <c r="F281" s="13"/>
      <c r="G281" s="182"/>
    </row>
    <row r="282" spans="1:7" ht="13.5" customHeight="1" x14ac:dyDescent="0.2">
      <c r="A282" s="70"/>
      <c r="B282" s="70"/>
      <c r="C282" s="63"/>
      <c r="D282" s="50"/>
      <c r="E282" s="13"/>
      <c r="F282" s="13"/>
      <c r="G282" s="182"/>
    </row>
    <row r="283" spans="1:7" ht="13.5" customHeight="1" x14ac:dyDescent="0.2">
      <c r="A283" s="131"/>
      <c r="B283" s="70"/>
      <c r="C283" s="63"/>
      <c r="D283" s="50"/>
      <c r="E283" s="13"/>
      <c r="F283" s="13"/>
      <c r="G283" s="182"/>
    </row>
    <row r="284" spans="1:7" ht="13.5" customHeight="1" x14ac:dyDescent="0.2">
      <c r="A284" s="131"/>
      <c r="B284" s="70"/>
      <c r="C284" s="64"/>
      <c r="D284" s="50"/>
      <c r="E284" s="13"/>
      <c r="F284" s="13"/>
      <c r="G284" s="182"/>
    </row>
    <row r="285" spans="1:7" ht="13.5" customHeight="1" x14ac:dyDescent="0.2">
      <c r="A285" s="70"/>
      <c r="B285" s="70"/>
      <c r="C285" s="63"/>
      <c r="D285" s="50"/>
      <c r="E285" s="13"/>
      <c r="F285" s="13"/>
      <c r="G285" s="182"/>
    </row>
    <row r="286" spans="1:7" ht="13.5" customHeight="1" x14ac:dyDescent="0.2">
      <c r="A286" s="131"/>
      <c r="B286" s="70"/>
      <c r="C286" s="63"/>
      <c r="D286" s="50"/>
      <c r="E286" s="13"/>
      <c r="F286" s="13"/>
      <c r="G286" s="182"/>
    </row>
    <row r="287" spans="1:7" ht="13.5" customHeight="1" x14ac:dyDescent="0.2">
      <c r="A287" s="131"/>
      <c r="B287" s="70"/>
      <c r="C287" s="64"/>
      <c r="D287" s="50"/>
      <c r="E287" s="13"/>
      <c r="F287" s="13"/>
      <c r="G287" s="182"/>
    </row>
    <row r="288" spans="1:7" ht="13.5" customHeight="1" x14ac:dyDescent="0.2">
      <c r="A288" s="70"/>
      <c r="B288" s="70"/>
      <c r="C288" s="63"/>
      <c r="D288" s="50"/>
      <c r="E288" s="13"/>
      <c r="F288" s="13"/>
      <c r="G288" s="182"/>
    </row>
    <row r="289" spans="1:7" ht="13.5" customHeight="1" x14ac:dyDescent="0.2">
      <c r="A289" s="70"/>
      <c r="B289" s="70"/>
      <c r="C289" s="63"/>
      <c r="D289" s="50"/>
      <c r="E289" s="13"/>
      <c r="F289" s="13"/>
      <c r="G289" s="182"/>
    </row>
    <row r="290" spans="1:7" ht="13.5" customHeight="1" x14ac:dyDescent="0.2">
      <c r="A290" s="70"/>
      <c r="B290" s="70"/>
      <c r="C290" s="63"/>
      <c r="D290" s="50"/>
      <c r="E290" s="13"/>
      <c r="F290" s="13"/>
      <c r="G290" s="182"/>
    </row>
    <row r="291" spans="1:7" ht="13.5" customHeight="1" x14ac:dyDescent="0.2">
      <c r="A291" s="131"/>
      <c r="B291" s="70"/>
      <c r="C291" s="86"/>
      <c r="D291" s="50"/>
      <c r="E291" s="13"/>
      <c r="F291" s="13"/>
      <c r="G291" s="182"/>
    </row>
    <row r="292" spans="1:7" ht="13.5" customHeight="1" x14ac:dyDescent="0.2">
      <c r="A292" s="131"/>
      <c r="B292" s="70"/>
      <c r="C292" s="85"/>
      <c r="D292" s="50"/>
      <c r="E292" s="13"/>
      <c r="F292" s="13"/>
      <c r="G292" s="182"/>
    </row>
    <row r="293" spans="1:7" ht="13.5" customHeight="1" x14ac:dyDescent="0.2">
      <c r="A293" s="131"/>
      <c r="B293" s="70"/>
      <c r="C293" s="87"/>
      <c r="D293" s="50"/>
      <c r="E293" s="13"/>
      <c r="F293" s="13"/>
      <c r="G293" s="182"/>
    </row>
    <row r="294" spans="1:7" ht="13.5" customHeight="1" x14ac:dyDescent="0.2">
      <c r="A294" s="131"/>
      <c r="B294" s="70"/>
      <c r="C294" s="88"/>
      <c r="D294" s="50"/>
      <c r="E294" s="13"/>
      <c r="F294" s="13"/>
      <c r="G294" s="182"/>
    </row>
    <row r="295" spans="1:7" ht="13.5" customHeight="1" x14ac:dyDescent="0.2">
      <c r="A295" s="91"/>
      <c r="B295" s="9"/>
      <c r="C295" s="56"/>
      <c r="D295" s="11"/>
      <c r="E295" s="12"/>
      <c r="F295" s="12"/>
      <c r="G295" s="182"/>
    </row>
    <row r="296" spans="1:7" ht="13.5" customHeight="1" x14ac:dyDescent="0.2">
      <c r="A296" s="9"/>
      <c r="B296" s="9"/>
      <c r="C296" s="56"/>
      <c r="D296" s="11"/>
      <c r="E296" s="12"/>
      <c r="F296" s="12"/>
      <c r="G296" s="182"/>
    </row>
    <row r="297" spans="1:7" ht="13.5" customHeight="1" x14ac:dyDescent="0.2">
      <c r="A297" s="9"/>
      <c r="B297" s="9"/>
      <c r="C297" s="56"/>
      <c r="D297" s="11"/>
      <c r="E297" s="12"/>
      <c r="F297" s="12"/>
      <c r="G297" s="182"/>
    </row>
    <row r="298" spans="1:7" ht="13.5" customHeight="1" x14ac:dyDescent="0.2">
      <c r="A298" s="91"/>
      <c r="B298" s="9"/>
      <c r="D298" s="11"/>
      <c r="E298" s="12"/>
      <c r="F298" s="12"/>
      <c r="G298" s="182"/>
    </row>
    <row r="299" spans="1:7" ht="13.5" customHeight="1" x14ac:dyDescent="0.2">
      <c r="A299" s="9"/>
      <c r="B299" s="9"/>
      <c r="C299" s="56"/>
      <c r="D299" s="11"/>
      <c r="E299" s="12"/>
      <c r="F299" s="12"/>
      <c r="G299" s="182"/>
    </row>
    <row r="300" spans="1:7" ht="13.5" customHeight="1" x14ac:dyDescent="0.2">
      <c r="A300" s="9"/>
      <c r="B300" s="9"/>
      <c r="C300" s="56"/>
      <c r="D300" s="11"/>
      <c r="E300" s="12"/>
      <c r="F300" s="12"/>
      <c r="G300" s="182"/>
    </row>
    <row r="301" spans="1:7" ht="13.5" customHeight="1" x14ac:dyDescent="0.2">
      <c r="A301" s="9"/>
      <c r="B301" s="9"/>
      <c r="C301" s="56"/>
      <c r="D301" s="11"/>
      <c r="E301" s="12"/>
      <c r="F301" s="12"/>
      <c r="G301" s="182"/>
    </row>
    <row r="302" spans="1:7" ht="13.5" customHeight="1" x14ac:dyDescent="0.2">
      <c r="A302" s="91"/>
      <c r="B302" s="9"/>
      <c r="C302" s="27"/>
      <c r="D302" s="11"/>
      <c r="E302" s="12"/>
      <c r="F302" s="12"/>
      <c r="G302" s="182"/>
    </row>
    <row r="303" spans="1:7" ht="13.5" customHeight="1" x14ac:dyDescent="0.2">
      <c r="A303" s="91"/>
      <c r="B303" s="9"/>
      <c r="C303" s="27"/>
      <c r="D303" s="11"/>
      <c r="E303" s="12"/>
      <c r="F303" s="12"/>
      <c r="G303" s="182"/>
    </row>
    <row r="304" spans="1:7" ht="13.5" customHeight="1" x14ac:dyDescent="0.2">
      <c r="A304" s="91"/>
      <c r="B304" s="9"/>
      <c r="D304" s="11"/>
      <c r="E304" s="12"/>
      <c r="F304" s="12"/>
      <c r="G304" s="182"/>
    </row>
    <row r="305" spans="1:7" ht="13.5" customHeight="1" x14ac:dyDescent="0.2">
      <c r="A305" s="9"/>
      <c r="B305" s="9"/>
      <c r="C305" s="56"/>
      <c r="D305" s="11"/>
      <c r="E305" s="12"/>
      <c r="F305" s="12"/>
      <c r="G305" s="182"/>
    </row>
    <row r="306" spans="1:7" ht="13.5" customHeight="1" x14ac:dyDescent="0.2">
      <c r="A306" s="9"/>
      <c r="B306" s="9"/>
      <c r="C306" s="56"/>
      <c r="D306" s="11"/>
      <c r="E306" s="12"/>
      <c r="F306" s="12"/>
      <c r="G306" s="182"/>
    </row>
    <row r="307" spans="1:7" ht="13.5" customHeight="1" x14ac:dyDescent="0.2">
      <c r="A307" s="9"/>
      <c r="B307" s="9"/>
      <c r="C307" s="56"/>
      <c r="D307" s="11"/>
      <c r="E307" s="12"/>
      <c r="F307" s="12"/>
      <c r="G307" s="182"/>
    </row>
    <row r="308" spans="1:7" ht="13.5" customHeight="1" x14ac:dyDescent="0.2">
      <c r="A308" s="9"/>
      <c r="B308" s="9"/>
      <c r="C308" s="56"/>
      <c r="D308" s="11"/>
      <c r="E308" s="12"/>
      <c r="F308" s="12"/>
      <c r="G308" s="182"/>
    </row>
    <row r="309" spans="1:7" x14ac:dyDescent="0.2">
      <c r="A309" s="132"/>
      <c r="B309" s="93"/>
      <c r="C309" s="94"/>
      <c r="D309" s="27"/>
      <c r="E309" s="27"/>
      <c r="F309" s="27"/>
      <c r="G309" s="182"/>
    </row>
  </sheetData>
  <mergeCells count="2">
    <mergeCell ref="A1:C1"/>
    <mergeCell ref="D1:G1"/>
  </mergeCells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X370"/>
  <sheetViews>
    <sheetView topLeftCell="A256" zoomScale="80" zoomScaleNormal="80" workbookViewId="0">
      <selection activeCell="F225" sqref="F225"/>
    </sheetView>
  </sheetViews>
  <sheetFormatPr defaultColWidth="9" defaultRowHeight="12.75" x14ac:dyDescent="0.2"/>
  <cols>
    <col min="1" max="1" width="14" style="1" customWidth="1"/>
    <col min="2" max="2" width="1.875" style="1" customWidth="1"/>
    <col min="3" max="3" width="99.25" style="1" customWidth="1"/>
    <col min="4" max="4" width="12" style="1" customWidth="1"/>
    <col min="5" max="5" width="12.375" style="1" customWidth="1"/>
    <col min="6" max="6" width="10.75" style="1" customWidth="1"/>
    <col min="7" max="7" width="11.875" style="1" customWidth="1"/>
    <col min="8" max="8" width="12.625" style="1" customWidth="1"/>
    <col min="9" max="9" width="13.5" style="1" customWidth="1"/>
    <col min="10" max="16384" width="9" style="1"/>
  </cols>
  <sheetData>
    <row r="1" spans="1:8" ht="13.5" customHeight="1" thickBot="1" x14ac:dyDescent="0.25">
      <c r="A1" s="1407" t="s">
        <v>5283</v>
      </c>
      <c r="B1" s="1407"/>
      <c r="C1" s="1408"/>
      <c r="D1" s="1409" t="s">
        <v>0</v>
      </c>
      <c r="E1" s="1410"/>
      <c r="F1" s="1410"/>
      <c r="G1" s="1411"/>
    </row>
    <row r="2" spans="1:8" ht="13.5" customHeight="1" thickBot="1" x14ac:dyDescent="0.25">
      <c r="A2" s="2" t="s">
        <v>2</v>
      </c>
      <c r="B2" s="3"/>
      <c r="C2" s="3" t="s">
        <v>2335</v>
      </c>
      <c r="D2" s="3" t="s">
        <v>4</v>
      </c>
      <c r="E2" s="3" t="s">
        <v>5</v>
      </c>
      <c r="F2" s="3" t="s">
        <v>6</v>
      </c>
      <c r="G2" s="5" t="s">
        <v>7</v>
      </c>
    </row>
    <row r="3" spans="1:8" ht="13.5" customHeight="1" x14ac:dyDescent="0.2">
      <c r="A3" s="8">
        <v>44166</v>
      </c>
      <c r="B3" s="56"/>
      <c r="C3" s="10" t="s">
        <v>8</v>
      </c>
      <c r="D3" s="11">
        <v>0</v>
      </c>
      <c r="E3" s="51"/>
      <c r="F3" s="12"/>
      <c r="G3" s="178">
        <v>2058.3900000000108</v>
      </c>
      <c r="H3" s="18">
        <v>2058.3900000000108</v>
      </c>
    </row>
    <row r="4" spans="1:8" ht="13.5" customHeight="1" x14ac:dyDescent="0.2">
      <c r="A4" s="180">
        <v>44166</v>
      </c>
      <c r="B4" s="56"/>
      <c r="C4" s="36" t="s">
        <v>5284</v>
      </c>
      <c r="D4" s="11"/>
      <c r="E4" s="30">
        <v>5.98</v>
      </c>
      <c r="F4" s="12"/>
      <c r="G4" s="182"/>
      <c r="H4" s="18">
        <v>2052.4100000000108</v>
      </c>
    </row>
    <row r="5" spans="1:8" ht="13.5" customHeight="1" x14ac:dyDescent="0.2">
      <c r="A5" s="180"/>
      <c r="B5" s="56"/>
      <c r="C5" s="36" t="s">
        <v>5285</v>
      </c>
      <c r="D5" s="11"/>
      <c r="E5" s="30">
        <v>5</v>
      </c>
      <c r="F5" s="12"/>
      <c r="G5" s="182"/>
      <c r="H5" s="18">
        <v>2047.4100000000108</v>
      </c>
    </row>
    <row r="6" spans="1:8" ht="13.5" customHeight="1" x14ac:dyDescent="0.2">
      <c r="A6" s="180"/>
      <c r="B6" s="56"/>
      <c r="C6" s="36" t="s">
        <v>5286</v>
      </c>
      <c r="D6" s="11"/>
      <c r="E6" s="30">
        <v>55</v>
      </c>
      <c r="F6" s="12"/>
      <c r="G6" s="182"/>
      <c r="H6" s="18">
        <v>1992.4100000000108</v>
      </c>
    </row>
    <row r="7" spans="1:8" ht="13.5" customHeight="1" x14ac:dyDescent="0.2">
      <c r="A7" s="180"/>
      <c r="B7" s="56"/>
      <c r="C7" s="36" t="s">
        <v>5287</v>
      </c>
      <c r="D7" s="11"/>
      <c r="E7" s="30">
        <v>10</v>
      </c>
      <c r="F7" s="12"/>
      <c r="G7" s="182"/>
      <c r="H7" s="18">
        <v>1982.4100000000108</v>
      </c>
    </row>
    <row r="8" spans="1:8" ht="13.5" customHeight="1" x14ac:dyDescent="0.2">
      <c r="A8" s="180"/>
      <c r="B8" s="56"/>
      <c r="C8" s="36" t="s">
        <v>3987</v>
      </c>
      <c r="D8" s="11"/>
      <c r="E8" s="30">
        <v>150</v>
      </c>
      <c r="F8" s="12"/>
      <c r="G8" s="182">
        <v>1832.4100000000108</v>
      </c>
      <c r="H8" s="18">
        <v>1832.4100000000108</v>
      </c>
    </row>
    <row r="9" spans="1:8" ht="13.5" customHeight="1" x14ac:dyDescent="0.2">
      <c r="A9" s="180">
        <v>44167</v>
      </c>
      <c r="B9" s="56"/>
      <c r="C9" s="34" t="s">
        <v>5288</v>
      </c>
      <c r="D9" s="11"/>
      <c r="E9" s="30"/>
      <c r="F9" s="12">
        <v>250</v>
      </c>
      <c r="G9" s="182"/>
      <c r="H9" s="18">
        <v>2082.4100000000108</v>
      </c>
    </row>
    <row r="10" spans="1:8" ht="13.5" customHeight="1" x14ac:dyDescent="0.2">
      <c r="A10" s="180"/>
      <c r="B10" s="56"/>
      <c r="C10" s="36" t="s">
        <v>5289</v>
      </c>
      <c r="D10" s="11"/>
      <c r="E10" s="30"/>
      <c r="F10" s="12">
        <v>1464</v>
      </c>
      <c r="G10" s="182"/>
      <c r="H10" s="18">
        <v>3546.4100000000108</v>
      </c>
    </row>
    <row r="11" spans="1:8" ht="13.5" customHeight="1" x14ac:dyDescent="0.2">
      <c r="A11" s="180"/>
      <c r="B11" s="56"/>
      <c r="C11" s="36" t="s">
        <v>5290</v>
      </c>
      <c r="D11" s="11"/>
      <c r="E11" s="30">
        <v>89.9</v>
      </c>
      <c r="F11" s="30"/>
      <c r="G11" s="182"/>
      <c r="H11" s="18">
        <v>3456.5100000000107</v>
      </c>
    </row>
    <row r="12" spans="1:8" ht="13.5" customHeight="1" x14ac:dyDescent="0.2">
      <c r="A12" s="180"/>
      <c r="B12" s="56"/>
      <c r="C12" s="36" t="s">
        <v>5291</v>
      </c>
      <c r="D12" s="11"/>
      <c r="E12" s="30">
        <v>60</v>
      </c>
      <c r="F12" s="30"/>
      <c r="G12" s="182">
        <v>3396.5100000000107</v>
      </c>
      <c r="H12" s="18">
        <v>3396.5100000000107</v>
      </c>
    </row>
    <row r="13" spans="1:8" ht="13.5" customHeight="1" x14ac:dyDescent="0.2">
      <c r="A13" s="180">
        <v>44168</v>
      </c>
      <c r="B13" s="56"/>
      <c r="C13" s="36" t="s">
        <v>5292</v>
      </c>
      <c r="D13" s="11"/>
      <c r="E13" s="30">
        <v>100</v>
      </c>
      <c r="F13" s="30"/>
      <c r="G13" s="182"/>
      <c r="H13" s="18">
        <v>3296.5100000000107</v>
      </c>
    </row>
    <row r="14" spans="1:8" ht="13.5" customHeight="1" x14ac:dyDescent="0.2">
      <c r="A14" s="180"/>
      <c r="B14" s="56"/>
      <c r="C14" s="36" t="s">
        <v>5293</v>
      </c>
      <c r="D14" s="11"/>
      <c r="E14" s="30"/>
      <c r="F14" s="30">
        <v>100</v>
      </c>
      <c r="G14" s="182">
        <v>3396.5100000000107</v>
      </c>
      <c r="H14" s="18">
        <v>3396.5100000000107</v>
      </c>
    </row>
    <row r="15" spans="1:8" ht="13.5" customHeight="1" x14ac:dyDescent="0.2">
      <c r="A15" s="180">
        <v>44169</v>
      </c>
      <c r="B15" s="56"/>
      <c r="C15" s="34" t="s">
        <v>5294</v>
      </c>
      <c r="D15" s="11"/>
      <c r="E15" s="30">
        <v>300</v>
      </c>
      <c r="F15" s="30"/>
      <c r="G15" s="182"/>
      <c r="H15" s="18">
        <v>3096.5100000000107</v>
      </c>
    </row>
    <row r="16" spans="1:8" ht="13.5" customHeight="1" x14ac:dyDescent="0.2">
      <c r="A16" s="180"/>
      <c r="B16" s="56"/>
      <c r="C16" s="34" t="s">
        <v>5295</v>
      </c>
      <c r="D16" s="11"/>
      <c r="E16" s="30">
        <v>400</v>
      </c>
      <c r="F16" s="30"/>
      <c r="G16" s="182">
        <v>2696.5100000000107</v>
      </c>
      <c r="H16" s="18">
        <v>2696.5100000000107</v>
      </c>
    </row>
    <row r="17" spans="1:8" ht="13.5" customHeight="1" x14ac:dyDescent="0.2">
      <c r="A17" s="180">
        <v>44175</v>
      </c>
      <c r="B17" s="56"/>
      <c r="C17" s="34" t="s">
        <v>5296</v>
      </c>
      <c r="D17" s="11"/>
      <c r="E17" s="30"/>
      <c r="F17" s="30">
        <v>255</v>
      </c>
      <c r="G17" s="182"/>
      <c r="H17" s="18">
        <v>2951.5100000000107</v>
      </c>
    </row>
    <row r="18" spans="1:8" ht="13.5" customHeight="1" x14ac:dyDescent="0.2">
      <c r="A18" s="180"/>
      <c r="B18" s="56"/>
      <c r="C18" s="34" t="s">
        <v>5297</v>
      </c>
      <c r="D18" s="11"/>
      <c r="E18" s="30"/>
      <c r="F18" s="30">
        <v>70</v>
      </c>
      <c r="G18" s="182"/>
      <c r="H18" s="18">
        <v>3021.5100000000107</v>
      </c>
    </row>
    <row r="19" spans="1:8" ht="13.5" customHeight="1" x14ac:dyDescent="0.2">
      <c r="A19" s="180"/>
      <c r="B19" s="56"/>
      <c r="C19" s="34" t="s">
        <v>5298</v>
      </c>
      <c r="D19" s="11"/>
      <c r="E19" s="30"/>
      <c r="F19" s="30">
        <v>80</v>
      </c>
      <c r="G19" s="182"/>
      <c r="H19" s="18">
        <v>3101.5100000000107</v>
      </c>
    </row>
    <row r="20" spans="1:8" ht="13.5" customHeight="1" x14ac:dyDescent="0.2">
      <c r="A20" s="180"/>
      <c r="B20" s="56"/>
      <c r="C20" s="34" t="s">
        <v>5299</v>
      </c>
      <c r="D20" s="11"/>
      <c r="E20" s="30">
        <v>18</v>
      </c>
      <c r="F20" s="30"/>
      <c r="G20" s="182"/>
      <c r="H20" s="18">
        <v>3083.5100000000107</v>
      </c>
    </row>
    <row r="21" spans="1:8" ht="13.5" customHeight="1" x14ac:dyDescent="0.2">
      <c r="A21" s="180"/>
      <c r="B21" s="56"/>
      <c r="C21" s="34" t="s">
        <v>5300</v>
      </c>
      <c r="D21" s="11"/>
      <c r="E21" s="30"/>
      <c r="F21" s="30">
        <v>250</v>
      </c>
      <c r="G21" s="182"/>
      <c r="H21" s="18">
        <v>3333.5100000000107</v>
      </c>
    </row>
    <row r="22" spans="1:8" ht="13.5" customHeight="1" x14ac:dyDescent="0.2">
      <c r="A22" s="180"/>
      <c r="B22" s="56"/>
      <c r="C22" s="34" t="s">
        <v>5301</v>
      </c>
      <c r="D22" s="11"/>
      <c r="E22" s="30"/>
      <c r="F22" s="30">
        <v>60</v>
      </c>
      <c r="G22" s="182"/>
      <c r="H22" s="18">
        <v>3393.5100000000107</v>
      </c>
    </row>
    <row r="23" spans="1:8" ht="13.5" customHeight="1" x14ac:dyDescent="0.2">
      <c r="A23" s="180"/>
      <c r="B23" s="56"/>
      <c r="C23" s="34" t="s">
        <v>5302</v>
      </c>
      <c r="D23" s="11"/>
      <c r="E23" s="30"/>
      <c r="F23" s="30">
        <v>60</v>
      </c>
      <c r="G23" s="182"/>
      <c r="H23" s="18">
        <v>3453.5100000000107</v>
      </c>
    </row>
    <row r="24" spans="1:8" ht="13.5" customHeight="1" x14ac:dyDescent="0.2">
      <c r="A24" s="180"/>
      <c r="B24" s="56"/>
      <c r="C24" s="34" t="s">
        <v>5303</v>
      </c>
      <c r="D24" s="11"/>
      <c r="E24" s="30"/>
      <c r="F24" s="30">
        <v>1340</v>
      </c>
      <c r="G24" s="182"/>
      <c r="H24" s="18">
        <v>4793.5100000000111</v>
      </c>
    </row>
    <row r="25" spans="1:8" ht="13.5" customHeight="1" x14ac:dyDescent="0.2">
      <c r="A25" s="180"/>
      <c r="B25" s="56"/>
      <c r="C25" s="34" t="s">
        <v>5304</v>
      </c>
      <c r="D25" s="11"/>
      <c r="E25" s="30">
        <v>800</v>
      </c>
      <c r="F25" s="30"/>
      <c r="G25" s="182"/>
      <c r="H25" s="18">
        <v>3993.5100000000111</v>
      </c>
    </row>
    <row r="26" spans="1:8" ht="13.5" customHeight="1" x14ac:dyDescent="0.2">
      <c r="A26" s="180"/>
      <c r="B26" s="56"/>
      <c r="C26" s="34" t="s">
        <v>5305</v>
      </c>
      <c r="D26" s="11"/>
      <c r="E26" s="30"/>
      <c r="F26" s="30">
        <v>1260</v>
      </c>
      <c r="G26" s="182"/>
      <c r="H26" s="18">
        <v>5253.5100000000111</v>
      </c>
    </row>
    <row r="27" spans="1:8" ht="13.5" customHeight="1" x14ac:dyDescent="0.2">
      <c r="A27" s="180"/>
      <c r="B27" s="56"/>
      <c r="C27" s="34" t="s">
        <v>5306</v>
      </c>
      <c r="D27" s="11"/>
      <c r="E27" s="165">
        <v>200</v>
      </c>
      <c r="F27" s="30"/>
      <c r="G27" s="182"/>
      <c r="H27" s="18">
        <v>5053.5100000000111</v>
      </c>
    </row>
    <row r="28" spans="1:8" ht="13.5" customHeight="1" x14ac:dyDescent="0.2">
      <c r="A28" s="180"/>
      <c r="B28" s="56"/>
      <c r="C28" s="34" t="s">
        <v>5307</v>
      </c>
      <c r="D28" s="11"/>
      <c r="E28" s="30">
        <v>380</v>
      </c>
      <c r="F28" s="30"/>
      <c r="G28" s="182"/>
      <c r="H28" s="18">
        <v>4673.5100000000111</v>
      </c>
    </row>
    <row r="29" spans="1:8" ht="13.5" customHeight="1" x14ac:dyDescent="0.2">
      <c r="A29" s="180"/>
      <c r="B29" s="56"/>
      <c r="C29" s="34" t="s">
        <v>5308</v>
      </c>
      <c r="D29" s="11"/>
      <c r="E29" s="30">
        <v>47.5</v>
      </c>
      <c r="F29" s="30"/>
      <c r="G29" s="182"/>
      <c r="H29" s="18">
        <v>4626.0100000000111</v>
      </c>
    </row>
    <row r="30" spans="1:8" ht="13.5" customHeight="1" x14ac:dyDescent="0.2">
      <c r="A30" s="180"/>
      <c r="B30" s="56"/>
      <c r="C30" s="34" t="s">
        <v>5309</v>
      </c>
      <c r="D30" s="11"/>
      <c r="E30" s="30"/>
      <c r="F30" s="30">
        <v>894</v>
      </c>
      <c r="G30" s="182"/>
      <c r="H30" s="18">
        <v>5520.0100000000111</v>
      </c>
    </row>
    <row r="31" spans="1:8" ht="13.5" customHeight="1" x14ac:dyDescent="0.2">
      <c r="A31" s="180"/>
      <c r="B31" s="56"/>
      <c r="C31" s="34" t="s">
        <v>5310</v>
      </c>
      <c r="D31" s="11"/>
      <c r="E31" s="30"/>
      <c r="F31" s="30">
        <v>90</v>
      </c>
      <c r="G31" s="182">
        <v>5610.0100000000111</v>
      </c>
      <c r="H31" s="18">
        <v>5610.0100000000111</v>
      </c>
    </row>
    <row r="32" spans="1:8" ht="13.5" customHeight="1" x14ac:dyDescent="0.2">
      <c r="A32" s="180">
        <v>44176</v>
      </c>
      <c r="B32" s="56"/>
      <c r="C32" s="34" t="s">
        <v>5311</v>
      </c>
      <c r="D32" s="11"/>
      <c r="E32" s="30"/>
      <c r="F32" s="30">
        <v>200</v>
      </c>
      <c r="G32" s="182"/>
      <c r="H32" s="18">
        <v>5810.0100000000111</v>
      </c>
    </row>
    <row r="33" spans="1:8" ht="13.5" customHeight="1" x14ac:dyDescent="0.2">
      <c r="A33" s="180"/>
      <c r="B33" s="56"/>
      <c r="C33" s="34" t="s">
        <v>5312</v>
      </c>
      <c r="D33" s="11"/>
      <c r="E33" s="30"/>
      <c r="F33" s="30">
        <v>60</v>
      </c>
      <c r="G33" s="182"/>
      <c r="H33" s="18">
        <v>5870.0100000000111</v>
      </c>
    </row>
    <row r="34" spans="1:8" ht="13.5" customHeight="1" x14ac:dyDescent="0.2">
      <c r="A34" s="180"/>
      <c r="B34" s="56"/>
      <c r="C34" s="34" t="s">
        <v>5313</v>
      </c>
      <c r="D34" s="11"/>
      <c r="E34" s="30">
        <v>78</v>
      </c>
      <c r="F34" s="30"/>
      <c r="G34" s="182"/>
      <c r="H34" s="18">
        <v>5792.0100000000111</v>
      </c>
    </row>
    <row r="35" spans="1:8" ht="13.5" customHeight="1" x14ac:dyDescent="0.2">
      <c r="A35" s="180"/>
      <c r="B35" s="56"/>
      <c r="C35" s="36" t="s">
        <v>5314</v>
      </c>
      <c r="D35" s="11"/>
      <c r="E35" s="30"/>
      <c r="F35" s="30">
        <v>4000</v>
      </c>
      <c r="G35" s="182"/>
      <c r="H35" s="18">
        <v>9792.0100000000111</v>
      </c>
    </row>
    <row r="36" spans="1:8" ht="13.5" customHeight="1" x14ac:dyDescent="0.2">
      <c r="A36" s="180"/>
      <c r="B36" s="56"/>
      <c r="C36" s="36" t="s">
        <v>5315</v>
      </c>
      <c r="D36" s="11"/>
      <c r="E36" s="30">
        <v>240</v>
      </c>
      <c r="F36" s="30"/>
      <c r="G36" s="182"/>
      <c r="H36" s="18">
        <v>9552.0100000000111</v>
      </c>
    </row>
    <row r="37" spans="1:8" ht="13.5" customHeight="1" x14ac:dyDescent="0.2">
      <c r="A37" s="180"/>
      <c r="B37" s="56"/>
      <c r="C37" s="36" t="s">
        <v>5316</v>
      </c>
      <c r="D37" s="11"/>
      <c r="E37" s="30">
        <v>70</v>
      </c>
      <c r="F37" s="30"/>
      <c r="G37" s="182"/>
      <c r="H37" s="18">
        <v>9482.0100000000111</v>
      </c>
    </row>
    <row r="38" spans="1:8" ht="13.5" customHeight="1" x14ac:dyDescent="0.2">
      <c r="A38" s="180"/>
      <c r="B38" s="56"/>
      <c r="C38" s="36" t="s">
        <v>5317</v>
      </c>
      <c r="D38" s="11"/>
      <c r="E38" s="30">
        <v>300</v>
      </c>
      <c r="F38" s="30"/>
      <c r="G38" s="182">
        <v>9182.0100000000111</v>
      </c>
      <c r="H38" s="18">
        <v>9182.0100000000111</v>
      </c>
    </row>
    <row r="39" spans="1:8" ht="13.5" customHeight="1" x14ac:dyDescent="0.2">
      <c r="A39" s="180">
        <v>44179</v>
      </c>
      <c r="B39" s="56"/>
      <c r="C39" s="36" t="s">
        <v>5318</v>
      </c>
      <c r="D39" s="11"/>
      <c r="E39" s="30">
        <v>300</v>
      </c>
      <c r="F39" s="30"/>
      <c r="G39" s="182"/>
      <c r="H39" s="18">
        <v>8882.0100000000111</v>
      </c>
    </row>
    <row r="40" spans="1:8" ht="13.5" customHeight="1" x14ac:dyDescent="0.2">
      <c r="A40" s="180"/>
      <c r="B40" s="56"/>
      <c r="C40" s="36" t="s">
        <v>5319</v>
      </c>
      <c r="D40" s="11"/>
      <c r="E40" s="30">
        <v>8</v>
      </c>
      <c r="F40" s="30"/>
      <c r="G40" s="182"/>
      <c r="H40" s="18">
        <v>8874.0100000000111</v>
      </c>
    </row>
    <row r="41" spans="1:8" ht="13.5" customHeight="1" x14ac:dyDescent="0.2">
      <c r="A41" s="180"/>
      <c r="B41" s="56"/>
      <c r="C41" s="36" t="s">
        <v>5320</v>
      </c>
      <c r="D41" s="11"/>
      <c r="E41" s="30"/>
      <c r="F41" s="30">
        <v>80</v>
      </c>
      <c r="G41" s="182">
        <v>8954.0100000000111</v>
      </c>
      <c r="H41" s="18">
        <v>8954.0100000000111</v>
      </c>
    </row>
    <row r="42" spans="1:8" ht="13.5" customHeight="1" x14ac:dyDescent="0.2">
      <c r="A42" s="180">
        <v>44180</v>
      </c>
      <c r="B42" s="56"/>
      <c r="C42" s="36" t="s">
        <v>5321</v>
      </c>
      <c r="D42" s="11"/>
      <c r="E42" s="30">
        <v>20</v>
      </c>
      <c r="F42" s="30"/>
      <c r="G42" s="182"/>
      <c r="H42" s="18">
        <v>8934.0100000000111</v>
      </c>
    </row>
    <row r="43" spans="1:8" ht="13.5" customHeight="1" x14ac:dyDescent="0.2">
      <c r="A43" s="180"/>
      <c r="B43" s="56"/>
      <c r="C43" s="36" t="s">
        <v>5322</v>
      </c>
      <c r="D43" s="11"/>
      <c r="E43" s="30">
        <v>270</v>
      </c>
      <c r="F43" s="30"/>
      <c r="G43" s="182"/>
      <c r="H43" s="18">
        <v>8664.0100000000111</v>
      </c>
    </row>
    <row r="44" spans="1:8" ht="13.5" customHeight="1" x14ac:dyDescent="0.2">
      <c r="A44" s="180"/>
      <c r="B44" s="56"/>
      <c r="C44" s="36" t="s">
        <v>5323</v>
      </c>
      <c r="D44" s="11"/>
      <c r="E44" s="30">
        <v>830</v>
      </c>
      <c r="F44" s="30"/>
      <c r="G44" s="182">
        <v>7834.0100000000111</v>
      </c>
      <c r="H44" s="18">
        <v>7834.0100000000111</v>
      </c>
    </row>
    <row r="45" spans="1:8" ht="13.5" customHeight="1" x14ac:dyDescent="0.2">
      <c r="A45" s="180">
        <v>44182</v>
      </c>
      <c r="B45" s="56"/>
      <c r="C45" s="36" t="s">
        <v>5324</v>
      </c>
      <c r="D45" s="11"/>
      <c r="E45" s="30"/>
      <c r="F45" s="30">
        <v>525</v>
      </c>
      <c r="G45" s="182"/>
      <c r="H45" s="18">
        <v>8359.0100000000111</v>
      </c>
    </row>
    <row r="46" spans="1:8" ht="13.5" customHeight="1" x14ac:dyDescent="0.2">
      <c r="A46" s="180"/>
      <c r="B46" s="56"/>
      <c r="C46" s="36" t="s">
        <v>5325</v>
      </c>
      <c r="D46" s="11"/>
      <c r="E46" s="30"/>
      <c r="F46" s="30">
        <v>7750</v>
      </c>
      <c r="G46" s="182"/>
      <c r="H46" s="18">
        <v>16109.010000000011</v>
      </c>
    </row>
    <row r="47" spans="1:8" ht="13.5" customHeight="1" x14ac:dyDescent="0.2">
      <c r="A47" s="180"/>
      <c r="B47" s="56"/>
      <c r="C47" s="36" t="s">
        <v>5326</v>
      </c>
      <c r="D47" s="11"/>
      <c r="E47" s="30">
        <v>3320</v>
      </c>
      <c r="F47" s="30"/>
      <c r="G47" s="182"/>
      <c r="H47" s="18">
        <v>12789.010000000011</v>
      </c>
    </row>
    <row r="48" spans="1:8" ht="13.5" customHeight="1" x14ac:dyDescent="0.2">
      <c r="A48" s="180"/>
      <c r="B48" s="56"/>
      <c r="C48" s="36" t="s">
        <v>5327</v>
      </c>
      <c r="D48" s="11"/>
      <c r="E48" s="30">
        <v>60</v>
      </c>
      <c r="F48" s="30"/>
      <c r="G48" s="182">
        <v>12729.010000000011</v>
      </c>
      <c r="H48" s="18">
        <v>12729.010000000011</v>
      </c>
    </row>
    <row r="49" spans="1:8" ht="13.5" customHeight="1" x14ac:dyDescent="0.2">
      <c r="A49" s="180">
        <v>44183</v>
      </c>
      <c r="B49" s="56"/>
      <c r="C49" s="36" t="s">
        <v>5328</v>
      </c>
      <c r="D49" s="11"/>
      <c r="E49" s="165">
        <v>8275</v>
      </c>
      <c r="F49" s="30"/>
      <c r="G49" s="182"/>
      <c r="H49" s="18">
        <v>4454.0100000000111</v>
      </c>
    </row>
    <row r="50" spans="1:8" ht="13.5" customHeight="1" x14ac:dyDescent="0.2">
      <c r="A50" s="180"/>
      <c r="B50" s="56"/>
      <c r="C50" s="36" t="s">
        <v>5329</v>
      </c>
      <c r="D50" s="11"/>
      <c r="E50" s="30">
        <v>86.15</v>
      </c>
      <c r="F50" s="30"/>
      <c r="G50" s="182"/>
      <c r="H50" s="18">
        <v>4367.8600000000115</v>
      </c>
    </row>
    <row r="51" spans="1:8" ht="13.5" customHeight="1" x14ac:dyDescent="0.2">
      <c r="A51" s="180"/>
      <c r="B51" s="56"/>
      <c r="C51" s="36" t="s">
        <v>5330</v>
      </c>
      <c r="D51" s="11"/>
      <c r="E51" s="30">
        <v>35</v>
      </c>
      <c r="F51" s="30"/>
      <c r="G51" s="182"/>
      <c r="H51" s="18">
        <v>4332.8600000000115</v>
      </c>
    </row>
    <row r="52" spans="1:8" ht="13.5" customHeight="1" x14ac:dyDescent="0.2">
      <c r="A52" s="180"/>
      <c r="B52" s="56"/>
      <c r="C52" s="36" t="s">
        <v>5331</v>
      </c>
      <c r="D52" s="11"/>
      <c r="E52" s="30">
        <v>27.82</v>
      </c>
      <c r="F52" s="30"/>
      <c r="G52" s="182"/>
      <c r="H52" s="18">
        <v>4305.0400000000118</v>
      </c>
    </row>
    <row r="53" spans="1:8" ht="13.5" customHeight="1" x14ac:dyDescent="0.2">
      <c r="A53" s="180"/>
      <c r="B53" s="56"/>
      <c r="C53" s="36" t="s">
        <v>5332</v>
      </c>
      <c r="D53" s="11"/>
      <c r="E53" s="30">
        <v>27</v>
      </c>
      <c r="F53" s="30"/>
      <c r="G53" s="182"/>
      <c r="H53" s="18">
        <v>4278.0400000000118</v>
      </c>
    </row>
    <row r="54" spans="1:8" ht="13.5" customHeight="1" x14ac:dyDescent="0.2">
      <c r="A54" s="180"/>
      <c r="B54" s="56"/>
      <c r="C54" s="36" t="s">
        <v>5333</v>
      </c>
      <c r="D54" s="11"/>
      <c r="E54" s="30">
        <v>24.28</v>
      </c>
      <c r="F54" s="30"/>
      <c r="G54" s="182"/>
      <c r="H54" s="18">
        <v>4253.760000000012</v>
      </c>
    </row>
    <row r="55" spans="1:8" ht="13.5" customHeight="1" x14ac:dyDescent="0.2">
      <c r="A55" s="180"/>
      <c r="B55" s="56"/>
      <c r="C55" s="36" t="s">
        <v>5334</v>
      </c>
      <c r="D55" s="11"/>
      <c r="E55" s="30">
        <v>53.71</v>
      </c>
      <c r="F55" s="30"/>
      <c r="G55" s="182"/>
      <c r="H55" s="18">
        <v>4200.050000000012</v>
      </c>
    </row>
    <row r="56" spans="1:8" ht="13.5" customHeight="1" x14ac:dyDescent="0.2">
      <c r="A56" s="180"/>
      <c r="B56" s="56"/>
      <c r="C56" s="36" t="s">
        <v>5335</v>
      </c>
      <c r="D56" s="11"/>
      <c r="E56" s="30">
        <v>67.400000000000006</v>
      </c>
      <c r="F56" s="30"/>
      <c r="G56" s="182"/>
      <c r="H56" s="18">
        <v>4132.6500000000124</v>
      </c>
    </row>
    <row r="57" spans="1:8" ht="13.5" customHeight="1" x14ac:dyDescent="0.2">
      <c r="A57" s="180"/>
      <c r="B57" s="56"/>
      <c r="C57" s="36" t="s">
        <v>5336</v>
      </c>
      <c r="D57" s="11"/>
      <c r="E57" s="30">
        <v>87.46</v>
      </c>
      <c r="F57" s="30"/>
      <c r="G57" s="182"/>
      <c r="H57" s="18">
        <v>4045.1900000000123</v>
      </c>
    </row>
    <row r="58" spans="1:8" ht="13.5" customHeight="1" x14ac:dyDescent="0.2">
      <c r="A58" s="180"/>
      <c r="B58" s="56"/>
      <c r="C58" s="36" t="s">
        <v>5337</v>
      </c>
      <c r="D58" s="11"/>
      <c r="E58" s="30">
        <v>239.6</v>
      </c>
      <c r="F58" s="30"/>
      <c r="G58" s="182"/>
      <c r="H58" s="18">
        <v>3805.5900000000124</v>
      </c>
    </row>
    <row r="59" spans="1:8" ht="13.5" customHeight="1" x14ac:dyDescent="0.2">
      <c r="A59" s="180"/>
      <c r="B59" s="56"/>
      <c r="C59" s="36" t="s">
        <v>5338</v>
      </c>
      <c r="D59" s="11"/>
      <c r="E59" s="30">
        <v>231.52</v>
      </c>
      <c r="F59" s="30"/>
      <c r="G59" s="182"/>
      <c r="H59" s="18">
        <v>3574.0700000000124</v>
      </c>
    </row>
    <row r="60" spans="1:8" ht="13.5" customHeight="1" x14ac:dyDescent="0.2">
      <c r="A60" s="180"/>
      <c r="B60" s="56"/>
      <c r="C60" s="36" t="s">
        <v>5339</v>
      </c>
      <c r="D60" s="11"/>
      <c r="E60" s="30">
        <v>2.95</v>
      </c>
      <c r="F60" s="30"/>
      <c r="G60" s="182"/>
      <c r="H60" s="18">
        <v>3571.1200000000126</v>
      </c>
    </row>
    <row r="61" spans="1:8" ht="13.5" customHeight="1" x14ac:dyDescent="0.2">
      <c r="A61" s="180"/>
      <c r="B61" s="56"/>
      <c r="C61" s="36" t="s">
        <v>5340</v>
      </c>
      <c r="D61" s="11"/>
      <c r="E61" s="30">
        <v>1.5</v>
      </c>
      <c r="F61" s="30"/>
      <c r="G61" s="182"/>
      <c r="H61" s="18">
        <v>3569.6200000000126</v>
      </c>
    </row>
    <row r="62" spans="1:8" ht="13.5" customHeight="1" x14ac:dyDescent="0.2">
      <c r="A62" s="180"/>
      <c r="B62" s="56"/>
      <c r="C62" s="36" t="s">
        <v>5341</v>
      </c>
      <c r="D62" s="11"/>
      <c r="E62" s="30">
        <v>280</v>
      </c>
      <c r="F62" s="30"/>
      <c r="G62" s="182"/>
      <c r="H62" s="18">
        <v>3289.6200000000126</v>
      </c>
    </row>
    <row r="63" spans="1:8" ht="13.5" customHeight="1" x14ac:dyDescent="0.2">
      <c r="A63" s="180"/>
      <c r="B63" s="56"/>
      <c r="C63" s="36" t="s">
        <v>5342</v>
      </c>
      <c r="D63" s="11"/>
      <c r="E63" s="30"/>
      <c r="F63" s="30">
        <v>400</v>
      </c>
      <c r="G63" s="182"/>
      <c r="H63" s="18">
        <v>3689.6200000000126</v>
      </c>
    </row>
    <row r="64" spans="1:8" ht="13.5" customHeight="1" x14ac:dyDescent="0.2">
      <c r="A64" s="180"/>
      <c r="B64" s="56"/>
      <c r="C64" s="36" t="s">
        <v>5343</v>
      </c>
      <c r="D64" s="11"/>
      <c r="E64" s="30">
        <v>120</v>
      </c>
      <c r="F64" s="30"/>
      <c r="G64" s="182"/>
      <c r="H64" s="18">
        <v>3569.6200000000126</v>
      </c>
    </row>
    <row r="65" spans="1:8" ht="13.5" customHeight="1" x14ac:dyDescent="0.2">
      <c r="A65" s="180"/>
      <c r="B65" s="56"/>
      <c r="C65" s="36" t="s">
        <v>5344</v>
      </c>
      <c r="D65" s="11"/>
      <c r="E65" s="30">
        <v>70</v>
      </c>
      <c r="F65" s="30"/>
      <c r="G65" s="182"/>
      <c r="H65" s="18">
        <v>3499.6200000000126</v>
      </c>
    </row>
    <row r="66" spans="1:8" ht="13.5" customHeight="1" x14ac:dyDescent="0.2">
      <c r="A66" s="180"/>
      <c r="B66" s="56"/>
      <c r="C66" s="36" t="s">
        <v>5345</v>
      </c>
      <c r="D66" s="11"/>
      <c r="E66" s="30">
        <v>70</v>
      </c>
      <c r="F66" s="30"/>
      <c r="G66" s="182"/>
      <c r="H66" s="18">
        <v>3429.6200000000126</v>
      </c>
    </row>
    <row r="67" spans="1:8" ht="13.5" customHeight="1" x14ac:dyDescent="0.2">
      <c r="A67" s="180"/>
      <c r="B67" s="56"/>
      <c r="C67" s="36" t="s">
        <v>5346</v>
      </c>
      <c r="D67" s="11"/>
      <c r="E67" s="30">
        <v>70</v>
      </c>
      <c r="F67" s="30"/>
      <c r="G67" s="182"/>
      <c r="H67" s="18">
        <v>3359.6200000000126</v>
      </c>
    </row>
    <row r="68" spans="1:8" ht="13.5" customHeight="1" x14ac:dyDescent="0.2">
      <c r="A68" s="180">
        <v>44187</v>
      </c>
      <c r="B68" s="56"/>
      <c r="C68" s="36" t="s">
        <v>5185</v>
      </c>
      <c r="D68" s="11"/>
      <c r="E68" s="30"/>
      <c r="F68" s="30">
        <v>66</v>
      </c>
      <c r="G68" s="182"/>
      <c r="H68" s="18">
        <v>3425.6200000000126</v>
      </c>
    </row>
    <row r="69" spans="1:8" ht="13.5" customHeight="1" x14ac:dyDescent="0.2">
      <c r="A69" s="180"/>
      <c r="B69" s="56"/>
      <c r="C69" s="36" t="s">
        <v>5347</v>
      </c>
      <c r="D69" s="11"/>
      <c r="E69" s="30">
        <v>40</v>
      </c>
      <c r="F69" s="30"/>
      <c r="G69" s="182">
        <v>3385.6200000000126</v>
      </c>
      <c r="H69" s="18">
        <v>3385.6200000000126</v>
      </c>
    </row>
    <row r="70" spans="1:8" ht="13.5" customHeight="1" x14ac:dyDescent="0.2">
      <c r="A70" s="180">
        <v>44188</v>
      </c>
      <c r="B70" s="56"/>
      <c r="C70" s="36" t="s">
        <v>5348</v>
      </c>
      <c r="D70" s="11"/>
      <c r="E70" s="30">
        <v>7.9</v>
      </c>
      <c r="F70" s="30"/>
      <c r="G70" s="182"/>
      <c r="H70" s="18">
        <v>3377.7200000000125</v>
      </c>
    </row>
    <row r="71" spans="1:8" ht="13.5" customHeight="1" x14ac:dyDescent="0.2">
      <c r="A71" s="180"/>
      <c r="B71" s="56"/>
      <c r="C71" s="36" t="s">
        <v>5349</v>
      </c>
      <c r="D71" s="11"/>
      <c r="E71" s="30">
        <v>15</v>
      </c>
      <c r="F71" s="30"/>
      <c r="G71" s="182"/>
      <c r="H71" s="18">
        <v>3362.7200000000125</v>
      </c>
    </row>
    <row r="72" spans="1:8" ht="13.5" customHeight="1" x14ac:dyDescent="0.2">
      <c r="A72" s="180"/>
      <c r="B72" s="56"/>
      <c r="C72" s="36" t="s">
        <v>5350</v>
      </c>
      <c r="D72" s="11"/>
      <c r="E72" s="30">
        <v>41.8</v>
      </c>
      <c r="F72" s="30"/>
      <c r="G72" s="182"/>
      <c r="H72" s="18">
        <v>3320.9200000000124</v>
      </c>
    </row>
    <row r="73" spans="1:8" ht="13.5" customHeight="1" x14ac:dyDescent="0.2">
      <c r="A73" s="180"/>
      <c r="B73" s="56"/>
      <c r="C73" s="36" t="s">
        <v>5351</v>
      </c>
      <c r="D73" s="11"/>
      <c r="E73" s="30">
        <v>9</v>
      </c>
      <c r="F73" s="30"/>
      <c r="G73" s="182"/>
      <c r="H73" s="18">
        <v>3311.9200000000124</v>
      </c>
    </row>
    <row r="74" spans="1:8" ht="13.5" customHeight="1" x14ac:dyDescent="0.2">
      <c r="A74" s="180"/>
      <c r="B74" s="56"/>
      <c r="C74" s="36" t="s">
        <v>5169</v>
      </c>
      <c r="D74" s="11"/>
      <c r="E74" s="30">
        <v>5.6</v>
      </c>
      <c r="F74" s="30"/>
      <c r="G74" s="182"/>
      <c r="H74" s="18">
        <v>3306.3200000000124</v>
      </c>
    </row>
    <row r="75" spans="1:8" ht="13.5" customHeight="1" x14ac:dyDescent="0.2">
      <c r="A75" s="180"/>
      <c r="B75" s="56"/>
      <c r="C75" s="36" t="s">
        <v>5352</v>
      </c>
      <c r="D75" s="11"/>
      <c r="E75" s="30">
        <v>17.850000000000001</v>
      </c>
      <c r="F75" s="30"/>
      <c r="G75" s="182"/>
      <c r="H75" s="18">
        <v>3288.4700000000125</v>
      </c>
    </row>
    <row r="76" spans="1:8" ht="13.5" customHeight="1" x14ac:dyDescent="0.2">
      <c r="A76" s="180"/>
      <c r="B76" s="56"/>
      <c r="C76" s="36" t="s">
        <v>5353</v>
      </c>
      <c r="D76" s="11"/>
      <c r="E76" s="30">
        <v>58</v>
      </c>
      <c r="F76" s="30"/>
      <c r="G76" s="182"/>
      <c r="H76" s="18">
        <v>3230.4700000000125</v>
      </c>
    </row>
    <row r="77" spans="1:8" ht="13.5" customHeight="1" x14ac:dyDescent="0.2">
      <c r="A77" s="180"/>
      <c r="B77" s="56"/>
      <c r="C77" s="36" t="s">
        <v>5354</v>
      </c>
      <c r="D77" s="11"/>
      <c r="E77" s="30">
        <v>61.2</v>
      </c>
      <c r="F77" s="30"/>
      <c r="G77" s="182"/>
      <c r="H77" s="18">
        <v>3169.2700000000127</v>
      </c>
    </row>
    <row r="78" spans="1:8" ht="13.5" customHeight="1" x14ac:dyDescent="0.2">
      <c r="A78" s="180"/>
      <c r="B78" s="56"/>
      <c r="C78" s="36" t="s">
        <v>5355</v>
      </c>
      <c r="D78" s="11"/>
      <c r="E78" s="30">
        <v>75</v>
      </c>
      <c r="F78" s="30"/>
      <c r="G78" s="182"/>
      <c r="H78" s="18">
        <v>3094.2700000000127</v>
      </c>
    </row>
    <row r="79" spans="1:8" ht="13.5" customHeight="1" x14ac:dyDescent="0.2">
      <c r="A79" s="180"/>
      <c r="B79" s="56"/>
      <c r="C79" s="36" t="s">
        <v>5356</v>
      </c>
      <c r="D79" s="11"/>
      <c r="E79" s="30">
        <v>9.35</v>
      </c>
      <c r="F79" s="30"/>
      <c r="G79" s="182"/>
      <c r="H79" s="18">
        <v>3084.9200000000128</v>
      </c>
    </row>
    <row r="80" spans="1:8" ht="13.5" customHeight="1" x14ac:dyDescent="0.2">
      <c r="A80" s="180"/>
      <c r="B80" s="56"/>
      <c r="C80" s="36" t="s">
        <v>5357</v>
      </c>
      <c r="D80" s="11"/>
      <c r="E80" s="30">
        <v>67.5</v>
      </c>
      <c r="F80" s="30"/>
      <c r="G80" s="182"/>
      <c r="H80" s="18">
        <v>3017.4200000000128</v>
      </c>
    </row>
    <row r="81" spans="1:8" ht="13.5" customHeight="1" x14ac:dyDescent="0.2">
      <c r="A81" s="180"/>
      <c r="B81" s="56"/>
      <c r="C81" s="36" t="s">
        <v>5358</v>
      </c>
      <c r="D81" s="11"/>
      <c r="E81" s="30">
        <v>50</v>
      </c>
      <c r="F81" s="30"/>
      <c r="G81" s="182"/>
      <c r="H81" s="18">
        <v>2967.4200000000128</v>
      </c>
    </row>
    <row r="82" spans="1:8" ht="13.5" customHeight="1" x14ac:dyDescent="0.2">
      <c r="A82" s="180"/>
      <c r="B82" s="56"/>
      <c r="C82" s="36" t="s">
        <v>5359</v>
      </c>
      <c r="D82" s="11"/>
      <c r="E82" s="30">
        <v>7.4</v>
      </c>
      <c r="F82" s="30"/>
      <c r="G82" s="182"/>
      <c r="H82" s="18">
        <v>2960.0200000000127</v>
      </c>
    </row>
    <row r="83" spans="1:8" ht="13.5" customHeight="1" x14ac:dyDescent="0.2">
      <c r="A83" s="180"/>
      <c r="B83" s="56"/>
      <c r="C83" s="36" t="s">
        <v>5360</v>
      </c>
      <c r="D83" s="11"/>
      <c r="E83" s="30">
        <v>47</v>
      </c>
      <c r="F83" s="30"/>
      <c r="G83" s="182"/>
      <c r="H83" s="18">
        <v>2913.0200000000127</v>
      </c>
    </row>
    <row r="84" spans="1:8" ht="13.5" customHeight="1" x14ac:dyDescent="0.2">
      <c r="A84" s="180"/>
      <c r="B84" s="56"/>
      <c r="C84" s="36" t="s">
        <v>5361</v>
      </c>
      <c r="D84" s="11"/>
      <c r="E84" s="30">
        <v>56</v>
      </c>
      <c r="F84" s="30"/>
      <c r="G84" s="182"/>
      <c r="H84" s="18">
        <v>2857.0200000000127</v>
      </c>
    </row>
    <row r="85" spans="1:8" ht="13.5" customHeight="1" x14ac:dyDescent="0.2">
      <c r="A85" s="180"/>
      <c r="B85" s="56"/>
      <c r="C85" s="36" t="s">
        <v>5362</v>
      </c>
      <c r="D85" s="11"/>
      <c r="E85" s="30">
        <v>2.7</v>
      </c>
      <c r="F85" s="30"/>
      <c r="G85" s="182"/>
      <c r="H85" s="18">
        <v>2854.3200000000129</v>
      </c>
    </row>
    <row r="86" spans="1:8" ht="13.5" customHeight="1" x14ac:dyDescent="0.2">
      <c r="A86" s="180"/>
      <c r="B86" s="56"/>
      <c r="C86" s="36" t="s">
        <v>5363</v>
      </c>
      <c r="D86" s="11"/>
      <c r="E86" s="30">
        <v>19.95</v>
      </c>
      <c r="F86" s="30"/>
      <c r="G86" s="182"/>
      <c r="H86" s="18">
        <v>2834.3700000000131</v>
      </c>
    </row>
    <row r="87" spans="1:8" ht="13.5" customHeight="1" x14ac:dyDescent="0.2">
      <c r="A87" s="180"/>
      <c r="B87" s="56"/>
      <c r="C87" s="36" t="s">
        <v>5364</v>
      </c>
      <c r="D87" s="11"/>
      <c r="E87" s="30">
        <v>5.95</v>
      </c>
      <c r="F87" s="30"/>
      <c r="G87" s="182"/>
      <c r="H87" s="18">
        <v>2828.4200000000133</v>
      </c>
    </row>
    <row r="88" spans="1:8" ht="13.5" customHeight="1" x14ac:dyDescent="0.2">
      <c r="A88" s="180"/>
      <c r="B88" s="56"/>
      <c r="C88" s="36" t="s">
        <v>5364</v>
      </c>
      <c r="D88" s="11"/>
      <c r="E88" s="30">
        <v>18</v>
      </c>
      <c r="F88" s="30"/>
      <c r="G88" s="182"/>
      <c r="H88" s="18">
        <v>2810.4200000000133</v>
      </c>
    </row>
    <row r="89" spans="1:8" ht="13.5" customHeight="1" x14ac:dyDescent="0.2">
      <c r="A89" s="180"/>
      <c r="B89" s="56"/>
      <c r="C89" s="36" t="s">
        <v>5365</v>
      </c>
      <c r="D89" s="11"/>
      <c r="E89" s="30">
        <v>12.5</v>
      </c>
      <c r="F89" s="30"/>
      <c r="G89" s="182"/>
      <c r="H89" s="18">
        <v>2797.9200000000133</v>
      </c>
    </row>
    <row r="90" spans="1:8" ht="13.5" customHeight="1" x14ac:dyDescent="0.2">
      <c r="A90" s="180"/>
      <c r="B90" s="56"/>
      <c r="C90" s="36" t="s">
        <v>5366</v>
      </c>
      <c r="D90" s="11"/>
      <c r="E90" s="30">
        <v>18.5</v>
      </c>
      <c r="F90" s="30"/>
      <c r="G90" s="182"/>
      <c r="H90" s="18">
        <v>2779.4200000000133</v>
      </c>
    </row>
    <row r="91" spans="1:8" ht="13.5" customHeight="1" x14ac:dyDescent="0.2">
      <c r="A91" s="180"/>
      <c r="B91" s="56"/>
      <c r="C91" s="36" t="s">
        <v>5367</v>
      </c>
      <c r="D91" s="11"/>
      <c r="E91" s="30">
        <v>20</v>
      </c>
      <c r="F91" s="30"/>
      <c r="G91" s="182"/>
      <c r="H91" s="18">
        <v>2759.4200000000133</v>
      </c>
    </row>
    <row r="92" spans="1:8" ht="13.5" customHeight="1" x14ac:dyDescent="0.2">
      <c r="A92" s="180"/>
      <c r="B92" s="56"/>
      <c r="C92" s="36" t="s">
        <v>5368</v>
      </c>
      <c r="D92" s="11"/>
      <c r="E92" s="30">
        <v>13</v>
      </c>
      <c r="F92" s="30"/>
      <c r="G92" s="182"/>
      <c r="H92" s="18">
        <v>2746.4200000000133</v>
      </c>
    </row>
    <row r="93" spans="1:8" ht="13.5" customHeight="1" x14ac:dyDescent="0.2">
      <c r="A93" s="180"/>
      <c r="B93" s="56"/>
      <c r="C93" s="36" t="s">
        <v>5369</v>
      </c>
      <c r="D93" s="11"/>
      <c r="E93" s="30">
        <v>2</v>
      </c>
      <c r="F93" s="30"/>
      <c r="G93" s="182"/>
      <c r="H93" s="18">
        <v>2744.4200000000133</v>
      </c>
    </row>
    <row r="94" spans="1:8" ht="13.5" customHeight="1" x14ac:dyDescent="0.2">
      <c r="A94" s="180"/>
      <c r="B94" s="56"/>
      <c r="C94" s="36" t="s">
        <v>5370</v>
      </c>
      <c r="D94" s="11"/>
      <c r="E94" s="30">
        <v>39.9</v>
      </c>
      <c r="F94" s="30"/>
      <c r="G94" s="182"/>
      <c r="H94" s="18">
        <v>2704.5200000000132</v>
      </c>
    </row>
    <row r="95" spans="1:8" ht="13.5" customHeight="1" x14ac:dyDescent="0.2">
      <c r="A95" s="180"/>
      <c r="B95" s="56"/>
      <c r="C95" s="36" t="s">
        <v>5371</v>
      </c>
      <c r="D95" s="11"/>
      <c r="E95" s="30">
        <v>1.75</v>
      </c>
      <c r="F95" s="30"/>
      <c r="G95" s="182"/>
      <c r="H95" s="18">
        <v>2702.7700000000132</v>
      </c>
    </row>
    <row r="96" spans="1:8" ht="13.5" customHeight="1" x14ac:dyDescent="0.2">
      <c r="A96" s="180"/>
      <c r="B96" s="56"/>
      <c r="C96" s="36" t="s">
        <v>5372</v>
      </c>
      <c r="D96" s="11"/>
      <c r="E96" s="30">
        <v>5</v>
      </c>
      <c r="F96" s="30"/>
      <c r="G96" s="182"/>
      <c r="H96" s="18">
        <v>2697.7700000000132</v>
      </c>
    </row>
    <row r="97" spans="1:8" ht="13.5" customHeight="1" x14ac:dyDescent="0.2">
      <c r="A97" s="180"/>
      <c r="B97" s="56"/>
      <c r="C97" s="36" t="s">
        <v>5373</v>
      </c>
      <c r="D97" s="11"/>
      <c r="E97" s="30">
        <v>50</v>
      </c>
      <c r="F97" s="30"/>
      <c r="G97" s="182"/>
      <c r="H97" s="18">
        <v>2647.7700000000132</v>
      </c>
    </row>
    <row r="98" spans="1:8" ht="13.5" customHeight="1" x14ac:dyDescent="0.2">
      <c r="A98" s="180"/>
      <c r="B98" s="56"/>
      <c r="C98" s="36" t="s">
        <v>5374</v>
      </c>
      <c r="D98" s="11"/>
      <c r="E98" s="30">
        <v>59.7</v>
      </c>
      <c r="F98" s="30"/>
      <c r="G98" s="182"/>
      <c r="H98" s="18">
        <v>2588.0700000000134</v>
      </c>
    </row>
    <row r="99" spans="1:8" ht="13.5" customHeight="1" x14ac:dyDescent="0.2">
      <c r="A99" s="180"/>
      <c r="B99" s="56"/>
      <c r="C99" s="36" t="s">
        <v>5375</v>
      </c>
      <c r="D99" s="11"/>
      <c r="E99" s="30">
        <v>17</v>
      </c>
      <c r="F99" s="30"/>
      <c r="G99" s="182"/>
      <c r="H99" s="18">
        <v>2571.0700000000134</v>
      </c>
    </row>
    <row r="100" spans="1:8" ht="13.5" customHeight="1" x14ac:dyDescent="0.2">
      <c r="A100" s="180"/>
      <c r="B100" s="56"/>
      <c r="C100" s="36" t="s">
        <v>5376</v>
      </c>
      <c r="D100" s="11"/>
      <c r="E100" s="30">
        <v>18.8</v>
      </c>
      <c r="F100" s="30"/>
      <c r="G100" s="182"/>
      <c r="H100" s="18">
        <v>2552.2700000000132</v>
      </c>
    </row>
    <row r="101" spans="1:8" ht="13.5" customHeight="1" x14ac:dyDescent="0.2">
      <c r="A101" s="180"/>
      <c r="B101" s="56"/>
      <c r="C101" s="36" t="s">
        <v>5377</v>
      </c>
      <c r="D101" s="11"/>
      <c r="E101" s="30">
        <v>49.8</v>
      </c>
      <c r="F101" s="30"/>
      <c r="G101" s="182"/>
      <c r="H101" s="18">
        <v>2502.470000000013</v>
      </c>
    </row>
    <row r="102" spans="1:8" ht="13.5" customHeight="1" x14ac:dyDescent="0.2">
      <c r="A102" s="180"/>
      <c r="B102" s="56"/>
      <c r="C102" s="36" t="s">
        <v>5378</v>
      </c>
      <c r="D102" s="11"/>
      <c r="E102" s="30">
        <v>8.4</v>
      </c>
      <c r="F102" s="30"/>
      <c r="G102" s="182"/>
      <c r="H102" s="18">
        <v>2494.0700000000129</v>
      </c>
    </row>
    <row r="103" spans="1:8" ht="13.5" customHeight="1" x14ac:dyDescent="0.2">
      <c r="A103" s="180"/>
      <c r="B103" s="56"/>
      <c r="C103" s="36" t="s">
        <v>5379</v>
      </c>
      <c r="D103" s="11"/>
      <c r="E103" s="30">
        <v>7</v>
      </c>
      <c r="F103" s="30"/>
      <c r="G103" s="182"/>
      <c r="H103" s="18">
        <v>2487.0700000000129</v>
      </c>
    </row>
    <row r="104" spans="1:8" ht="13.5" customHeight="1" x14ac:dyDescent="0.2">
      <c r="A104" s="180"/>
      <c r="B104" s="56"/>
      <c r="C104" s="36" t="s">
        <v>5380</v>
      </c>
      <c r="D104" s="11"/>
      <c r="E104" s="30">
        <v>9</v>
      </c>
      <c r="F104" s="30"/>
      <c r="G104" s="182"/>
      <c r="H104" s="18">
        <v>2478.0700000000129</v>
      </c>
    </row>
    <row r="105" spans="1:8" ht="13.5" customHeight="1" x14ac:dyDescent="0.2">
      <c r="A105" s="180"/>
      <c r="B105" s="56"/>
      <c r="C105" s="36" t="s">
        <v>5381</v>
      </c>
      <c r="D105" s="11"/>
      <c r="E105" s="30">
        <v>5</v>
      </c>
      <c r="F105" s="30"/>
      <c r="G105" s="182"/>
      <c r="H105" s="18">
        <v>2473.0700000000129</v>
      </c>
    </row>
    <row r="106" spans="1:8" ht="13.5" customHeight="1" x14ac:dyDescent="0.2">
      <c r="A106" s="180"/>
      <c r="B106" s="56"/>
      <c r="C106" s="36" t="s">
        <v>5382</v>
      </c>
      <c r="D106" s="11"/>
      <c r="E106" s="30">
        <v>56</v>
      </c>
      <c r="F106" s="30"/>
      <c r="G106" s="182"/>
      <c r="H106" s="18">
        <v>2417.0700000000129</v>
      </c>
    </row>
    <row r="107" spans="1:8" ht="13.5" customHeight="1" x14ac:dyDescent="0.2">
      <c r="A107" s="180"/>
      <c r="B107" s="56"/>
      <c r="C107" s="36" t="s">
        <v>5383</v>
      </c>
      <c r="D107" s="11"/>
      <c r="E107" s="30">
        <v>36.5</v>
      </c>
      <c r="F107" s="30"/>
      <c r="G107" s="182"/>
      <c r="H107" s="18">
        <v>2380.5700000000129</v>
      </c>
    </row>
    <row r="108" spans="1:8" ht="13.5" customHeight="1" x14ac:dyDescent="0.2">
      <c r="A108" s="180"/>
      <c r="B108" s="56"/>
      <c r="C108" s="36" t="s">
        <v>5384</v>
      </c>
      <c r="D108" s="11"/>
      <c r="E108" s="30">
        <v>50.89</v>
      </c>
      <c r="F108" s="30"/>
      <c r="G108" s="182"/>
      <c r="H108" s="18">
        <v>2329.680000000013</v>
      </c>
    </row>
    <row r="109" spans="1:8" ht="13.5" customHeight="1" x14ac:dyDescent="0.2">
      <c r="A109" s="180"/>
      <c r="B109" s="56"/>
      <c r="C109" s="36" t="s">
        <v>5385</v>
      </c>
      <c r="D109" s="11"/>
      <c r="E109" s="30">
        <v>7</v>
      </c>
      <c r="F109" s="30"/>
      <c r="G109" s="182"/>
      <c r="H109" s="18">
        <v>2322.680000000013</v>
      </c>
    </row>
    <row r="110" spans="1:8" ht="13.5" customHeight="1" x14ac:dyDescent="0.2">
      <c r="A110" s="180"/>
      <c r="B110" s="56"/>
      <c r="C110" s="36" t="s">
        <v>5386</v>
      </c>
      <c r="D110" s="11"/>
      <c r="E110" s="30">
        <v>59.75</v>
      </c>
      <c r="F110" s="30"/>
      <c r="G110" s="182"/>
      <c r="H110" s="18">
        <v>2262.930000000013</v>
      </c>
    </row>
    <row r="111" spans="1:8" ht="13.5" customHeight="1" x14ac:dyDescent="0.2">
      <c r="A111" s="180"/>
      <c r="B111" s="56"/>
      <c r="C111" s="36" t="s">
        <v>5387</v>
      </c>
      <c r="D111" s="11"/>
      <c r="E111" s="30">
        <v>36</v>
      </c>
      <c r="F111" s="30"/>
      <c r="G111" s="182"/>
      <c r="H111" s="18">
        <v>2226.930000000013</v>
      </c>
    </row>
    <row r="112" spans="1:8" ht="13.5" customHeight="1" x14ac:dyDescent="0.2">
      <c r="A112" s="180"/>
      <c r="B112" s="56"/>
      <c r="C112" s="36" t="s">
        <v>5388</v>
      </c>
      <c r="D112" s="11"/>
      <c r="E112" s="30">
        <v>18</v>
      </c>
      <c r="F112" s="30"/>
      <c r="G112" s="182"/>
      <c r="H112" s="18">
        <v>2208.930000000013</v>
      </c>
    </row>
    <row r="113" spans="1:8" ht="13.5" customHeight="1" x14ac:dyDescent="0.2">
      <c r="A113" s="180"/>
      <c r="B113" s="56"/>
      <c r="C113" s="36" t="s">
        <v>5389</v>
      </c>
      <c r="D113" s="11"/>
      <c r="E113" s="30">
        <v>47.88</v>
      </c>
      <c r="F113" s="30"/>
      <c r="G113" s="182"/>
      <c r="H113" s="18">
        <v>2161.0500000000129</v>
      </c>
    </row>
    <row r="114" spans="1:8" ht="13.5" customHeight="1" x14ac:dyDescent="0.2">
      <c r="A114" s="180"/>
      <c r="B114" s="56"/>
      <c r="C114" s="36" t="s">
        <v>5390</v>
      </c>
      <c r="D114" s="11"/>
      <c r="E114" s="30">
        <v>36</v>
      </c>
      <c r="F114" s="30"/>
      <c r="G114" s="182"/>
      <c r="H114" s="18">
        <v>2125.0500000000129</v>
      </c>
    </row>
    <row r="115" spans="1:8" ht="13.5" customHeight="1" x14ac:dyDescent="0.2">
      <c r="A115" s="180"/>
      <c r="B115" s="56"/>
      <c r="C115" s="36" t="s">
        <v>5391</v>
      </c>
      <c r="D115" s="11"/>
      <c r="E115" s="30">
        <v>17</v>
      </c>
      <c r="F115" s="30"/>
      <c r="G115" s="182"/>
      <c r="H115" s="18">
        <v>2108.0500000000129</v>
      </c>
    </row>
    <row r="116" spans="1:8" ht="13.5" customHeight="1" x14ac:dyDescent="0.2">
      <c r="A116" s="180"/>
      <c r="B116" s="56"/>
      <c r="C116" s="36" t="s">
        <v>5392</v>
      </c>
      <c r="D116" s="11"/>
      <c r="E116" s="30">
        <v>638</v>
      </c>
      <c r="F116" s="30"/>
      <c r="G116" s="182"/>
      <c r="H116" s="18">
        <v>1470.0500000000129</v>
      </c>
    </row>
    <row r="117" spans="1:8" ht="13.5" customHeight="1" x14ac:dyDescent="0.2">
      <c r="A117" s="180"/>
      <c r="B117" s="56"/>
      <c r="C117" s="36" t="s">
        <v>5393</v>
      </c>
      <c r="D117" s="11"/>
      <c r="E117" s="30">
        <v>43</v>
      </c>
      <c r="F117" s="30"/>
      <c r="G117" s="182"/>
      <c r="H117" s="18">
        <v>1427.0500000000129</v>
      </c>
    </row>
    <row r="118" spans="1:8" ht="13.5" customHeight="1" x14ac:dyDescent="0.2">
      <c r="A118" s="180"/>
      <c r="B118" s="56"/>
      <c r="C118" s="36" t="s">
        <v>5394</v>
      </c>
      <c r="D118" s="11"/>
      <c r="E118" s="30">
        <v>4.5</v>
      </c>
      <c r="F118" s="30"/>
      <c r="G118" s="182"/>
      <c r="H118" s="18">
        <v>1422.5500000000129</v>
      </c>
    </row>
    <row r="119" spans="1:8" ht="13.5" customHeight="1" x14ac:dyDescent="0.2">
      <c r="A119" s="180"/>
      <c r="B119" s="56"/>
      <c r="C119" s="36" t="s">
        <v>5395</v>
      </c>
      <c r="D119" s="11"/>
      <c r="E119" s="30">
        <v>20.3</v>
      </c>
      <c r="F119" s="30"/>
      <c r="G119" s="182"/>
      <c r="H119" s="18">
        <v>1402.250000000013</v>
      </c>
    </row>
    <row r="120" spans="1:8" ht="13.5" customHeight="1" x14ac:dyDescent="0.2">
      <c r="A120" s="180"/>
      <c r="B120" s="56"/>
      <c r="C120" s="36" t="s">
        <v>5396</v>
      </c>
      <c r="D120" s="11"/>
      <c r="E120" s="30">
        <v>2.7</v>
      </c>
      <c r="F120" s="30"/>
      <c r="G120" s="182"/>
      <c r="H120" s="18">
        <v>1399.5500000000129</v>
      </c>
    </row>
    <row r="121" spans="1:8" ht="13.5" customHeight="1" x14ac:dyDescent="0.2">
      <c r="A121" s="180"/>
      <c r="B121" s="56"/>
      <c r="C121" s="36" t="s">
        <v>5397</v>
      </c>
      <c r="D121" s="11"/>
      <c r="E121" s="30">
        <v>58.63</v>
      </c>
      <c r="F121" s="30"/>
      <c r="G121" s="182"/>
      <c r="H121" s="18">
        <v>1340.9200000000128</v>
      </c>
    </row>
    <row r="122" spans="1:8" ht="13.5" customHeight="1" x14ac:dyDescent="0.2">
      <c r="A122" s="180"/>
      <c r="B122" s="56"/>
      <c r="C122" s="36" t="s">
        <v>5398</v>
      </c>
      <c r="D122" s="11"/>
      <c r="E122" s="30">
        <v>20</v>
      </c>
      <c r="F122" s="30"/>
      <c r="G122" s="182"/>
      <c r="H122" s="18">
        <v>1320.9200000000128</v>
      </c>
    </row>
    <row r="123" spans="1:8" ht="13.5" customHeight="1" x14ac:dyDescent="0.2">
      <c r="A123" s="180"/>
      <c r="B123" s="56"/>
      <c r="C123" s="36" t="s">
        <v>5399</v>
      </c>
      <c r="D123" s="11"/>
      <c r="E123" s="30">
        <v>2.4</v>
      </c>
      <c r="F123" s="30"/>
      <c r="G123" s="182"/>
      <c r="H123" s="18">
        <v>1318.5200000000127</v>
      </c>
    </row>
    <row r="124" spans="1:8" ht="13.5" customHeight="1" x14ac:dyDescent="0.2">
      <c r="A124" s="180"/>
      <c r="B124" s="56"/>
      <c r="C124" s="36" t="s">
        <v>5400</v>
      </c>
      <c r="D124" s="11"/>
      <c r="E124" s="30">
        <v>1</v>
      </c>
      <c r="F124" s="30"/>
      <c r="G124" s="182"/>
      <c r="H124" s="18">
        <v>1317.5200000000127</v>
      </c>
    </row>
    <row r="125" spans="1:8" ht="13.5" customHeight="1" x14ac:dyDescent="0.2">
      <c r="A125" s="180"/>
      <c r="B125" s="56"/>
      <c r="C125" s="36" t="s">
        <v>5401</v>
      </c>
      <c r="D125" s="11"/>
      <c r="E125" s="30">
        <v>2.8</v>
      </c>
      <c r="F125" s="30"/>
      <c r="G125" s="182"/>
      <c r="H125" s="18">
        <v>1314.7200000000128</v>
      </c>
    </row>
    <row r="126" spans="1:8" ht="13.5" customHeight="1" x14ac:dyDescent="0.2">
      <c r="A126" s="180"/>
      <c r="B126" s="56"/>
      <c r="C126" s="36" t="s">
        <v>5402</v>
      </c>
      <c r="D126" s="11"/>
      <c r="E126" s="30">
        <v>23.65</v>
      </c>
      <c r="F126" s="30"/>
      <c r="G126" s="182"/>
      <c r="H126" s="18">
        <v>1291.0700000000127</v>
      </c>
    </row>
    <row r="127" spans="1:8" ht="13.5" customHeight="1" x14ac:dyDescent="0.2">
      <c r="A127" s="180"/>
      <c r="B127" s="56"/>
      <c r="C127" s="36" t="s">
        <v>5403</v>
      </c>
      <c r="D127" s="11"/>
      <c r="E127" s="30">
        <v>9.3000000000000007</v>
      </c>
      <c r="F127" s="30"/>
      <c r="G127" s="182"/>
      <c r="H127" s="18">
        <v>1281.7700000000127</v>
      </c>
    </row>
    <row r="128" spans="1:8" ht="13.5" customHeight="1" x14ac:dyDescent="0.2">
      <c r="A128" s="180"/>
      <c r="B128" s="56"/>
      <c r="C128" s="36" t="s">
        <v>5404</v>
      </c>
      <c r="D128" s="11"/>
      <c r="E128" s="30">
        <v>10</v>
      </c>
      <c r="F128" s="30"/>
      <c r="G128" s="182"/>
      <c r="H128" s="18">
        <v>1271.7700000000127</v>
      </c>
    </row>
    <row r="129" spans="1:8" ht="13.5" customHeight="1" x14ac:dyDescent="0.2">
      <c r="A129" s="180"/>
      <c r="B129" s="56"/>
      <c r="C129" s="36" t="s">
        <v>5405</v>
      </c>
      <c r="D129" s="11"/>
      <c r="E129" s="30"/>
      <c r="F129" s="552">
        <v>3000</v>
      </c>
      <c r="G129" s="182"/>
      <c r="H129" s="18">
        <v>4271.7700000000132</v>
      </c>
    </row>
    <row r="130" spans="1:8" ht="13.5" customHeight="1" x14ac:dyDescent="0.2">
      <c r="A130" s="180"/>
      <c r="B130" s="56"/>
      <c r="C130" s="36" t="s">
        <v>5406</v>
      </c>
      <c r="D130" s="11"/>
      <c r="E130" s="30">
        <v>300</v>
      </c>
      <c r="F130" s="30"/>
      <c r="G130" s="182"/>
      <c r="H130" s="18">
        <v>3971.7700000000132</v>
      </c>
    </row>
    <row r="131" spans="1:8" ht="13.5" customHeight="1" x14ac:dyDescent="0.2">
      <c r="A131" s="180"/>
      <c r="B131" s="56"/>
      <c r="C131" s="36" t="s">
        <v>5407</v>
      </c>
      <c r="D131" s="11"/>
      <c r="E131" s="30">
        <v>960</v>
      </c>
      <c r="F131" s="30"/>
      <c r="G131" s="182"/>
      <c r="H131" s="18">
        <v>3011.7700000000132</v>
      </c>
    </row>
    <row r="132" spans="1:8" ht="13.5" customHeight="1" x14ac:dyDescent="0.2">
      <c r="A132" s="180"/>
      <c r="B132" s="56"/>
      <c r="C132" s="36" t="s">
        <v>5408</v>
      </c>
      <c r="D132" s="11"/>
      <c r="E132" s="30">
        <v>484</v>
      </c>
      <c r="F132" s="30"/>
      <c r="G132" s="182"/>
      <c r="H132" s="18">
        <v>2527.7700000000132</v>
      </c>
    </row>
    <row r="133" spans="1:8" ht="13.5" customHeight="1" x14ac:dyDescent="0.2">
      <c r="A133" s="180"/>
      <c r="B133" s="56"/>
      <c r="C133" s="36" t="s">
        <v>5409</v>
      </c>
      <c r="D133" s="11"/>
      <c r="E133" s="30">
        <v>350</v>
      </c>
      <c r="F133" s="30"/>
      <c r="G133" s="182"/>
      <c r="H133" s="18">
        <v>2177.7700000000132</v>
      </c>
    </row>
    <row r="134" spans="1:8" ht="13.5" customHeight="1" x14ac:dyDescent="0.2">
      <c r="A134" s="180"/>
      <c r="B134" s="56"/>
      <c r="C134" s="36" t="s">
        <v>5410</v>
      </c>
      <c r="D134" s="11"/>
      <c r="E134" s="30">
        <v>150</v>
      </c>
      <c r="F134" s="30"/>
      <c r="G134" s="182">
        <v>2027.7700000000132</v>
      </c>
      <c r="H134" s="18">
        <v>2027.7700000000132</v>
      </c>
    </row>
    <row r="135" spans="1:8" ht="13.5" customHeight="1" x14ac:dyDescent="0.2">
      <c r="A135" s="180">
        <v>44189</v>
      </c>
      <c r="B135" s="56"/>
      <c r="C135" s="36" t="s">
        <v>5405</v>
      </c>
      <c r="D135" s="11"/>
      <c r="E135" s="30"/>
      <c r="F135" s="552">
        <v>1000</v>
      </c>
      <c r="G135" s="182"/>
      <c r="H135" s="18">
        <v>3027.7700000000132</v>
      </c>
    </row>
    <row r="136" spans="1:8" ht="13.5" customHeight="1" x14ac:dyDescent="0.2">
      <c r="A136" s="180"/>
      <c r="B136" s="56"/>
      <c r="C136" s="36" t="s">
        <v>5411</v>
      </c>
      <c r="D136" s="11"/>
      <c r="E136" s="30">
        <v>350</v>
      </c>
      <c r="F136" s="30"/>
      <c r="G136" s="182"/>
      <c r="H136" s="18">
        <v>2677.7700000000132</v>
      </c>
    </row>
    <row r="137" spans="1:8" ht="13.5" customHeight="1" x14ac:dyDescent="0.2">
      <c r="A137" s="180"/>
      <c r="B137" s="56"/>
      <c r="C137" s="36" t="s">
        <v>5412</v>
      </c>
      <c r="D137" s="11"/>
      <c r="E137" s="30">
        <v>340.5</v>
      </c>
      <c r="F137" s="30"/>
      <c r="G137" s="182"/>
      <c r="H137" s="18">
        <v>2337.2700000000132</v>
      </c>
    </row>
    <row r="138" spans="1:8" ht="13.5" customHeight="1" x14ac:dyDescent="0.2">
      <c r="A138" s="180"/>
      <c r="B138" s="56"/>
      <c r="C138" s="36" t="s">
        <v>5413</v>
      </c>
      <c r="D138" s="11"/>
      <c r="E138" s="30">
        <v>250</v>
      </c>
      <c r="F138" s="30"/>
      <c r="G138" s="182"/>
      <c r="H138" s="18">
        <v>2087.2700000000132</v>
      </c>
    </row>
    <row r="139" spans="1:8" ht="13.5" customHeight="1" x14ac:dyDescent="0.2">
      <c r="A139" s="180"/>
      <c r="B139" s="56"/>
      <c r="C139" s="36" t="s">
        <v>5414</v>
      </c>
      <c r="D139" s="11"/>
      <c r="E139" s="30">
        <v>51</v>
      </c>
      <c r="F139" s="30"/>
      <c r="G139" s="182"/>
      <c r="H139" s="18">
        <v>2036.2700000000132</v>
      </c>
    </row>
    <row r="140" spans="1:8" ht="13.5" customHeight="1" x14ac:dyDescent="0.2">
      <c r="A140" s="180"/>
      <c r="B140" s="56"/>
      <c r="C140" s="36" t="s">
        <v>5415</v>
      </c>
      <c r="D140" s="11"/>
      <c r="E140" s="30">
        <v>36</v>
      </c>
      <c r="F140" s="30"/>
      <c r="G140" s="182"/>
      <c r="H140" s="18">
        <v>2000.2700000000132</v>
      </c>
    </row>
    <row r="141" spans="1:8" ht="13.5" customHeight="1" x14ac:dyDescent="0.2">
      <c r="A141" s="180"/>
      <c r="B141" s="56"/>
      <c r="C141" s="36" t="s">
        <v>5416</v>
      </c>
      <c r="D141" s="11"/>
      <c r="E141" s="30">
        <v>15.64</v>
      </c>
      <c r="F141" s="30"/>
      <c r="G141" s="182"/>
      <c r="H141" s="18">
        <v>1984.6300000000131</v>
      </c>
    </row>
    <row r="142" spans="1:8" ht="13.5" customHeight="1" x14ac:dyDescent="0.2">
      <c r="A142" s="180"/>
      <c r="B142" s="56"/>
      <c r="C142" s="36" t="s">
        <v>5417</v>
      </c>
      <c r="D142" s="11"/>
      <c r="E142" s="30">
        <v>129.84</v>
      </c>
      <c r="F142" s="30"/>
      <c r="G142" s="182"/>
      <c r="H142" s="18">
        <v>1854.7900000000132</v>
      </c>
    </row>
    <row r="143" spans="1:8" ht="13.5" customHeight="1" x14ac:dyDescent="0.2">
      <c r="A143" s="180"/>
      <c r="B143" s="56"/>
      <c r="C143" s="36" t="s">
        <v>5418</v>
      </c>
      <c r="D143" s="11"/>
      <c r="E143" s="30">
        <v>138.85</v>
      </c>
      <c r="F143" s="30"/>
      <c r="G143" s="182"/>
      <c r="H143" s="18">
        <v>1715.9400000000132</v>
      </c>
    </row>
    <row r="144" spans="1:8" ht="13.5" customHeight="1" x14ac:dyDescent="0.2">
      <c r="A144" s="180"/>
      <c r="B144" s="56"/>
      <c r="C144" s="36" t="s">
        <v>5419</v>
      </c>
      <c r="D144" s="11"/>
      <c r="E144" s="30">
        <v>159.97999999999999</v>
      </c>
      <c r="F144" s="30"/>
      <c r="G144" s="182"/>
      <c r="H144" s="18">
        <v>1555.9600000000132</v>
      </c>
    </row>
    <row r="145" spans="1:24" ht="13.5" customHeight="1" x14ac:dyDescent="0.2">
      <c r="A145" s="180"/>
      <c r="B145" s="56"/>
      <c r="C145" s="36" t="s">
        <v>5420</v>
      </c>
      <c r="D145" s="11"/>
      <c r="E145" s="30">
        <v>240</v>
      </c>
      <c r="F145" s="30"/>
      <c r="G145" s="182"/>
      <c r="H145" s="18">
        <v>1315.9600000000132</v>
      </c>
    </row>
    <row r="146" spans="1:24" ht="13.5" customHeight="1" x14ac:dyDescent="0.2">
      <c r="A146" s="180"/>
      <c r="B146" s="56"/>
      <c r="C146" s="36" t="s">
        <v>5421</v>
      </c>
      <c r="D146" s="11"/>
      <c r="E146" s="30">
        <v>100</v>
      </c>
      <c r="F146" s="30"/>
      <c r="G146" s="182"/>
      <c r="H146" s="18">
        <v>1215.9600000000132</v>
      </c>
    </row>
    <row r="147" spans="1:24" ht="13.5" customHeight="1" x14ac:dyDescent="0.2">
      <c r="A147" s="180"/>
      <c r="B147" s="56"/>
      <c r="C147" s="36" t="s">
        <v>5422</v>
      </c>
      <c r="D147" s="11"/>
      <c r="E147" s="30">
        <v>380</v>
      </c>
      <c r="F147" s="30"/>
      <c r="G147" s="182"/>
      <c r="H147" s="18">
        <v>835.96000000001322</v>
      </c>
    </row>
    <row r="148" spans="1:24" ht="13.5" customHeight="1" x14ac:dyDescent="0.2">
      <c r="A148" s="180"/>
      <c r="B148" s="56"/>
      <c r="C148" s="36" t="s">
        <v>5423</v>
      </c>
      <c r="D148" s="11"/>
      <c r="E148" s="30">
        <v>95</v>
      </c>
      <c r="F148" s="30"/>
      <c r="G148" s="182">
        <v>740.96000000001322</v>
      </c>
      <c r="H148" s="18">
        <v>740.96000000001322</v>
      </c>
    </row>
    <row r="149" spans="1:24" ht="13.5" customHeight="1" x14ac:dyDescent="0.2">
      <c r="A149" s="180">
        <v>44194</v>
      </c>
      <c r="B149" s="56"/>
      <c r="C149" s="36" t="s">
        <v>5424</v>
      </c>
      <c r="D149" s="11"/>
      <c r="E149" s="30">
        <v>7.4</v>
      </c>
      <c r="F149" s="30"/>
      <c r="G149" s="182"/>
      <c r="H149" s="18">
        <v>733.56000000001325</v>
      </c>
    </row>
    <row r="150" spans="1:24" ht="13.5" customHeight="1" x14ac:dyDescent="0.2">
      <c r="A150" s="180"/>
      <c r="B150" s="56"/>
      <c r="C150" s="36" t="s">
        <v>5425</v>
      </c>
      <c r="D150" s="11"/>
      <c r="E150" s="30"/>
      <c r="F150" s="30">
        <v>1464</v>
      </c>
      <c r="G150" s="182">
        <v>2197.5600000000131</v>
      </c>
      <c r="H150" s="18">
        <v>2197.5600000000131</v>
      </c>
    </row>
    <row r="151" spans="1:24" ht="13.5" customHeight="1" x14ac:dyDescent="0.2">
      <c r="A151" s="180">
        <v>44195</v>
      </c>
      <c r="B151" s="56"/>
      <c r="C151" s="36" t="s">
        <v>5426</v>
      </c>
      <c r="D151" s="11"/>
      <c r="E151" s="30">
        <v>700</v>
      </c>
      <c r="F151" s="30"/>
      <c r="G151" s="182">
        <v>1497.5600000000131</v>
      </c>
      <c r="H151" s="18">
        <v>1497.5600000000131</v>
      </c>
    </row>
    <row r="152" spans="1:24" ht="13.5" customHeight="1" x14ac:dyDescent="0.2">
      <c r="A152" s="180">
        <v>44196</v>
      </c>
      <c r="B152" s="56"/>
      <c r="C152" s="36" t="s">
        <v>5427</v>
      </c>
      <c r="D152" s="11"/>
      <c r="E152" s="30">
        <v>240</v>
      </c>
      <c r="F152" s="30"/>
      <c r="G152" s="205">
        <v>1257.5600000000131</v>
      </c>
      <c r="H152" s="18">
        <v>1257.5600000000131</v>
      </c>
    </row>
    <row r="153" spans="1:24" s="64" customFormat="1" ht="13.5" customHeight="1" thickBot="1" x14ac:dyDescent="0.25">
      <c r="A153" s="184"/>
      <c r="B153" s="63"/>
      <c r="C153" s="63"/>
      <c r="D153" s="50"/>
      <c r="E153" s="650">
        <f>-SUM(E4:E26,E28:E48,E50:E152,)</f>
        <v>-17043.829999999994</v>
      </c>
      <c r="F153" s="651">
        <f>SUM(F9:F128,F150)</f>
        <v>20718</v>
      </c>
      <c r="G153" s="53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</row>
    <row r="154" spans="1:24" ht="13.5" customHeight="1" thickBot="1" x14ac:dyDescent="0.25">
      <c r="A154" s="2" t="s">
        <v>2</v>
      </c>
      <c r="B154" s="3"/>
      <c r="C154" s="3" t="s">
        <v>536</v>
      </c>
      <c r="D154" s="3" t="s">
        <v>4</v>
      </c>
      <c r="E154" s="3" t="s">
        <v>5</v>
      </c>
      <c r="F154" s="3" t="s">
        <v>6</v>
      </c>
      <c r="G154" s="5" t="s">
        <v>7</v>
      </c>
    </row>
    <row r="155" spans="1:24" ht="13.5" customHeight="1" x14ac:dyDescent="0.2">
      <c r="A155" s="8">
        <v>44166</v>
      </c>
      <c r="B155" s="56"/>
      <c r="C155" s="10" t="s">
        <v>8</v>
      </c>
      <c r="D155" s="11"/>
      <c r="E155" s="51"/>
      <c r="F155" s="12"/>
      <c r="G155" s="205">
        <v>45510</v>
      </c>
    </row>
    <row r="156" spans="1:24" ht="13.5" customHeight="1" x14ac:dyDescent="0.2">
      <c r="A156" s="171"/>
      <c r="B156" s="46"/>
      <c r="C156" s="32" t="s">
        <v>1002</v>
      </c>
      <c r="D156" s="11"/>
      <c r="E156" s="30">
        <v>14497.619999999999</v>
      </c>
      <c r="F156" s="12"/>
      <c r="G156" s="182">
        <v>31012.38</v>
      </c>
    </row>
    <row r="157" spans="1:24" ht="13.5" customHeight="1" x14ac:dyDescent="0.2">
      <c r="A157" s="180">
        <v>44167</v>
      </c>
      <c r="B157" s="56"/>
      <c r="C157" s="32" t="s">
        <v>5428</v>
      </c>
      <c r="D157" s="11"/>
      <c r="E157" s="30">
        <v>360</v>
      </c>
      <c r="F157" s="12"/>
      <c r="G157" s="182">
        <v>30652.38</v>
      </c>
    </row>
    <row r="158" spans="1:24" ht="13.5" customHeight="1" x14ac:dyDescent="0.2">
      <c r="A158" s="180"/>
      <c r="B158" s="56"/>
      <c r="C158" s="34" t="s">
        <v>5199</v>
      </c>
      <c r="D158" s="11"/>
      <c r="E158" s="30">
        <v>1000</v>
      </c>
      <c r="F158" s="12"/>
      <c r="G158" s="182">
        <v>29652.38</v>
      </c>
    </row>
    <row r="159" spans="1:24" ht="13.5" customHeight="1" x14ac:dyDescent="0.2">
      <c r="A159" s="180">
        <v>44168</v>
      </c>
      <c r="B159" s="56"/>
      <c r="C159" s="742" t="s">
        <v>5429</v>
      </c>
      <c r="D159" s="11"/>
      <c r="E159" s="30"/>
      <c r="F159" s="12">
        <v>1100</v>
      </c>
      <c r="G159" s="182">
        <v>30752.38</v>
      </c>
    </row>
    <row r="160" spans="1:24" ht="13.5" customHeight="1" x14ac:dyDescent="0.2">
      <c r="A160" s="180"/>
      <c r="B160" s="56"/>
      <c r="C160" s="34" t="s">
        <v>5078</v>
      </c>
      <c r="D160" s="11"/>
      <c r="E160" s="30">
        <v>1490</v>
      </c>
      <c r="F160" s="12"/>
      <c r="G160" s="182">
        <v>29262.38</v>
      </c>
    </row>
    <row r="161" spans="1:24" ht="13.5" customHeight="1" x14ac:dyDescent="0.2">
      <c r="A161" s="180"/>
      <c r="B161" s="56"/>
      <c r="C161" s="36" t="s">
        <v>5430</v>
      </c>
      <c r="D161" s="11"/>
      <c r="E161" s="30">
        <v>350</v>
      </c>
      <c r="F161" s="12"/>
      <c r="G161" s="182">
        <v>28912.38</v>
      </c>
      <c r="I161" s="18"/>
    </row>
    <row r="162" spans="1:24" ht="13.5" customHeight="1" x14ac:dyDescent="0.2">
      <c r="A162" s="180">
        <v>44173</v>
      </c>
      <c r="B162" s="56"/>
      <c r="C162" s="36" t="s">
        <v>5431</v>
      </c>
      <c r="D162" s="11"/>
      <c r="E162" s="30">
        <v>70</v>
      </c>
      <c r="F162" s="12"/>
      <c r="G162" s="182">
        <v>28842.38</v>
      </c>
    </row>
    <row r="163" spans="1:24" ht="13.5" customHeight="1" x14ac:dyDescent="0.2">
      <c r="A163" s="180">
        <v>44176</v>
      </c>
      <c r="B163" s="56"/>
      <c r="C163" s="742" t="s">
        <v>5432</v>
      </c>
      <c r="D163" s="11"/>
      <c r="E163" s="30"/>
      <c r="F163" s="12">
        <v>1390</v>
      </c>
      <c r="G163" s="182">
        <v>30232.38</v>
      </c>
    </row>
    <row r="164" spans="1:24" ht="13.5" customHeight="1" x14ac:dyDescent="0.2">
      <c r="A164" s="180"/>
      <c r="B164" s="56"/>
      <c r="C164" s="742" t="s">
        <v>5433</v>
      </c>
      <c r="D164" s="11"/>
      <c r="E164" s="30"/>
      <c r="F164" s="12">
        <v>100</v>
      </c>
      <c r="G164" s="182">
        <v>30332.38</v>
      </c>
    </row>
    <row r="165" spans="1:24" ht="13.5" customHeight="1" x14ac:dyDescent="0.2">
      <c r="A165" s="180"/>
      <c r="B165" s="56"/>
      <c r="C165" s="742" t="s">
        <v>5434</v>
      </c>
      <c r="D165" s="11"/>
      <c r="E165" s="30"/>
      <c r="F165" s="12">
        <v>250</v>
      </c>
      <c r="G165" s="182">
        <v>30582.38</v>
      </c>
    </row>
    <row r="166" spans="1:24" s="64" customFormat="1" ht="13.5" customHeight="1" x14ac:dyDescent="0.2">
      <c r="A166" s="184"/>
      <c r="B166" s="63"/>
      <c r="C166" s="742" t="s">
        <v>5435</v>
      </c>
      <c r="D166" s="50"/>
      <c r="E166" s="51"/>
      <c r="F166" s="12">
        <v>1243.57</v>
      </c>
      <c r="G166" s="182">
        <v>31825.95</v>
      </c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</row>
    <row r="167" spans="1:24" s="64" customFormat="1" ht="13.5" customHeight="1" x14ac:dyDescent="0.2">
      <c r="A167" s="184"/>
      <c r="B167" s="63"/>
      <c r="C167" s="742" t="s">
        <v>5436</v>
      </c>
      <c r="D167" s="50"/>
      <c r="E167" s="51"/>
      <c r="F167" s="12">
        <v>765.3</v>
      </c>
      <c r="G167" s="182">
        <v>32591.25</v>
      </c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</row>
    <row r="168" spans="1:24" s="64" customFormat="1" ht="13.5" customHeight="1" x14ac:dyDescent="0.2">
      <c r="A168" s="184"/>
      <c r="B168" s="63"/>
      <c r="C168" s="742" t="s">
        <v>5437</v>
      </c>
      <c r="D168" s="50"/>
      <c r="E168" s="51"/>
      <c r="F168" s="12">
        <v>200</v>
      </c>
      <c r="G168" s="182">
        <v>32791.25</v>
      </c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</row>
    <row r="169" spans="1:24" s="64" customFormat="1" ht="13.5" customHeight="1" x14ac:dyDescent="0.2">
      <c r="A169" s="184"/>
      <c r="B169" s="63"/>
      <c r="C169" s="742" t="s">
        <v>5438</v>
      </c>
      <c r="D169" s="50"/>
      <c r="E169" s="30">
        <v>350</v>
      </c>
      <c r="F169" s="12"/>
      <c r="G169" s="182">
        <v>32441.25</v>
      </c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</row>
    <row r="170" spans="1:24" s="64" customFormat="1" ht="13.5" customHeight="1" x14ac:dyDescent="0.2">
      <c r="A170" s="184"/>
      <c r="B170" s="63"/>
      <c r="C170" s="742" t="s">
        <v>4864</v>
      </c>
      <c r="D170" s="50"/>
      <c r="E170" s="30">
        <v>500</v>
      </c>
      <c r="F170" s="12"/>
      <c r="G170" s="182">
        <v>31941.25</v>
      </c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</row>
    <row r="171" spans="1:24" s="64" customFormat="1" ht="13.5" customHeight="1" x14ac:dyDescent="0.2">
      <c r="A171" s="184"/>
      <c r="B171" s="63"/>
      <c r="C171" s="742" t="s">
        <v>5015</v>
      </c>
      <c r="D171" s="50"/>
      <c r="E171" s="30">
        <v>1188.97</v>
      </c>
      <c r="F171" s="12"/>
      <c r="G171" s="182">
        <v>30752.28</v>
      </c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</row>
    <row r="172" spans="1:24" s="64" customFormat="1" ht="13.5" customHeight="1" x14ac:dyDescent="0.2">
      <c r="A172" s="184"/>
      <c r="B172" s="63"/>
      <c r="C172" s="742" t="s">
        <v>5439</v>
      </c>
      <c r="D172" s="50"/>
      <c r="E172" s="30">
        <v>640</v>
      </c>
      <c r="F172" s="12"/>
      <c r="G172" s="182">
        <v>30112.28</v>
      </c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</row>
    <row r="173" spans="1:24" s="64" customFormat="1" ht="13.5" customHeight="1" x14ac:dyDescent="0.2">
      <c r="A173" s="184">
        <v>44179</v>
      </c>
      <c r="B173" s="63"/>
      <c r="C173" s="742" t="s">
        <v>5440</v>
      </c>
      <c r="D173" s="50"/>
      <c r="E173" s="51"/>
      <c r="F173" s="12">
        <v>2200</v>
      </c>
      <c r="G173" s="182">
        <v>32312.28</v>
      </c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</row>
    <row r="174" spans="1:24" s="64" customFormat="1" ht="13.5" customHeight="1" x14ac:dyDescent="0.2">
      <c r="A174" s="184">
        <v>44180</v>
      </c>
      <c r="B174" s="63"/>
      <c r="C174" s="742" t="s">
        <v>5441</v>
      </c>
      <c r="D174" s="50"/>
      <c r="E174" s="51"/>
      <c r="F174" s="12">
        <v>3500</v>
      </c>
      <c r="G174" s="182">
        <v>35812.28</v>
      </c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</row>
    <row r="175" spans="1:24" s="64" customFormat="1" ht="13.5" customHeight="1" x14ac:dyDescent="0.2">
      <c r="A175" s="184"/>
      <c r="B175" s="63"/>
      <c r="C175" s="742" t="s">
        <v>5442</v>
      </c>
      <c r="D175" s="50"/>
      <c r="E175" s="51"/>
      <c r="F175" s="12">
        <v>1790</v>
      </c>
      <c r="G175" s="182">
        <v>37602.28</v>
      </c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</row>
    <row r="176" spans="1:24" s="64" customFormat="1" ht="13.5" customHeight="1" x14ac:dyDescent="0.2">
      <c r="A176" s="184"/>
      <c r="B176" s="63"/>
      <c r="C176" s="742" t="s">
        <v>5443</v>
      </c>
      <c r="D176" s="50"/>
      <c r="E176" s="552">
        <v>3000</v>
      </c>
      <c r="F176" s="12"/>
      <c r="G176" s="182">
        <v>34602.28</v>
      </c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</row>
    <row r="177" spans="1:24" s="64" customFormat="1" ht="13.5" customHeight="1" x14ac:dyDescent="0.2">
      <c r="A177" s="184">
        <v>44181</v>
      </c>
      <c r="B177" s="63"/>
      <c r="C177" s="742" t="s">
        <v>5444</v>
      </c>
      <c r="D177" s="50"/>
      <c r="E177" s="51"/>
      <c r="F177" s="12">
        <v>1740</v>
      </c>
      <c r="G177" s="182">
        <v>36342.28</v>
      </c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</row>
    <row r="178" spans="1:24" s="64" customFormat="1" ht="13.5" customHeight="1" x14ac:dyDescent="0.2">
      <c r="A178" s="184"/>
      <c r="B178" s="63"/>
      <c r="C178" s="742" t="s">
        <v>5445</v>
      </c>
      <c r="D178" s="50"/>
      <c r="E178" s="51"/>
      <c r="F178" s="13">
        <v>1240</v>
      </c>
      <c r="G178" s="182">
        <v>37582.28</v>
      </c>
      <c r="H178" s="1"/>
      <c r="I178" s="18">
        <v>38000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</row>
    <row r="179" spans="1:24" s="64" customFormat="1" ht="13.5" customHeight="1" x14ac:dyDescent="0.2">
      <c r="A179" s="184">
        <v>44182</v>
      </c>
      <c r="B179" s="63"/>
      <c r="C179" s="138" t="s">
        <v>5446</v>
      </c>
      <c r="D179" s="50"/>
      <c r="E179" s="51">
        <v>300</v>
      </c>
      <c r="F179" s="13"/>
      <c r="G179" s="182">
        <v>37282.28</v>
      </c>
      <c r="H179" s="1"/>
      <c r="I179" s="18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</row>
    <row r="180" spans="1:24" s="64" customFormat="1" ht="13.5" customHeight="1" x14ac:dyDescent="0.2">
      <c r="A180" s="184"/>
      <c r="B180" s="63"/>
      <c r="C180" s="138" t="s">
        <v>5447</v>
      </c>
      <c r="D180" s="50"/>
      <c r="E180" s="51">
        <v>88.78</v>
      </c>
      <c r="F180" s="13"/>
      <c r="G180" s="182">
        <v>37193.5</v>
      </c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</row>
    <row r="181" spans="1:24" s="64" customFormat="1" ht="13.5" customHeight="1" x14ac:dyDescent="0.2">
      <c r="A181" s="184"/>
      <c r="B181" s="63"/>
      <c r="C181" s="36" t="s">
        <v>5448</v>
      </c>
      <c r="D181" s="50"/>
      <c r="E181" s="51"/>
      <c r="F181" s="13">
        <v>220</v>
      </c>
      <c r="G181" s="182">
        <v>37413.5</v>
      </c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</row>
    <row r="182" spans="1:24" s="64" customFormat="1" ht="13.5" customHeight="1" x14ac:dyDescent="0.2">
      <c r="A182" s="184">
        <v>44186</v>
      </c>
      <c r="B182" s="63"/>
      <c r="C182" s="138" t="s">
        <v>5449</v>
      </c>
      <c r="D182" s="50"/>
      <c r="E182" s="51"/>
      <c r="F182" s="13">
        <v>500</v>
      </c>
      <c r="G182" s="182">
        <v>37913.5</v>
      </c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</row>
    <row r="183" spans="1:24" s="64" customFormat="1" ht="13.5" customHeight="1" x14ac:dyDescent="0.2">
      <c r="A183" s="184">
        <v>44187</v>
      </c>
      <c r="B183" s="63"/>
      <c r="C183" s="138" t="s">
        <v>1553</v>
      </c>
      <c r="D183" s="50"/>
      <c r="E183" s="51">
        <v>1000</v>
      </c>
      <c r="F183" s="13"/>
      <c r="G183" s="182">
        <v>36913.5</v>
      </c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</row>
    <row r="184" spans="1:24" s="64" customFormat="1" ht="13.5" customHeight="1" x14ac:dyDescent="0.2">
      <c r="A184" s="184"/>
      <c r="B184" s="63"/>
      <c r="C184" s="138" t="s">
        <v>5450</v>
      </c>
      <c r="D184" s="50"/>
      <c r="E184" s="51">
        <v>169</v>
      </c>
      <c r="F184" s="13"/>
      <c r="G184" s="182">
        <v>36744.5</v>
      </c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</row>
    <row r="185" spans="1:24" s="64" customFormat="1" ht="13.5" customHeight="1" x14ac:dyDescent="0.2">
      <c r="A185" s="184"/>
      <c r="B185" s="63"/>
      <c r="C185" s="34" t="s">
        <v>3872</v>
      </c>
      <c r="D185" s="50"/>
      <c r="E185" s="51">
        <v>100</v>
      </c>
      <c r="F185" s="13"/>
      <c r="G185" s="182">
        <v>36644.5</v>
      </c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</row>
    <row r="186" spans="1:24" s="64" customFormat="1" ht="13.5" customHeight="1" x14ac:dyDescent="0.2">
      <c r="A186" s="184"/>
      <c r="B186" s="63"/>
      <c r="C186" s="34" t="s">
        <v>4279</v>
      </c>
      <c r="D186" s="50"/>
      <c r="E186" s="51">
        <v>54.8</v>
      </c>
      <c r="F186" s="13"/>
      <c r="G186" s="182">
        <v>36589.699999999997</v>
      </c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</row>
    <row r="187" spans="1:24" s="64" customFormat="1" ht="13.5" customHeight="1" x14ac:dyDescent="0.2">
      <c r="A187" s="184"/>
      <c r="B187" s="63"/>
      <c r="C187" s="32" t="s">
        <v>5451</v>
      </c>
      <c r="D187" s="50"/>
      <c r="E187" s="51">
        <v>183.25</v>
      </c>
      <c r="F187" s="13"/>
      <c r="G187" s="182">
        <v>36406.449999999997</v>
      </c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</row>
    <row r="188" spans="1:24" s="64" customFormat="1" ht="13.5" customHeight="1" x14ac:dyDescent="0.2">
      <c r="A188" s="184"/>
      <c r="B188" s="63"/>
      <c r="C188" s="32" t="s">
        <v>5452</v>
      </c>
      <c r="D188" s="50"/>
      <c r="E188" s="51">
        <v>379.03</v>
      </c>
      <c r="F188" s="13"/>
      <c r="G188" s="182">
        <v>36027.42</v>
      </c>
      <c r="H188" s="1"/>
      <c r="I188" s="1">
        <v>37500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</row>
    <row r="189" spans="1:24" s="64" customFormat="1" ht="13.5" customHeight="1" x14ac:dyDescent="0.2">
      <c r="A189" s="184"/>
      <c r="B189" s="63"/>
      <c r="C189" s="138" t="s">
        <v>5453</v>
      </c>
      <c r="D189" s="50"/>
      <c r="E189" s="51">
        <v>315</v>
      </c>
      <c r="F189" s="13"/>
      <c r="G189" s="182">
        <v>35712.42</v>
      </c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</row>
    <row r="190" spans="1:24" s="64" customFormat="1" ht="13.5" customHeight="1" x14ac:dyDescent="0.2">
      <c r="A190" s="184">
        <v>44188</v>
      </c>
      <c r="B190" s="63"/>
      <c r="C190" s="138" t="s">
        <v>5454</v>
      </c>
      <c r="D190" s="50"/>
      <c r="E190" s="552">
        <v>4000</v>
      </c>
      <c r="F190" s="13"/>
      <c r="G190" s="182">
        <v>31712.42</v>
      </c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</row>
    <row r="191" spans="1:24" s="64" customFormat="1" ht="13.5" customHeight="1" x14ac:dyDescent="0.2">
      <c r="A191" s="184"/>
      <c r="B191" s="63"/>
      <c r="C191" s="138" t="s">
        <v>5455</v>
      </c>
      <c r="D191" s="50"/>
      <c r="E191" s="51">
        <v>3000</v>
      </c>
      <c r="F191" s="13"/>
      <c r="G191" s="182">
        <v>28712.42</v>
      </c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</row>
    <row r="192" spans="1:24" s="64" customFormat="1" ht="13.5" customHeight="1" x14ac:dyDescent="0.2">
      <c r="A192" s="184"/>
      <c r="B192" s="63"/>
      <c r="C192" s="36" t="s">
        <v>5456</v>
      </c>
      <c r="D192" s="50"/>
      <c r="E192" s="51">
        <v>750</v>
      </c>
      <c r="F192" s="13"/>
      <c r="G192" s="182">
        <v>27962.42</v>
      </c>
      <c r="H192" s="1"/>
      <c r="I192" s="1">
        <v>30200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</row>
    <row r="193" spans="1:24" s="64" customFormat="1" ht="13.5" customHeight="1" x14ac:dyDescent="0.2">
      <c r="A193" s="184"/>
      <c r="B193" s="63"/>
      <c r="C193" s="138" t="s">
        <v>5457</v>
      </c>
      <c r="D193" s="50"/>
      <c r="E193" s="51">
        <v>404</v>
      </c>
      <c r="F193" s="13"/>
      <c r="G193" s="182">
        <v>27558.42</v>
      </c>
      <c r="H193" s="1"/>
      <c r="I193" s="1">
        <v>29800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</row>
    <row r="194" spans="1:24" s="64" customFormat="1" ht="13.5" customHeight="1" x14ac:dyDescent="0.2">
      <c r="A194" s="184">
        <v>44189</v>
      </c>
      <c r="B194" s="63"/>
      <c r="C194" s="138" t="s">
        <v>5458</v>
      </c>
      <c r="D194" s="50"/>
      <c r="E194" s="51">
        <v>1000</v>
      </c>
      <c r="F194" s="13"/>
      <c r="G194" s="182">
        <v>26558.42</v>
      </c>
      <c r="H194" s="1"/>
      <c r="I194" s="1">
        <v>28800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</row>
    <row r="195" spans="1:24" s="64" customFormat="1" ht="13.5" customHeight="1" x14ac:dyDescent="0.2">
      <c r="A195" s="184"/>
      <c r="B195" s="63"/>
      <c r="C195" s="138" t="s">
        <v>5459</v>
      </c>
      <c r="D195" s="50"/>
      <c r="E195" s="51"/>
      <c r="F195" s="13">
        <v>200</v>
      </c>
      <c r="G195" s="182">
        <v>26758.42</v>
      </c>
      <c r="H195" s="1"/>
      <c r="I195" s="1">
        <v>28500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</row>
    <row r="196" spans="1:24" s="64" customFormat="1" ht="13.5" customHeight="1" x14ac:dyDescent="0.2">
      <c r="A196" s="184"/>
      <c r="B196" s="63"/>
      <c r="C196" s="742" t="s">
        <v>5460</v>
      </c>
      <c r="D196" s="50"/>
      <c r="E196" s="51"/>
      <c r="F196" s="13">
        <v>220</v>
      </c>
      <c r="G196" s="182">
        <v>26978.42</v>
      </c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</row>
    <row r="197" spans="1:24" s="64" customFormat="1" ht="13.5" customHeight="1" x14ac:dyDescent="0.2">
      <c r="A197" s="184"/>
      <c r="B197" s="63"/>
      <c r="C197" s="743" t="s">
        <v>5461</v>
      </c>
      <c r="D197" s="50"/>
      <c r="E197" s="51"/>
      <c r="F197" s="13">
        <v>945</v>
      </c>
      <c r="G197" s="182">
        <v>27923.42</v>
      </c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</row>
    <row r="198" spans="1:24" s="64" customFormat="1" ht="13.5" customHeight="1" x14ac:dyDescent="0.2">
      <c r="A198" s="184">
        <v>44193</v>
      </c>
      <c r="B198" s="63"/>
      <c r="C198" s="742" t="s">
        <v>5462</v>
      </c>
      <c r="D198" s="50"/>
      <c r="E198" s="51"/>
      <c r="F198" s="13">
        <v>1100</v>
      </c>
      <c r="G198" s="182">
        <v>29023.42</v>
      </c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</row>
    <row r="199" spans="1:24" s="64" customFormat="1" ht="13.5" customHeight="1" x14ac:dyDescent="0.2">
      <c r="A199" s="184"/>
      <c r="B199" s="63"/>
      <c r="C199" s="138" t="s">
        <v>5463</v>
      </c>
      <c r="D199" s="50"/>
      <c r="E199" s="51">
        <v>196.63</v>
      </c>
      <c r="F199" s="13"/>
      <c r="G199" s="182">
        <v>28826.789999999997</v>
      </c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</row>
    <row r="200" spans="1:24" s="64" customFormat="1" ht="13.5" customHeight="1" x14ac:dyDescent="0.2">
      <c r="A200" s="184"/>
      <c r="B200" s="63"/>
      <c r="C200" s="138" t="s">
        <v>5464</v>
      </c>
      <c r="D200" s="50"/>
      <c r="E200" s="51">
        <v>56.9</v>
      </c>
      <c r="F200" s="13"/>
      <c r="G200" s="182">
        <v>28769.889999999996</v>
      </c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</row>
    <row r="201" spans="1:24" s="64" customFormat="1" ht="13.5" customHeight="1" x14ac:dyDescent="0.2">
      <c r="A201" s="184"/>
      <c r="B201" s="63"/>
      <c r="C201" s="138" t="s">
        <v>5465</v>
      </c>
      <c r="D201" s="50"/>
      <c r="E201" s="51">
        <v>85.89</v>
      </c>
      <c r="F201" s="13"/>
      <c r="G201" s="182">
        <v>28683.999999999996</v>
      </c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</row>
    <row r="202" spans="1:24" s="64" customFormat="1" ht="13.5" customHeight="1" x14ac:dyDescent="0.2">
      <c r="A202" s="184"/>
      <c r="B202" s="63"/>
      <c r="C202" s="32" t="s">
        <v>5466</v>
      </c>
      <c r="D202" s="50"/>
      <c r="E202" s="51">
        <v>144</v>
      </c>
      <c r="F202" s="13"/>
      <c r="G202" s="182">
        <v>28539.999999999996</v>
      </c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</row>
    <row r="203" spans="1:24" s="64" customFormat="1" ht="13.5" customHeight="1" x14ac:dyDescent="0.2">
      <c r="A203" s="184">
        <v>44194</v>
      </c>
      <c r="B203" s="63"/>
      <c r="C203" s="32" t="s">
        <v>5467</v>
      </c>
      <c r="D203" s="50"/>
      <c r="E203" s="51">
        <v>40</v>
      </c>
      <c r="F203" s="13"/>
      <c r="G203" s="205">
        <v>28499.999999999996</v>
      </c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</row>
    <row r="204" spans="1:24" ht="13.5" customHeight="1" thickBot="1" x14ac:dyDescent="0.25">
      <c r="A204" s="180"/>
      <c r="B204" s="56"/>
      <c r="C204" s="56"/>
      <c r="D204" s="11"/>
      <c r="E204" s="653">
        <f>-SUM(E156:E175,E179:E189,E191:E203)</f>
        <v>-28713.87</v>
      </c>
      <c r="F204" s="647">
        <f>SUM(F159:F203)</f>
        <v>18703.87</v>
      </c>
      <c r="G204" s="182"/>
    </row>
    <row r="205" spans="1:24" ht="13.5" customHeight="1" thickBot="1" x14ac:dyDescent="0.25">
      <c r="A205" s="2" t="s">
        <v>2</v>
      </c>
      <c r="B205" s="3"/>
      <c r="C205" s="3" t="s">
        <v>3</v>
      </c>
      <c r="D205" s="3"/>
      <c r="E205" s="3"/>
      <c r="F205" s="3"/>
      <c r="G205" s="5" t="s">
        <v>7</v>
      </c>
    </row>
    <row r="206" spans="1:24" ht="13.5" customHeight="1" x14ac:dyDescent="0.2">
      <c r="A206" s="8">
        <v>44166</v>
      </c>
      <c r="B206" s="70"/>
      <c r="C206" s="10" t="s">
        <v>537</v>
      </c>
      <c r="D206" s="46"/>
      <c r="E206" s="67"/>
      <c r="F206" s="67"/>
      <c r="G206" s="205">
        <v>1891.2700000000002</v>
      </c>
    </row>
    <row r="207" spans="1:24" ht="13.5" customHeight="1" x14ac:dyDescent="0.2">
      <c r="A207" s="171" t="s">
        <v>5468</v>
      </c>
      <c r="B207" s="46"/>
      <c r="C207" s="34" t="s">
        <v>382</v>
      </c>
      <c r="D207" s="46" t="s">
        <v>488</v>
      </c>
      <c r="E207" s="69">
        <v>-117.04</v>
      </c>
      <c r="F207" s="69"/>
      <c r="G207" s="182">
        <v>1774.2300000000002</v>
      </c>
    </row>
    <row r="208" spans="1:24" ht="13.5" customHeight="1" x14ac:dyDescent="0.2">
      <c r="A208" s="171" t="s">
        <v>5469</v>
      </c>
      <c r="B208" s="46"/>
      <c r="C208" s="34" t="s">
        <v>5470</v>
      </c>
      <c r="D208" s="46" t="s">
        <v>5471</v>
      </c>
      <c r="E208" s="69">
        <v>-902.19</v>
      </c>
      <c r="F208" s="69"/>
      <c r="G208" s="182">
        <v>872.04000000000019</v>
      </c>
    </row>
    <row r="209" spans="1:7" ht="13.5" customHeight="1" x14ac:dyDescent="0.2">
      <c r="A209" s="171"/>
      <c r="B209" s="46"/>
      <c r="C209" s="34" t="s">
        <v>5472</v>
      </c>
      <c r="D209" s="46" t="s">
        <v>5473</v>
      </c>
      <c r="E209" s="69">
        <v>-451.1</v>
      </c>
      <c r="F209" s="69"/>
      <c r="G209" s="182">
        <v>420.94000000000017</v>
      </c>
    </row>
    <row r="210" spans="1:7" ht="13.5" customHeight="1" x14ac:dyDescent="0.2">
      <c r="A210" s="180"/>
      <c r="B210" s="46"/>
      <c r="C210" s="36" t="s">
        <v>20</v>
      </c>
      <c r="D210" s="46" t="s">
        <v>488</v>
      </c>
      <c r="E210" s="69"/>
      <c r="F210" s="69">
        <v>0.04</v>
      </c>
      <c r="G210" s="182">
        <v>420.98000000000019</v>
      </c>
    </row>
    <row r="211" spans="1:7" ht="13.5" customHeight="1" x14ac:dyDescent="0.2">
      <c r="A211" s="180" t="s">
        <v>5474</v>
      </c>
      <c r="B211" s="46"/>
      <c r="C211" s="34" t="s">
        <v>62</v>
      </c>
      <c r="D211" s="46" t="s">
        <v>5475</v>
      </c>
      <c r="E211" s="61">
        <v>-443.59</v>
      </c>
      <c r="F211" s="61"/>
      <c r="G211" s="182">
        <v>-22.609999999999786</v>
      </c>
    </row>
    <row r="212" spans="1:7" ht="13.5" customHeight="1" x14ac:dyDescent="0.2">
      <c r="A212" s="180"/>
      <c r="B212" s="46"/>
      <c r="C212" s="36" t="s">
        <v>20</v>
      </c>
      <c r="D212" s="46" t="s">
        <v>488</v>
      </c>
      <c r="E212" s="69"/>
      <c r="F212" s="69">
        <v>0.02</v>
      </c>
      <c r="G212" s="182">
        <v>-22.589999999999787</v>
      </c>
    </row>
    <row r="213" spans="1:7" ht="13.5" customHeight="1" x14ac:dyDescent="0.2">
      <c r="A213" s="180" t="s">
        <v>5476</v>
      </c>
      <c r="B213" s="9"/>
      <c r="C213" s="34" t="s">
        <v>68</v>
      </c>
      <c r="D213" s="46" t="s">
        <v>5477</v>
      </c>
      <c r="E213" s="61">
        <v>-119</v>
      </c>
      <c r="F213" s="61"/>
      <c r="G213" s="182">
        <v>-141.58999999999978</v>
      </c>
    </row>
    <row r="214" spans="1:7" ht="13.5" customHeight="1" x14ac:dyDescent="0.2">
      <c r="A214" s="180"/>
      <c r="B214" s="9"/>
      <c r="C214" s="34" t="s">
        <v>5306</v>
      </c>
      <c r="D214" s="46" t="s">
        <v>5478</v>
      </c>
      <c r="E214" s="61"/>
      <c r="F214" s="600">
        <v>200</v>
      </c>
      <c r="G214" s="182">
        <v>58.410000000000224</v>
      </c>
    </row>
    <row r="215" spans="1:7" ht="13.5" customHeight="1" x14ac:dyDescent="0.2">
      <c r="A215" s="180" t="s">
        <v>5479</v>
      </c>
      <c r="B215" s="9"/>
      <c r="C215" s="34" t="s">
        <v>87</v>
      </c>
      <c r="D215" s="46" t="s">
        <v>488</v>
      </c>
      <c r="E215" s="61">
        <v>-59.06</v>
      </c>
      <c r="F215" s="61"/>
      <c r="G215" s="182">
        <v>-0.64999999999977831</v>
      </c>
    </row>
    <row r="216" spans="1:7" ht="13.5" customHeight="1" x14ac:dyDescent="0.2">
      <c r="A216" s="180"/>
      <c r="B216" s="9"/>
      <c r="C216" s="34" t="s">
        <v>5480</v>
      </c>
      <c r="D216" s="46" t="s">
        <v>5481</v>
      </c>
      <c r="E216" s="61">
        <v>-322.41000000000003</v>
      </c>
      <c r="F216" s="61"/>
      <c r="G216" s="182">
        <v>-323.05999999999983</v>
      </c>
    </row>
    <row r="217" spans="1:7" ht="13.5" customHeight="1" x14ac:dyDescent="0.2">
      <c r="A217" s="180"/>
      <c r="B217" s="9"/>
      <c r="C217" s="34" t="s">
        <v>5482</v>
      </c>
      <c r="D217" s="46" t="s">
        <v>5483</v>
      </c>
      <c r="E217" s="61">
        <v>-667</v>
      </c>
      <c r="F217" s="61"/>
      <c r="G217" s="182">
        <v>-990.05999999999983</v>
      </c>
    </row>
    <row r="218" spans="1:7" ht="13.5" customHeight="1" x14ac:dyDescent="0.2">
      <c r="A218" s="171" t="s">
        <v>5484</v>
      </c>
      <c r="B218" s="46"/>
      <c r="C218" s="34" t="s">
        <v>5485</v>
      </c>
      <c r="D218" s="46" t="s">
        <v>5486</v>
      </c>
      <c r="E218" s="69">
        <v>-150</v>
      </c>
      <c r="F218" s="69"/>
      <c r="G218" s="182">
        <v>-1140.06</v>
      </c>
    </row>
    <row r="219" spans="1:7" ht="13.5" customHeight="1" x14ac:dyDescent="0.2">
      <c r="A219" s="171"/>
      <c r="B219" s="46"/>
      <c r="C219" s="34" t="s">
        <v>5443</v>
      </c>
      <c r="D219" s="46" t="s">
        <v>488</v>
      </c>
      <c r="E219" s="69"/>
      <c r="F219" s="601">
        <v>3000</v>
      </c>
      <c r="G219" s="182">
        <v>1859.94</v>
      </c>
    </row>
    <row r="220" spans="1:7" ht="13.5" customHeight="1" x14ac:dyDescent="0.2">
      <c r="A220" s="171" t="s">
        <v>5487</v>
      </c>
      <c r="B220" s="46"/>
      <c r="C220" s="34" t="s">
        <v>5488</v>
      </c>
      <c r="D220" s="46" t="s">
        <v>5489</v>
      </c>
      <c r="E220" s="69">
        <v>-161.11000000000001</v>
      </c>
      <c r="F220" s="69"/>
      <c r="G220" s="182">
        <v>1698.83</v>
      </c>
    </row>
    <row r="221" spans="1:7" ht="13.5" customHeight="1" x14ac:dyDescent="0.2">
      <c r="A221" s="171"/>
      <c r="B221" s="46"/>
      <c r="C221" s="34" t="s">
        <v>5490</v>
      </c>
      <c r="D221" s="46" t="s">
        <v>5491</v>
      </c>
      <c r="E221" s="69">
        <v>-80.55</v>
      </c>
      <c r="F221" s="69"/>
      <c r="G221" s="182">
        <v>1618.28</v>
      </c>
    </row>
    <row r="222" spans="1:7" ht="13.5" customHeight="1" x14ac:dyDescent="0.2">
      <c r="A222" s="171" t="s">
        <v>5492</v>
      </c>
      <c r="B222" s="46"/>
      <c r="C222" s="34" t="s">
        <v>5242</v>
      </c>
      <c r="D222" s="46" t="s">
        <v>488</v>
      </c>
      <c r="E222" s="69">
        <v>-46.41</v>
      </c>
      <c r="F222" s="69"/>
      <c r="G222" s="182">
        <v>1571.87</v>
      </c>
    </row>
    <row r="223" spans="1:7" ht="13.5" customHeight="1" x14ac:dyDescent="0.2">
      <c r="A223" s="171" t="s">
        <v>5493</v>
      </c>
      <c r="B223" s="46"/>
      <c r="C223" s="34" t="s">
        <v>5494</v>
      </c>
      <c r="D223" s="46" t="s">
        <v>5495</v>
      </c>
      <c r="E223" s="69">
        <v>-238.43</v>
      </c>
      <c r="F223" s="69"/>
      <c r="G223" s="182">
        <v>1333.4399999999998</v>
      </c>
    </row>
    <row r="224" spans="1:7" ht="13.5" customHeight="1" x14ac:dyDescent="0.2">
      <c r="A224" s="171"/>
      <c r="B224" s="46"/>
      <c r="C224" s="34" t="s">
        <v>5496</v>
      </c>
      <c r="D224" s="46" t="s">
        <v>5497</v>
      </c>
      <c r="E224" s="69">
        <v>-94.81</v>
      </c>
      <c r="F224" s="69"/>
      <c r="G224" s="182">
        <v>1238.6299999999999</v>
      </c>
    </row>
    <row r="225" spans="1:8" ht="13.5" customHeight="1" x14ac:dyDescent="0.2">
      <c r="A225" s="171" t="s">
        <v>5498</v>
      </c>
      <c r="B225" s="46"/>
      <c r="C225" s="34" t="s">
        <v>3725</v>
      </c>
      <c r="D225" s="46" t="s">
        <v>488</v>
      </c>
      <c r="E225" s="69"/>
      <c r="F225" s="69">
        <v>280</v>
      </c>
      <c r="G225" s="182">
        <v>1518.6299999999999</v>
      </c>
    </row>
    <row r="226" spans="1:8" ht="13.5" customHeight="1" x14ac:dyDescent="0.2">
      <c r="A226" s="171"/>
      <c r="B226" s="46"/>
      <c r="C226" s="34" t="s">
        <v>134</v>
      </c>
      <c r="D226" s="46" t="s">
        <v>5499</v>
      </c>
      <c r="E226" s="69">
        <v>-119</v>
      </c>
      <c r="F226" s="69"/>
      <c r="G226" s="182">
        <v>1399.6299999999999</v>
      </c>
    </row>
    <row r="227" spans="1:8" ht="13.5" customHeight="1" x14ac:dyDescent="0.2">
      <c r="A227" s="171" t="s">
        <v>5500</v>
      </c>
      <c r="B227" s="46"/>
      <c r="C227" s="33" t="s">
        <v>736</v>
      </c>
      <c r="D227" s="46" t="s">
        <v>488</v>
      </c>
      <c r="E227" s="69">
        <v>-43.32</v>
      </c>
      <c r="F227" s="69"/>
      <c r="G227" s="182">
        <v>1356.31</v>
      </c>
    </row>
    <row r="228" spans="1:8" ht="13.5" customHeight="1" x14ac:dyDescent="0.2">
      <c r="A228" s="171"/>
      <c r="B228" s="46"/>
      <c r="C228" s="36" t="s">
        <v>129</v>
      </c>
      <c r="D228" s="46" t="s">
        <v>488</v>
      </c>
      <c r="E228" s="69">
        <v>-62.2</v>
      </c>
      <c r="F228" s="69"/>
      <c r="G228" s="182">
        <v>1294.1099999999999</v>
      </c>
    </row>
    <row r="229" spans="1:8" ht="13.5" customHeight="1" x14ac:dyDescent="0.2">
      <c r="A229" s="171"/>
      <c r="B229" s="46"/>
      <c r="C229" s="34" t="s">
        <v>130</v>
      </c>
      <c r="D229" s="46" t="s">
        <v>488</v>
      </c>
      <c r="E229" s="69">
        <v>-122.55</v>
      </c>
      <c r="F229" s="69"/>
      <c r="G229" s="182">
        <v>1171.56</v>
      </c>
    </row>
    <row r="230" spans="1:8" ht="13.5" customHeight="1" x14ac:dyDescent="0.2">
      <c r="A230" s="171" t="s">
        <v>5501</v>
      </c>
      <c r="B230" s="46"/>
      <c r="C230" s="34" t="s">
        <v>136</v>
      </c>
      <c r="D230" s="46" t="s">
        <v>488</v>
      </c>
      <c r="E230" s="69">
        <v>-45.9</v>
      </c>
      <c r="F230" s="69"/>
      <c r="G230" s="205">
        <v>1125.6599999999999</v>
      </c>
    </row>
    <row r="231" spans="1:8" ht="13.5" customHeight="1" thickBot="1" x14ac:dyDescent="0.25">
      <c r="A231" s="171"/>
      <c r="B231" s="46"/>
      <c r="C231" s="34"/>
      <c r="D231" s="46"/>
      <c r="E231" s="654">
        <f>SUM(E207:E230)</f>
        <v>-4245.6699999999992</v>
      </c>
      <c r="F231" s="654">
        <f>SUM(F210:F212,F225)</f>
        <v>280.06</v>
      </c>
      <c r="G231" s="182"/>
    </row>
    <row r="232" spans="1:8" ht="13.5" customHeight="1" thickBot="1" x14ac:dyDescent="0.25">
      <c r="A232" s="2" t="s">
        <v>2</v>
      </c>
      <c r="B232" s="3"/>
      <c r="C232" s="3" t="s">
        <v>481</v>
      </c>
      <c r="D232" s="3"/>
      <c r="E232" s="3"/>
      <c r="F232" s="3"/>
      <c r="G232" s="5" t="s">
        <v>7</v>
      </c>
    </row>
    <row r="233" spans="1:8" ht="13.5" customHeight="1" x14ac:dyDescent="0.2">
      <c r="A233" s="8">
        <v>44166</v>
      </c>
      <c r="B233" s="70"/>
      <c r="C233" s="10" t="s">
        <v>537</v>
      </c>
      <c r="D233" s="602"/>
      <c r="E233" s="67"/>
      <c r="F233" s="67"/>
      <c r="G233" s="205">
        <v>7687.58</v>
      </c>
      <c r="H233" s="18">
        <v>7687.58</v>
      </c>
    </row>
    <row r="234" spans="1:8" ht="13.5" customHeight="1" x14ac:dyDescent="0.2">
      <c r="A234" s="171" t="s">
        <v>5502</v>
      </c>
      <c r="B234" s="46" t="s">
        <v>483</v>
      </c>
      <c r="C234" s="34" t="s">
        <v>199</v>
      </c>
      <c r="D234" s="553" t="s">
        <v>488</v>
      </c>
      <c r="E234" s="557">
        <v>-159.91999999999999</v>
      </c>
      <c r="F234" s="69"/>
      <c r="G234" s="182" t="s">
        <v>483</v>
      </c>
      <c r="H234" s="72">
        <v>7527.66</v>
      </c>
    </row>
    <row r="235" spans="1:8" ht="13.5" customHeight="1" x14ac:dyDescent="0.2">
      <c r="A235" s="171"/>
      <c r="B235" s="46" t="s">
        <v>483</v>
      </c>
      <c r="C235" s="34" t="s">
        <v>5503</v>
      </c>
      <c r="D235" s="553" t="s">
        <v>488</v>
      </c>
      <c r="E235" s="557">
        <v>-809.25</v>
      </c>
      <c r="F235" s="69"/>
      <c r="G235" s="182" t="s">
        <v>483</v>
      </c>
      <c r="H235" s="72">
        <v>6718.41</v>
      </c>
    </row>
    <row r="236" spans="1:8" ht="13.5" customHeight="1" x14ac:dyDescent="0.2">
      <c r="A236" s="171"/>
      <c r="B236" s="46" t="s">
        <v>483</v>
      </c>
      <c r="C236" s="34" t="s">
        <v>382</v>
      </c>
      <c r="D236" s="553" t="s">
        <v>488</v>
      </c>
      <c r="E236" s="557">
        <v>-325.20999999999998</v>
      </c>
      <c r="F236" s="69"/>
      <c r="G236" s="182">
        <v>6393.2</v>
      </c>
      <c r="H236" s="72">
        <v>6393.2</v>
      </c>
    </row>
    <row r="237" spans="1:8" ht="13.5" customHeight="1" x14ac:dyDescent="0.2">
      <c r="A237" s="171" t="s">
        <v>5504</v>
      </c>
      <c r="B237" s="46" t="s">
        <v>483</v>
      </c>
      <c r="C237" s="34" t="s">
        <v>4619</v>
      </c>
      <c r="D237" s="553" t="s">
        <v>488</v>
      </c>
      <c r="E237" s="557">
        <v>-600</v>
      </c>
      <c r="F237" s="69"/>
      <c r="G237" s="182" t="s">
        <v>483</v>
      </c>
      <c r="H237" s="72">
        <v>5793.2</v>
      </c>
    </row>
    <row r="238" spans="1:8" ht="13.5" customHeight="1" x14ac:dyDescent="0.2">
      <c r="A238" s="171"/>
      <c r="B238" s="46" t="s">
        <v>483</v>
      </c>
      <c r="C238" s="34" t="s">
        <v>4620</v>
      </c>
      <c r="D238" s="553" t="s">
        <v>488</v>
      </c>
      <c r="E238" s="557">
        <v>-600</v>
      </c>
      <c r="F238" s="69"/>
      <c r="G238" s="182" t="s">
        <v>483</v>
      </c>
      <c r="H238" s="72">
        <v>5193.2</v>
      </c>
    </row>
    <row r="239" spans="1:8" ht="13.5" customHeight="1" x14ac:dyDescent="0.2">
      <c r="A239" s="171"/>
      <c r="B239" s="46" t="s">
        <v>483</v>
      </c>
      <c r="C239" s="34" t="s">
        <v>5078</v>
      </c>
      <c r="D239" s="11" t="s">
        <v>488</v>
      </c>
      <c r="E239" s="557">
        <v>-1000</v>
      </c>
      <c r="F239" s="69"/>
      <c r="G239" s="182" t="s">
        <v>483</v>
      </c>
      <c r="H239" s="72">
        <v>4193.2</v>
      </c>
    </row>
    <row r="240" spans="1:8" ht="13.5" customHeight="1" x14ac:dyDescent="0.2">
      <c r="A240" s="171"/>
      <c r="B240" s="46" t="s">
        <v>483</v>
      </c>
      <c r="C240" s="34" t="s">
        <v>4912</v>
      </c>
      <c r="D240" s="11" t="s">
        <v>5505</v>
      </c>
      <c r="E240" s="557">
        <v>-1076.68</v>
      </c>
      <c r="F240" s="69"/>
      <c r="G240" s="182" t="s">
        <v>483</v>
      </c>
      <c r="H240" s="72">
        <v>3116.5199999999995</v>
      </c>
    </row>
    <row r="241" spans="1:8" ht="13.5" customHeight="1" x14ac:dyDescent="0.2">
      <c r="A241" s="171"/>
      <c r="B241" s="46" t="s">
        <v>483</v>
      </c>
      <c r="C241" s="34" t="s">
        <v>4747</v>
      </c>
      <c r="D241" s="11" t="s">
        <v>5506</v>
      </c>
      <c r="E241" s="557">
        <v>-661.17</v>
      </c>
      <c r="F241" s="69"/>
      <c r="G241" s="182">
        <v>2455.35</v>
      </c>
      <c r="H241" s="72">
        <v>2455.3499999999995</v>
      </c>
    </row>
    <row r="242" spans="1:8" ht="13.5" customHeight="1" x14ac:dyDescent="0.2">
      <c r="A242" s="171" t="s">
        <v>5507</v>
      </c>
      <c r="B242" s="46" t="s">
        <v>483</v>
      </c>
      <c r="C242" s="34" t="s">
        <v>180</v>
      </c>
      <c r="D242" s="11" t="s">
        <v>488</v>
      </c>
      <c r="E242" s="557">
        <v>-257.73</v>
      </c>
      <c r="F242" s="69"/>
      <c r="G242" s="182">
        <v>2197.62</v>
      </c>
      <c r="H242" s="72">
        <v>2197.6199999999994</v>
      </c>
    </row>
    <row r="243" spans="1:8" ht="13.5" customHeight="1" x14ac:dyDescent="0.2">
      <c r="A243" s="171" t="s">
        <v>5508</v>
      </c>
      <c r="B243" s="46" t="s">
        <v>483</v>
      </c>
      <c r="C243" s="34" t="s">
        <v>5509</v>
      </c>
      <c r="D243" s="11" t="s">
        <v>488</v>
      </c>
      <c r="E243" s="69"/>
      <c r="F243" s="557">
        <v>4731.47</v>
      </c>
      <c r="G243" s="182">
        <v>6929.09</v>
      </c>
      <c r="H243" s="72">
        <v>6929.09</v>
      </c>
    </row>
    <row r="244" spans="1:8" ht="13.5" customHeight="1" x14ac:dyDescent="0.2">
      <c r="A244" s="171" t="s">
        <v>5510</v>
      </c>
      <c r="B244" s="46" t="s">
        <v>483</v>
      </c>
      <c r="C244" s="34" t="s">
        <v>5511</v>
      </c>
      <c r="D244" s="11" t="s">
        <v>488</v>
      </c>
      <c r="E244" s="557">
        <v>-226.07</v>
      </c>
      <c r="F244" s="69"/>
      <c r="G244" s="182">
        <v>6703.02</v>
      </c>
      <c r="H244" s="72">
        <v>6703.02</v>
      </c>
    </row>
    <row r="245" spans="1:8" ht="13.5" customHeight="1" x14ac:dyDescent="0.2">
      <c r="A245" s="171" t="s">
        <v>5512</v>
      </c>
      <c r="B245" s="46" t="s">
        <v>483</v>
      </c>
      <c r="C245" s="34" t="s">
        <v>5513</v>
      </c>
      <c r="D245" s="11" t="s">
        <v>5514</v>
      </c>
      <c r="E245" s="557">
        <v>-789</v>
      </c>
      <c r="F245" s="69" t="s">
        <v>483</v>
      </c>
      <c r="G245" s="182"/>
      <c r="H245" s="72">
        <v>5914.02</v>
      </c>
    </row>
    <row r="246" spans="1:8" ht="13.5" customHeight="1" x14ac:dyDescent="0.2">
      <c r="A246" s="171"/>
      <c r="B246" s="46" t="s">
        <v>483</v>
      </c>
      <c r="C246" s="34" t="s">
        <v>5515</v>
      </c>
      <c r="D246" s="11" t="s">
        <v>5516</v>
      </c>
      <c r="E246" s="557">
        <v>-789</v>
      </c>
      <c r="F246" s="69"/>
      <c r="G246" s="182">
        <v>5125.0200000000004</v>
      </c>
      <c r="H246" s="72">
        <v>5125.0200000000004</v>
      </c>
    </row>
    <row r="247" spans="1:8" ht="13.5" customHeight="1" x14ac:dyDescent="0.2">
      <c r="A247" s="171"/>
      <c r="B247" s="46" t="s">
        <v>483</v>
      </c>
      <c r="C247" s="34" t="s">
        <v>5517</v>
      </c>
      <c r="D247" s="11" t="s">
        <v>5518</v>
      </c>
      <c r="E247" s="557">
        <v>-185</v>
      </c>
      <c r="F247" s="69"/>
      <c r="G247" s="182">
        <v>4940.0200000000004</v>
      </c>
      <c r="H247" s="72">
        <v>4940.0200000000004</v>
      </c>
    </row>
    <row r="248" spans="1:8" ht="13.5" customHeight="1" x14ac:dyDescent="0.2">
      <c r="A248" s="171" t="s">
        <v>5519</v>
      </c>
      <c r="B248" s="46" t="s">
        <v>483</v>
      </c>
      <c r="C248" s="34" t="s">
        <v>4636</v>
      </c>
      <c r="D248" s="11" t="s">
        <v>5520</v>
      </c>
      <c r="E248" s="557">
        <v>-433.84</v>
      </c>
      <c r="F248" s="69"/>
      <c r="G248" s="182" t="s">
        <v>483</v>
      </c>
      <c r="H248" s="72">
        <v>4506.18</v>
      </c>
    </row>
    <row r="249" spans="1:8" ht="13.5" customHeight="1" x14ac:dyDescent="0.2">
      <c r="A249" s="171"/>
      <c r="B249" s="46" t="s">
        <v>483</v>
      </c>
      <c r="C249" s="36" t="s">
        <v>5521</v>
      </c>
      <c r="D249" s="11" t="s">
        <v>5522</v>
      </c>
      <c r="E249" s="557">
        <v>-460.37</v>
      </c>
      <c r="F249" s="69"/>
      <c r="G249" s="182" t="s">
        <v>483</v>
      </c>
      <c r="H249" s="72">
        <v>4045.8100000000004</v>
      </c>
    </row>
    <row r="250" spans="1:8" ht="13.5" customHeight="1" x14ac:dyDescent="0.2">
      <c r="A250" s="171"/>
      <c r="B250" s="46" t="s">
        <v>483</v>
      </c>
      <c r="C250" s="36" t="s">
        <v>5523</v>
      </c>
      <c r="D250" s="11" t="s">
        <v>5524</v>
      </c>
      <c r="E250" s="557">
        <v>-836</v>
      </c>
      <c r="F250" s="69"/>
      <c r="G250" s="182" t="s">
        <v>483</v>
      </c>
      <c r="H250" s="72">
        <v>3209.8100000000004</v>
      </c>
    </row>
    <row r="251" spans="1:8" ht="13.5" customHeight="1" x14ac:dyDescent="0.2">
      <c r="A251" s="171"/>
      <c r="B251" s="46" t="s">
        <v>483</v>
      </c>
      <c r="C251" s="34" t="s">
        <v>5525</v>
      </c>
      <c r="D251" s="11" t="s">
        <v>5526</v>
      </c>
      <c r="E251" s="557">
        <v>-457.19</v>
      </c>
      <c r="F251" s="69"/>
      <c r="G251" s="182">
        <v>2752.62</v>
      </c>
      <c r="H251" s="72">
        <v>2752.6200000000003</v>
      </c>
    </row>
    <row r="252" spans="1:8" ht="13.5" customHeight="1" x14ac:dyDescent="0.2">
      <c r="A252" s="171" t="s">
        <v>5527</v>
      </c>
      <c r="B252" s="46" t="s">
        <v>483</v>
      </c>
      <c r="C252" s="34" t="s">
        <v>4631</v>
      </c>
      <c r="D252" s="11" t="s">
        <v>5528</v>
      </c>
      <c r="E252" s="557">
        <v>-1331.82</v>
      </c>
      <c r="F252" s="69"/>
      <c r="G252" s="182" t="s">
        <v>483</v>
      </c>
      <c r="H252" s="72">
        <v>1420.8000000000004</v>
      </c>
    </row>
    <row r="253" spans="1:8" ht="13.5" customHeight="1" x14ac:dyDescent="0.2">
      <c r="A253" s="171"/>
      <c r="B253" s="46" t="s">
        <v>483</v>
      </c>
      <c r="C253" s="34" t="s">
        <v>5529</v>
      </c>
      <c r="D253" s="11" t="s">
        <v>5530</v>
      </c>
      <c r="E253" s="557">
        <v>-671.29</v>
      </c>
      <c r="F253" s="69"/>
      <c r="G253" s="182" t="s">
        <v>483</v>
      </c>
      <c r="H253" s="72">
        <v>749.51000000000045</v>
      </c>
    </row>
    <row r="254" spans="1:8" ht="13.5" customHeight="1" x14ac:dyDescent="0.2">
      <c r="A254" s="171"/>
      <c r="B254" s="46" t="s">
        <v>483</v>
      </c>
      <c r="C254" s="34" t="s">
        <v>5531</v>
      </c>
      <c r="D254" s="11" t="s">
        <v>5532</v>
      </c>
      <c r="E254" s="557">
        <v>-119.9</v>
      </c>
      <c r="F254" s="69"/>
      <c r="G254" s="182" t="s">
        <v>483</v>
      </c>
      <c r="H254" s="72">
        <v>629.61000000000047</v>
      </c>
    </row>
    <row r="255" spans="1:8" ht="13.5" customHeight="1" x14ac:dyDescent="0.2">
      <c r="A255" s="171"/>
      <c r="B255" s="46" t="s">
        <v>591</v>
      </c>
      <c r="C255" s="36" t="s">
        <v>5328</v>
      </c>
      <c r="D255" s="11" t="s">
        <v>5533</v>
      </c>
      <c r="E255" s="557"/>
      <c r="F255" s="322">
        <v>8275</v>
      </c>
      <c r="G255" s="182">
        <v>8904.61</v>
      </c>
      <c r="H255" s="72">
        <v>8904.61</v>
      </c>
    </row>
    <row r="256" spans="1:8" ht="13.5" customHeight="1" x14ac:dyDescent="0.2">
      <c r="A256" s="171" t="s">
        <v>5534</v>
      </c>
      <c r="B256" s="46" t="s">
        <v>483</v>
      </c>
      <c r="C256" s="34" t="s">
        <v>86</v>
      </c>
      <c r="D256" s="11" t="s">
        <v>488</v>
      </c>
      <c r="E256" s="557">
        <v>-109</v>
      </c>
      <c r="F256" s="69"/>
      <c r="G256" s="182">
        <v>8795.61</v>
      </c>
      <c r="H256" s="72">
        <v>8795.61</v>
      </c>
    </row>
    <row r="257" spans="1:9" ht="13.5" customHeight="1" x14ac:dyDescent="0.2">
      <c r="A257" s="171" t="s">
        <v>5535</v>
      </c>
      <c r="B257" s="46" t="s">
        <v>483</v>
      </c>
      <c r="C257" s="34" t="s">
        <v>194</v>
      </c>
      <c r="D257" s="11" t="s">
        <v>5536</v>
      </c>
      <c r="E257" s="557">
        <v>-86.16</v>
      </c>
      <c r="F257" s="69" t="s">
        <v>483</v>
      </c>
      <c r="G257" s="182"/>
      <c r="H257" s="72">
        <v>8709.4500000000007</v>
      </c>
    </row>
    <row r="258" spans="1:9" ht="13.5" customHeight="1" x14ac:dyDescent="0.2">
      <c r="A258" s="171"/>
      <c r="B258" s="46" t="s">
        <v>483</v>
      </c>
      <c r="C258" s="34" t="s">
        <v>195</v>
      </c>
      <c r="D258" s="11" t="s">
        <v>5537</v>
      </c>
      <c r="E258" s="557">
        <v>-397.67</v>
      </c>
      <c r="F258" s="69"/>
      <c r="G258" s="182">
        <v>8311.7800000000007</v>
      </c>
      <c r="H258" s="72">
        <v>8311.7800000000007</v>
      </c>
    </row>
    <row r="259" spans="1:9" ht="13.5" customHeight="1" x14ac:dyDescent="0.2">
      <c r="A259" s="171" t="s">
        <v>5538</v>
      </c>
      <c r="B259" s="46" t="s">
        <v>483</v>
      </c>
      <c r="C259" s="34" t="s">
        <v>86</v>
      </c>
      <c r="D259" s="11" t="s">
        <v>488</v>
      </c>
      <c r="E259" s="557">
        <v>-13</v>
      </c>
      <c r="F259" s="69"/>
      <c r="G259" s="182" t="s">
        <v>483</v>
      </c>
      <c r="H259" s="72">
        <v>8298.7800000000007</v>
      </c>
    </row>
    <row r="260" spans="1:9" ht="13.5" customHeight="1" x14ac:dyDescent="0.2">
      <c r="A260" s="171"/>
      <c r="B260" s="46" t="s">
        <v>483</v>
      </c>
      <c r="C260" s="34" t="s">
        <v>5539</v>
      </c>
      <c r="D260" s="11" t="s">
        <v>5540</v>
      </c>
      <c r="E260" s="557">
        <v>-2016.92</v>
      </c>
      <c r="F260" s="69"/>
      <c r="G260" s="182">
        <v>6281.86</v>
      </c>
      <c r="H260" s="72">
        <v>6281.8600000000006</v>
      </c>
    </row>
    <row r="261" spans="1:9" ht="13.5" customHeight="1" x14ac:dyDescent="0.2">
      <c r="A261" s="171" t="s">
        <v>5541</v>
      </c>
      <c r="B261" s="46" t="s">
        <v>483</v>
      </c>
      <c r="C261" s="34" t="s">
        <v>813</v>
      </c>
      <c r="D261" s="11" t="s">
        <v>5542</v>
      </c>
      <c r="E261" s="557">
        <v>-62.5</v>
      </c>
      <c r="F261" s="69"/>
      <c r="G261" s="205">
        <v>6219.36</v>
      </c>
      <c r="H261" s="72">
        <v>6219.3600000000006</v>
      </c>
    </row>
    <row r="262" spans="1:9" ht="13.5" customHeight="1" thickBot="1" x14ac:dyDescent="0.25">
      <c r="A262" s="171"/>
      <c r="B262" s="46"/>
      <c r="C262" s="34"/>
      <c r="D262" s="11"/>
      <c r="E262" s="654">
        <f>SUM(E234:E261)</f>
        <v>-14474.69</v>
      </c>
      <c r="F262" s="654">
        <f>SUM(F243)</f>
        <v>4731.47</v>
      </c>
      <c r="G262" s="182"/>
    </row>
    <row r="263" spans="1:9" ht="13.5" customHeight="1" thickBot="1" x14ac:dyDescent="0.25">
      <c r="A263" s="2" t="s">
        <v>2</v>
      </c>
      <c r="B263" s="3"/>
      <c r="C263" s="3" t="s">
        <v>525</v>
      </c>
      <c r="D263" s="3"/>
      <c r="E263" s="3"/>
      <c r="F263" s="3"/>
      <c r="G263" s="5" t="s">
        <v>7</v>
      </c>
    </row>
    <row r="264" spans="1:9" ht="13.5" customHeight="1" x14ac:dyDescent="0.2">
      <c r="A264" s="8">
        <v>44166</v>
      </c>
      <c r="B264" s="70"/>
      <c r="C264" s="10" t="s">
        <v>537</v>
      </c>
      <c r="D264" s="125"/>
      <c r="E264" s="67"/>
      <c r="F264" s="67"/>
      <c r="G264" s="205">
        <v>10202.829999999998</v>
      </c>
    </row>
    <row r="265" spans="1:9" ht="13.5" customHeight="1" x14ac:dyDescent="0.2">
      <c r="A265" s="180">
        <v>44532</v>
      </c>
      <c r="B265" s="221"/>
      <c r="C265" s="36" t="s">
        <v>613</v>
      </c>
      <c r="D265" s="125"/>
      <c r="E265" s="559">
        <v>36.5</v>
      </c>
      <c r="F265" s="67"/>
      <c r="G265" s="203">
        <v>10166.329999999998</v>
      </c>
    </row>
    <row r="266" spans="1:9" ht="13.5" customHeight="1" x14ac:dyDescent="0.2">
      <c r="A266" s="171">
        <v>44174</v>
      </c>
      <c r="B266" s="46"/>
      <c r="C266" s="36" t="s">
        <v>530</v>
      </c>
      <c r="D266" s="11"/>
      <c r="E266" s="181">
        <v>930.05</v>
      </c>
      <c r="F266" s="69"/>
      <c r="G266" s="203">
        <v>9236.2799999999988</v>
      </c>
    </row>
    <row r="267" spans="1:9" ht="13.5" customHeight="1" x14ac:dyDescent="0.2">
      <c r="A267" s="171">
        <v>44553</v>
      </c>
      <c r="B267" s="46"/>
      <c r="C267" s="34" t="s">
        <v>613</v>
      </c>
      <c r="D267" s="229"/>
      <c r="E267" s="557">
        <v>49.8</v>
      </c>
      <c r="F267" s="69"/>
      <c r="G267" s="203">
        <v>9186.48</v>
      </c>
      <c r="H267" s="653">
        <f>SUM(G3,G155,G206,G233,)</f>
        <v>57147.240000000013</v>
      </c>
      <c r="I267" s="33" t="s">
        <v>1798</v>
      </c>
    </row>
    <row r="268" spans="1:9" ht="13.5" customHeight="1" x14ac:dyDescent="0.2">
      <c r="A268" s="171"/>
      <c r="B268" s="46"/>
      <c r="C268" s="34" t="s">
        <v>613</v>
      </c>
      <c r="D268" s="229"/>
      <c r="E268" s="557">
        <v>59.7</v>
      </c>
      <c r="F268" s="69"/>
      <c r="G268" s="203">
        <v>9126.7799999999988</v>
      </c>
    </row>
    <row r="269" spans="1:9" ht="13.5" customHeight="1" x14ac:dyDescent="0.2">
      <c r="A269" s="180"/>
      <c r="B269" s="46"/>
      <c r="C269" s="34" t="s">
        <v>613</v>
      </c>
      <c r="D269" s="229"/>
      <c r="E269" s="557">
        <v>17</v>
      </c>
      <c r="F269" s="69"/>
      <c r="G269" s="203">
        <v>9109.7799999999988</v>
      </c>
      <c r="H269" s="30">
        <f>G152</f>
        <v>1257.5600000000131</v>
      </c>
      <c r="I269" s="33" t="s">
        <v>1799</v>
      </c>
    </row>
    <row r="270" spans="1:9" ht="13.5" customHeight="1" x14ac:dyDescent="0.2">
      <c r="A270" s="180">
        <v>44559</v>
      </c>
      <c r="B270" s="46"/>
      <c r="C270" s="34" t="s">
        <v>613</v>
      </c>
      <c r="D270" s="230"/>
      <c r="E270" s="559">
        <v>7.4</v>
      </c>
      <c r="F270" s="61"/>
      <c r="G270" s="205">
        <v>9102.3799999999992</v>
      </c>
    </row>
    <row r="271" spans="1:9" ht="13.5" customHeight="1" thickBot="1" x14ac:dyDescent="0.25">
      <c r="A271" s="180"/>
      <c r="B271" s="46"/>
      <c r="C271" s="34"/>
      <c r="D271" s="229"/>
      <c r="E271" s="69"/>
      <c r="F271" s="69"/>
      <c r="G271" s="182"/>
      <c r="H271" s="30">
        <f>SUM(G203,G230,G261)</f>
        <v>35845.019999999997</v>
      </c>
      <c r="I271" s="33" t="s">
        <v>1797</v>
      </c>
    </row>
    <row r="272" spans="1:9" ht="13.5" customHeight="1" thickBot="1" x14ac:dyDescent="0.25">
      <c r="A272" s="561" t="s">
        <v>2</v>
      </c>
      <c r="B272" s="562"/>
      <c r="C272" s="562" t="s">
        <v>534</v>
      </c>
      <c r="D272" s="563" t="s">
        <v>4</v>
      </c>
      <c r="E272" s="562" t="s">
        <v>5</v>
      </c>
      <c r="F272" s="562" t="s">
        <v>6</v>
      </c>
      <c r="G272" s="564" t="s">
        <v>7</v>
      </c>
    </row>
    <row r="273" spans="1:9" ht="13.5" customHeight="1" x14ac:dyDescent="0.2">
      <c r="A273" s="568">
        <v>44448</v>
      </c>
      <c r="B273" s="569"/>
      <c r="C273" s="570" t="s">
        <v>8</v>
      </c>
      <c r="D273" s="571"/>
      <c r="E273" s="572"/>
      <c r="F273" s="573"/>
      <c r="G273" s="574">
        <v>51200</v>
      </c>
      <c r="H273" s="30">
        <f>SUM(F262,E262,F231,E231,F204,E204,F153,E153,)</f>
        <v>-20044.659999999996</v>
      </c>
      <c r="I273" s="33" t="s">
        <v>3517</v>
      </c>
    </row>
    <row r="274" spans="1:9" ht="13.5" customHeight="1" x14ac:dyDescent="0.2">
      <c r="A274" s="180">
        <v>44475</v>
      </c>
      <c r="B274" s="70"/>
      <c r="C274" s="32" t="s">
        <v>3758</v>
      </c>
      <c r="D274" s="50"/>
      <c r="E274" s="13"/>
      <c r="F274" s="183">
        <v>1000</v>
      </c>
      <c r="G274" s="205">
        <v>52200</v>
      </c>
    </row>
    <row r="275" spans="1:9" ht="13.5" customHeight="1" x14ac:dyDescent="0.2">
      <c r="A275" s="754"/>
      <c r="B275" s="755"/>
      <c r="C275" s="347"/>
      <c r="D275" s="348"/>
      <c r="E275" s="350"/>
      <c r="F275" s="756"/>
      <c r="G275" s="757"/>
    </row>
    <row r="276" spans="1:9" ht="13.5" customHeight="1" x14ac:dyDescent="0.2">
      <c r="A276" s="180"/>
      <c r="B276" s="9"/>
      <c r="C276" s="34"/>
      <c r="D276" s="230"/>
      <c r="E276" s="61"/>
      <c r="F276" s="61"/>
      <c r="G276" s="182"/>
    </row>
    <row r="277" spans="1:9" ht="13.5" customHeight="1" x14ac:dyDescent="0.2">
      <c r="A277" s="180"/>
      <c r="B277" s="46"/>
      <c r="C277" s="34"/>
      <c r="D277" s="229"/>
      <c r="E277" s="69"/>
      <c r="F277" s="69"/>
      <c r="G277" s="182"/>
      <c r="H277" s="30">
        <f>SUM(H267+H273-H269-H271)</f>
        <v>7.2759576141834259E-12</v>
      </c>
    </row>
    <row r="278" spans="1:9" ht="13.5" customHeight="1" x14ac:dyDescent="0.2">
      <c r="A278" s="180"/>
      <c r="B278" s="46"/>
      <c r="C278" s="34"/>
      <c r="D278" s="229"/>
      <c r="E278" s="69"/>
      <c r="F278" s="69"/>
      <c r="G278" s="182"/>
    </row>
    <row r="279" spans="1:9" ht="13.5" customHeight="1" x14ac:dyDescent="0.2">
      <c r="A279" s="180"/>
      <c r="B279" s="46"/>
      <c r="C279" s="34"/>
      <c r="D279" s="229"/>
      <c r="E279" s="69"/>
      <c r="F279" s="69"/>
      <c r="G279" s="182"/>
    </row>
    <row r="280" spans="1:9" ht="13.5" customHeight="1" x14ac:dyDescent="0.2">
      <c r="A280" s="171"/>
      <c r="B280" s="46"/>
      <c r="C280" s="34"/>
      <c r="D280" s="229"/>
      <c r="E280" s="69"/>
      <c r="F280" s="69"/>
      <c r="G280" s="182"/>
    </row>
    <row r="281" spans="1:9" ht="13.5" customHeight="1" x14ac:dyDescent="0.2">
      <c r="A281" s="171"/>
      <c r="B281" s="46"/>
      <c r="C281" s="34"/>
      <c r="D281" s="229"/>
      <c r="E281" s="69"/>
      <c r="F281" s="69"/>
      <c r="G281" s="182"/>
    </row>
    <row r="282" spans="1:9" ht="13.5" customHeight="1" x14ac:dyDescent="0.2">
      <c r="A282" s="79"/>
      <c r="B282" s="79"/>
      <c r="C282" s="78"/>
      <c r="D282" s="78"/>
      <c r="E282" s="78"/>
      <c r="F282" s="78"/>
      <c r="G282" s="182"/>
    </row>
    <row r="283" spans="1:9" ht="13.5" customHeight="1" x14ac:dyDescent="0.2">
      <c r="A283" s="79"/>
      <c r="B283" s="79"/>
      <c r="C283" s="78"/>
      <c r="D283" s="78"/>
      <c r="E283" s="78"/>
      <c r="F283" s="78"/>
      <c r="G283" s="182"/>
    </row>
    <row r="284" spans="1:9" ht="13.5" customHeight="1" x14ac:dyDescent="0.2">
      <c r="A284" s="79"/>
      <c r="B284" s="79"/>
      <c r="C284" s="78"/>
      <c r="D284" s="78"/>
      <c r="E284" s="13"/>
      <c r="F284" s="13"/>
      <c r="G284" s="182"/>
    </row>
    <row r="285" spans="1:9" ht="13.5" customHeight="1" x14ac:dyDescent="0.2">
      <c r="A285" s="74"/>
      <c r="B285" s="80"/>
      <c r="C285" s="81"/>
      <c r="D285" s="50"/>
      <c r="E285" s="13"/>
      <c r="F285" s="13"/>
      <c r="G285" s="182"/>
    </row>
    <row r="286" spans="1:9" ht="13.5" customHeight="1" x14ac:dyDescent="0.2">
      <c r="A286" s="79"/>
      <c r="B286" s="79"/>
      <c r="C286" s="78"/>
      <c r="D286" s="78"/>
      <c r="E286" s="13"/>
      <c r="F286" s="13"/>
      <c r="G286" s="182"/>
    </row>
    <row r="287" spans="1:9" ht="13.5" customHeight="1" x14ac:dyDescent="0.2">
      <c r="A287" s="79"/>
      <c r="B287" s="79"/>
      <c r="C287" s="78"/>
      <c r="D287" s="78"/>
      <c r="E287" s="13"/>
      <c r="F287" s="13"/>
      <c r="G287" s="182"/>
    </row>
    <row r="288" spans="1:9" ht="13.5" customHeight="1" x14ac:dyDescent="0.2">
      <c r="A288" s="79"/>
      <c r="B288" s="79"/>
      <c r="C288" s="78"/>
      <c r="D288" s="78"/>
      <c r="E288" s="78"/>
      <c r="F288" s="78"/>
      <c r="G288" s="182"/>
    </row>
    <row r="289" spans="1:7" ht="13.5" customHeight="1" x14ac:dyDescent="0.2">
      <c r="A289" s="79"/>
      <c r="B289" s="79"/>
      <c r="C289" s="78"/>
      <c r="D289" s="78"/>
      <c r="E289" s="78"/>
      <c r="F289" s="78"/>
      <c r="G289" s="182"/>
    </row>
    <row r="290" spans="1:7" ht="13.5" customHeight="1" x14ac:dyDescent="0.2">
      <c r="A290" s="79"/>
      <c r="B290" s="79"/>
      <c r="C290" s="78"/>
      <c r="D290" s="78"/>
      <c r="E290" s="78"/>
      <c r="F290" s="78"/>
      <c r="G290" s="182"/>
    </row>
    <row r="291" spans="1:7" ht="13.5" customHeight="1" x14ac:dyDescent="0.2">
      <c r="A291" s="79"/>
      <c r="B291" s="79"/>
      <c r="C291" s="78"/>
      <c r="D291" s="78"/>
      <c r="E291" s="78"/>
      <c r="F291" s="78"/>
      <c r="G291" s="182"/>
    </row>
    <row r="292" spans="1:7" ht="13.5" customHeight="1" x14ac:dyDescent="0.2">
      <c r="A292" s="79"/>
      <c r="B292" s="79"/>
      <c r="C292" s="78"/>
      <c r="D292" s="78"/>
      <c r="E292" s="78"/>
      <c r="F292" s="78"/>
      <c r="G292" s="182"/>
    </row>
    <row r="293" spans="1:7" ht="13.5" customHeight="1" x14ac:dyDescent="0.2">
      <c r="A293" s="79"/>
      <c r="B293" s="79"/>
      <c r="C293" s="78"/>
      <c r="D293" s="78"/>
      <c r="E293" s="78"/>
      <c r="F293" s="78"/>
      <c r="G293" s="182"/>
    </row>
    <row r="294" spans="1:7" ht="13.5" customHeight="1" x14ac:dyDescent="0.2">
      <c r="A294" s="70"/>
      <c r="B294" s="70"/>
      <c r="C294" s="63"/>
      <c r="D294" s="50"/>
      <c r="E294" s="13"/>
      <c r="F294" s="13"/>
      <c r="G294" s="182"/>
    </row>
    <row r="295" spans="1:7" ht="13.5" customHeight="1" x14ac:dyDescent="0.2">
      <c r="A295" s="70"/>
      <c r="B295" s="70"/>
      <c r="C295" s="63"/>
      <c r="D295" s="50"/>
      <c r="E295" s="13"/>
      <c r="F295" s="13"/>
      <c r="G295" s="182"/>
    </row>
    <row r="296" spans="1:7" ht="13.5" customHeight="1" x14ac:dyDescent="0.2">
      <c r="A296" s="70"/>
      <c r="B296" s="70"/>
      <c r="C296" s="63"/>
      <c r="D296" s="50"/>
      <c r="E296" s="13"/>
      <c r="F296" s="13"/>
      <c r="G296" s="182"/>
    </row>
    <row r="297" spans="1:7" ht="13.5" customHeight="1" x14ac:dyDescent="0.2">
      <c r="A297" s="70"/>
      <c r="B297" s="70"/>
      <c r="C297" s="63"/>
      <c r="D297" s="50"/>
      <c r="E297" s="13"/>
      <c r="F297" s="13"/>
      <c r="G297" s="182"/>
    </row>
    <row r="298" spans="1:7" ht="13.5" customHeight="1" thickBot="1" x14ac:dyDescent="0.25">
      <c r="A298" s="70"/>
      <c r="B298" s="70"/>
      <c r="C298" s="63"/>
      <c r="D298" s="50"/>
      <c r="E298" s="13"/>
      <c r="F298" s="13"/>
      <c r="G298" s="182"/>
    </row>
    <row r="299" spans="1:7" ht="13.5" customHeight="1" thickBot="1" x14ac:dyDescent="0.25">
      <c r="A299" s="213"/>
      <c r="B299" s="214"/>
      <c r="C299" s="215" t="s">
        <v>539</v>
      </c>
      <c r="D299" s="216"/>
      <c r="E299" s="187"/>
      <c r="F299" s="187"/>
      <c r="G299" s="217" t="s">
        <v>7</v>
      </c>
    </row>
    <row r="300" spans="1:7" ht="13.5" customHeight="1" x14ac:dyDescent="0.2">
      <c r="A300" s="74" t="s">
        <v>540</v>
      </c>
      <c r="B300" s="74"/>
      <c r="C300" s="218" t="s">
        <v>541</v>
      </c>
      <c r="D300" s="219"/>
      <c r="E300" s="220"/>
      <c r="F300" s="220"/>
      <c r="G300" s="75">
        <v>0</v>
      </c>
    </row>
    <row r="301" spans="1:7" ht="13.5" customHeight="1" x14ac:dyDescent="0.2">
      <c r="A301" s="221" t="s">
        <v>540</v>
      </c>
      <c r="B301" s="70"/>
      <c r="C301" s="63" t="s">
        <v>542</v>
      </c>
      <c r="D301" s="50"/>
      <c r="E301" s="13"/>
      <c r="F301" s="13"/>
      <c r="G301" s="75">
        <v>0</v>
      </c>
    </row>
    <row r="302" spans="1:7" ht="13.5" customHeight="1" x14ac:dyDescent="0.2">
      <c r="A302" s="70"/>
      <c r="B302" s="70"/>
      <c r="C302" s="222" t="s">
        <v>543</v>
      </c>
      <c r="D302" s="50"/>
      <c r="E302" s="13"/>
      <c r="F302" s="13"/>
      <c r="G302" s="14">
        <v>0</v>
      </c>
    </row>
    <row r="303" spans="1:7" ht="13.5" customHeight="1" x14ac:dyDescent="0.2">
      <c r="A303" s="70"/>
      <c r="B303" s="70"/>
      <c r="C303" s="63"/>
      <c r="D303" s="50"/>
      <c r="E303" s="13"/>
      <c r="F303" s="13"/>
      <c r="G303" s="14"/>
    </row>
    <row r="304" spans="1:7" ht="13.5" customHeight="1" x14ac:dyDescent="0.2">
      <c r="A304" s="70"/>
      <c r="B304" s="70"/>
      <c r="C304" s="222" t="s">
        <v>544</v>
      </c>
      <c r="D304" s="50"/>
      <c r="E304" s="13"/>
      <c r="F304" s="13"/>
      <c r="G304" s="14">
        <v>0</v>
      </c>
    </row>
    <row r="305" spans="1:7" ht="13.5" customHeight="1" x14ac:dyDescent="0.2">
      <c r="A305" s="70"/>
      <c r="B305" s="70"/>
      <c r="C305" s="63"/>
      <c r="D305" s="50"/>
      <c r="E305" s="13"/>
      <c r="F305" s="13"/>
      <c r="G305" s="75"/>
    </row>
    <row r="306" spans="1:7" ht="13.5" customHeight="1" x14ac:dyDescent="0.2">
      <c r="A306" s="76"/>
      <c r="B306" s="76"/>
      <c r="C306" s="222" t="s">
        <v>545</v>
      </c>
      <c r="D306" s="78"/>
      <c r="E306" s="78"/>
      <c r="F306" s="78"/>
      <c r="G306" s="14">
        <v>0</v>
      </c>
    </row>
    <row r="307" spans="1:7" ht="13.5" customHeight="1" x14ac:dyDescent="0.2">
      <c r="A307" s="76"/>
      <c r="B307" s="76"/>
      <c r="C307" s="78"/>
      <c r="D307" s="78"/>
      <c r="E307" s="78"/>
      <c r="F307" s="78"/>
      <c r="G307" s="75"/>
    </row>
    <row r="308" spans="1:7" ht="13.5" customHeight="1" x14ac:dyDescent="0.2">
      <c r="A308" s="70"/>
      <c r="B308" s="70"/>
      <c r="C308" s="63"/>
      <c r="D308" s="50"/>
      <c r="E308" s="13"/>
      <c r="F308" s="13"/>
      <c r="G308" s="75"/>
    </row>
    <row r="309" spans="1:7" ht="13.5" customHeight="1" x14ac:dyDescent="0.2">
      <c r="A309" s="70"/>
      <c r="B309" s="70"/>
      <c r="C309" s="63"/>
      <c r="D309" s="50"/>
      <c r="E309" s="13"/>
      <c r="F309" s="13"/>
      <c r="G309" s="182"/>
    </row>
    <row r="310" spans="1:7" ht="13.5" customHeight="1" x14ac:dyDescent="0.2">
      <c r="A310" s="70"/>
      <c r="B310" s="70"/>
      <c r="C310" s="63"/>
      <c r="D310" s="50"/>
      <c r="E310" s="13"/>
      <c r="F310" s="13"/>
      <c r="G310" s="182"/>
    </row>
    <row r="311" spans="1:7" ht="13.5" customHeight="1" x14ac:dyDescent="0.2">
      <c r="A311" s="70"/>
      <c r="B311" s="70"/>
      <c r="C311" s="63"/>
      <c r="D311" s="50"/>
      <c r="E311" s="13"/>
      <c r="F311" s="13"/>
      <c r="G311" s="182"/>
    </row>
    <row r="312" spans="1:7" ht="13.5" customHeight="1" x14ac:dyDescent="0.2">
      <c r="A312" s="70"/>
      <c r="B312" s="70"/>
      <c r="C312" s="63"/>
      <c r="D312" s="50"/>
      <c r="E312" s="13"/>
      <c r="F312" s="13"/>
      <c r="G312" s="182"/>
    </row>
    <row r="313" spans="1:7" ht="13.5" customHeight="1" x14ac:dyDescent="0.2">
      <c r="A313" s="70"/>
      <c r="B313" s="70"/>
      <c r="C313" s="63"/>
      <c r="D313" s="50"/>
      <c r="E313" s="13"/>
      <c r="F313" s="13"/>
      <c r="G313" s="182"/>
    </row>
    <row r="314" spans="1:7" ht="13.5" customHeight="1" x14ac:dyDescent="0.2">
      <c r="A314" s="70"/>
      <c r="B314" s="70"/>
      <c r="C314" s="63"/>
      <c r="D314" s="50"/>
      <c r="E314" s="13"/>
      <c r="F314" s="13"/>
      <c r="G314" s="182"/>
    </row>
    <row r="315" spans="1:7" ht="13.5" customHeight="1" x14ac:dyDescent="0.2">
      <c r="A315" s="70"/>
      <c r="B315" s="70"/>
      <c r="C315" s="63"/>
      <c r="D315" s="50"/>
      <c r="E315" s="13"/>
      <c r="F315" s="13"/>
      <c r="G315" s="182"/>
    </row>
    <row r="316" spans="1:7" ht="13.5" customHeight="1" x14ac:dyDescent="0.2">
      <c r="A316" s="70"/>
      <c r="B316" s="70"/>
      <c r="C316" s="63"/>
      <c r="D316" s="50"/>
      <c r="E316" s="13"/>
      <c r="F316" s="13"/>
      <c r="G316" s="182"/>
    </row>
    <row r="317" spans="1:7" ht="13.5" customHeight="1" x14ac:dyDescent="0.2">
      <c r="A317" s="70"/>
      <c r="B317" s="70"/>
      <c r="C317" s="63"/>
      <c r="D317" s="50"/>
      <c r="E317" s="13"/>
      <c r="F317" s="13"/>
      <c r="G317" s="182"/>
    </row>
    <row r="318" spans="1:7" ht="13.5" customHeight="1" x14ac:dyDescent="0.2">
      <c r="A318" s="70"/>
      <c r="B318" s="70"/>
      <c r="C318" s="63"/>
      <c r="D318" s="50"/>
      <c r="E318" s="13"/>
      <c r="F318" s="13"/>
      <c r="G318" s="182"/>
    </row>
    <row r="319" spans="1:7" ht="13.5" customHeight="1" x14ac:dyDescent="0.2">
      <c r="A319" s="70"/>
      <c r="B319" s="70"/>
      <c r="C319" s="63"/>
      <c r="D319" s="50"/>
      <c r="E319" s="13"/>
      <c r="F319" s="13"/>
      <c r="G319" s="182"/>
    </row>
    <row r="320" spans="1:7" ht="13.5" customHeight="1" x14ac:dyDescent="0.2">
      <c r="A320" s="70"/>
      <c r="B320" s="70"/>
      <c r="C320" s="63"/>
      <c r="D320" s="50"/>
      <c r="E320" s="13"/>
      <c r="F320" s="13"/>
      <c r="G320" s="182"/>
    </row>
    <row r="321" spans="1:7" ht="13.5" customHeight="1" x14ac:dyDescent="0.2">
      <c r="A321" s="70"/>
      <c r="B321" s="70"/>
      <c r="C321" s="63"/>
      <c r="D321" s="50"/>
      <c r="E321" s="13"/>
      <c r="F321" s="13"/>
      <c r="G321" s="182"/>
    </row>
    <row r="322" spans="1:7" ht="13.5" customHeight="1" x14ac:dyDescent="0.2">
      <c r="A322" s="70"/>
      <c r="B322" s="70"/>
      <c r="C322" s="63"/>
      <c r="D322" s="50"/>
      <c r="E322" s="13"/>
      <c r="F322" s="13"/>
      <c r="G322" s="182"/>
    </row>
    <row r="323" spans="1:7" ht="13.5" customHeight="1" x14ac:dyDescent="0.2">
      <c r="A323" s="70"/>
      <c r="B323" s="70"/>
      <c r="C323" s="63"/>
      <c r="D323" s="50"/>
      <c r="E323" s="13"/>
      <c r="F323" s="13"/>
      <c r="G323" s="182"/>
    </row>
    <row r="324" spans="1:7" ht="13.5" customHeight="1" x14ac:dyDescent="0.2">
      <c r="A324" s="70"/>
      <c r="B324" s="70"/>
      <c r="C324" s="63"/>
      <c r="D324" s="50"/>
      <c r="E324" s="13"/>
      <c r="F324" s="13"/>
      <c r="G324" s="182"/>
    </row>
    <row r="325" spans="1:7" ht="13.5" customHeight="1" x14ac:dyDescent="0.2">
      <c r="A325" s="70"/>
      <c r="B325" s="70"/>
      <c r="C325" s="63"/>
      <c r="D325" s="50"/>
      <c r="E325" s="13"/>
      <c r="F325" s="13"/>
      <c r="G325" s="182"/>
    </row>
    <row r="326" spans="1:7" ht="13.5" customHeight="1" x14ac:dyDescent="0.2">
      <c r="A326" s="70"/>
      <c r="B326" s="70"/>
      <c r="C326" s="63"/>
      <c r="D326" s="50"/>
      <c r="E326" s="13"/>
      <c r="F326" s="13"/>
      <c r="G326" s="182"/>
    </row>
    <row r="327" spans="1:7" ht="13.5" customHeight="1" x14ac:dyDescent="0.2">
      <c r="A327" s="70"/>
      <c r="B327" s="70"/>
      <c r="C327" s="63"/>
      <c r="D327" s="50"/>
      <c r="E327" s="13"/>
      <c r="F327" s="13"/>
      <c r="G327" s="182"/>
    </row>
    <row r="328" spans="1:7" ht="13.5" customHeight="1" x14ac:dyDescent="0.2">
      <c r="A328" s="70"/>
      <c r="B328" s="70"/>
      <c r="C328" s="63"/>
      <c r="D328" s="50"/>
      <c r="E328" s="13"/>
      <c r="F328" s="13"/>
      <c r="G328" s="182"/>
    </row>
    <row r="329" spans="1:7" ht="13.5" customHeight="1" x14ac:dyDescent="0.2">
      <c r="A329" s="70"/>
      <c r="B329" s="70"/>
      <c r="C329" s="63"/>
      <c r="D329" s="50"/>
      <c r="E329" s="13"/>
      <c r="F329" s="13"/>
      <c r="G329" s="182"/>
    </row>
    <row r="330" spans="1:7" ht="13.5" customHeight="1" x14ac:dyDescent="0.2">
      <c r="A330" s="70"/>
      <c r="B330" s="70"/>
      <c r="C330" s="63"/>
      <c r="D330" s="50"/>
      <c r="E330" s="13"/>
      <c r="F330" s="13"/>
      <c r="G330" s="182"/>
    </row>
    <row r="331" spans="1:7" ht="13.5" customHeight="1" x14ac:dyDescent="0.2">
      <c r="A331" s="70"/>
      <c r="B331" s="70"/>
      <c r="C331" s="63"/>
      <c r="D331" s="50"/>
      <c r="E331" s="13"/>
      <c r="F331" s="13"/>
      <c r="G331" s="182"/>
    </row>
    <row r="332" spans="1:7" ht="13.5" customHeight="1" x14ac:dyDescent="0.2">
      <c r="A332" s="70"/>
      <c r="B332" s="70"/>
      <c r="C332" s="63"/>
      <c r="D332" s="50"/>
      <c r="E332" s="13"/>
      <c r="F332" s="13"/>
      <c r="G332" s="182"/>
    </row>
    <row r="333" spans="1:7" ht="13.5" customHeight="1" x14ac:dyDescent="0.2">
      <c r="A333" s="70"/>
      <c r="B333" s="70"/>
      <c r="C333" s="63"/>
      <c r="D333" s="50"/>
      <c r="E333" s="13"/>
      <c r="F333" s="13"/>
      <c r="G333" s="182"/>
    </row>
    <row r="334" spans="1:7" ht="13.5" customHeight="1" x14ac:dyDescent="0.2">
      <c r="A334" s="70"/>
      <c r="B334" s="70"/>
      <c r="C334" s="63"/>
      <c r="D334" s="50"/>
      <c r="E334" s="13"/>
      <c r="F334" s="13"/>
      <c r="G334" s="182"/>
    </row>
    <row r="335" spans="1:7" ht="13.5" customHeight="1" x14ac:dyDescent="0.2">
      <c r="A335" s="70"/>
      <c r="B335" s="70"/>
      <c r="C335" s="63"/>
      <c r="D335" s="50"/>
      <c r="E335" s="13"/>
      <c r="F335" s="13"/>
      <c r="G335" s="182"/>
    </row>
    <row r="336" spans="1:7" ht="13.5" customHeight="1" x14ac:dyDescent="0.2">
      <c r="A336" s="131"/>
      <c r="B336" s="70"/>
      <c r="C336" s="64"/>
      <c r="D336" s="50"/>
      <c r="E336" s="13"/>
      <c r="F336" s="13"/>
      <c r="G336" s="182"/>
    </row>
    <row r="337" spans="1:7" ht="13.5" customHeight="1" x14ac:dyDescent="0.2">
      <c r="A337" s="70"/>
      <c r="B337" s="70"/>
      <c r="C337" s="63"/>
      <c r="D337" s="50"/>
      <c r="E337" s="13"/>
      <c r="F337" s="13"/>
      <c r="G337" s="182"/>
    </row>
    <row r="338" spans="1:7" ht="13.5" customHeight="1" x14ac:dyDescent="0.2">
      <c r="A338" s="70"/>
      <c r="B338" s="70"/>
      <c r="C338" s="63"/>
      <c r="D338" s="50"/>
      <c r="E338" s="13"/>
      <c r="F338" s="13"/>
      <c r="G338" s="182"/>
    </row>
    <row r="339" spans="1:7" ht="13.5" customHeight="1" x14ac:dyDescent="0.2">
      <c r="A339" s="131"/>
      <c r="B339" s="70"/>
      <c r="C339" s="85"/>
      <c r="D339" s="50"/>
      <c r="E339" s="13"/>
      <c r="F339" s="13"/>
      <c r="G339" s="182"/>
    </row>
    <row r="340" spans="1:7" ht="13.5" customHeight="1" x14ac:dyDescent="0.2">
      <c r="A340" s="131"/>
      <c r="B340" s="70"/>
      <c r="C340" s="63"/>
      <c r="D340" s="50"/>
      <c r="E340" s="13"/>
      <c r="F340" s="13"/>
      <c r="G340" s="182"/>
    </row>
    <row r="341" spans="1:7" ht="13.5" customHeight="1" x14ac:dyDescent="0.2">
      <c r="A341" s="131"/>
      <c r="B341" s="70"/>
      <c r="C341" s="63"/>
      <c r="D341" s="50"/>
      <c r="E341" s="13"/>
      <c r="F341" s="13"/>
      <c r="G341" s="182"/>
    </row>
    <row r="342" spans="1:7" ht="13.5" customHeight="1" x14ac:dyDescent="0.2">
      <c r="A342" s="131"/>
      <c r="B342" s="70"/>
      <c r="C342" s="64"/>
      <c r="D342" s="50"/>
      <c r="E342" s="13"/>
      <c r="F342" s="13"/>
      <c r="G342" s="182"/>
    </row>
    <row r="343" spans="1:7" ht="13.5" customHeight="1" x14ac:dyDescent="0.2">
      <c r="A343" s="70"/>
      <c r="B343" s="70"/>
      <c r="C343" s="63"/>
      <c r="D343" s="50"/>
      <c r="E343" s="13"/>
      <c r="F343" s="13"/>
      <c r="G343" s="182"/>
    </row>
    <row r="344" spans="1:7" ht="13.5" customHeight="1" x14ac:dyDescent="0.2">
      <c r="A344" s="131"/>
      <c r="B344" s="70"/>
      <c r="C344" s="63"/>
      <c r="D344" s="50"/>
      <c r="E344" s="13"/>
      <c r="F344" s="13"/>
      <c r="G344" s="182"/>
    </row>
    <row r="345" spans="1:7" ht="13.5" customHeight="1" x14ac:dyDescent="0.2">
      <c r="A345" s="131"/>
      <c r="B345" s="70"/>
      <c r="C345" s="64"/>
      <c r="D345" s="50"/>
      <c r="E345" s="13"/>
      <c r="F345" s="13"/>
      <c r="G345" s="182"/>
    </row>
    <row r="346" spans="1:7" ht="13.5" customHeight="1" x14ac:dyDescent="0.2">
      <c r="A346" s="70"/>
      <c r="B346" s="70"/>
      <c r="C346" s="63"/>
      <c r="D346" s="50"/>
      <c r="E346" s="13"/>
      <c r="F346" s="13"/>
      <c r="G346" s="182"/>
    </row>
    <row r="347" spans="1:7" ht="13.5" customHeight="1" x14ac:dyDescent="0.2">
      <c r="A347" s="131"/>
      <c r="B347" s="70"/>
      <c r="C347" s="63"/>
      <c r="D347" s="50"/>
      <c r="E347" s="13"/>
      <c r="F347" s="13"/>
      <c r="G347" s="182"/>
    </row>
    <row r="348" spans="1:7" ht="13.5" customHeight="1" x14ac:dyDescent="0.2">
      <c r="A348" s="131"/>
      <c r="B348" s="70"/>
      <c r="C348" s="64"/>
      <c r="D348" s="50"/>
      <c r="E348" s="13"/>
      <c r="F348" s="13"/>
      <c r="G348" s="182"/>
    </row>
    <row r="349" spans="1:7" ht="13.5" customHeight="1" x14ac:dyDescent="0.2">
      <c r="A349" s="70"/>
      <c r="B349" s="70"/>
      <c r="C349" s="63"/>
      <c r="D349" s="50"/>
      <c r="E349" s="13"/>
      <c r="F349" s="13"/>
      <c r="G349" s="182"/>
    </row>
    <row r="350" spans="1:7" ht="13.5" customHeight="1" x14ac:dyDescent="0.2">
      <c r="A350" s="70"/>
      <c r="B350" s="70"/>
      <c r="C350" s="63"/>
      <c r="D350" s="50"/>
      <c r="E350" s="13"/>
      <c r="F350" s="13"/>
      <c r="G350" s="182"/>
    </row>
    <row r="351" spans="1:7" ht="13.5" customHeight="1" x14ac:dyDescent="0.2">
      <c r="A351" s="70"/>
      <c r="B351" s="70"/>
      <c r="C351" s="63"/>
      <c r="D351" s="50"/>
      <c r="E351" s="13"/>
      <c r="F351" s="13"/>
      <c r="G351" s="182"/>
    </row>
    <row r="352" spans="1:7" ht="13.5" customHeight="1" x14ac:dyDescent="0.2">
      <c r="A352" s="131"/>
      <c r="B352" s="70"/>
      <c r="C352" s="86"/>
      <c r="D352" s="50"/>
      <c r="E352" s="13"/>
      <c r="F352" s="13"/>
      <c r="G352" s="182"/>
    </row>
    <row r="353" spans="1:7" ht="13.5" customHeight="1" x14ac:dyDescent="0.2">
      <c r="A353" s="131"/>
      <c r="B353" s="70"/>
      <c r="C353" s="85"/>
      <c r="D353" s="50"/>
      <c r="E353" s="13"/>
      <c r="F353" s="13"/>
      <c r="G353" s="182"/>
    </row>
    <row r="354" spans="1:7" ht="13.5" customHeight="1" x14ac:dyDescent="0.2">
      <c r="A354" s="131"/>
      <c r="B354" s="70"/>
      <c r="C354" s="87"/>
      <c r="D354" s="50"/>
      <c r="E354" s="13"/>
      <c r="F354" s="13"/>
      <c r="G354" s="182"/>
    </row>
    <row r="355" spans="1:7" ht="13.5" customHeight="1" x14ac:dyDescent="0.2">
      <c r="A355" s="131"/>
      <c r="B355" s="70"/>
      <c r="C355" s="88"/>
      <c r="D355" s="50"/>
      <c r="E355" s="13"/>
      <c r="F355" s="13"/>
      <c r="G355" s="182"/>
    </row>
    <row r="356" spans="1:7" ht="13.5" customHeight="1" x14ac:dyDescent="0.2">
      <c r="A356" s="91"/>
      <c r="B356" s="9"/>
      <c r="C356" s="56"/>
      <c r="D356" s="11"/>
      <c r="E356" s="12"/>
      <c r="F356" s="12"/>
      <c r="G356" s="182"/>
    </row>
    <row r="357" spans="1:7" ht="13.5" customHeight="1" x14ac:dyDescent="0.2">
      <c r="A357" s="9"/>
      <c r="B357" s="9"/>
      <c r="C357" s="56"/>
      <c r="D357" s="11"/>
      <c r="E357" s="12"/>
      <c r="F357" s="12"/>
      <c r="G357" s="182"/>
    </row>
    <row r="358" spans="1:7" ht="13.5" customHeight="1" x14ac:dyDescent="0.2">
      <c r="A358" s="9"/>
      <c r="B358" s="9"/>
      <c r="C358" s="56"/>
      <c r="D358" s="11"/>
      <c r="E358" s="12"/>
      <c r="F358" s="12"/>
      <c r="G358" s="182"/>
    </row>
    <row r="359" spans="1:7" ht="13.5" customHeight="1" x14ac:dyDescent="0.2">
      <c r="A359" s="91"/>
      <c r="B359" s="9"/>
      <c r="D359" s="11"/>
      <c r="E359" s="12"/>
      <c r="F359" s="12"/>
      <c r="G359" s="182"/>
    </row>
    <row r="360" spans="1:7" ht="13.5" customHeight="1" x14ac:dyDescent="0.2">
      <c r="A360" s="9"/>
      <c r="B360" s="9"/>
      <c r="C360" s="56"/>
      <c r="D360" s="11"/>
      <c r="E360" s="12"/>
      <c r="F360" s="12"/>
      <c r="G360" s="182"/>
    </row>
    <row r="361" spans="1:7" ht="13.5" customHeight="1" x14ac:dyDescent="0.2">
      <c r="A361" s="9"/>
      <c r="B361" s="9"/>
      <c r="C361" s="56"/>
      <c r="D361" s="11"/>
      <c r="E361" s="12"/>
      <c r="F361" s="12"/>
      <c r="G361" s="182"/>
    </row>
    <row r="362" spans="1:7" ht="13.5" customHeight="1" x14ac:dyDescent="0.2">
      <c r="A362" s="9"/>
      <c r="B362" s="9"/>
      <c r="C362" s="56"/>
      <c r="D362" s="11"/>
      <c r="E362" s="12"/>
      <c r="F362" s="12"/>
      <c r="G362" s="182"/>
    </row>
    <row r="363" spans="1:7" ht="13.5" customHeight="1" x14ac:dyDescent="0.2">
      <c r="A363" s="91"/>
      <c r="B363" s="9"/>
      <c r="C363" s="27"/>
      <c r="D363" s="11"/>
      <c r="E363" s="12"/>
      <c r="F363" s="12"/>
      <c r="G363" s="182"/>
    </row>
    <row r="364" spans="1:7" ht="13.5" customHeight="1" x14ac:dyDescent="0.2">
      <c r="A364" s="91"/>
      <c r="B364" s="9"/>
      <c r="C364" s="27"/>
      <c r="D364" s="11"/>
      <c r="E364" s="12"/>
      <c r="F364" s="12"/>
      <c r="G364" s="182"/>
    </row>
    <row r="365" spans="1:7" ht="13.5" customHeight="1" x14ac:dyDescent="0.2">
      <c r="A365" s="91"/>
      <c r="B365" s="9"/>
      <c r="D365" s="11"/>
      <c r="E365" s="12"/>
      <c r="F365" s="12"/>
      <c r="G365" s="182"/>
    </row>
    <row r="366" spans="1:7" ht="13.5" customHeight="1" x14ac:dyDescent="0.2">
      <c r="A366" s="9"/>
      <c r="B366" s="9"/>
      <c r="C366" s="56"/>
      <c r="D366" s="11"/>
      <c r="E366" s="12"/>
      <c r="F366" s="12"/>
      <c r="G366" s="182"/>
    </row>
    <row r="367" spans="1:7" ht="13.5" customHeight="1" x14ac:dyDescent="0.2">
      <c r="A367" s="9"/>
      <c r="B367" s="9"/>
      <c r="C367" s="56"/>
      <c r="D367" s="11"/>
      <c r="E367" s="12"/>
      <c r="F367" s="12"/>
      <c r="G367" s="182"/>
    </row>
    <row r="368" spans="1:7" ht="13.5" customHeight="1" x14ac:dyDescent="0.2">
      <c r="A368" s="9"/>
      <c r="B368" s="9"/>
      <c r="C368" s="56"/>
      <c r="D368" s="11"/>
      <c r="E368" s="12"/>
      <c r="F368" s="12"/>
      <c r="G368" s="182"/>
    </row>
    <row r="369" spans="1:7" ht="13.5" customHeight="1" x14ac:dyDescent="0.2">
      <c r="A369" s="9"/>
      <c r="B369" s="9"/>
      <c r="C369" s="56"/>
      <c r="D369" s="11"/>
      <c r="E369" s="12"/>
      <c r="F369" s="12"/>
      <c r="G369" s="182"/>
    </row>
    <row r="370" spans="1:7" x14ac:dyDescent="0.2">
      <c r="A370" s="132"/>
      <c r="B370" s="93"/>
      <c r="C370" s="94"/>
      <c r="D370" s="27"/>
      <c r="E370" s="27"/>
      <c r="F370" s="27"/>
      <c r="G370" s="182"/>
    </row>
  </sheetData>
  <mergeCells count="2">
    <mergeCell ref="A1:C1"/>
    <mergeCell ref="D1:G1"/>
  </mergeCells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B81F9-5B73-4E11-B3FF-FC21F114D385}">
  <dimension ref="A1:X391"/>
  <sheetViews>
    <sheetView topLeftCell="A22" zoomScale="80" zoomScaleNormal="80" workbookViewId="0">
      <selection activeCell="C18" sqref="C18"/>
    </sheetView>
  </sheetViews>
  <sheetFormatPr defaultColWidth="9" defaultRowHeight="12.75" x14ac:dyDescent="0.2"/>
  <cols>
    <col min="1" max="1" width="14" style="97" customWidth="1"/>
    <col min="2" max="2" width="12.25" style="97" customWidth="1"/>
    <col min="3" max="3" width="99.25" style="97" customWidth="1"/>
    <col min="4" max="4" width="12" style="97" customWidth="1"/>
    <col min="5" max="5" width="12.375" style="97" customWidth="1"/>
    <col min="6" max="6" width="10.75" style="97" customWidth="1"/>
    <col min="7" max="7" width="12.375" style="97" bestFit="1" customWidth="1"/>
    <col min="8" max="8" width="10.75" style="97" customWidth="1"/>
    <col min="9" max="9" width="10.875" style="97" customWidth="1"/>
    <col min="10" max="10" width="11.625" style="97" customWidth="1"/>
    <col min="11" max="11" width="9" style="97"/>
    <col min="12" max="13" width="11.5" style="97" bestFit="1" customWidth="1"/>
    <col min="14" max="14" width="9" style="97"/>
    <col min="15" max="15" width="9.375" style="97" customWidth="1"/>
    <col min="16" max="16" width="10.5" style="97" bestFit="1" customWidth="1"/>
    <col min="17" max="16384" width="9" style="97"/>
  </cols>
  <sheetData>
    <row r="1" spans="1:7" ht="13.5" customHeight="1" thickBot="1" x14ac:dyDescent="0.25">
      <c r="A1" s="1378" t="s">
        <v>8086</v>
      </c>
      <c r="B1" s="1378"/>
      <c r="C1" s="1379"/>
      <c r="D1" s="1380" t="s">
        <v>0</v>
      </c>
      <c r="E1" s="1381"/>
      <c r="F1" s="1381"/>
      <c r="G1" s="1382"/>
    </row>
    <row r="2" spans="1:7" ht="13.5" customHeight="1" thickBot="1" x14ac:dyDescent="0.25">
      <c r="A2" s="561" t="s">
        <v>2</v>
      </c>
      <c r="B2" s="562" t="s">
        <v>8087</v>
      </c>
      <c r="C2" s="562" t="s">
        <v>8088</v>
      </c>
      <c r="D2" s="562" t="s">
        <v>4</v>
      </c>
      <c r="E2" s="562" t="s">
        <v>5</v>
      </c>
      <c r="F2" s="562" t="s">
        <v>6</v>
      </c>
      <c r="G2" s="564" t="s">
        <v>7</v>
      </c>
    </row>
    <row r="3" spans="1:7" ht="13.5" customHeight="1" x14ac:dyDescent="0.2">
      <c r="A3" s="568">
        <v>45536</v>
      </c>
      <c r="B3" s="569"/>
      <c r="C3" s="570" t="s">
        <v>8</v>
      </c>
      <c r="D3" s="581">
        <v>0</v>
      </c>
      <c r="E3" s="804"/>
      <c r="F3" s="573"/>
      <c r="G3" s="809">
        <v>5499.7100000000146</v>
      </c>
    </row>
    <row r="4" spans="1:7" ht="13.5" customHeight="1" x14ac:dyDescent="0.2">
      <c r="A4" s="578">
        <v>45537</v>
      </c>
      <c r="B4" s="569"/>
      <c r="C4" s="569" t="s">
        <v>8089</v>
      </c>
      <c r="D4" s="581"/>
      <c r="E4" s="572"/>
      <c r="F4" s="572">
        <v>270</v>
      </c>
      <c r="G4" s="580">
        <f t="shared" ref="G4:G67" si="0">G3-E4+F4</f>
        <v>5769.7100000000146</v>
      </c>
    </row>
    <row r="5" spans="1:7" ht="13.5" customHeight="1" x14ac:dyDescent="0.2">
      <c r="A5" s="578"/>
      <c r="B5" s="569"/>
      <c r="C5" s="569" t="s">
        <v>8090</v>
      </c>
      <c r="D5" s="581"/>
      <c r="E5" s="572"/>
      <c r="F5" s="572">
        <v>330</v>
      </c>
      <c r="G5" s="580">
        <f t="shared" si="0"/>
        <v>6099.7100000000146</v>
      </c>
    </row>
    <row r="6" spans="1:7" ht="13.5" customHeight="1" x14ac:dyDescent="0.2">
      <c r="A6" s="578">
        <v>45538</v>
      </c>
      <c r="B6" s="569"/>
      <c r="C6" s="569" t="s">
        <v>8091</v>
      </c>
      <c r="D6" s="581"/>
      <c r="E6" s="572">
        <v>16</v>
      </c>
      <c r="F6" s="572"/>
      <c r="G6" s="580">
        <f t="shared" si="0"/>
        <v>6083.7100000000146</v>
      </c>
    </row>
    <row r="7" spans="1:7" ht="13.5" customHeight="1" x14ac:dyDescent="0.2">
      <c r="A7" s="578"/>
      <c r="B7" s="569"/>
      <c r="C7" s="569" t="s">
        <v>8092</v>
      </c>
      <c r="D7" s="581"/>
      <c r="E7" s="572">
        <v>9.5</v>
      </c>
      <c r="F7" s="572"/>
      <c r="G7" s="580">
        <f t="shared" si="0"/>
        <v>6074.2100000000146</v>
      </c>
    </row>
    <row r="8" spans="1:7" ht="13.5" customHeight="1" x14ac:dyDescent="0.2">
      <c r="A8" s="578">
        <v>45539</v>
      </c>
      <c r="B8" s="569"/>
      <c r="C8" s="569" t="s">
        <v>8093</v>
      </c>
      <c r="D8" s="581"/>
      <c r="E8" s="572">
        <v>100</v>
      </c>
      <c r="F8" s="572"/>
      <c r="G8" s="580">
        <f t="shared" si="0"/>
        <v>5974.2100000000146</v>
      </c>
    </row>
    <row r="9" spans="1:7" ht="13.5" customHeight="1" x14ac:dyDescent="0.2">
      <c r="A9" s="578">
        <v>45539</v>
      </c>
      <c r="B9" s="569"/>
      <c r="C9" s="569" t="s">
        <v>8094</v>
      </c>
      <c r="D9" s="581"/>
      <c r="E9" s="572">
        <v>60</v>
      </c>
      <c r="F9" s="572"/>
      <c r="G9" s="580">
        <f t="shared" si="0"/>
        <v>5914.2100000000146</v>
      </c>
    </row>
    <row r="10" spans="1:7" ht="13.5" customHeight="1" x14ac:dyDescent="0.2">
      <c r="A10" s="578"/>
      <c r="B10" s="569"/>
      <c r="C10" s="569" t="s">
        <v>8095</v>
      </c>
      <c r="D10" s="581"/>
      <c r="E10" s="572">
        <v>500</v>
      </c>
      <c r="F10" s="572"/>
      <c r="G10" s="580">
        <f t="shared" si="0"/>
        <v>5414.2100000000146</v>
      </c>
    </row>
    <row r="11" spans="1:7" ht="13.5" customHeight="1" x14ac:dyDescent="0.2">
      <c r="A11" s="578">
        <v>45540</v>
      </c>
      <c r="B11" s="569"/>
      <c r="C11" s="569" t="s">
        <v>8096</v>
      </c>
      <c r="D11" s="581"/>
      <c r="E11" s="572">
        <v>9.8000000000000007</v>
      </c>
      <c r="F11" s="572"/>
      <c r="G11" s="580">
        <f t="shared" si="0"/>
        <v>5404.4100000000144</v>
      </c>
    </row>
    <row r="12" spans="1:7" ht="13.5" customHeight="1" x14ac:dyDescent="0.2">
      <c r="A12" s="578"/>
      <c r="B12" s="569"/>
      <c r="C12" s="569" t="s">
        <v>8097</v>
      </c>
      <c r="D12" s="581"/>
      <c r="E12" s="572"/>
      <c r="F12" s="572">
        <v>270</v>
      </c>
      <c r="G12" s="580">
        <f t="shared" si="0"/>
        <v>5674.4100000000144</v>
      </c>
    </row>
    <row r="13" spans="1:7" ht="13.5" customHeight="1" x14ac:dyDescent="0.2">
      <c r="A13" s="578"/>
      <c r="B13" s="569"/>
      <c r="C13" s="569" t="s">
        <v>8098</v>
      </c>
      <c r="D13" s="581"/>
      <c r="E13" s="572"/>
      <c r="F13" s="572">
        <v>270</v>
      </c>
      <c r="G13" s="580">
        <f t="shared" si="0"/>
        <v>5944.4100000000144</v>
      </c>
    </row>
    <row r="14" spans="1:7" ht="13.5" customHeight="1" x14ac:dyDescent="0.2">
      <c r="A14" s="578"/>
      <c r="B14" s="569"/>
      <c r="C14" s="569" t="s">
        <v>8099</v>
      </c>
      <c r="D14" s="581"/>
      <c r="E14" s="572"/>
      <c r="F14" s="572">
        <v>1350</v>
      </c>
      <c r="G14" s="580">
        <f t="shared" si="0"/>
        <v>7294.4100000000144</v>
      </c>
    </row>
    <row r="15" spans="1:7" ht="13.5" customHeight="1" x14ac:dyDescent="0.2">
      <c r="A15" s="578"/>
      <c r="B15" s="569"/>
      <c r="C15" s="569" t="s">
        <v>8100</v>
      </c>
      <c r="D15" s="581"/>
      <c r="E15" s="572"/>
      <c r="F15" s="572">
        <v>45</v>
      </c>
      <c r="G15" s="580">
        <f t="shared" si="0"/>
        <v>7339.4100000000144</v>
      </c>
    </row>
    <row r="16" spans="1:7" ht="13.5" customHeight="1" x14ac:dyDescent="0.2">
      <c r="A16" s="578">
        <v>45541</v>
      </c>
      <c r="B16" s="569"/>
      <c r="C16" s="569" t="s">
        <v>8101</v>
      </c>
      <c r="D16" s="581"/>
      <c r="E16" s="572">
        <v>150</v>
      </c>
      <c r="F16" s="572"/>
      <c r="G16" s="580">
        <f t="shared" si="0"/>
        <v>7189.4100000000144</v>
      </c>
    </row>
    <row r="17" spans="1:7" ht="13.5" customHeight="1" x14ac:dyDescent="0.2">
      <c r="A17" s="578"/>
      <c r="B17" s="569"/>
      <c r="C17" s="569" t="s">
        <v>8102</v>
      </c>
      <c r="D17" s="581"/>
      <c r="E17" s="572">
        <v>80</v>
      </c>
      <c r="F17" s="572"/>
      <c r="G17" s="580">
        <f t="shared" si="0"/>
        <v>7109.4100000000144</v>
      </c>
    </row>
    <row r="18" spans="1:7" ht="13.5" customHeight="1" x14ac:dyDescent="0.2">
      <c r="A18" s="578"/>
      <c r="B18" s="569"/>
      <c r="C18" s="569" t="s">
        <v>8103</v>
      </c>
      <c r="D18" s="581"/>
      <c r="E18" s="572">
        <v>75</v>
      </c>
      <c r="F18" s="572"/>
      <c r="G18" s="580">
        <f t="shared" si="0"/>
        <v>7034.4100000000144</v>
      </c>
    </row>
    <row r="19" spans="1:7" ht="13.5" customHeight="1" x14ac:dyDescent="0.2">
      <c r="A19" s="578"/>
      <c r="B19" s="569"/>
      <c r="C19" s="569" t="s">
        <v>8104</v>
      </c>
      <c r="D19" s="581"/>
      <c r="E19" s="572">
        <v>150</v>
      </c>
      <c r="F19" s="572"/>
      <c r="G19" s="580">
        <f t="shared" si="0"/>
        <v>6884.4100000000144</v>
      </c>
    </row>
    <row r="20" spans="1:7" ht="13.5" customHeight="1" x14ac:dyDescent="0.2">
      <c r="A20" s="578"/>
      <c r="B20" s="569"/>
      <c r="C20" s="569" t="s">
        <v>8105</v>
      </c>
      <c r="D20" s="581"/>
      <c r="E20" s="572">
        <v>150</v>
      </c>
      <c r="F20" s="572"/>
      <c r="G20" s="580">
        <f t="shared" si="0"/>
        <v>6734.4100000000144</v>
      </c>
    </row>
    <row r="21" spans="1:7" ht="13.5" customHeight="1" x14ac:dyDescent="0.2">
      <c r="A21" s="578"/>
      <c r="B21" s="569"/>
      <c r="C21" s="569" t="s">
        <v>8106</v>
      </c>
      <c r="D21" s="581"/>
      <c r="E21" s="572">
        <v>80</v>
      </c>
      <c r="F21" s="572"/>
      <c r="G21" s="580">
        <f t="shared" si="0"/>
        <v>6654.4100000000144</v>
      </c>
    </row>
    <row r="22" spans="1:7" ht="13.5" customHeight="1" x14ac:dyDescent="0.2">
      <c r="A22" s="578"/>
      <c r="B22" s="569"/>
      <c r="C22" s="569" t="s">
        <v>8107</v>
      </c>
      <c r="D22" s="581"/>
      <c r="E22" s="572">
        <v>160</v>
      </c>
      <c r="F22" s="572"/>
      <c r="G22" s="580">
        <f t="shared" si="0"/>
        <v>6494.4100000000144</v>
      </c>
    </row>
    <row r="23" spans="1:7" ht="13.5" customHeight="1" x14ac:dyDescent="0.2">
      <c r="A23" s="578"/>
      <c r="B23" s="569"/>
      <c r="C23" s="569" t="s">
        <v>8108</v>
      </c>
      <c r="D23" s="581"/>
      <c r="E23" s="572">
        <v>160</v>
      </c>
      <c r="F23" s="572"/>
      <c r="G23" s="580">
        <f t="shared" si="0"/>
        <v>6334.4100000000144</v>
      </c>
    </row>
    <row r="24" spans="1:7" ht="13.5" customHeight="1" x14ac:dyDescent="0.2">
      <c r="A24" s="578"/>
      <c r="B24" s="569"/>
      <c r="C24" s="569" t="s">
        <v>8109</v>
      </c>
      <c r="D24" s="581"/>
      <c r="E24" s="572">
        <v>140</v>
      </c>
      <c r="F24" s="572"/>
      <c r="G24" s="580">
        <f t="shared" si="0"/>
        <v>6194.4100000000144</v>
      </c>
    </row>
    <row r="25" spans="1:7" ht="13.5" customHeight="1" x14ac:dyDescent="0.2">
      <c r="A25" s="578"/>
      <c r="B25" s="569"/>
      <c r="C25" s="569" t="s">
        <v>8110</v>
      </c>
      <c r="D25" s="581"/>
      <c r="E25" s="572">
        <v>160</v>
      </c>
      <c r="F25" s="572"/>
      <c r="G25" s="580">
        <f t="shared" si="0"/>
        <v>6034.4100000000144</v>
      </c>
    </row>
    <row r="26" spans="1:7" ht="13.5" customHeight="1" x14ac:dyDescent="0.2">
      <c r="A26" s="578"/>
      <c r="B26" s="569"/>
      <c r="C26" s="569" t="s">
        <v>8111</v>
      </c>
      <c r="D26" s="581"/>
      <c r="E26" s="572">
        <v>32</v>
      </c>
      <c r="F26" s="572"/>
      <c r="G26" s="580">
        <f t="shared" si="0"/>
        <v>6002.4100000000144</v>
      </c>
    </row>
    <row r="27" spans="1:7" ht="13.5" customHeight="1" x14ac:dyDescent="0.2">
      <c r="A27" s="578"/>
      <c r="B27" s="569"/>
      <c r="C27" s="569" t="s">
        <v>8112</v>
      </c>
      <c r="D27" s="581"/>
      <c r="E27" s="572">
        <v>30</v>
      </c>
      <c r="F27" s="572"/>
      <c r="G27" s="580">
        <f t="shared" si="0"/>
        <v>5972.4100000000144</v>
      </c>
    </row>
    <row r="28" spans="1:7" ht="13.5" customHeight="1" x14ac:dyDescent="0.2">
      <c r="A28" s="578"/>
      <c r="B28" s="569"/>
      <c r="C28" s="569" t="s">
        <v>8113</v>
      </c>
      <c r="D28" s="581"/>
      <c r="E28" s="572">
        <v>185.7</v>
      </c>
      <c r="F28" s="572"/>
      <c r="G28" s="580">
        <f t="shared" si="0"/>
        <v>5786.7100000000146</v>
      </c>
    </row>
    <row r="29" spans="1:7" ht="13.5" customHeight="1" x14ac:dyDescent="0.2">
      <c r="A29" s="578"/>
      <c r="B29" s="569"/>
      <c r="C29" s="569" t="s">
        <v>8114</v>
      </c>
      <c r="D29" s="581"/>
      <c r="E29" s="572">
        <v>160</v>
      </c>
      <c r="F29" s="572"/>
      <c r="G29" s="580">
        <f t="shared" si="0"/>
        <v>5626.7100000000146</v>
      </c>
    </row>
    <row r="30" spans="1:7" ht="13.5" customHeight="1" x14ac:dyDescent="0.2">
      <c r="A30" s="578">
        <v>45545</v>
      </c>
      <c r="B30" s="569"/>
      <c r="C30" s="722" t="s">
        <v>8115</v>
      </c>
      <c r="D30" s="581"/>
      <c r="E30" s="572">
        <v>24</v>
      </c>
      <c r="F30" s="572"/>
      <c r="G30" s="580">
        <f t="shared" si="0"/>
        <v>5602.7100000000146</v>
      </c>
    </row>
    <row r="31" spans="1:7" ht="13.5" customHeight="1" x14ac:dyDescent="0.2">
      <c r="A31" s="578"/>
      <c r="B31" s="569"/>
      <c r="C31" s="722" t="s">
        <v>8116</v>
      </c>
      <c r="D31" s="581"/>
      <c r="E31" s="813">
        <v>400</v>
      </c>
      <c r="F31" s="572"/>
      <c r="G31" s="580">
        <f t="shared" si="0"/>
        <v>5202.7100000000146</v>
      </c>
    </row>
    <row r="32" spans="1:7" ht="13.5" customHeight="1" x14ac:dyDescent="0.2">
      <c r="A32" s="578">
        <v>45547</v>
      </c>
      <c r="B32" s="569"/>
      <c r="C32" s="722" t="s">
        <v>8117</v>
      </c>
      <c r="D32" s="581"/>
      <c r="E32" s="572">
        <v>7.2</v>
      </c>
      <c r="F32" s="572"/>
      <c r="G32" s="580">
        <f t="shared" si="0"/>
        <v>5195.5100000000148</v>
      </c>
    </row>
    <row r="33" spans="1:7" ht="13.5" customHeight="1" x14ac:dyDescent="0.2">
      <c r="A33" s="578"/>
      <c r="B33" s="569"/>
      <c r="C33" s="722" t="s">
        <v>8118</v>
      </c>
      <c r="D33" s="581"/>
      <c r="E33" s="572">
        <v>300</v>
      </c>
      <c r="F33" s="572"/>
      <c r="G33" s="580">
        <f t="shared" si="0"/>
        <v>4895.5100000000148</v>
      </c>
    </row>
    <row r="34" spans="1:7" ht="13.5" customHeight="1" x14ac:dyDescent="0.2">
      <c r="A34" s="578"/>
      <c r="B34" s="569"/>
      <c r="C34" s="722" t="s">
        <v>8119</v>
      </c>
      <c r="D34" s="581"/>
      <c r="E34" s="572">
        <v>339</v>
      </c>
      <c r="F34" s="572"/>
      <c r="G34" s="580">
        <f t="shared" si="0"/>
        <v>4556.5100000000148</v>
      </c>
    </row>
    <row r="35" spans="1:7" ht="13.5" customHeight="1" x14ac:dyDescent="0.2">
      <c r="A35" s="578"/>
      <c r="B35" s="569"/>
      <c r="C35" s="722" t="s">
        <v>8120</v>
      </c>
      <c r="D35" s="581"/>
      <c r="E35" s="572">
        <v>130</v>
      </c>
      <c r="F35" s="572"/>
      <c r="G35" s="580">
        <f t="shared" si="0"/>
        <v>4426.5100000000148</v>
      </c>
    </row>
    <row r="36" spans="1:7" ht="13.5" customHeight="1" x14ac:dyDescent="0.2">
      <c r="A36" s="578"/>
      <c r="B36" s="569"/>
      <c r="C36" s="722" t="s">
        <v>8102</v>
      </c>
      <c r="D36" s="581"/>
      <c r="E36" s="572">
        <v>80</v>
      </c>
      <c r="F36" s="572"/>
      <c r="G36" s="580">
        <f t="shared" si="0"/>
        <v>4346.5100000000148</v>
      </c>
    </row>
    <row r="37" spans="1:7" ht="13.5" customHeight="1" x14ac:dyDescent="0.2">
      <c r="A37" s="578"/>
      <c r="B37" s="569"/>
      <c r="C37" s="722" t="s">
        <v>8121</v>
      </c>
      <c r="D37" s="581"/>
      <c r="E37" s="572">
        <v>150</v>
      </c>
      <c r="F37" s="572"/>
      <c r="G37" s="580">
        <f t="shared" si="0"/>
        <v>4196.5100000000148</v>
      </c>
    </row>
    <row r="38" spans="1:7" ht="13.5" customHeight="1" x14ac:dyDescent="0.2">
      <c r="A38" s="578"/>
      <c r="B38" s="569"/>
      <c r="C38" s="722" t="s">
        <v>8122</v>
      </c>
      <c r="D38" s="581"/>
      <c r="E38" s="572">
        <v>150</v>
      </c>
      <c r="F38" s="572"/>
      <c r="G38" s="580">
        <f t="shared" si="0"/>
        <v>4046.5100000000148</v>
      </c>
    </row>
    <row r="39" spans="1:7" ht="13.5" customHeight="1" x14ac:dyDescent="0.2">
      <c r="A39" s="578"/>
      <c r="B39" s="569"/>
      <c r="C39" s="722" t="s">
        <v>8123</v>
      </c>
      <c r="D39" s="581"/>
      <c r="E39" s="572">
        <v>80</v>
      </c>
      <c r="F39" s="572"/>
      <c r="G39" s="580">
        <f t="shared" si="0"/>
        <v>3966.5100000000148</v>
      </c>
    </row>
    <row r="40" spans="1:7" ht="13.5" customHeight="1" x14ac:dyDescent="0.2">
      <c r="A40" s="578"/>
      <c r="B40" s="569"/>
      <c r="C40" s="722" t="s">
        <v>8124</v>
      </c>
      <c r="D40" s="581"/>
      <c r="E40" s="572">
        <v>160</v>
      </c>
      <c r="F40" s="572"/>
      <c r="G40" s="580">
        <f t="shared" si="0"/>
        <v>3806.5100000000148</v>
      </c>
    </row>
    <row r="41" spans="1:7" ht="13.5" customHeight="1" x14ac:dyDescent="0.2">
      <c r="A41" s="578">
        <v>45551</v>
      </c>
      <c r="B41" s="569"/>
      <c r="C41" s="722" t="s">
        <v>8125</v>
      </c>
      <c r="D41" s="581"/>
      <c r="E41" s="572">
        <v>80.48</v>
      </c>
      <c r="F41" s="572"/>
      <c r="G41" s="580">
        <f t="shared" si="0"/>
        <v>3726.0300000000148</v>
      </c>
    </row>
    <row r="42" spans="1:7" ht="13.5" customHeight="1" x14ac:dyDescent="0.2">
      <c r="A42" s="578"/>
      <c r="B42" s="569"/>
      <c r="C42" s="722" t="s">
        <v>8126</v>
      </c>
      <c r="D42" s="581"/>
      <c r="E42" s="572">
        <v>138.46</v>
      </c>
      <c r="F42" s="572"/>
      <c r="G42" s="580">
        <f t="shared" si="0"/>
        <v>3587.5700000000147</v>
      </c>
    </row>
    <row r="43" spans="1:7" ht="13.5" customHeight="1" x14ac:dyDescent="0.2">
      <c r="A43" s="578">
        <v>45553</v>
      </c>
      <c r="B43" s="569"/>
      <c r="C43" s="722" t="s">
        <v>8127</v>
      </c>
      <c r="D43" s="581"/>
      <c r="E43" s="572">
        <v>1000</v>
      </c>
      <c r="F43" s="572"/>
      <c r="G43" s="580">
        <f t="shared" si="0"/>
        <v>2587.5700000000147</v>
      </c>
    </row>
    <row r="44" spans="1:7" ht="13.5" customHeight="1" x14ac:dyDescent="0.2">
      <c r="A44" s="578">
        <v>45554</v>
      </c>
      <c r="B44" s="569"/>
      <c r="C44" s="722" t="s">
        <v>8128</v>
      </c>
      <c r="D44" s="581"/>
      <c r="E44" s="572">
        <v>36.700000000000003</v>
      </c>
      <c r="F44" s="572"/>
      <c r="G44" s="580">
        <f t="shared" si="0"/>
        <v>2550.8700000000149</v>
      </c>
    </row>
    <row r="45" spans="1:7" ht="13.5" customHeight="1" x14ac:dyDescent="0.2">
      <c r="A45" s="578"/>
      <c r="B45" s="569"/>
      <c r="C45" s="722" t="s">
        <v>8129</v>
      </c>
      <c r="D45" s="581"/>
      <c r="E45" s="572"/>
      <c r="F45" s="572">
        <v>3250</v>
      </c>
      <c r="G45" s="580">
        <f t="shared" si="0"/>
        <v>5800.8700000000154</v>
      </c>
    </row>
    <row r="46" spans="1:7" ht="13.5" customHeight="1" x14ac:dyDescent="0.2">
      <c r="A46" s="578">
        <v>45555</v>
      </c>
      <c r="B46" s="569"/>
      <c r="C46" s="722" t="s">
        <v>8130</v>
      </c>
      <c r="D46" s="581"/>
      <c r="E46" s="572">
        <v>80</v>
      </c>
      <c r="F46" s="572"/>
      <c r="G46" s="580">
        <f t="shared" si="0"/>
        <v>5720.8700000000154</v>
      </c>
    </row>
    <row r="47" spans="1:7" ht="13.5" customHeight="1" x14ac:dyDescent="0.2">
      <c r="A47" s="578"/>
      <c r="B47" s="569"/>
      <c r="C47" s="722" t="s">
        <v>8131</v>
      </c>
      <c r="D47" s="581"/>
      <c r="E47" s="572">
        <v>160</v>
      </c>
      <c r="F47" s="572"/>
      <c r="G47" s="580">
        <f t="shared" si="0"/>
        <v>5560.8700000000154</v>
      </c>
    </row>
    <row r="48" spans="1:7" ht="13.5" customHeight="1" x14ac:dyDescent="0.2">
      <c r="A48" s="578"/>
      <c r="B48" s="569"/>
      <c r="C48" s="722" t="s">
        <v>8132</v>
      </c>
      <c r="D48" s="581"/>
      <c r="E48" s="572">
        <v>160</v>
      </c>
      <c r="F48" s="572"/>
      <c r="G48" s="580">
        <f t="shared" si="0"/>
        <v>5400.8700000000154</v>
      </c>
    </row>
    <row r="49" spans="1:7" ht="13.5" customHeight="1" x14ac:dyDescent="0.2">
      <c r="A49" s="578"/>
      <c r="B49" s="569"/>
      <c r="C49" s="722" t="s">
        <v>8133</v>
      </c>
      <c r="D49" s="581"/>
      <c r="E49" s="572">
        <v>75</v>
      </c>
      <c r="F49" s="572"/>
      <c r="G49" s="580">
        <f t="shared" si="0"/>
        <v>5325.8700000000154</v>
      </c>
    </row>
    <row r="50" spans="1:7" ht="13.5" customHeight="1" x14ac:dyDescent="0.2">
      <c r="A50" s="578"/>
      <c r="B50" s="569"/>
      <c r="C50" s="722" t="s">
        <v>8134</v>
      </c>
      <c r="D50" s="581"/>
      <c r="E50" s="572">
        <v>150</v>
      </c>
      <c r="F50" s="572"/>
      <c r="G50" s="580">
        <f t="shared" si="0"/>
        <v>5175.8700000000154</v>
      </c>
    </row>
    <row r="51" spans="1:7" ht="13.5" customHeight="1" x14ac:dyDescent="0.2">
      <c r="A51" s="578"/>
      <c r="B51" s="569"/>
      <c r="C51" s="722" t="s">
        <v>8135</v>
      </c>
      <c r="D51" s="581"/>
      <c r="E51" s="572">
        <v>150</v>
      </c>
      <c r="F51" s="572"/>
      <c r="G51" s="580">
        <f t="shared" si="0"/>
        <v>5025.8700000000154</v>
      </c>
    </row>
    <row r="52" spans="1:7" ht="13.5" customHeight="1" x14ac:dyDescent="0.2">
      <c r="A52" s="578"/>
      <c r="B52" s="569"/>
      <c r="C52" s="722" t="s">
        <v>8136</v>
      </c>
      <c r="D52" s="581"/>
      <c r="E52" s="572">
        <v>15</v>
      </c>
      <c r="F52" s="572"/>
      <c r="G52" s="580">
        <f t="shared" si="0"/>
        <v>5010.8700000000154</v>
      </c>
    </row>
    <row r="53" spans="1:7" ht="13.5" customHeight="1" x14ac:dyDescent="0.2">
      <c r="A53" s="578"/>
      <c r="B53" s="569"/>
      <c r="C53" s="722" t="s">
        <v>8137</v>
      </c>
      <c r="D53" s="581"/>
      <c r="E53" s="572">
        <v>8</v>
      </c>
      <c r="F53" s="572"/>
      <c r="G53" s="580">
        <f t="shared" si="0"/>
        <v>5002.8700000000154</v>
      </c>
    </row>
    <row r="54" spans="1:7" ht="13.5" customHeight="1" x14ac:dyDescent="0.2">
      <c r="A54" s="578">
        <v>45554</v>
      </c>
      <c r="B54" s="569"/>
      <c r="C54" s="722" t="s">
        <v>8138</v>
      </c>
      <c r="D54" s="581"/>
      <c r="E54" s="572">
        <v>49.9</v>
      </c>
      <c r="F54" s="572"/>
      <c r="G54" s="580">
        <f t="shared" si="0"/>
        <v>4952.9700000000157</v>
      </c>
    </row>
    <row r="55" spans="1:7" ht="13.5" customHeight="1" x14ac:dyDescent="0.2">
      <c r="A55" s="578">
        <v>45560</v>
      </c>
      <c r="B55" s="569"/>
      <c r="C55" s="722" t="s">
        <v>8139</v>
      </c>
      <c r="D55" s="581"/>
      <c r="E55" s="572">
        <v>35.17</v>
      </c>
      <c r="F55" s="572"/>
      <c r="G55" s="580">
        <f t="shared" si="0"/>
        <v>4917.8000000000156</v>
      </c>
    </row>
    <row r="56" spans="1:7" ht="13.5" customHeight="1" x14ac:dyDescent="0.2">
      <c r="A56" s="578"/>
      <c r="B56" s="569"/>
      <c r="C56" s="722" t="s">
        <v>8140</v>
      </c>
      <c r="D56" s="581"/>
      <c r="E56" s="572">
        <v>220.45</v>
      </c>
      <c r="F56" s="572"/>
      <c r="G56" s="580">
        <f t="shared" si="0"/>
        <v>4697.3500000000158</v>
      </c>
    </row>
    <row r="57" spans="1:7" ht="13.5" customHeight="1" x14ac:dyDescent="0.2">
      <c r="A57" s="578"/>
      <c r="B57" s="569"/>
      <c r="C57" s="722" t="s">
        <v>8141</v>
      </c>
      <c r="D57" s="581"/>
      <c r="E57" s="572">
        <v>12.85</v>
      </c>
      <c r="F57" s="572"/>
      <c r="G57" s="580">
        <f t="shared" si="0"/>
        <v>4684.5000000000155</v>
      </c>
    </row>
    <row r="58" spans="1:7" ht="13.5" customHeight="1" x14ac:dyDescent="0.2">
      <c r="A58" s="578">
        <v>45561</v>
      </c>
      <c r="B58" s="569"/>
      <c r="C58" s="722" t="s">
        <v>8142</v>
      </c>
      <c r="D58" s="581"/>
      <c r="E58" s="572">
        <v>420</v>
      </c>
      <c r="F58" s="572"/>
      <c r="G58" s="580">
        <f t="shared" si="0"/>
        <v>4264.5000000000155</v>
      </c>
    </row>
    <row r="59" spans="1:7" ht="13.5" customHeight="1" x14ac:dyDescent="0.2">
      <c r="A59" s="578">
        <v>45562</v>
      </c>
      <c r="B59" s="569"/>
      <c r="C59" s="722" t="s">
        <v>8143</v>
      </c>
      <c r="D59" s="581"/>
      <c r="E59" s="572">
        <v>64.28</v>
      </c>
      <c r="F59" s="572"/>
      <c r="G59" s="580">
        <f t="shared" si="0"/>
        <v>4200.2200000000157</v>
      </c>
    </row>
    <row r="60" spans="1:7" ht="13.5" customHeight="1" x14ac:dyDescent="0.2">
      <c r="A60" s="578"/>
      <c r="B60" s="569"/>
      <c r="C60" s="722" t="s">
        <v>8144</v>
      </c>
      <c r="D60" s="581"/>
      <c r="E60" s="572">
        <v>130</v>
      </c>
      <c r="F60" s="572"/>
      <c r="G60" s="580">
        <f t="shared" si="0"/>
        <v>4070.2200000000157</v>
      </c>
    </row>
    <row r="61" spans="1:7" ht="13.5" customHeight="1" x14ac:dyDescent="0.2">
      <c r="A61" s="578"/>
      <c r="B61" s="569"/>
      <c r="C61" s="722" t="s">
        <v>8145</v>
      </c>
      <c r="D61" s="581"/>
      <c r="E61" s="572">
        <v>80</v>
      </c>
      <c r="F61" s="572"/>
      <c r="G61" s="580">
        <f t="shared" si="0"/>
        <v>3990.2200000000157</v>
      </c>
    </row>
    <row r="62" spans="1:7" ht="13.5" customHeight="1" x14ac:dyDescent="0.2">
      <c r="A62" s="578"/>
      <c r="B62" s="569"/>
      <c r="C62" s="722" t="s">
        <v>8146</v>
      </c>
      <c r="D62" s="581"/>
      <c r="E62" s="572">
        <v>75</v>
      </c>
      <c r="F62" s="572"/>
      <c r="G62" s="580">
        <f t="shared" si="0"/>
        <v>3915.2200000000157</v>
      </c>
    </row>
    <row r="63" spans="1:7" ht="13.5" customHeight="1" x14ac:dyDescent="0.2">
      <c r="A63" s="578"/>
      <c r="B63" s="569"/>
      <c r="C63" s="722" t="s">
        <v>8147</v>
      </c>
      <c r="D63" s="581"/>
      <c r="E63" s="572">
        <v>150</v>
      </c>
      <c r="F63" s="572"/>
      <c r="G63" s="580">
        <f t="shared" si="0"/>
        <v>3765.2200000000157</v>
      </c>
    </row>
    <row r="64" spans="1:7" ht="13.5" customHeight="1" x14ac:dyDescent="0.2">
      <c r="A64" s="578"/>
      <c r="B64" s="569"/>
      <c r="C64" s="722" t="s">
        <v>8148</v>
      </c>
      <c r="D64" s="581"/>
      <c r="E64" s="572">
        <v>150</v>
      </c>
      <c r="F64" s="572"/>
      <c r="G64" s="580">
        <f t="shared" si="0"/>
        <v>3615.2200000000157</v>
      </c>
    </row>
    <row r="65" spans="1:7" ht="13.5" customHeight="1" x14ac:dyDescent="0.2">
      <c r="A65" s="578"/>
      <c r="B65" s="569"/>
      <c r="C65" s="722" t="s">
        <v>8149</v>
      </c>
      <c r="D65" s="581"/>
      <c r="E65" s="572">
        <v>80</v>
      </c>
      <c r="F65" s="572"/>
      <c r="G65" s="580">
        <f t="shared" si="0"/>
        <v>3535.2200000000157</v>
      </c>
    </row>
    <row r="66" spans="1:7" ht="13.5" customHeight="1" x14ac:dyDescent="0.2">
      <c r="A66" s="578"/>
      <c r="B66" s="569"/>
      <c r="C66" s="722" t="s">
        <v>8150</v>
      </c>
      <c r="D66" s="581"/>
      <c r="E66" s="572">
        <v>160</v>
      </c>
      <c r="F66" s="572"/>
      <c r="G66" s="580">
        <f t="shared" si="0"/>
        <v>3375.2200000000157</v>
      </c>
    </row>
    <row r="67" spans="1:7" ht="13.5" customHeight="1" x14ac:dyDescent="0.2">
      <c r="A67" s="578"/>
      <c r="B67" s="569"/>
      <c r="C67" s="722" t="s">
        <v>8151</v>
      </c>
      <c r="D67" s="581"/>
      <c r="E67" s="572">
        <v>160</v>
      </c>
      <c r="F67" s="572"/>
      <c r="G67" s="580">
        <f t="shared" si="0"/>
        <v>3215.2200000000157</v>
      </c>
    </row>
    <row r="68" spans="1:7" ht="13.5" customHeight="1" x14ac:dyDescent="0.2">
      <c r="A68" s="578"/>
      <c r="B68" s="569"/>
      <c r="C68" s="722" t="s">
        <v>8152</v>
      </c>
      <c r="D68" s="581"/>
      <c r="E68" s="572">
        <v>78</v>
      </c>
      <c r="F68" s="572"/>
      <c r="G68" s="580">
        <f t="shared" ref="G68:G70" si="1">G67-E68+F68</f>
        <v>3137.2200000000157</v>
      </c>
    </row>
    <row r="69" spans="1:7" ht="13.5" customHeight="1" x14ac:dyDescent="0.2">
      <c r="A69" s="578"/>
      <c r="B69" s="569"/>
      <c r="C69" s="722" t="s">
        <v>8153</v>
      </c>
      <c r="D69" s="581"/>
      <c r="E69" s="572">
        <v>156</v>
      </c>
      <c r="F69" s="572"/>
      <c r="G69" s="580">
        <f t="shared" si="1"/>
        <v>2981.2200000000157</v>
      </c>
    </row>
    <row r="70" spans="1:7" ht="13.5" customHeight="1" x14ac:dyDescent="0.2">
      <c r="A70" s="578"/>
      <c r="B70" s="569"/>
      <c r="C70" s="722" t="s">
        <v>8154</v>
      </c>
      <c r="D70" s="581"/>
      <c r="E70" s="572">
        <v>120</v>
      </c>
      <c r="F70" s="572"/>
      <c r="G70" s="574">
        <f t="shared" si="1"/>
        <v>2861.2200000000157</v>
      </c>
    </row>
    <row r="71" spans="1:7" ht="13.5" customHeight="1" thickBot="1" x14ac:dyDescent="0.25">
      <c r="A71" s="578"/>
      <c r="B71" s="569"/>
      <c r="C71" s="569"/>
      <c r="D71" s="581"/>
      <c r="E71" s="572"/>
      <c r="F71" s="573"/>
      <c r="G71" s="580"/>
    </row>
    <row r="72" spans="1:7" ht="13.5" customHeight="1" thickBot="1" x14ac:dyDescent="0.25">
      <c r="A72" s="561" t="s">
        <v>2</v>
      </c>
      <c r="B72" s="562"/>
      <c r="C72" s="562" t="s">
        <v>536</v>
      </c>
      <c r="D72" s="562" t="s">
        <v>4</v>
      </c>
      <c r="E72" s="562" t="s">
        <v>5</v>
      </c>
      <c r="F72" s="562" t="s">
        <v>6</v>
      </c>
      <c r="G72" s="564" t="s">
        <v>7</v>
      </c>
    </row>
    <row r="73" spans="1:7" ht="13.5" customHeight="1" x14ac:dyDescent="0.2">
      <c r="A73" s="568">
        <v>45536</v>
      </c>
      <c r="B73" s="569"/>
      <c r="C73" s="570" t="s">
        <v>8</v>
      </c>
      <c r="D73" s="581"/>
      <c r="E73" s="804"/>
      <c r="F73" s="573"/>
      <c r="G73" s="574">
        <v>0</v>
      </c>
    </row>
    <row r="74" spans="1:7" ht="13.5" customHeight="1" x14ac:dyDescent="0.2">
      <c r="A74" s="578">
        <v>45540</v>
      </c>
      <c r="B74" s="569"/>
      <c r="C74" s="569" t="s">
        <v>8155</v>
      </c>
      <c r="D74" s="581"/>
      <c r="E74" s="804">
        <v>178</v>
      </c>
      <c r="F74" s="573"/>
      <c r="G74" s="580">
        <f t="shared" ref="G74:G98" si="2">G73-E74+F74</f>
        <v>-178</v>
      </c>
    </row>
    <row r="75" spans="1:7" ht="13.5" customHeight="1" x14ac:dyDescent="0.2">
      <c r="A75" s="578">
        <v>45553</v>
      </c>
      <c r="B75" s="569"/>
      <c r="C75" s="722" t="s">
        <v>8156</v>
      </c>
      <c r="D75" s="581"/>
      <c r="E75" s="804">
        <v>24</v>
      </c>
      <c r="F75" s="573"/>
      <c r="G75" s="580">
        <f>G74-E75+F75</f>
        <v>-202</v>
      </c>
    </row>
    <row r="76" spans="1:7" ht="13.5" customHeight="1" x14ac:dyDescent="0.2">
      <c r="A76" s="578">
        <v>45554</v>
      </c>
      <c r="B76" s="569"/>
      <c r="C76" s="722" t="s">
        <v>8157</v>
      </c>
      <c r="D76" s="581"/>
      <c r="E76" s="572">
        <v>15.7</v>
      </c>
      <c r="F76" s="573"/>
      <c r="G76" s="580">
        <f t="shared" si="2"/>
        <v>-217.7</v>
      </c>
    </row>
    <row r="77" spans="1:7" ht="13.5" customHeight="1" x14ac:dyDescent="0.2">
      <c r="A77" s="578">
        <v>45555</v>
      </c>
      <c r="B77" s="569"/>
      <c r="C77" s="722" t="s">
        <v>8158</v>
      </c>
      <c r="D77" s="581"/>
      <c r="E77" s="572">
        <v>33.36</v>
      </c>
      <c r="F77" s="573"/>
      <c r="G77" s="580">
        <f t="shared" si="2"/>
        <v>-251.06</v>
      </c>
    </row>
    <row r="78" spans="1:7" ht="13.5" customHeight="1" x14ac:dyDescent="0.2">
      <c r="A78" s="578"/>
      <c r="B78" s="569"/>
      <c r="C78" s="722" t="s">
        <v>8159</v>
      </c>
      <c r="D78" s="581"/>
      <c r="E78" s="572">
        <v>88.37</v>
      </c>
      <c r="F78" s="573"/>
      <c r="G78" s="580">
        <f t="shared" si="2"/>
        <v>-339.43</v>
      </c>
    </row>
    <row r="79" spans="1:7" ht="13.5" customHeight="1" x14ac:dyDescent="0.2">
      <c r="A79" s="578"/>
      <c r="B79" s="569"/>
      <c r="C79" s="722" t="s">
        <v>8160</v>
      </c>
      <c r="D79" s="581"/>
      <c r="E79" s="572">
        <v>154</v>
      </c>
      <c r="F79" s="573"/>
      <c r="G79" s="580">
        <f t="shared" si="2"/>
        <v>-493.43</v>
      </c>
    </row>
    <row r="80" spans="1:7" ht="13.5" customHeight="1" x14ac:dyDescent="0.2">
      <c r="A80" s="578"/>
      <c r="B80" s="569"/>
      <c r="C80" s="722" t="s">
        <v>8161</v>
      </c>
      <c r="D80" s="581"/>
      <c r="E80" s="572">
        <v>86.07</v>
      </c>
      <c r="F80" s="573"/>
      <c r="G80" s="580">
        <f t="shared" si="2"/>
        <v>-579.5</v>
      </c>
    </row>
    <row r="81" spans="1:7" ht="13.5" customHeight="1" x14ac:dyDescent="0.2">
      <c r="A81" s="578"/>
      <c r="B81" s="569"/>
      <c r="C81" s="722" t="s">
        <v>8162</v>
      </c>
      <c r="D81" s="581"/>
      <c r="E81" s="572">
        <v>63.76</v>
      </c>
      <c r="F81" s="573"/>
      <c r="G81" s="580">
        <f t="shared" si="2"/>
        <v>-643.26</v>
      </c>
    </row>
    <row r="82" spans="1:7" ht="13.5" customHeight="1" x14ac:dyDescent="0.2">
      <c r="A82" s="578"/>
      <c r="B82" s="569"/>
      <c r="C82" s="722" t="s">
        <v>8163</v>
      </c>
      <c r="D82" s="581"/>
      <c r="E82" s="572">
        <v>169</v>
      </c>
      <c r="F82" s="573"/>
      <c r="G82" s="580">
        <f t="shared" si="2"/>
        <v>-812.26</v>
      </c>
    </row>
    <row r="83" spans="1:7" ht="13.5" customHeight="1" x14ac:dyDescent="0.2">
      <c r="A83" s="578"/>
      <c r="B83" s="569"/>
      <c r="C83" s="722" t="s">
        <v>8164</v>
      </c>
      <c r="D83" s="581"/>
      <c r="E83" s="572">
        <v>1073.08</v>
      </c>
      <c r="F83" s="573"/>
      <c r="G83" s="580">
        <f t="shared" si="2"/>
        <v>-1885.34</v>
      </c>
    </row>
    <row r="84" spans="1:7" ht="13.5" customHeight="1" x14ac:dyDescent="0.2">
      <c r="A84" s="578"/>
      <c r="B84" s="569"/>
      <c r="C84" s="722" t="s">
        <v>8165</v>
      </c>
      <c r="D84" s="581"/>
      <c r="E84" s="572">
        <v>66.58</v>
      </c>
      <c r="F84" s="573"/>
      <c r="G84" s="580">
        <f t="shared" si="2"/>
        <v>-1951.9199999999998</v>
      </c>
    </row>
    <row r="85" spans="1:7" ht="13.5" customHeight="1" x14ac:dyDescent="0.2">
      <c r="A85" s="578"/>
      <c r="B85" s="569"/>
      <c r="C85" s="722" t="s">
        <v>8165</v>
      </c>
      <c r="D85" s="581"/>
      <c r="E85" s="572">
        <v>13.25</v>
      </c>
      <c r="F85" s="573"/>
      <c r="G85" s="580">
        <f t="shared" si="2"/>
        <v>-1965.1699999999998</v>
      </c>
    </row>
    <row r="86" spans="1:7" ht="13.5" customHeight="1" x14ac:dyDescent="0.2">
      <c r="A86" s="578"/>
      <c r="B86" s="569"/>
      <c r="C86" s="722" t="s">
        <v>8166</v>
      </c>
      <c r="D86" s="581"/>
      <c r="E86" s="572">
        <v>39.99</v>
      </c>
      <c r="F86" s="573"/>
      <c r="G86" s="580">
        <f t="shared" si="2"/>
        <v>-2005.1599999999999</v>
      </c>
    </row>
    <row r="87" spans="1:7" ht="13.5" customHeight="1" x14ac:dyDescent="0.2">
      <c r="A87" s="578"/>
      <c r="B87" s="569"/>
      <c r="C87" s="722" t="s">
        <v>8167</v>
      </c>
      <c r="D87" s="581"/>
      <c r="E87" s="572">
        <v>289.16000000000003</v>
      </c>
      <c r="F87" s="573"/>
      <c r="G87" s="580">
        <f t="shared" si="2"/>
        <v>-2294.3199999999997</v>
      </c>
    </row>
    <row r="88" spans="1:7" ht="13.5" customHeight="1" x14ac:dyDescent="0.2">
      <c r="A88" s="578"/>
      <c r="B88" s="569"/>
      <c r="C88" s="722" t="s">
        <v>8168</v>
      </c>
      <c r="D88" s="581"/>
      <c r="E88" s="572">
        <v>255.33</v>
      </c>
      <c r="F88" s="573"/>
      <c r="G88" s="580">
        <f t="shared" si="2"/>
        <v>-2549.6499999999996</v>
      </c>
    </row>
    <row r="89" spans="1:7" ht="13.5" customHeight="1" x14ac:dyDescent="0.2">
      <c r="A89" s="578"/>
      <c r="B89" s="569"/>
      <c r="C89" s="722" t="s">
        <v>8169</v>
      </c>
      <c r="D89" s="581"/>
      <c r="E89" s="572">
        <v>59.6</v>
      </c>
      <c r="F89" s="573"/>
      <c r="G89" s="580">
        <f t="shared" si="2"/>
        <v>-2609.2499999999995</v>
      </c>
    </row>
    <row r="90" spans="1:7" ht="13.5" customHeight="1" x14ac:dyDescent="0.2">
      <c r="A90" s="578"/>
      <c r="B90" s="569"/>
      <c r="C90" s="722" t="s">
        <v>8170</v>
      </c>
      <c r="D90" s="581"/>
      <c r="E90" s="572">
        <v>160.19</v>
      </c>
      <c r="F90" s="573"/>
      <c r="G90" s="580">
        <f t="shared" si="2"/>
        <v>-2769.4399999999996</v>
      </c>
    </row>
    <row r="91" spans="1:7" ht="13.5" customHeight="1" x14ac:dyDescent="0.2">
      <c r="A91" s="578">
        <v>45565</v>
      </c>
      <c r="B91" s="569"/>
      <c r="C91" s="722" t="s">
        <v>8171</v>
      </c>
      <c r="D91" s="581"/>
      <c r="E91" s="572"/>
      <c r="F91" s="573">
        <v>4000</v>
      </c>
      <c r="G91" s="580">
        <f t="shared" si="2"/>
        <v>1230.5600000000004</v>
      </c>
    </row>
    <row r="92" spans="1:7" ht="13.5" customHeight="1" x14ac:dyDescent="0.2">
      <c r="A92" s="578"/>
      <c r="B92" s="569"/>
      <c r="C92" s="722" t="s">
        <v>8172</v>
      </c>
      <c r="D92" s="581"/>
      <c r="E92" s="572"/>
      <c r="F92" s="573">
        <v>450</v>
      </c>
      <c r="G92" s="580">
        <f t="shared" si="2"/>
        <v>1680.5600000000004</v>
      </c>
    </row>
    <row r="93" spans="1:7" ht="13.5" customHeight="1" x14ac:dyDescent="0.2">
      <c r="A93" s="578"/>
      <c r="B93" s="569"/>
      <c r="C93" s="722" t="s">
        <v>8173</v>
      </c>
      <c r="D93" s="581"/>
      <c r="E93" s="572">
        <v>4450</v>
      </c>
      <c r="F93" s="573"/>
      <c r="G93" s="580">
        <f t="shared" si="2"/>
        <v>-2769.4399999999996</v>
      </c>
    </row>
    <row r="94" spans="1:7" ht="13.5" customHeight="1" x14ac:dyDescent="0.2">
      <c r="A94" s="578"/>
      <c r="B94" s="569"/>
      <c r="C94" s="722" t="s">
        <v>8174</v>
      </c>
      <c r="D94" s="581"/>
      <c r="E94" s="572"/>
      <c r="F94" s="573">
        <v>13.975</v>
      </c>
      <c r="G94" s="580">
        <f t="shared" si="2"/>
        <v>-2755.4649999999997</v>
      </c>
    </row>
    <row r="95" spans="1:7" ht="13.5" customHeight="1" x14ac:dyDescent="0.2">
      <c r="A95" s="578"/>
      <c r="B95" s="569"/>
      <c r="C95" s="722" t="s">
        <v>8175</v>
      </c>
      <c r="D95" s="581"/>
      <c r="E95" s="572"/>
      <c r="F95" s="573">
        <v>119</v>
      </c>
      <c r="G95" s="580">
        <f t="shared" si="2"/>
        <v>-2636.4649999999997</v>
      </c>
    </row>
    <row r="96" spans="1:7" ht="13.5" customHeight="1" x14ac:dyDescent="0.2">
      <c r="A96" s="578"/>
      <c r="B96" s="569"/>
      <c r="C96" s="722" t="s">
        <v>8176</v>
      </c>
      <c r="D96" s="581"/>
      <c r="E96" s="572">
        <v>132.99</v>
      </c>
      <c r="F96" s="573"/>
      <c r="G96" s="580">
        <f t="shared" si="2"/>
        <v>-2769.4549999999999</v>
      </c>
    </row>
    <row r="97" spans="1:24" ht="13.5" customHeight="1" x14ac:dyDescent="0.2">
      <c r="A97" s="578"/>
      <c r="B97" s="569"/>
      <c r="C97" s="722" t="s">
        <v>8177</v>
      </c>
      <c r="D97" s="581"/>
      <c r="E97" s="572"/>
      <c r="F97" s="573">
        <v>1500</v>
      </c>
      <c r="G97" s="580">
        <f t="shared" si="2"/>
        <v>-1269.4549999999999</v>
      </c>
    </row>
    <row r="98" spans="1:24" ht="13.5" customHeight="1" x14ac:dyDescent="0.2">
      <c r="A98" s="578"/>
      <c r="B98" s="569"/>
      <c r="C98" s="722" t="s">
        <v>8178</v>
      </c>
      <c r="D98" s="581"/>
      <c r="E98" s="572">
        <v>1500</v>
      </c>
      <c r="F98" s="573"/>
      <c r="G98" s="580">
        <f t="shared" si="2"/>
        <v>-2769.4549999999999</v>
      </c>
    </row>
    <row r="99" spans="1:24" ht="13.5" customHeight="1" x14ac:dyDescent="0.2">
      <c r="A99" s="578"/>
      <c r="B99" s="569"/>
      <c r="C99" s="569" t="s">
        <v>8179</v>
      </c>
      <c r="D99" s="581"/>
      <c r="E99" s="572"/>
      <c r="F99" s="573">
        <v>2769.46</v>
      </c>
      <c r="G99" s="574">
        <v>0</v>
      </c>
    </row>
    <row r="100" spans="1:24" s="823" customFormat="1" ht="13.5" customHeight="1" thickBot="1" x14ac:dyDescent="0.25">
      <c r="A100" s="820"/>
      <c r="B100" s="795"/>
      <c r="C100" s="795"/>
      <c r="D100" s="803"/>
      <c r="E100" s="804"/>
      <c r="F100" s="782"/>
      <c r="G100" s="806"/>
      <c r="H100" s="97"/>
      <c r="I100" s="97"/>
      <c r="J100" s="97"/>
      <c r="K100" s="97"/>
      <c r="L100" s="97"/>
      <c r="M100" s="97"/>
      <c r="N100" s="97"/>
      <c r="O100" s="97"/>
      <c r="P100" s="97"/>
      <c r="Q100" s="97"/>
      <c r="R100" s="97"/>
      <c r="S100" s="97"/>
      <c r="T100" s="97"/>
      <c r="U100" s="97"/>
      <c r="V100" s="97"/>
      <c r="W100" s="97"/>
      <c r="X100" s="97"/>
    </row>
    <row r="101" spans="1:24" ht="13.5" customHeight="1" thickBot="1" x14ac:dyDescent="0.25">
      <c r="A101" s="561" t="s">
        <v>2</v>
      </c>
      <c r="B101" s="562"/>
      <c r="C101" s="562" t="s">
        <v>8180</v>
      </c>
      <c r="D101" s="562" t="s">
        <v>4</v>
      </c>
      <c r="E101" s="562" t="s">
        <v>5</v>
      </c>
      <c r="F101" s="562" t="s">
        <v>6</v>
      </c>
      <c r="G101" s="564" t="s">
        <v>7</v>
      </c>
    </row>
    <row r="102" spans="1:24" ht="13.5" customHeight="1" x14ac:dyDescent="0.2">
      <c r="A102" s="568">
        <v>45536</v>
      </c>
      <c r="B102" s="569"/>
      <c r="C102" s="570" t="s">
        <v>8</v>
      </c>
      <c r="D102" s="581"/>
      <c r="E102" s="804"/>
      <c r="F102" s="573"/>
      <c r="G102" s="574">
        <v>169844.2099999999</v>
      </c>
    </row>
    <row r="103" spans="1:24" ht="13.5" customHeight="1" x14ac:dyDescent="0.2">
      <c r="A103" s="578">
        <v>45537</v>
      </c>
      <c r="B103" s="569"/>
      <c r="C103" s="569" t="s">
        <v>8181</v>
      </c>
      <c r="D103" s="1430"/>
      <c r="E103" s="572"/>
      <c r="F103" s="573">
        <v>270</v>
      </c>
      <c r="G103" s="580">
        <f t="shared" ref="G103:G166" si="3">G102-E103+F103</f>
        <v>170114.2099999999</v>
      </c>
    </row>
    <row r="104" spans="1:24" ht="13.5" customHeight="1" x14ac:dyDescent="0.2">
      <c r="A104" s="578"/>
      <c r="B104" s="569"/>
      <c r="C104" s="569" t="s">
        <v>8182</v>
      </c>
      <c r="D104" s="1430"/>
      <c r="E104" s="572">
        <v>33</v>
      </c>
      <c r="F104" s="573"/>
      <c r="G104" s="580">
        <f t="shared" si="3"/>
        <v>170081.2099999999</v>
      </c>
    </row>
    <row r="105" spans="1:24" ht="13.5" customHeight="1" x14ac:dyDescent="0.2">
      <c r="A105" s="578">
        <v>45538</v>
      </c>
      <c r="B105" s="569"/>
      <c r="C105" s="722" t="s">
        <v>8183</v>
      </c>
      <c r="D105" s="1430"/>
      <c r="E105" s="572"/>
      <c r="F105" s="573">
        <v>70</v>
      </c>
      <c r="G105" s="580">
        <f t="shared" si="3"/>
        <v>170151.2099999999</v>
      </c>
    </row>
    <row r="106" spans="1:24" ht="13.5" customHeight="1" x14ac:dyDescent="0.2">
      <c r="A106" s="578"/>
      <c r="B106" s="569"/>
      <c r="C106" s="569" t="s">
        <v>8184</v>
      </c>
      <c r="D106" s="1430"/>
      <c r="E106" s="572"/>
      <c r="F106" s="573">
        <v>270</v>
      </c>
      <c r="G106" s="580">
        <f t="shared" si="3"/>
        <v>170421.2099999999</v>
      </c>
    </row>
    <row r="107" spans="1:24" ht="13.5" customHeight="1" x14ac:dyDescent="0.2">
      <c r="A107" s="578"/>
      <c r="B107" s="569"/>
      <c r="C107" s="569" t="s">
        <v>8185</v>
      </c>
      <c r="D107" s="1430"/>
      <c r="E107" s="572"/>
      <c r="F107" s="573">
        <v>1682.85</v>
      </c>
      <c r="G107" s="580">
        <f t="shared" si="3"/>
        <v>172104.05999999991</v>
      </c>
    </row>
    <row r="108" spans="1:24" ht="13.5" customHeight="1" x14ac:dyDescent="0.2">
      <c r="A108" s="578"/>
      <c r="B108" s="569"/>
      <c r="C108" s="569" t="s">
        <v>8186</v>
      </c>
      <c r="D108" s="1430"/>
      <c r="E108" s="572"/>
      <c r="F108" s="573">
        <v>170</v>
      </c>
      <c r="G108" s="580">
        <f t="shared" si="3"/>
        <v>172274.05999999991</v>
      </c>
    </row>
    <row r="109" spans="1:24" ht="13.5" customHeight="1" x14ac:dyDescent="0.2">
      <c r="A109" s="578"/>
      <c r="B109" s="569"/>
      <c r="C109" s="569" t="s">
        <v>8187</v>
      </c>
      <c r="D109" s="1430"/>
      <c r="E109" s="572"/>
      <c r="F109" s="573">
        <v>120</v>
      </c>
      <c r="G109" s="580">
        <f t="shared" si="3"/>
        <v>172394.05999999991</v>
      </c>
    </row>
    <row r="110" spans="1:24" ht="13.5" customHeight="1" x14ac:dyDescent="0.2">
      <c r="A110" s="578"/>
      <c r="B110" s="569"/>
      <c r="C110" s="569" t="s">
        <v>8188</v>
      </c>
      <c r="D110" s="1430"/>
      <c r="E110" s="572"/>
      <c r="F110" s="573">
        <v>1895</v>
      </c>
      <c r="G110" s="580">
        <f t="shared" si="3"/>
        <v>174289.05999999991</v>
      </c>
    </row>
    <row r="111" spans="1:24" ht="13.5" customHeight="1" x14ac:dyDescent="0.2">
      <c r="A111" s="578"/>
      <c r="B111" s="569"/>
      <c r="C111" s="722" t="s">
        <v>8189</v>
      </c>
      <c r="D111" s="1430"/>
      <c r="E111" s="572"/>
      <c r="F111" s="573">
        <v>70</v>
      </c>
      <c r="G111" s="580">
        <f t="shared" si="3"/>
        <v>174359.05999999991</v>
      </c>
    </row>
    <row r="112" spans="1:24" ht="13.5" customHeight="1" x14ac:dyDescent="0.2">
      <c r="A112" s="578">
        <v>45539</v>
      </c>
      <c r="B112" s="569"/>
      <c r="C112" s="722" t="s">
        <v>8190</v>
      </c>
      <c r="D112" s="1430"/>
      <c r="E112" s="572"/>
      <c r="F112" s="573">
        <v>270</v>
      </c>
      <c r="G112" s="580">
        <f t="shared" si="3"/>
        <v>174629.05999999991</v>
      </c>
      <c r="H112" s="791"/>
      <c r="I112" s="791"/>
      <c r="J112" s="791"/>
    </row>
    <row r="113" spans="1:24" ht="13.5" customHeight="1" x14ac:dyDescent="0.2">
      <c r="A113" s="578"/>
      <c r="B113" s="569"/>
      <c r="C113" s="795" t="s">
        <v>8191</v>
      </c>
      <c r="D113" s="1430"/>
      <c r="E113" s="572"/>
      <c r="F113" s="573">
        <v>2092.54</v>
      </c>
      <c r="G113" s="580">
        <f t="shared" si="3"/>
        <v>176721.59999999992</v>
      </c>
    </row>
    <row r="114" spans="1:24" ht="13.5" customHeight="1" x14ac:dyDescent="0.2">
      <c r="A114" s="578"/>
      <c r="B114" s="569"/>
      <c r="C114" s="722" t="s">
        <v>8192</v>
      </c>
      <c r="D114" s="1430"/>
      <c r="E114" s="572"/>
      <c r="F114" s="573">
        <v>70</v>
      </c>
      <c r="G114" s="580">
        <f t="shared" si="3"/>
        <v>176791.59999999992</v>
      </c>
      <c r="H114" s="791"/>
      <c r="I114" s="791"/>
      <c r="J114" s="791"/>
    </row>
    <row r="115" spans="1:24" ht="13.5" customHeight="1" x14ac:dyDescent="0.2">
      <c r="A115" s="578"/>
      <c r="B115" s="569"/>
      <c r="C115" s="569" t="s">
        <v>8193</v>
      </c>
      <c r="D115" s="1430"/>
      <c r="E115" s="572">
        <v>2000</v>
      </c>
      <c r="F115" s="573"/>
      <c r="G115" s="580">
        <f t="shared" si="3"/>
        <v>174791.59999999992</v>
      </c>
      <c r="H115" s="791"/>
      <c r="I115" s="791"/>
      <c r="J115" s="791"/>
    </row>
    <row r="116" spans="1:24" ht="13.5" customHeight="1" x14ac:dyDescent="0.2">
      <c r="A116" s="578"/>
      <c r="B116" s="569"/>
      <c r="C116" s="569" t="s">
        <v>8194</v>
      </c>
      <c r="D116" s="1430"/>
      <c r="E116" s="572">
        <v>2000</v>
      </c>
      <c r="F116" s="573"/>
      <c r="G116" s="580">
        <f t="shared" si="3"/>
        <v>172791.59999999992</v>
      </c>
      <c r="H116" s="791"/>
      <c r="I116" s="791"/>
      <c r="J116" s="791"/>
    </row>
    <row r="117" spans="1:24" ht="13.5" customHeight="1" x14ac:dyDescent="0.2">
      <c r="A117" s="578"/>
      <c r="B117" s="569"/>
      <c r="C117" s="722" t="s">
        <v>8195</v>
      </c>
      <c r="D117" s="1430"/>
      <c r="E117" s="813">
        <v>2000</v>
      </c>
      <c r="F117" s="573"/>
      <c r="G117" s="580">
        <f t="shared" si="3"/>
        <v>170791.59999999992</v>
      </c>
    </row>
    <row r="118" spans="1:24" ht="13.5" customHeight="1" x14ac:dyDescent="0.2">
      <c r="A118" s="578"/>
      <c r="B118" s="569"/>
      <c r="C118" s="722" t="s">
        <v>8196</v>
      </c>
      <c r="D118" s="1430"/>
      <c r="E118" s="813">
        <v>2000</v>
      </c>
      <c r="F118" s="573"/>
      <c r="G118" s="580">
        <f t="shared" si="3"/>
        <v>168791.59999999992</v>
      </c>
      <c r="H118" s="791">
        <f>G118-96911.41-65230.09</f>
        <v>6650.0999999999185</v>
      </c>
      <c r="I118" s="791">
        <f>J118-H118</f>
        <v>268.7800000000816</v>
      </c>
      <c r="J118" s="791">
        <v>6918.88</v>
      </c>
    </row>
    <row r="119" spans="1:24" s="823" customFormat="1" ht="13.5" customHeight="1" x14ac:dyDescent="0.2">
      <c r="A119" s="578">
        <v>45540</v>
      </c>
      <c r="B119" s="569"/>
      <c r="C119" s="569" t="s">
        <v>8197</v>
      </c>
      <c r="D119" s="1430"/>
      <c r="E119" s="572"/>
      <c r="F119" s="573">
        <v>270</v>
      </c>
      <c r="G119" s="580">
        <f t="shared" si="3"/>
        <v>169061.59999999992</v>
      </c>
      <c r="H119" s="791"/>
      <c r="I119" s="791"/>
      <c r="J119" s="791"/>
      <c r="K119" s="97"/>
      <c r="L119" s="97"/>
      <c r="M119" s="97"/>
      <c r="N119" s="97"/>
      <c r="O119" s="97"/>
      <c r="P119" s="97"/>
      <c r="Q119" s="97"/>
      <c r="R119" s="97"/>
      <c r="S119" s="97"/>
      <c r="T119" s="97"/>
      <c r="U119" s="97"/>
      <c r="V119" s="97"/>
      <c r="W119" s="97"/>
      <c r="X119" s="97"/>
    </row>
    <row r="120" spans="1:24" s="823" customFormat="1" ht="13.5" customHeight="1" x14ac:dyDescent="0.2">
      <c r="A120" s="578"/>
      <c r="B120" s="569"/>
      <c r="C120" s="569" t="s">
        <v>8198</v>
      </c>
      <c r="D120" s="1430"/>
      <c r="E120" s="572">
        <v>4147.7</v>
      </c>
      <c r="F120" s="573"/>
      <c r="G120" s="580">
        <f t="shared" si="3"/>
        <v>164913.89999999991</v>
      </c>
      <c r="H120" s="97"/>
      <c r="I120" s="97"/>
      <c r="J120" s="97"/>
      <c r="K120" s="97"/>
      <c r="L120" s="97"/>
      <c r="M120" s="97"/>
      <c r="N120" s="97"/>
      <c r="O120" s="97"/>
      <c r="P120" s="97"/>
      <c r="Q120" s="97"/>
      <c r="R120" s="97"/>
      <c r="S120" s="97"/>
      <c r="T120" s="97"/>
      <c r="U120" s="97"/>
      <c r="V120" s="97"/>
      <c r="W120" s="97"/>
      <c r="X120" s="97"/>
    </row>
    <row r="121" spans="1:24" s="823" customFormat="1" ht="13.5" customHeight="1" x14ac:dyDescent="0.2">
      <c r="A121" s="578">
        <v>45541</v>
      </c>
      <c r="B121" s="569"/>
      <c r="C121" s="569" t="s">
        <v>8199</v>
      </c>
      <c r="D121" s="1430"/>
      <c r="E121" s="572"/>
      <c r="F121" s="573">
        <v>270</v>
      </c>
      <c r="G121" s="580">
        <f t="shared" si="3"/>
        <v>165183.89999999991</v>
      </c>
      <c r="H121" s="97"/>
      <c r="I121" s="97"/>
      <c r="J121" s="97"/>
      <c r="K121" s="97"/>
      <c r="L121" s="97"/>
      <c r="M121" s="97"/>
      <c r="N121" s="97"/>
      <c r="O121" s="97"/>
      <c r="P121" s="97"/>
      <c r="Q121" s="97"/>
      <c r="R121" s="97"/>
      <c r="S121" s="97"/>
      <c r="T121" s="97"/>
      <c r="U121" s="97"/>
      <c r="V121" s="97"/>
      <c r="W121" s="97"/>
      <c r="X121" s="97"/>
    </row>
    <row r="122" spans="1:24" s="823" customFormat="1" ht="13.5" customHeight="1" x14ac:dyDescent="0.2">
      <c r="A122" s="578"/>
      <c r="B122" s="569"/>
      <c r="C122" s="569" t="s">
        <v>8200</v>
      </c>
      <c r="D122" s="1430"/>
      <c r="E122" s="572"/>
      <c r="F122" s="573">
        <v>250</v>
      </c>
      <c r="G122" s="580">
        <f t="shared" si="3"/>
        <v>165433.89999999991</v>
      </c>
      <c r="H122" s="97"/>
      <c r="I122" s="97"/>
      <c r="J122" s="97"/>
      <c r="K122" s="97"/>
      <c r="L122" s="97"/>
      <c r="M122" s="97"/>
      <c r="N122" s="97"/>
      <c r="O122" s="97"/>
      <c r="P122" s="97"/>
      <c r="Q122" s="97"/>
      <c r="R122" s="97"/>
      <c r="S122" s="97"/>
      <c r="T122" s="97"/>
      <c r="U122" s="97"/>
      <c r="V122" s="97"/>
      <c r="W122" s="97"/>
      <c r="X122" s="97"/>
    </row>
    <row r="123" spans="1:24" s="823" customFormat="1" ht="13.5" customHeight="1" x14ac:dyDescent="0.2">
      <c r="A123" s="578"/>
      <c r="B123" s="569"/>
      <c r="C123" s="569" t="s">
        <v>8201</v>
      </c>
      <c r="D123" s="1430"/>
      <c r="E123" s="572"/>
      <c r="F123" s="573">
        <v>250</v>
      </c>
      <c r="G123" s="580">
        <f t="shared" si="3"/>
        <v>165683.89999999991</v>
      </c>
      <c r="H123" s="97"/>
      <c r="I123" s="97"/>
      <c r="J123" s="97"/>
      <c r="K123" s="97"/>
      <c r="L123" s="97"/>
      <c r="M123" s="97"/>
      <c r="N123" s="97"/>
      <c r="O123" s="97"/>
      <c r="P123" s="97"/>
      <c r="Q123" s="97"/>
      <c r="R123" s="97"/>
      <c r="S123" s="97"/>
      <c r="T123" s="97"/>
      <c r="U123" s="97"/>
      <c r="V123" s="97"/>
      <c r="W123" s="97"/>
      <c r="X123" s="97"/>
    </row>
    <row r="124" spans="1:24" s="823" customFormat="1" ht="13.5" customHeight="1" x14ac:dyDescent="0.2">
      <c r="A124" s="578"/>
      <c r="B124" s="569"/>
      <c r="C124" s="569" t="s">
        <v>8202</v>
      </c>
      <c r="D124" s="1430"/>
      <c r="E124" s="572"/>
      <c r="F124" s="573">
        <v>250</v>
      </c>
      <c r="G124" s="580">
        <f t="shared" si="3"/>
        <v>165933.89999999991</v>
      </c>
      <c r="H124" s="97"/>
      <c r="I124" s="97"/>
      <c r="J124" s="97"/>
      <c r="K124" s="97"/>
      <c r="L124" s="97"/>
      <c r="M124" s="97"/>
      <c r="N124" s="97"/>
      <c r="O124" s="97"/>
      <c r="P124" s="97"/>
      <c r="Q124" s="97"/>
      <c r="R124" s="97"/>
      <c r="S124" s="97"/>
      <c r="T124" s="97"/>
      <c r="U124" s="97"/>
      <c r="V124" s="97"/>
      <c r="W124" s="97"/>
      <c r="X124" s="97"/>
    </row>
    <row r="125" spans="1:24" s="823" customFormat="1" ht="13.5" customHeight="1" x14ac:dyDescent="0.2">
      <c r="A125" s="578"/>
      <c r="B125" s="569"/>
      <c r="C125" s="569" t="s">
        <v>8203</v>
      </c>
      <c r="D125" s="1430"/>
      <c r="E125" s="572"/>
      <c r="F125" s="573">
        <v>270</v>
      </c>
      <c r="G125" s="580">
        <f t="shared" si="3"/>
        <v>166203.89999999991</v>
      </c>
      <c r="H125" s="97"/>
      <c r="I125" s="97"/>
      <c r="J125" s="97"/>
      <c r="K125" s="97"/>
      <c r="L125" s="97"/>
      <c r="M125" s="97"/>
      <c r="N125" s="97"/>
      <c r="O125" s="97"/>
      <c r="P125" s="97"/>
      <c r="Q125" s="97"/>
      <c r="R125" s="97"/>
      <c r="S125" s="97"/>
      <c r="T125" s="97"/>
      <c r="U125" s="97"/>
      <c r="V125" s="97"/>
      <c r="W125" s="97"/>
      <c r="X125" s="97"/>
    </row>
    <row r="126" spans="1:24" s="823" customFormat="1" ht="13.5" customHeight="1" x14ac:dyDescent="0.2">
      <c r="A126" s="578"/>
      <c r="B126" s="569"/>
      <c r="C126" s="722" t="s">
        <v>8204</v>
      </c>
      <c r="D126" s="1430"/>
      <c r="E126" s="572"/>
      <c r="F126" s="573">
        <v>70</v>
      </c>
      <c r="G126" s="580">
        <f t="shared" si="3"/>
        <v>166273.89999999991</v>
      </c>
      <c r="H126" s="97"/>
      <c r="I126" s="97"/>
      <c r="J126" s="97"/>
      <c r="K126" s="97"/>
      <c r="L126" s="97"/>
      <c r="M126" s="97"/>
      <c r="N126" s="97"/>
      <c r="O126" s="97"/>
      <c r="P126" s="97"/>
      <c r="Q126" s="97"/>
      <c r="R126" s="97"/>
      <c r="S126" s="97"/>
      <c r="T126" s="97"/>
      <c r="U126" s="97"/>
      <c r="V126" s="97"/>
      <c r="W126" s="97"/>
      <c r="X126" s="97"/>
    </row>
    <row r="127" spans="1:24" s="823" customFormat="1" ht="13.5" customHeight="1" x14ac:dyDescent="0.2">
      <c r="A127" s="578">
        <v>45542</v>
      </c>
      <c r="B127" s="569"/>
      <c r="C127" s="569" t="s">
        <v>8205</v>
      </c>
      <c r="D127" s="1430"/>
      <c r="E127" s="572">
        <v>17000</v>
      </c>
      <c r="F127" s="573"/>
      <c r="G127" s="580">
        <f t="shared" si="3"/>
        <v>149273.89999999991</v>
      </c>
      <c r="H127" s="97"/>
      <c r="I127" s="97"/>
      <c r="J127" s="97"/>
      <c r="K127" s="97"/>
      <c r="L127" s="97"/>
      <c r="M127" s="97"/>
      <c r="N127" s="97"/>
      <c r="O127" s="97"/>
      <c r="P127" s="97"/>
      <c r="Q127" s="97"/>
      <c r="R127" s="97"/>
      <c r="S127" s="97"/>
      <c r="T127" s="97"/>
      <c r="U127" s="97"/>
      <c r="V127" s="97"/>
      <c r="W127" s="97"/>
      <c r="X127" s="97"/>
    </row>
    <row r="128" spans="1:24" s="823" customFormat="1" ht="13.5" customHeight="1" x14ac:dyDescent="0.2">
      <c r="A128" s="578">
        <v>45543</v>
      </c>
      <c r="B128" s="569"/>
      <c r="C128" s="569" t="s">
        <v>8206</v>
      </c>
      <c r="D128" s="1430"/>
      <c r="E128" s="572"/>
      <c r="F128" s="573">
        <v>280</v>
      </c>
      <c r="G128" s="580">
        <f t="shared" si="3"/>
        <v>149553.89999999991</v>
      </c>
      <c r="H128" s="97"/>
      <c r="I128" s="97"/>
      <c r="J128" s="97"/>
      <c r="K128" s="97"/>
      <c r="L128" s="97"/>
      <c r="M128" s="97"/>
      <c r="N128" s="97"/>
      <c r="O128" s="97"/>
      <c r="P128" s="97"/>
      <c r="Q128" s="97"/>
      <c r="R128" s="97"/>
      <c r="S128" s="97"/>
      <c r="T128" s="97"/>
      <c r="U128" s="97"/>
      <c r="V128" s="97"/>
      <c r="W128" s="97"/>
      <c r="X128" s="97"/>
    </row>
    <row r="129" spans="1:24" s="823" customFormat="1" ht="13.5" customHeight="1" x14ac:dyDescent="0.2">
      <c r="A129" s="578">
        <v>45544</v>
      </c>
      <c r="B129" s="569"/>
      <c r="C129" s="569" t="s">
        <v>8207</v>
      </c>
      <c r="D129" s="1430"/>
      <c r="E129" s="572"/>
      <c r="F129" s="573">
        <v>1777.73</v>
      </c>
      <c r="G129" s="580">
        <f t="shared" si="3"/>
        <v>151331.62999999992</v>
      </c>
      <c r="H129" s="97"/>
      <c r="I129" s="97"/>
      <c r="J129" s="97"/>
      <c r="K129" s="97"/>
      <c r="L129" s="97"/>
      <c r="M129" s="97"/>
      <c r="N129" s="97"/>
      <c r="O129" s="97"/>
      <c r="P129" s="97"/>
      <c r="Q129" s="97"/>
      <c r="R129" s="97"/>
      <c r="S129" s="97"/>
      <c r="T129" s="97"/>
      <c r="U129" s="97"/>
      <c r="V129" s="97"/>
      <c r="W129" s="97"/>
      <c r="X129" s="97"/>
    </row>
    <row r="130" spans="1:24" s="823" customFormat="1" ht="13.5" customHeight="1" x14ac:dyDescent="0.2">
      <c r="A130" s="578"/>
      <c r="B130" s="569"/>
      <c r="C130" s="569" t="s">
        <v>8208</v>
      </c>
      <c r="D130" s="1430"/>
      <c r="E130" s="572"/>
      <c r="F130" s="573">
        <v>70</v>
      </c>
      <c r="G130" s="580">
        <f t="shared" si="3"/>
        <v>151401.62999999992</v>
      </c>
      <c r="H130" s="97"/>
      <c r="I130" s="97"/>
      <c r="J130" s="97"/>
      <c r="K130" s="97"/>
      <c r="L130" s="97"/>
      <c r="M130" s="97"/>
      <c r="N130" s="97"/>
      <c r="O130" s="97"/>
      <c r="P130" s="97"/>
      <c r="Q130" s="97"/>
      <c r="R130" s="97"/>
      <c r="S130" s="97"/>
      <c r="T130" s="97"/>
      <c r="U130" s="97"/>
      <c r="V130" s="97"/>
      <c r="W130" s="97"/>
      <c r="X130" s="97"/>
    </row>
    <row r="131" spans="1:24" s="823" customFormat="1" ht="13.5" customHeight="1" x14ac:dyDescent="0.2">
      <c r="A131" s="578"/>
      <c r="B131" s="569"/>
      <c r="C131" s="795" t="s">
        <v>8209</v>
      </c>
      <c r="D131" s="1430"/>
      <c r="E131" s="572"/>
      <c r="F131" s="573">
        <v>1736.72</v>
      </c>
      <c r="G131" s="580">
        <f t="shared" si="3"/>
        <v>153138.34999999992</v>
      </c>
      <c r="H131" s="97"/>
      <c r="I131" s="97"/>
      <c r="J131" s="97"/>
      <c r="K131" s="97"/>
      <c r="L131" s="97"/>
      <c r="M131" s="97"/>
      <c r="N131" s="97"/>
      <c r="O131" s="97"/>
      <c r="P131" s="97"/>
      <c r="Q131" s="97"/>
      <c r="R131" s="97"/>
      <c r="S131" s="97"/>
      <c r="T131" s="97"/>
      <c r="U131" s="97"/>
      <c r="V131" s="97"/>
      <c r="W131" s="97"/>
      <c r="X131" s="97"/>
    </row>
    <row r="132" spans="1:24" s="823" customFormat="1" ht="13.5" customHeight="1" x14ac:dyDescent="0.2">
      <c r="A132" s="578"/>
      <c r="B132" s="569"/>
      <c r="C132" s="795" t="s">
        <v>8210</v>
      </c>
      <c r="D132" s="1430"/>
      <c r="E132" s="572"/>
      <c r="F132" s="573">
        <v>1744.04</v>
      </c>
      <c r="G132" s="580">
        <f t="shared" si="3"/>
        <v>154882.38999999993</v>
      </c>
      <c r="H132" s="97"/>
      <c r="I132" s="97"/>
      <c r="J132" s="97"/>
      <c r="K132" s="97"/>
      <c r="L132" s="97"/>
      <c r="M132" s="97"/>
      <c r="N132" s="97"/>
      <c r="O132" s="97"/>
      <c r="P132" s="97"/>
      <c r="Q132" s="97"/>
      <c r="R132" s="97"/>
      <c r="S132" s="97"/>
      <c r="T132" s="97"/>
      <c r="U132" s="97"/>
      <c r="V132" s="97"/>
      <c r="W132" s="97"/>
      <c r="X132" s="97"/>
    </row>
    <row r="133" spans="1:24" s="823" customFormat="1" ht="13.5" customHeight="1" x14ac:dyDescent="0.2">
      <c r="A133" s="578"/>
      <c r="B133" s="569"/>
      <c r="C133" s="569" t="s">
        <v>8211</v>
      </c>
      <c r="D133" s="1430"/>
      <c r="E133" s="572"/>
      <c r="F133" s="573">
        <v>270</v>
      </c>
      <c r="G133" s="580">
        <f t="shared" si="3"/>
        <v>155152.38999999993</v>
      </c>
      <c r="H133" s="97"/>
      <c r="I133" s="97"/>
      <c r="J133" s="97"/>
      <c r="K133" s="97"/>
      <c r="L133" s="97"/>
      <c r="M133" s="97"/>
      <c r="N133" s="97"/>
      <c r="O133" s="97"/>
      <c r="P133" s="97"/>
      <c r="Q133" s="97"/>
      <c r="R133" s="97"/>
      <c r="S133" s="97"/>
      <c r="T133" s="97"/>
      <c r="U133" s="97"/>
      <c r="V133" s="97"/>
      <c r="W133" s="97"/>
      <c r="X133" s="97"/>
    </row>
    <row r="134" spans="1:24" s="823" customFormat="1" ht="13.5" customHeight="1" x14ac:dyDescent="0.2">
      <c r="A134" s="578"/>
      <c r="B134" s="569"/>
      <c r="C134" s="795" t="s">
        <v>8212</v>
      </c>
      <c r="D134" s="1430"/>
      <c r="E134" s="572"/>
      <c r="F134" s="573">
        <v>270</v>
      </c>
      <c r="G134" s="580">
        <f t="shared" si="3"/>
        <v>155422.38999999993</v>
      </c>
      <c r="H134" s="97"/>
      <c r="I134" s="97"/>
      <c r="J134" s="97"/>
      <c r="K134" s="97"/>
      <c r="L134" s="97"/>
      <c r="M134" s="97"/>
      <c r="N134" s="97"/>
      <c r="O134" s="97"/>
      <c r="P134" s="97"/>
      <c r="Q134" s="97"/>
      <c r="R134" s="97"/>
      <c r="S134" s="97"/>
      <c r="T134" s="97"/>
      <c r="U134" s="97"/>
      <c r="V134" s="97"/>
      <c r="W134" s="97"/>
      <c r="X134" s="97"/>
    </row>
    <row r="135" spans="1:24" s="823" customFormat="1" ht="13.5" customHeight="1" x14ac:dyDescent="0.2">
      <c r="A135" s="578"/>
      <c r="B135" s="569"/>
      <c r="C135" s="569" t="s">
        <v>8213</v>
      </c>
      <c r="D135" s="1430"/>
      <c r="E135" s="572"/>
      <c r="F135" s="573">
        <v>1830.36</v>
      </c>
      <c r="G135" s="580">
        <f t="shared" si="3"/>
        <v>157252.74999999991</v>
      </c>
      <c r="H135" s="791">
        <f>G135-80105.69-65306.97</f>
        <v>11840.089999999909</v>
      </c>
      <c r="I135" s="791">
        <f>J135-H135</f>
        <v>548.97000000009029</v>
      </c>
      <c r="J135" s="791">
        <v>12389.06</v>
      </c>
      <c r="K135" s="97"/>
      <c r="L135" s="97"/>
      <c r="M135" s="97"/>
      <c r="N135" s="97"/>
      <c r="O135" s="97"/>
      <c r="P135" s="97"/>
      <c r="Q135" s="97"/>
      <c r="R135" s="97"/>
      <c r="S135" s="97"/>
      <c r="T135" s="97"/>
      <c r="U135" s="97"/>
      <c r="V135" s="97"/>
      <c r="W135" s="97"/>
      <c r="X135" s="97"/>
    </row>
    <row r="136" spans="1:24" s="823" customFormat="1" ht="13.5" customHeight="1" x14ac:dyDescent="0.2">
      <c r="A136" s="578">
        <v>45545</v>
      </c>
      <c r="B136" s="569"/>
      <c r="C136" s="569" t="s">
        <v>8214</v>
      </c>
      <c r="D136" s="1430"/>
      <c r="E136" s="572"/>
      <c r="F136" s="573">
        <v>4950</v>
      </c>
      <c r="G136" s="580">
        <f t="shared" si="3"/>
        <v>162202.74999999991</v>
      </c>
      <c r="H136" s="97"/>
      <c r="I136" s="97"/>
      <c r="J136" s="97"/>
      <c r="K136" s="97"/>
      <c r="L136" s="97"/>
      <c r="M136" s="97"/>
      <c r="N136" s="97"/>
      <c r="O136" s="97"/>
      <c r="P136" s="97"/>
      <c r="Q136" s="97"/>
      <c r="R136" s="97"/>
      <c r="S136" s="97"/>
      <c r="T136" s="97"/>
      <c r="U136" s="97"/>
      <c r="V136" s="97"/>
      <c r="W136" s="97"/>
      <c r="X136" s="97"/>
    </row>
    <row r="137" spans="1:24" s="823" customFormat="1" ht="13.5" customHeight="1" x14ac:dyDescent="0.2">
      <c r="A137" s="578"/>
      <c r="B137" s="569"/>
      <c r="C137" s="793" t="s">
        <v>8215</v>
      </c>
      <c r="D137" s="1430"/>
      <c r="E137" s="572"/>
      <c r="F137" s="573">
        <v>5900</v>
      </c>
      <c r="G137" s="580">
        <f t="shared" si="3"/>
        <v>168102.74999999991</v>
      </c>
      <c r="H137" s="97"/>
      <c r="I137" s="97"/>
      <c r="J137" s="97"/>
      <c r="K137" s="97"/>
      <c r="L137" s="97"/>
      <c r="M137" s="97"/>
      <c r="N137" s="97"/>
      <c r="O137" s="97"/>
      <c r="P137" s="97"/>
      <c r="Q137" s="97"/>
      <c r="R137" s="97"/>
      <c r="S137" s="97"/>
      <c r="T137" s="97"/>
      <c r="U137" s="97"/>
      <c r="V137" s="97"/>
      <c r="W137" s="97"/>
      <c r="X137" s="97"/>
    </row>
    <row r="138" spans="1:24" s="823" customFormat="1" ht="13.5" customHeight="1" x14ac:dyDescent="0.2">
      <c r="A138" s="578"/>
      <c r="B138" s="569"/>
      <c r="C138" s="569" t="s">
        <v>8216</v>
      </c>
      <c r="D138" s="1430"/>
      <c r="E138" s="572"/>
      <c r="F138" s="573">
        <v>270</v>
      </c>
      <c r="G138" s="580">
        <f t="shared" si="3"/>
        <v>168372.74999999991</v>
      </c>
      <c r="H138" s="97"/>
      <c r="I138" s="97"/>
      <c r="J138" s="97"/>
      <c r="K138" s="97"/>
      <c r="L138" s="97"/>
      <c r="M138" s="97"/>
      <c r="N138" s="97"/>
      <c r="O138" s="97"/>
      <c r="P138" s="97"/>
      <c r="Q138" s="97"/>
      <c r="R138" s="97"/>
      <c r="S138" s="97"/>
      <c r="T138" s="97"/>
      <c r="U138" s="97"/>
      <c r="V138" s="97"/>
      <c r="W138" s="97"/>
      <c r="X138" s="97"/>
    </row>
    <row r="139" spans="1:24" s="823" customFormat="1" ht="13.5" customHeight="1" x14ac:dyDescent="0.2">
      <c r="A139" s="578"/>
      <c r="B139" s="569"/>
      <c r="C139" s="793" t="s">
        <v>8217</v>
      </c>
      <c r="D139" s="1430"/>
      <c r="E139" s="572"/>
      <c r="F139" s="573">
        <v>270</v>
      </c>
      <c r="G139" s="580">
        <f t="shared" si="3"/>
        <v>168642.74999999991</v>
      </c>
      <c r="H139" s="791"/>
      <c r="I139" s="791"/>
      <c r="J139" s="791"/>
      <c r="K139" s="97"/>
      <c r="L139" s="97"/>
      <c r="M139" s="97"/>
      <c r="N139" s="97"/>
      <c r="O139" s="97"/>
      <c r="P139" s="97"/>
      <c r="Q139" s="97"/>
      <c r="R139" s="97"/>
      <c r="S139" s="97"/>
      <c r="T139" s="97"/>
      <c r="U139" s="97"/>
      <c r="V139" s="97"/>
      <c r="W139" s="97"/>
      <c r="X139" s="97"/>
    </row>
    <row r="140" spans="1:24" s="823" customFormat="1" ht="13.5" customHeight="1" x14ac:dyDescent="0.2">
      <c r="A140" s="578"/>
      <c r="B140" s="569"/>
      <c r="C140" s="569" t="s">
        <v>8218</v>
      </c>
      <c r="D140" s="1430"/>
      <c r="E140" s="572">
        <v>22000</v>
      </c>
      <c r="F140" s="573"/>
      <c r="G140" s="580">
        <f t="shared" si="3"/>
        <v>146642.74999999991</v>
      </c>
      <c r="H140" s="791">
        <f>G140-80141.87-65332.61</f>
        <v>1168.2699999999168</v>
      </c>
      <c r="I140" s="791">
        <f>J140-H140</f>
        <v>616.39000000008332</v>
      </c>
      <c r="J140" s="791">
        <v>1784.66</v>
      </c>
      <c r="K140" s="97"/>
      <c r="L140" s="97"/>
      <c r="M140" s="97"/>
      <c r="N140" s="97"/>
      <c r="O140" s="97"/>
      <c r="P140" s="97"/>
      <c r="Q140" s="97"/>
      <c r="R140" s="97"/>
      <c r="S140" s="97"/>
      <c r="T140" s="97"/>
      <c r="U140" s="97"/>
      <c r="V140" s="97"/>
      <c r="W140" s="97"/>
      <c r="X140" s="97"/>
    </row>
    <row r="141" spans="1:24" s="823" customFormat="1" ht="13.5" customHeight="1" x14ac:dyDescent="0.2">
      <c r="A141" s="578"/>
      <c r="B141" s="569"/>
      <c r="C141" s="569" t="s">
        <v>8219</v>
      </c>
      <c r="D141" s="1430"/>
      <c r="E141" s="572"/>
      <c r="F141" s="573">
        <v>250</v>
      </c>
      <c r="G141" s="580">
        <f t="shared" si="3"/>
        <v>146892.74999999991</v>
      </c>
      <c r="H141" s="791"/>
      <c r="I141" s="791"/>
      <c r="J141" s="791"/>
      <c r="K141" s="97"/>
      <c r="L141" s="97"/>
      <c r="M141" s="97"/>
      <c r="N141" s="97"/>
      <c r="O141" s="97"/>
      <c r="P141" s="97"/>
      <c r="Q141" s="97"/>
      <c r="R141" s="97"/>
      <c r="S141" s="97"/>
      <c r="T141" s="97"/>
      <c r="U141" s="97"/>
      <c r="V141" s="97"/>
      <c r="W141" s="97"/>
      <c r="X141" s="97"/>
    </row>
    <row r="142" spans="1:24" s="823" customFormat="1" ht="13.5" customHeight="1" x14ac:dyDescent="0.2">
      <c r="A142" s="578"/>
      <c r="B142" s="569"/>
      <c r="C142" s="569" t="s">
        <v>8220</v>
      </c>
      <c r="D142" s="1430"/>
      <c r="E142" s="572"/>
      <c r="F142" s="573">
        <v>5000</v>
      </c>
      <c r="G142" s="580">
        <f t="shared" si="3"/>
        <v>151892.74999999991</v>
      </c>
      <c r="H142" s="791"/>
      <c r="I142" s="791"/>
      <c r="J142" s="791"/>
      <c r="K142" s="97"/>
      <c r="L142" s="97"/>
      <c r="M142" s="97"/>
      <c r="N142" s="97"/>
      <c r="O142" s="97"/>
      <c r="P142" s="97"/>
      <c r="Q142" s="97"/>
      <c r="R142" s="97"/>
      <c r="S142" s="97"/>
      <c r="T142" s="97"/>
      <c r="U142" s="97"/>
      <c r="V142" s="97"/>
      <c r="W142" s="97"/>
      <c r="X142" s="97"/>
    </row>
    <row r="143" spans="1:24" s="823" customFormat="1" ht="13.5" customHeight="1" x14ac:dyDescent="0.2">
      <c r="A143" s="578"/>
      <c r="B143" s="569"/>
      <c r="C143" s="795" t="s">
        <v>8221</v>
      </c>
      <c r="D143" s="1430"/>
      <c r="E143" s="572"/>
      <c r="F143" s="573">
        <v>2405</v>
      </c>
      <c r="G143" s="580">
        <f t="shared" si="3"/>
        <v>154297.74999999991</v>
      </c>
      <c r="H143" s="791"/>
      <c r="I143" s="791"/>
      <c r="J143" s="791"/>
      <c r="K143" s="97"/>
      <c r="L143" s="97"/>
      <c r="M143" s="97"/>
      <c r="N143" s="97"/>
      <c r="O143" s="97"/>
      <c r="P143" s="97"/>
      <c r="Q143" s="97"/>
      <c r="R143" s="97"/>
      <c r="S143" s="97"/>
      <c r="T143" s="97"/>
      <c r="U143" s="97"/>
      <c r="V143" s="97"/>
      <c r="W143" s="97"/>
      <c r="X143" s="97"/>
    </row>
    <row r="144" spans="1:24" s="823" customFormat="1" ht="13.5" customHeight="1" x14ac:dyDescent="0.2">
      <c r="A144" s="578">
        <v>45546</v>
      </c>
      <c r="B144" s="569"/>
      <c r="C144" s="569" t="s">
        <v>8222</v>
      </c>
      <c r="D144" s="1430"/>
      <c r="E144" s="572"/>
      <c r="F144" s="573">
        <v>5287.74</v>
      </c>
      <c r="G144" s="580">
        <f t="shared" si="3"/>
        <v>159585.4899999999</v>
      </c>
      <c r="H144" s="791"/>
      <c r="I144" s="791"/>
      <c r="J144" s="791"/>
      <c r="K144" s="97"/>
      <c r="L144" s="97"/>
      <c r="M144" s="97"/>
      <c r="N144" s="97"/>
      <c r="O144" s="97"/>
      <c r="P144" s="97"/>
      <c r="Q144" s="97"/>
      <c r="R144" s="97"/>
      <c r="S144" s="97"/>
      <c r="T144" s="97"/>
      <c r="U144" s="97"/>
      <c r="V144" s="97"/>
      <c r="W144" s="97"/>
      <c r="X144" s="97"/>
    </row>
    <row r="145" spans="1:24" s="823" customFormat="1" ht="13.5" customHeight="1" x14ac:dyDescent="0.2">
      <c r="A145" s="578"/>
      <c r="B145" s="569"/>
      <c r="C145" s="569" t="s">
        <v>8223</v>
      </c>
      <c r="D145" s="1430"/>
      <c r="E145" s="572">
        <v>362.95</v>
      </c>
      <c r="F145" s="573"/>
      <c r="G145" s="580">
        <f t="shared" si="3"/>
        <v>159222.53999999989</v>
      </c>
      <c r="H145" s="791">
        <f>G145-80145.42-65358.27</f>
        <v>13718.849999999897</v>
      </c>
      <c r="I145" s="791">
        <f>J145-H145</f>
        <v>646.0100000001039</v>
      </c>
      <c r="J145" s="791">
        <v>14364.86</v>
      </c>
      <c r="K145" s="97"/>
      <c r="L145" s="97"/>
      <c r="M145" s="97"/>
      <c r="N145" s="97"/>
      <c r="O145" s="97"/>
      <c r="P145" s="97"/>
      <c r="Q145" s="97"/>
      <c r="R145" s="97"/>
      <c r="S145" s="97"/>
      <c r="T145" s="97"/>
      <c r="U145" s="97"/>
      <c r="V145" s="97"/>
      <c r="W145" s="97"/>
      <c r="X145" s="97"/>
    </row>
    <row r="146" spans="1:24" s="823" customFormat="1" ht="13.5" customHeight="1" x14ac:dyDescent="0.2">
      <c r="A146" s="578"/>
      <c r="B146" s="569"/>
      <c r="C146" s="569" t="s">
        <v>8224</v>
      </c>
      <c r="D146" s="1430"/>
      <c r="E146" s="572"/>
      <c r="F146" s="573">
        <v>5670</v>
      </c>
      <c r="G146" s="580">
        <f t="shared" si="3"/>
        <v>164892.53999999989</v>
      </c>
      <c r="H146" s="791"/>
      <c r="I146" s="791"/>
      <c r="J146" s="791"/>
      <c r="K146" s="97"/>
      <c r="L146" s="97"/>
      <c r="M146" s="97"/>
      <c r="N146" s="97"/>
      <c r="O146" s="97"/>
      <c r="P146" s="97"/>
      <c r="Q146" s="97"/>
      <c r="R146" s="97"/>
      <c r="S146" s="97"/>
      <c r="T146" s="97"/>
      <c r="U146" s="97"/>
      <c r="V146" s="97"/>
      <c r="W146" s="97"/>
      <c r="X146" s="97"/>
    </row>
    <row r="147" spans="1:24" s="823" customFormat="1" ht="13.5" customHeight="1" x14ac:dyDescent="0.2">
      <c r="A147" s="578">
        <v>45547</v>
      </c>
      <c r="B147" s="569"/>
      <c r="C147" s="722" t="s">
        <v>8225</v>
      </c>
      <c r="D147" s="1430"/>
      <c r="E147" s="572">
        <v>130</v>
      </c>
      <c r="F147" s="573"/>
      <c r="G147" s="580">
        <f t="shared" si="3"/>
        <v>164762.53999999989</v>
      </c>
      <c r="H147" s="791">
        <f>G147-80177.48-65383.93</f>
        <v>19201.129999999896</v>
      </c>
      <c r="I147" s="791">
        <f>J147-H147</f>
        <v>711.7500000001055</v>
      </c>
      <c r="J147" s="791">
        <v>19912.88</v>
      </c>
      <c r="K147" s="97"/>
      <c r="L147" s="97"/>
      <c r="M147" s="97"/>
      <c r="N147" s="97"/>
      <c r="O147" s="97"/>
      <c r="P147" s="97"/>
      <c r="Q147" s="97"/>
      <c r="R147" s="97"/>
      <c r="S147" s="97"/>
      <c r="T147" s="97"/>
      <c r="U147" s="97"/>
      <c r="V147" s="97"/>
      <c r="W147" s="97"/>
      <c r="X147" s="97"/>
    </row>
    <row r="148" spans="1:24" s="823" customFormat="1" ht="13.5" customHeight="1" x14ac:dyDescent="0.2">
      <c r="A148" s="578">
        <v>45548</v>
      </c>
      <c r="B148" s="569"/>
      <c r="C148" s="722" t="s">
        <v>8116</v>
      </c>
      <c r="D148" s="1430"/>
      <c r="E148" s="572"/>
      <c r="F148" s="814">
        <v>400</v>
      </c>
      <c r="G148" s="580">
        <f t="shared" si="3"/>
        <v>165162.53999999989</v>
      </c>
      <c r="H148" s="791">
        <f>G148-80181.82-65409.61</f>
        <v>19571.109999999884</v>
      </c>
      <c r="I148" s="791">
        <f>J148-H148</f>
        <v>742.84000000011656</v>
      </c>
      <c r="J148" s="791">
        <v>20313.95</v>
      </c>
      <c r="K148" s="97"/>
      <c r="L148" s="97"/>
      <c r="M148" s="97"/>
      <c r="N148" s="97"/>
      <c r="O148" s="97"/>
      <c r="P148" s="97"/>
      <c r="Q148" s="97"/>
      <c r="R148" s="97"/>
      <c r="S148" s="97"/>
      <c r="T148" s="97"/>
      <c r="U148" s="97"/>
      <c r="V148" s="97"/>
      <c r="W148" s="97"/>
      <c r="X148" s="97"/>
    </row>
    <row r="149" spans="1:24" s="823" customFormat="1" ht="13.5" customHeight="1" x14ac:dyDescent="0.2">
      <c r="A149" s="578">
        <v>45551</v>
      </c>
      <c r="B149" s="569"/>
      <c r="C149" s="795" t="s">
        <v>8226</v>
      </c>
      <c r="D149" s="1430"/>
      <c r="E149" s="572"/>
      <c r="F149" s="573">
        <v>4877.38</v>
      </c>
      <c r="G149" s="580">
        <f t="shared" si="3"/>
        <v>170039.9199999999</v>
      </c>
      <c r="H149" s="791">
        <f>G149-80203.95-65435.29</f>
        <v>24400.679999999898</v>
      </c>
      <c r="I149" s="791">
        <f>J149-H149</f>
        <v>796.26000000010026</v>
      </c>
      <c r="J149" s="791">
        <v>25196.94</v>
      </c>
      <c r="K149" s="97"/>
      <c r="L149" s="97"/>
      <c r="M149" s="97"/>
      <c r="N149" s="97"/>
      <c r="O149" s="97"/>
      <c r="P149" s="97"/>
      <c r="Q149" s="97"/>
      <c r="R149" s="97"/>
      <c r="S149" s="97"/>
      <c r="T149" s="97"/>
      <c r="U149" s="97"/>
      <c r="V149" s="97"/>
      <c r="W149" s="97"/>
      <c r="X149" s="97"/>
    </row>
    <row r="150" spans="1:24" s="823" customFormat="1" ht="13.5" customHeight="1" x14ac:dyDescent="0.2">
      <c r="A150" s="578">
        <v>45552</v>
      </c>
      <c r="B150" s="569"/>
      <c r="C150" s="569" t="s">
        <v>8227</v>
      </c>
      <c r="D150" s="1430"/>
      <c r="E150" s="572"/>
      <c r="F150" s="573">
        <v>122</v>
      </c>
      <c r="G150" s="580">
        <f t="shared" si="3"/>
        <v>170161.9199999999</v>
      </c>
      <c r="H150" s="791"/>
      <c r="I150" s="791"/>
      <c r="J150" s="791"/>
      <c r="K150" s="97"/>
      <c r="L150" s="97"/>
      <c r="M150" s="97"/>
      <c r="N150" s="97"/>
      <c r="O150" s="97"/>
      <c r="P150" s="97"/>
      <c r="Q150" s="97"/>
      <c r="R150" s="97"/>
      <c r="S150" s="97"/>
      <c r="T150" s="97"/>
      <c r="U150" s="97"/>
      <c r="V150" s="97"/>
      <c r="W150" s="97"/>
      <c r="X150" s="97"/>
    </row>
    <row r="151" spans="1:24" s="823" customFormat="1" ht="13.5" customHeight="1" x14ac:dyDescent="0.2">
      <c r="A151" s="578">
        <v>45553</v>
      </c>
      <c r="B151" s="569"/>
      <c r="C151" s="569" t="s">
        <v>8228</v>
      </c>
      <c r="D151" s="1430"/>
      <c r="E151" s="572">
        <v>7000</v>
      </c>
      <c r="F151" s="573"/>
      <c r="G151" s="580">
        <f t="shared" si="3"/>
        <v>163161.9199999999</v>
      </c>
      <c r="H151" s="791">
        <f>G151-80212.38-65460.99</f>
        <v>17488.549999999894</v>
      </c>
      <c r="I151" s="791">
        <f>J151-H151</f>
        <v>833.05000000010477</v>
      </c>
      <c r="J151" s="791">
        <v>18321.599999999999</v>
      </c>
      <c r="K151" s="97"/>
      <c r="L151" s="97"/>
      <c r="M151" s="97"/>
      <c r="N151" s="97"/>
      <c r="O151" s="97"/>
      <c r="P151" s="97"/>
      <c r="Q151" s="97"/>
      <c r="R151" s="97"/>
      <c r="S151" s="97"/>
      <c r="T151" s="97"/>
      <c r="U151" s="97"/>
      <c r="V151" s="97"/>
      <c r="W151" s="97"/>
      <c r="X151" s="97"/>
    </row>
    <row r="152" spans="1:24" s="823" customFormat="1" ht="13.5" customHeight="1" x14ac:dyDescent="0.2">
      <c r="A152" s="831"/>
      <c r="B152" s="603"/>
      <c r="C152" s="793" t="s">
        <v>8229</v>
      </c>
      <c r="D152" s="1430"/>
      <c r="E152" s="577"/>
      <c r="F152" s="577">
        <v>4950</v>
      </c>
      <c r="G152" s="580">
        <f t="shared" si="3"/>
        <v>168111.9199999999</v>
      </c>
      <c r="H152" s="791">
        <f>G152-80212.38-83486.7</f>
        <v>4412.8399999998946</v>
      </c>
      <c r="I152" s="791">
        <f>J152-H152</f>
        <v>858.76000000010572</v>
      </c>
      <c r="J152" s="791">
        <v>5271.6</v>
      </c>
      <c r="K152" s="97"/>
      <c r="L152" s="741">
        <v>80212.38</v>
      </c>
      <c r="M152" s="741">
        <v>83486.7</v>
      </c>
      <c r="N152" s="97"/>
      <c r="O152" s="97"/>
      <c r="P152" s="97"/>
      <c r="Q152" s="97"/>
      <c r="R152" s="97"/>
      <c r="S152" s="97"/>
      <c r="T152" s="97"/>
      <c r="U152" s="97"/>
      <c r="V152" s="97"/>
      <c r="W152" s="97"/>
      <c r="X152" s="97"/>
    </row>
    <row r="153" spans="1:24" ht="13.5" customHeight="1" x14ac:dyDescent="0.2">
      <c r="A153" s="831">
        <v>45554</v>
      </c>
      <c r="B153" s="603"/>
      <c r="C153" s="569" t="s">
        <v>8230</v>
      </c>
      <c r="D153" s="1430"/>
      <c r="E153" s="577"/>
      <c r="F153" s="1431">
        <v>11415.17</v>
      </c>
      <c r="G153" s="580">
        <f t="shared" si="3"/>
        <v>179527.08999999991</v>
      </c>
      <c r="H153" s="791"/>
      <c r="I153" s="791"/>
      <c r="J153" s="791"/>
      <c r="L153" s="741"/>
      <c r="M153" s="741"/>
    </row>
    <row r="154" spans="1:24" ht="13.5" customHeight="1" x14ac:dyDescent="0.2">
      <c r="A154" s="831"/>
      <c r="B154" s="603"/>
      <c r="C154" s="793" t="s">
        <v>8231</v>
      </c>
      <c r="D154" s="1430"/>
      <c r="E154" s="577"/>
      <c r="F154" s="577">
        <v>6391.02</v>
      </c>
      <c r="G154" s="580">
        <f t="shared" si="3"/>
        <v>185918.1099999999</v>
      </c>
      <c r="H154" s="791"/>
      <c r="I154" s="791"/>
      <c r="J154" s="791"/>
      <c r="L154" s="741"/>
      <c r="M154" s="741"/>
    </row>
    <row r="155" spans="1:24" ht="13.5" customHeight="1" x14ac:dyDescent="0.2">
      <c r="A155" s="831"/>
      <c r="B155" s="603"/>
      <c r="C155" s="569" t="s">
        <v>8230</v>
      </c>
      <c r="D155" s="1430"/>
      <c r="E155" s="1431">
        <v>11415.17</v>
      </c>
      <c r="F155" s="577"/>
      <c r="G155" s="580">
        <f t="shared" si="3"/>
        <v>174502.93999999989</v>
      </c>
      <c r="H155" s="791">
        <f>G155-80242.78-83519.48</f>
        <v>10740.679999999891</v>
      </c>
      <c r="I155" s="791">
        <f>J155-H155</f>
        <v>923.94000000010965</v>
      </c>
      <c r="J155" s="791">
        <v>11664.62</v>
      </c>
      <c r="L155" s="741">
        <v>80242.78</v>
      </c>
      <c r="M155" s="741">
        <v>83519.48</v>
      </c>
      <c r="N155" s="891">
        <f>L155-L152</f>
        <v>30.399999999994179</v>
      </c>
      <c r="O155" s="1432">
        <f>N155/L152</f>
        <v>3.7899386603407328E-4</v>
      </c>
      <c r="P155" s="891">
        <f>M155-M152</f>
        <v>32.779999999998836</v>
      </c>
      <c r="Q155" s="1432">
        <f>P155/M152</f>
        <v>3.926373901471592E-4</v>
      </c>
    </row>
    <row r="156" spans="1:24" ht="13.5" customHeight="1" x14ac:dyDescent="0.2">
      <c r="A156" s="831">
        <v>45555</v>
      </c>
      <c r="B156" s="603"/>
      <c r="C156" s="569" t="s">
        <v>8232</v>
      </c>
      <c r="D156" s="1430"/>
      <c r="E156" s="577">
        <v>2000</v>
      </c>
      <c r="F156" s="577"/>
      <c r="G156" s="580">
        <f t="shared" si="3"/>
        <v>172502.93999999989</v>
      </c>
      <c r="H156" s="791">
        <f>G156-80251.31-83553.03</f>
        <v>8698.5999999998894</v>
      </c>
      <c r="I156" s="791">
        <f>J156-H156</f>
        <v>966.02000000011139</v>
      </c>
      <c r="J156" s="791">
        <v>9664.6200000000008</v>
      </c>
      <c r="L156" s="741">
        <v>80251.31</v>
      </c>
      <c r="M156" s="741">
        <v>83553.03</v>
      </c>
      <c r="N156" s="891">
        <f>L156-L155</f>
        <v>8.5299999999988358</v>
      </c>
      <c r="O156" s="1432">
        <f>N156/L155</f>
        <v>1.0630239879524159E-4</v>
      </c>
      <c r="P156" s="891">
        <f>M156-M155</f>
        <v>33.55000000000291</v>
      </c>
      <c r="Q156" s="1432">
        <f>P156/M155</f>
        <v>4.0170269259342747E-4</v>
      </c>
    </row>
    <row r="157" spans="1:24" ht="13.5" customHeight="1" x14ac:dyDescent="0.2">
      <c r="A157" s="831"/>
      <c r="B157" s="603"/>
      <c r="C157" s="722" t="s">
        <v>8233</v>
      </c>
      <c r="D157" s="1430"/>
      <c r="E157" s="577">
        <v>18</v>
      </c>
      <c r="F157" s="577"/>
      <c r="G157" s="580">
        <f t="shared" si="3"/>
        <v>172484.93999999989</v>
      </c>
      <c r="H157" s="791"/>
      <c r="I157" s="791"/>
      <c r="J157" s="791"/>
    </row>
    <row r="158" spans="1:24" ht="13.5" customHeight="1" x14ac:dyDescent="0.2">
      <c r="A158" s="831"/>
      <c r="B158" s="603"/>
      <c r="C158" s="722" t="s">
        <v>8234</v>
      </c>
      <c r="D158" s="1430"/>
      <c r="E158" s="577">
        <v>1350</v>
      </c>
      <c r="F158" s="577"/>
      <c r="G158" s="580">
        <f t="shared" si="3"/>
        <v>171134.93999999989</v>
      </c>
      <c r="H158" s="791"/>
      <c r="I158" s="791"/>
      <c r="J158" s="791"/>
    </row>
    <row r="159" spans="1:24" ht="13.5" customHeight="1" x14ac:dyDescent="0.2">
      <c r="A159" s="831"/>
      <c r="B159" s="603"/>
      <c r="C159" s="722" t="s">
        <v>8235</v>
      </c>
      <c r="D159" s="1430"/>
      <c r="E159" s="577">
        <v>1200</v>
      </c>
      <c r="F159" s="577"/>
      <c r="G159" s="580">
        <f t="shared" si="3"/>
        <v>169934.93999999989</v>
      </c>
      <c r="H159" s="791">
        <f>G159-80251.31-90553.03</f>
        <v>-869.40000000011059</v>
      </c>
      <c r="I159" s="791">
        <f>J159-H159</f>
        <v>967.25000000011062</v>
      </c>
      <c r="J159" s="791">
        <v>97.85</v>
      </c>
      <c r="L159" s="97">
        <v>80251.31</v>
      </c>
      <c r="M159" s="97">
        <v>90553.03</v>
      </c>
    </row>
    <row r="160" spans="1:24" ht="13.5" customHeight="1" x14ac:dyDescent="0.2">
      <c r="A160" s="831">
        <v>45558</v>
      </c>
      <c r="B160" s="603"/>
      <c r="C160" s="722" t="s">
        <v>8236</v>
      </c>
      <c r="D160" s="1430"/>
      <c r="E160" s="577"/>
      <c r="F160" s="577">
        <v>70</v>
      </c>
      <c r="G160" s="580">
        <f t="shared" si="3"/>
        <v>170004.93999999989</v>
      </c>
      <c r="H160" s="791"/>
      <c r="I160" s="791"/>
      <c r="J160" s="791"/>
    </row>
    <row r="161" spans="1:17" ht="13.5" customHeight="1" x14ac:dyDescent="0.2">
      <c r="A161" s="831"/>
      <c r="B161" s="603"/>
      <c r="C161" s="569" t="s">
        <v>8237</v>
      </c>
      <c r="D161" s="1430"/>
      <c r="E161" s="577"/>
      <c r="F161" s="577">
        <v>4950</v>
      </c>
      <c r="G161" s="580">
        <f t="shared" si="3"/>
        <v>174954.93999999989</v>
      </c>
      <c r="H161" s="791"/>
      <c r="I161" s="791"/>
      <c r="J161" s="791"/>
    </row>
    <row r="162" spans="1:17" ht="13.5" customHeight="1" x14ac:dyDescent="0.2">
      <c r="A162" s="831"/>
      <c r="B162" s="603"/>
      <c r="C162" s="569" t="s">
        <v>8238</v>
      </c>
      <c r="D162" s="1430"/>
      <c r="E162" s="577"/>
      <c r="F162" s="577">
        <v>4950</v>
      </c>
      <c r="G162" s="580">
        <f t="shared" si="3"/>
        <v>179904.93999999989</v>
      </c>
      <c r="H162" s="791">
        <f>G162-80288.53-90589.4</f>
        <v>9027.0099999998929</v>
      </c>
      <c r="I162" s="791">
        <f>J162-H162</f>
        <v>1040.8900000001067</v>
      </c>
      <c r="J162" s="791">
        <v>10067.9</v>
      </c>
      <c r="L162" s="741">
        <v>80288.53</v>
      </c>
      <c r="M162" s="741">
        <v>90589.4</v>
      </c>
      <c r="N162" s="891">
        <f>L162-L159</f>
        <v>37.220000000001164</v>
      </c>
      <c r="O162" s="1432">
        <f>N162/L162</f>
        <v>4.6357804782328393E-4</v>
      </c>
      <c r="P162" s="891">
        <f>M162-M159</f>
        <v>36.369999999995343</v>
      </c>
      <c r="Q162" s="1432">
        <f>P162/M162</f>
        <v>4.0148185107744775E-4</v>
      </c>
    </row>
    <row r="163" spans="1:17" ht="13.5" customHeight="1" x14ac:dyDescent="0.2">
      <c r="A163" s="831">
        <v>45561</v>
      </c>
      <c r="B163" s="603"/>
      <c r="C163" s="569" t="s">
        <v>8239</v>
      </c>
      <c r="D163" s="1430"/>
      <c r="E163" s="577"/>
      <c r="F163" s="577">
        <f>1930*3</f>
        <v>5790</v>
      </c>
      <c r="G163" s="580">
        <f t="shared" si="3"/>
        <v>185694.93999999989</v>
      </c>
      <c r="H163" s="791">
        <f>G163-80293.16-90662.2</f>
        <v>14739.579999999885</v>
      </c>
      <c r="I163" s="791">
        <f>J163-H163</f>
        <v>1118.9000000001142</v>
      </c>
      <c r="J163" s="791">
        <v>15858.48</v>
      </c>
      <c r="L163" s="741">
        <v>80293.16</v>
      </c>
      <c r="M163" s="741">
        <v>90662.2</v>
      </c>
      <c r="N163" s="891">
        <f>L163-L162</f>
        <v>4.6300000000046566</v>
      </c>
      <c r="O163" s="1432">
        <f>N163/L163</f>
        <v>5.7663691402912231E-5</v>
      </c>
      <c r="P163" s="891">
        <f>M163-M162</f>
        <v>72.80000000000291</v>
      </c>
      <c r="Q163" s="1432">
        <f>P163/M163</f>
        <v>8.0298073508036324E-4</v>
      </c>
    </row>
    <row r="164" spans="1:17" ht="13.5" customHeight="1" x14ac:dyDescent="0.2">
      <c r="A164" s="831"/>
      <c r="B164" s="603"/>
      <c r="C164" s="569" t="s">
        <v>8232</v>
      </c>
      <c r="D164" s="1430"/>
      <c r="E164" s="577">
        <v>3000</v>
      </c>
      <c r="F164" s="577"/>
      <c r="G164" s="580">
        <f t="shared" si="3"/>
        <v>182694.93999999989</v>
      </c>
      <c r="H164" s="791"/>
      <c r="I164" s="791"/>
      <c r="J164" s="791"/>
    </row>
    <row r="165" spans="1:17" ht="13.5" customHeight="1" x14ac:dyDescent="0.2">
      <c r="A165" s="831"/>
      <c r="B165" s="603"/>
      <c r="C165" s="722" t="s">
        <v>8240</v>
      </c>
      <c r="D165" s="1430"/>
      <c r="E165" s="577">
        <v>700</v>
      </c>
      <c r="F165" s="577"/>
      <c r="G165" s="580">
        <f t="shared" si="3"/>
        <v>181994.93999999989</v>
      </c>
      <c r="H165" s="791"/>
      <c r="I165" s="791"/>
      <c r="J165" s="791"/>
    </row>
    <row r="166" spans="1:17" ht="13.5" customHeight="1" x14ac:dyDescent="0.2">
      <c r="A166" s="831"/>
      <c r="B166" s="603"/>
      <c r="C166" s="722" t="s">
        <v>8241</v>
      </c>
      <c r="D166" s="1430"/>
      <c r="E166" s="577">
        <v>320</v>
      </c>
      <c r="F166" s="577"/>
      <c r="G166" s="580">
        <f t="shared" si="3"/>
        <v>181674.93999999989</v>
      </c>
      <c r="H166" s="791">
        <f>G166-80293.16-90698.6</f>
        <v>10683.179999999877</v>
      </c>
      <c r="I166" s="791">
        <f>J166-H166</f>
        <v>1155.2500000001237</v>
      </c>
      <c r="J166" s="791">
        <v>11838.43</v>
      </c>
    </row>
    <row r="167" spans="1:17" ht="13.5" customHeight="1" x14ac:dyDescent="0.2">
      <c r="A167" s="831">
        <v>45562</v>
      </c>
      <c r="B167" s="603"/>
      <c r="C167" s="569" t="s">
        <v>8242</v>
      </c>
      <c r="D167" s="1430"/>
      <c r="E167" s="577"/>
      <c r="F167" s="577">
        <v>1770</v>
      </c>
      <c r="G167" s="580">
        <f t="shared" ref="G167:G171" si="4">G166-E167+F167</f>
        <v>183444.93999999989</v>
      </c>
      <c r="H167" s="791">
        <f>G167-80293.59-90698.6</f>
        <v>12452.749999999884</v>
      </c>
      <c r="I167" s="791">
        <f>J167-H167</f>
        <v>1155.7900000001173</v>
      </c>
      <c r="J167" s="791">
        <v>13608.54</v>
      </c>
      <c r="L167" s="741">
        <v>80293.59</v>
      </c>
      <c r="M167" s="741">
        <v>90662.2</v>
      </c>
      <c r="N167" s="891">
        <f>L167-L162</f>
        <v>5.0599999999976717</v>
      </c>
      <c r="O167" s="1432">
        <f>N167/L167</f>
        <v>6.3018729141363239E-5</v>
      </c>
      <c r="P167" s="891">
        <f>M167-M162</f>
        <v>72.80000000000291</v>
      </c>
      <c r="Q167" s="1432">
        <f>P167/M167</f>
        <v>8.0298073508036324E-4</v>
      </c>
    </row>
    <row r="168" spans="1:17" ht="13.5" customHeight="1" x14ac:dyDescent="0.2">
      <c r="A168" s="831">
        <v>45565</v>
      </c>
      <c r="B168" s="603"/>
      <c r="C168" s="722" t="s">
        <v>8243</v>
      </c>
      <c r="D168" s="1430"/>
      <c r="E168" s="577"/>
      <c r="F168" s="577">
        <v>458.12</v>
      </c>
      <c r="G168" s="580">
        <f t="shared" si="4"/>
        <v>183903.05999999988</v>
      </c>
      <c r="H168" s="791"/>
      <c r="I168" s="791"/>
      <c r="J168" s="791"/>
    </row>
    <row r="169" spans="1:17" ht="13.5" customHeight="1" x14ac:dyDescent="0.2">
      <c r="A169" s="831"/>
      <c r="B169" s="603"/>
      <c r="C169" s="722" t="s">
        <v>8244</v>
      </c>
      <c r="D169" s="1430"/>
      <c r="E169" s="577"/>
      <c r="F169" s="577">
        <v>178.89000000011583</v>
      </c>
      <c r="G169" s="580">
        <f t="shared" si="4"/>
        <v>184081.95</v>
      </c>
      <c r="H169" s="791"/>
      <c r="I169" s="791"/>
      <c r="J169" s="791"/>
    </row>
    <row r="170" spans="1:17" ht="13.5" customHeight="1" x14ac:dyDescent="0.2">
      <c r="A170" s="831"/>
      <c r="B170" s="603"/>
      <c r="C170" s="722" t="s">
        <v>8245</v>
      </c>
      <c r="D170" s="1430"/>
      <c r="E170" s="577"/>
      <c r="F170" s="577">
        <v>592.6</v>
      </c>
      <c r="G170" s="574">
        <f t="shared" si="4"/>
        <v>184674.55000000002</v>
      </c>
      <c r="H170" s="791"/>
      <c r="I170" s="791"/>
      <c r="J170" s="791"/>
    </row>
    <row r="171" spans="1:17" ht="13.5" customHeight="1" x14ac:dyDescent="0.2">
      <c r="A171" s="831"/>
      <c r="B171" s="603"/>
      <c r="C171" s="569" t="s">
        <v>8246</v>
      </c>
      <c r="D171" s="1430"/>
      <c r="E171" s="577">
        <v>90771.49</v>
      </c>
      <c r="F171" s="577"/>
      <c r="G171" s="580">
        <f t="shared" si="4"/>
        <v>93903.060000000012</v>
      </c>
      <c r="H171" s="791"/>
      <c r="I171" s="791"/>
      <c r="J171" s="791"/>
    </row>
    <row r="172" spans="1:17" ht="13.5" customHeight="1" thickBot="1" x14ac:dyDescent="0.25">
      <c r="A172" s="578"/>
      <c r="B172" s="569"/>
      <c r="C172" s="569"/>
      <c r="D172" s="581"/>
      <c r="E172" s="572"/>
      <c r="F172" s="573"/>
      <c r="G172" s="580"/>
      <c r="I172" s="791"/>
    </row>
    <row r="173" spans="1:17" ht="13.5" customHeight="1" thickBot="1" x14ac:dyDescent="0.25">
      <c r="A173" s="561"/>
      <c r="B173" s="562"/>
      <c r="C173" s="562" t="s">
        <v>3</v>
      </c>
      <c r="D173" s="562"/>
      <c r="E173" s="562"/>
      <c r="F173" s="562"/>
      <c r="G173" s="564"/>
      <c r="J173" s="791"/>
    </row>
    <row r="174" spans="1:17" ht="13.5" customHeight="1" x14ac:dyDescent="0.2">
      <c r="A174" s="568">
        <v>45536</v>
      </c>
      <c r="B174" s="585"/>
      <c r="C174" s="570" t="s">
        <v>537</v>
      </c>
      <c r="D174" s="603"/>
      <c r="E174" s="821"/>
      <c r="F174" s="821"/>
      <c r="G174" s="574">
        <v>3109.87</v>
      </c>
    </row>
    <row r="175" spans="1:17" ht="13.5" customHeight="1" x14ac:dyDescent="0.2">
      <c r="A175" s="578" t="s">
        <v>8247</v>
      </c>
      <c r="B175" s="585"/>
      <c r="C175" s="722" t="s">
        <v>8248</v>
      </c>
      <c r="D175" s="603" t="s">
        <v>488</v>
      </c>
      <c r="E175" s="821">
        <v>-1970</v>
      </c>
      <c r="F175" s="821" t="s">
        <v>483</v>
      </c>
      <c r="G175" s="580"/>
      <c r="I175" s="791"/>
    </row>
    <row r="176" spans="1:17" ht="13.5" customHeight="1" x14ac:dyDescent="0.2">
      <c r="A176" s="578"/>
      <c r="B176" s="585"/>
      <c r="C176" s="722" t="s">
        <v>8249</v>
      </c>
      <c r="D176" s="603" t="s">
        <v>488</v>
      </c>
      <c r="E176" s="821">
        <v>-1600</v>
      </c>
      <c r="F176" s="821" t="s">
        <v>483</v>
      </c>
      <c r="G176" s="580"/>
    </row>
    <row r="177" spans="1:7" ht="13.5" customHeight="1" x14ac:dyDescent="0.2">
      <c r="A177" s="578"/>
      <c r="B177" s="585"/>
      <c r="C177" s="722" t="s">
        <v>8250</v>
      </c>
      <c r="D177" s="603" t="s">
        <v>488</v>
      </c>
      <c r="E177" s="821">
        <v>-173</v>
      </c>
      <c r="F177" s="821" t="s">
        <v>483</v>
      </c>
      <c r="G177" s="580"/>
    </row>
    <row r="178" spans="1:7" ht="13.5" customHeight="1" x14ac:dyDescent="0.2">
      <c r="A178" s="578"/>
      <c r="B178" s="585"/>
      <c r="C178" s="722" t="s">
        <v>8195</v>
      </c>
      <c r="D178" s="603"/>
      <c r="E178" s="577"/>
      <c r="F178" s="1431">
        <v>2000</v>
      </c>
      <c r="G178" s="580"/>
    </row>
    <row r="179" spans="1:7" ht="13.5" customHeight="1" x14ac:dyDescent="0.2">
      <c r="A179" s="578"/>
      <c r="B179" s="585"/>
      <c r="C179" s="722" t="s">
        <v>20</v>
      </c>
      <c r="D179" s="603" t="s">
        <v>488</v>
      </c>
      <c r="E179" s="821" t="s">
        <v>483</v>
      </c>
      <c r="F179" s="821">
        <v>0.08</v>
      </c>
      <c r="G179" s="580">
        <v>1366.95</v>
      </c>
    </row>
    <row r="180" spans="1:7" ht="13.5" customHeight="1" x14ac:dyDescent="0.2">
      <c r="A180" s="578" t="s">
        <v>8251</v>
      </c>
      <c r="B180" s="585"/>
      <c r="C180" s="795" t="s">
        <v>8252</v>
      </c>
      <c r="D180" s="603" t="s">
        <v>488</v>
      </c>
      <c r="E180" s="821" t="s">
        <v>483</v>
      </c>
      <c r="F180" s="821">
        <v>837.22</v>
      </c>
      <c r="G180" s="580">
        <v>2204.17</v>
      </c>
    </row>
    <row r="181" spans="1:7" ht="13.5" customHeight="1" x14ac:dyDescent="0.2">
      <c r="A181" s="578" t="s">
        <v>8253</v>
      </c>
      <c r="B181" s="585"/>
      <c r="C181" s="722" t="s">
        <v>8254</v>
      </c>
      <c r="D181" s="603" t="s">
        <v>488</v>
      </c>
      <c r="E181" s="821">
        <v>-80.540000000000006</v>
      </c>
      <c r="F181" s="821" t="s">
        <v>483</v>
      </c>
      <c r="G181" s="580"/>
    </row>
    <row r="182" spans="1:7" ht="13.5" customHeight="1" x14ac:dyDescent="0.2">
      <c r="A182" s="578"/>
      <c r="B182" s="585"/>
      <c r="C182" s="722" t="s">
        <v>8255</v>
      </c>
      <c r="D182" s="603" t="s">
        <v>488</v>
      </c>
      <c r="E182" s="821">
        <v>-213.49</v>
      </c>
      <c r="F182" s="821" t="s">
        <v>483</v>
      </c>
      <c r="G182" s="580"/>
    </row>
    <row r="183" spans="1:7" ht="13.5" customHeight="1" x14ac:dyDescent="0.2">
      <c r="A183" s="578"/>
      <c r="B183" s="585"/>
      <c r="C183" s="722" t="s">
        <v>8256</v>
      </c>
      <c r="D183" s="603" t="s">
        <v>488</v>
      </c>
      <c r="E183" s="821">
        <v>-832.08</v>
      </c>
      <c r="F183" s="821" t="s">
        <v>483</v>
      </c>
      <c r="G183" s="580"/>
    </row>
    <row r="184" spans="1:7" ht="13.5" customHeight="1" x14ac:dyDescent="0.2">
      <c r="A184" s="578"/>
      <c r="B184" s="585"/>
      <c r="C184" s="722" t="s">
        <v>20</v>
      </c>
      <c r="D184" s="603" t="s">
        <v>488</v>
      </c>
      <c r="E184" s="821" t="s">
        <v>483</v>
      </c>
      <c r="F184" s="821">
        <v>0.02</v>
      </c>
      <c r="G184" s="580">
        <v>1078.08</v>
      </c>
    </row>
    <row r="185" spans="1:7" ht="13.5" customHeight="1" x14ac:dyDescent="0.2">
      <c r="A185" s="578" t="s">
        <v>8257</v>
      </c>
      <c r="B185" s="585"/>
      <c r="C185" s="722" t="s">
        <v>109</v>
      </c>
      <c r="D185" s="603" t="s">
        <v>488</v>
      </c>
      <c r="E185" s="821">
        <v>-51.74</v>
      </c>
      <c r="F185" s="821" t="s">
        <v>483</v>
      </c>
      <c r="G185" s="580"/>
    </row>
    <row r="186" spans="1:7" ht="13.5" customHeight="1" x14ac:dyDescent="0.2">
      <c r="A186" s="578"/>
      <c r="B186" s="585"/>
      <c r="C186" s="722" t="s">
        <v>8258</v>
      </c>
      <c r="D186" s="603" t="s">
        <v>488</v>
      </c>
      <c r="E186" s="821">
        <v>-51.74</v>
      </c>
      <c r="F186" s="821" t="s">
        <v>483</v>
      </c>
      <c r="G186" s="580"/>
    </row>
    <row r="187" spans="1:7" ht="13.5" customHeight="1" x14ac:dyDescent="0.2">
      <c r="A187" s="578"/>
      <c r="B187" s="585"/>
      <c r="C187" s="569" t="s">
        <v>8259</v>
      </c>
      <c r="D187" s="603" t="s">
        <v>488</v>
      </c>
      <c r="E187" s="821">
        <v>-105.3</v>
      </c>
      <c r="F187" s="821" t="s">
        <v>483</v>
      </c>
      <c r="G187" s="580"/>
    </row>
    <row r="188" spans="1:7" ht="13.5" customHeight="1" x14ac:dyDescent="0.2">
      <c r="A188" s="578"/>
      <c r="B188" s="585"/>
      <c r="C188" s="722" t="s">
        <v>20</v>
      </c>
      <c r="D188" s="603" t="s">
        <v>488</v>
      </c>
      <c r="E188" s="821"/>
      <c r="F188" s="821">
        <v>0.01</v>
      </c>
      <c r="G188" s="580">
        <v>869.31</v>
      </c>
    </row>
    <row r="189" spans="1:7" ht="13.5" customHeight="1" x14ac:dyDescent="0.2">
      <c r="A189" s="578" t="s">
        <v>8260</v>
      </c>
      <c r="B189" s="585"/>
      <c r="C189" s="722" t="s">
        <v>8261</v>
      </c>
      <c r="D189" s="603" t="s">
        <v>488</v>
      </c>
      <c r="E189" s="821">
        <v>-40.76</v>
      </c>
      <c r="F189" s="821" t="s">
        <v>483</v>
      </c>
      <c r="G189" s="580"/>
    </row>
    <row r="190" spans="1:7" ht="13.5" customHeight="1" x14ac:dyDescent="0.2">
      <c r="A190" s="578"/>
      <c r="B190" s="585"/>
      <c r="C190" s="722" t="s">
        <v>8262</v>
      </c>
      <c r="D190" s="603" t="s">
        <v>488</v>
      </c>
      <c r="E190" s="821">
        <v>-75.11</v>
      </c>
      <c r="F190" s="821" t="s">
        <v>483</v>
      </c>
      <c r="G190" s="580"/>
    </row>
    <row r="191" spans="1:7" ht="13.5" customHeight="1" x14ac:dyDescent="0.2">
      <c r="A191" s="578"/>
      <c r="B191" s="585"/>
      <c r="C191" s="722" t="s">
        <v>8263</v>
      </c>
      <c r="D191" s="603" t="s">
        <v>488</v>
      </c>
      <c r="E191" s="821">
        <v>-68.989999999999995</v>
      </c>
      <c r="F191" s="821" t="s">
        <v>483</v>
      </c>
      <c r="G191" s="580"/>
    </row>
    <row r="192" spans="1:7" ht="13.5" customHeight="1" x14ac:dyDescent="0.2">
      <c r="A192" s="578" t="s">
        <v>8260</v>
      </c>
      <c r="B192" s="585"/>
      <c r="C192" s="722" t="s">
        <v>20</v>
      </c>
      <c r="D192" s="603" t="s">
        <v>488</v>
      </c>
      <c r="E192" s="821" t="s">
        <v>483</v>
      </c>
      <c r="F192" s="821">
        <v>0.01</v>
      </c>
      <c r="G192" s="580">
        <v>684.46</v>
      </c>
    </row>
    <row r="193" spans="1:7" ht="13.5" customHeight="1" x14ac:dyDescent="0.2">
      <c r="A193" s="578" t="s">
        <v>8264</v>
      </c>
      <c r="B193" s="585"/>
      <c r="C193" s="722" t="s">
        <v>8265</v>
      </c>
      <c r="D193" s="603" t="s">
        <v>8266</v>
      </c>
      <c r="E193" s="821">
        <v>-1356.26</v>
      </c>
      <c r="F193" s="821" t="s">
        <v>483</v>
      </c>
      <c r="G193" s="580"/>
    </row>
    <row r="194" spans="1:7" ht="13.5" customHeight="1" x14ac:dyDescent="0.2">
      <c r="A194" s="578"/>
      <c r="B194" s="585"/>
      <c r="C194" s="722" t="s">
        <v>20</v>
      </c>
      <c r="D194" s="603" t="s">
        <v>488</v>
      </c>
      <c r="E194" s="821" t="s">
        <v>483</v>
      </c>
      <c r="F194" s="821">
        <v>0.05</v>
      </c>
      <c r="G194" s="580">
        <v>-671.75</v>
      </c>
    </row>
    <row r="195" spans="1:7" ht="13.5" customHeight="1" x14ac:dyDescent="0.2">
      <c r="A195" s="578" t="s">
        <v>8267</v>
      </c>
      <c r="B195" s="585"/>
      <c r="C195" s="722" t="s">
        <v>8268</v>
      </c>
      <c r="D195" s="603" t="s">
        <v>8269</v>
      </c>
      <c r="E195" s="821" t="s">
        <v>483</v>
      </c>
      <c r="F195" s="1431">
        <v>2000</v>
      </c>
      <c r="G195" s="580">
        <v>1328.25</v>
      </c>
    </row>
    <row r="196" spans="1:7" ht="13.5" customHeight="1" x14ac:dyDescent="0.2">
      <c r="A196" s="831">
        <v>45555</v>
      </c>
      <c r="B196" s="603"/>
      <c r="C196" s="569" t="s">
        <v>134</v>
      </c>
      <c r="D196" s="603">
        <v>18226</v>
      </c>
      <c r="E196" s="577">
        <v>-119.9</v>
      </c>
      <c r="F196" s="577"/>
      <c r="G196" s="574">
        <v>1208.3499999999999</v>
      </c>
    </row>
    <row r="197" spans="1:7" ht="13.5" customHeight="1" thickBot="1" x14ac:dyDescent="0.25">
      <c r="A197" s="831"/>
      <c r="B197" s="603"/>
      <c r="C197" s="722"/>
      <c r="D197" s="603"/>
      <c r="E197" s="577"/>
      <c r="F197" s="577"/>
      <c r="G197" s="580"/>
    </row>
    <row r="198" spans="1:7" ht="13.5" customHeight="1" thickBot="1" x14ac:dyDescent="0.25">
      <c r="A198" s="561" t="s">
        <v>2</v>
      </c>
      <c r="B198" s="562"/>
      <c r="C198" s="562" t="s">
        <v>481</v>
      </c>
      <c r="D198" s="562"/>
      <c r="E198" s="562"/>
      <c r="F198" s="562"/>
      <c r="G198" s="564" t="s">
        <v>7</v>
      </c>
    </row>
    <row r="199" spans="1:7" ht="13.5" customHeight="1" x14ac:dyDescent="0.2">
      <c r="A199" s="568">
        <v>45536</v>
      </c>
      <c r="B199" s="585"/>
      <c r="C199" s="570" t="s">
        <v>537</v>
      </c>
      <c r="D199" s="1433"/>
      <c r="E199" s="821"/>
      <c r="F199" s="821"/>
      <c r="G199" s="574">
        <v>2271.58</v>
      </c>
    </row>
    <row r="200" spans="1:7" ht="13.5" customHeight="1" x14ac:dyDescent="0.2">
      <c r="A200" s="578" t="s">
        <v>8270</v>
      </c>
      <c r="B200" s="603"/>
      <c r="C200" s="722" t="s">
        <v>199</v>
      </c>
      <c r="D200" s="1434" t="s">
        <v>488</v>
      </c>
      <c r="E200" s="1435">
        <v>-188.05</v>
      </c>
      <c r="F200" s="577"/>
      <c r="G200" s="580">
        <v>2083.5300000000002</v>
      </c>
    </row>
    <row r="201" spans="1:7" ht="13.5" customHeight="1" x14ac:dyDescent="0.2">
      <c r="A201" s="578" t="s">
        <v>8271</v>
      </c>
      <c r="B201" s="603"/>
      <c r="C201" s="722" t="s">
        <v>8272</v>
      </c>
      <c r="D201" s="1434" t="s">
        <v>488</v>
      </c>
      <c r="E201" s="1435">
        <v>-90.63</v>
      </c>
      <c r="F201" s="577"/>
      <c r="G201" s="580"/>
    </row>
    <row r="202" spans="1:7" ht="13.5" customHeight="1" x14ac:dyDescent="0.2">
      <c r="A202" s="578"/>
      <c r="B202" s="603"/>
      <c r="C202" s="722" t="s">
        <v>8250</v>
      </c>
      <c r="D202" s="1434" t="s">
        <v>488</v>
      </c>
      <c r="E202" s="1435">
        <v>-58</v>
      </c>
      <c r="F202" s="577"/>
      <c r="G202" s="580"/>
    </row>
    <row r="203" spans="1:7" ht="13.5" customHeight="1" x14ac:dyDescent="0.2">
      <c r="A203" s="578"/>
      <c r="B203" s="603"/>
      <c r="C203" s="722" t="s">
        <v>8248</v>
      </c>
      <c r="D203" s="1434" t="s">
        <v>488</v>
      </c>
      <c r="E203" s="1435">
        <v>-500</v>
      </c>
      <c r="F203" s="577"/>
      <c r="G203" s="580"/>
    </row>
    <row r="204" spans="1:7" ht="13.5" customHeight="1" x14ac:dyDescent="0.2">
      <c r="A204" s="578"/>
      <c r="B204" s="603"/>
      <c r="C204" s="722" t="s">
        <v>8249</v>
      </c>
      <c r="D204" s="1434" t="s">
        <v>488</v>
      </c>
      <c r="E204" s="1435">
        <v>-400</v>
      </c>
      <c r="F204" s="577"/>
      <c r="G204" s="580"/>
    </row>
    <row r="205" spans="1:7" ht="13.5" customHeight="1" x14ac:dyDescent="0.2">
      <c r="A205" s="578"/>
      <c r="B205" s="603"/>
      <c r="C205" s="722" t="s">
        <v>8196</v>
      </c>
      <c r="D205" s="1434" t="s">
        <v>488</v>
      </c>
      <c r="E205" s="1435"/>
      <c r="F205" s="1431">
        <v>2000</v>
      </c>
      <c r="G205" s="580"/>
    </row>
    <row r="206" spans="1:7" ht="13.5" customHeight="1" x14ac:dyDescent="0.2">
      <c r="A206" s="578"/>
      <c r="B206" s="603"/>
      <c r="C206" s="722" t="s">
        <v>3731</v>
      </c>
      <c r="D206" s="1434" t="s">
        <v>8273</v>
      </c>
      <c r="E206" s="1435">
        <v>-800.42</v>
      </c>
      <c r="F206" s="577"/>
      <c r="G206" s="580">
        <v>2234.48</v>
      </c>
    </row>
    <row r="207" spans="1:7" ht="13.5" customHeight="1" x14ac:dyDescent="0.2">
      <c r="A207" s="578" t="s">
        <v>8274</v>
      </c>
      <c r="B207" s="603"/>
      <c r="C207" s="722" t="s">
        <v>180</v>
      </c>
      <c r="D207" s="1434" t="s">
        <v>488</v>
      </c>
      <c r="E207" s="1435">
        <v>-847.74</v>
      </c>
      <c r="F207" s="577"/>
      <c r="G207" s="580"/>
    </row>
    <row r="208" spans="1:7" ht="13.5" customHeight="1" x14ac:dyDescent="0.2">
      <c r="A208" s="578"/>
      <c r="B208" s="603"/>
      <c r="C208" s="722" t="s">
        <v>8275</v>
      </c>
      <c r="D208" s="1434" t="s">
        <v>488</v>
      </c>
      <c r="E208" s="577"/>
      <c r="F208" s="1435">
        <v>6000</v>
      </c>
      <c r="G208" s="580">
        <v>7386.74</v>
      </c>
    </row>
    <row r="209" spans="1:7" ht="13.5" customHeight="1" x14ac:dyDescent="0.2">
      <c r="A209" s="578" t="s">
        <v>8276</v>
      </c>
      <c r="B209" s="603"/>
      <c r="C209" s="722" t="s">
        <v>8277</v>
      </c>
      <c r="D209" s="1434" t="s">
        <v>488</v>
      </c>
      <c r="E209" s="1435">
        <v>-1311.6</v>
      </c>
      <c r="F209" s="577"/>
      <c r="G209" s="580"/>
    </row>
    <row r="210" spans="1:7" ht="13.5" customHeight="1" x14ac:dyDescent="0.2">
      <c r="A210" s="578"/>
      <c r="B210" s="603"/>
      <c r="C210" s="722" t="s">
        <v>8272</v>
      </c>
      <c r="D210" s="1434" t="s">
        <v>488</v>
      </c>
      <c r="E210" s="1435">
        <v>-81.8</v>
      </c>
      <c r="F210" s="577"/>
      <c r="G210" s="580"/>
    </row>
    <row r="211" spans="1:7" ht="13.5" customHeight="1" x14ac:dyDescent="0.2">
      <c r="A211" s="578"/>
      <c r="B211" s="603"/>
      <c r="C211" s="722" t="s">
        <v>8278</v>
      </c>
      <c r="D211" s="1434" t="s">
        <v>488</v>
      </c>
      <c r="E211" s="1435">
        <v>-214.7</v>
      </c>
      <c r="F211" s="577"/>
      <c r="G211" s="580">
        <v>5778.64</v>
      </c>
    </row>
    <row r="212" spans="1:7" ht="13.5" customHeight="1" x14ac:dyDescent="0.2">
      <c r="A212" s="578" t="s">
        <v>8279</v>
      </c>
      <c r="B212" s="603"/>
      <c r="C212" s="569" t="s">
        <v>8280</v>
      </c>
      <c r="D212" s="1434" t="s">
        <v>8281</v>
      </c>
      <c r="E212" s="1435">
        <v>-567.6</v>
      </c>
      <c r="F212" s="577"/>
      <c r="G212" s="580">
        <v>5211.04</v>
      </c>
    </row>
    <row r="213" spans="1:7" ht="13.5" customHeight="1" x14ac:dyDescent="0.2">
      <c r="A213" s="578" t="s">
        <v>8282</v>
      </c>
      <c r="B213" s="603"/>
      <c r="C213" s="722" t="s">
        <v>8283</v>
      </c>
      <c r="D213" s="1434" t="s">
        <v>8284</v>
      </c>
      <c r="E213" s="1435">
        <v>-1065</v>
      </c>
      <c r="F213" s="577"/>
      <c r="G213" s="580"/>
    </row>
    <row r="214" spans="1:7" ht="13.5" customHeight="1" x14ac:dyDescent="0.2">
      <c r="A214" s="578"/>
      <c r="B214" s="603"/>
      <c r="C214" s="722" t="s">
        <v>8285</v>
      </c>
      <c r="D214" s="1434" t="s">
        <v>8286</v>
      </c>
      <c r="E214" s="1435">
        <v>-46.96</v>
      </c>
      <c r="F214" s="577"/>
      <c r="G214" s="580"/>
    </row>
    <row r="215" spans="1:7" ht="13.5" customHeight="1" x14ac:dyDescent="0.2">
      <c r="A215" s="578"/>
      <c r="B215" s="603"/>
      <c r="C215" s="722" t="s">
        <v>8268</v>
      </c>
      <c r="D215" s="1434" t="s">
        <v>8269</v>
      </c>
      <c r="E215" s="1431">
        <v>-2000</v>
      </c>
      <c r="F215" s="1435"/>
      <c r="G215" s="580">
        <v>2099.08</v>
      </c>
    </row>
    <row r="216" spans="1:7" ht="13.5" customHeight="1" x14ac:dyDescent="0.2">
      <c r="A216" s="578" t="s">
        <v>8287</v>
      </c>
      <c r="B216" s="585"/>
      <c r="C216" s="722" t="s">
        <v>194</v>
      </c>
      <c r="D216" s="1434" t="s">
        <v>488</v>
      </c>
      <c r="E216" s="1435">
        <v>-110.83</v>
      </c>
      <c r="F216" s="821"/>
      <c r="G216" s="580"/>
    </row>
    <row r="217" spans="1:7" ht="13.5" customHeight="1" x14ac:dyDescent="0.2">
      <c r="A217" s="578"/>
      <c r="B217" s="585"/>
      <c r="C217" s="722" t="s">
        <v>195</v>
      </c>
      <c r="D217" s="1434" t="s">
        <v>488</v>
      </c>
      <c r="E217" s="1435">
        <v>-511.5</v>
      </c>
      <c r="F217" s="821"/>
      <c r="G217" s="580"/>
    </row>
    <row r="218" spans="1:7" ht="13.5" customHeight="1" x14ac:dyDescent="0.2">
      <c r="A218" s="578"/>
      <c r="B218" s="585"/>
      <c r="C218" s="722" t="s">
        <v>813</v>
      </c>
      <c r="D218" s="1434" t="s">
        <v>488</v>
      </c>
      <c r="E218" s="1435">
        <v>-104.09</v>
      </c>
      <c r="F218" s="821"/>
      <c r="G218" s="580">
        <v>1372.66</v>
      </c>
    </row>
    <row r="219" spans="1:7" ht="13.5" customHeight="1" x14ac:dyDescent="0.2">
      <c r="A219" s="578" t="s">
        <v>8288</v>
      </c>
      <c r="B219" s="585"/>
      <c r="C219" s="722" t="s">
        <v>8289</v>
      </c>
      <c r="D219" s="1434" t="s">
        <v>488</v>
      </c>
      <c r="E219" s="821"/>
      <c r="F219" s="1435">
        <v>11415.17</v>
      </c>
      <c r="G219" s="580"/>
    </row>
    <row r="220" spans="1:7" ht="13.5" customHeight="1" x14ac:dyDescent="0.2">
      <c r="A220" s="578"/>
      <c r="B220" s="585"/>
      <c r="C220" s="722" t="s">
        <v>8290</v>
      </c>
      <c r="D220" s="1434" t="s">
        <v>488</v>
      </c>
      <c r="E220" s="1435">
        <v>-11000</v>
      </c>
      <c r="F220" s="821"/>
      <c r="G220" s="580">
        <v>1787.83</v>
      </c>
    </row>
    <row r="221" spans="1:7" ht="13.5" customHeight="1" x14ac:dyDescent="0.2">
      <c r="A221" s="578" t="s">
        <v>8291</v>
      </c>
      <c r="B221" s="585"/>
      <c r="C221" s="722" t="s">
        <v>8292</v>
      </c>
      <c r="D221" s="1434" t="s">
        <v>488</v>
      </c>
      <c r="E221" s="1435">
        <v>-113.52</v>
      </c>
      <c r="F221" s="821"/>
      <c r="G221" s="580"/>
    </row>
    <row r="222" spans="1:7" ht="13.5" customHeight="1" x14ac:dyDescent="0.2">
      <c r="A222" s="578"/>
      <c r="B222" s="585"/>
      <c r="C222" s="722" t="s">
        <v>8293</v>
      </c>
      <c r="D222" s="1434" t="s">
        <v>8294</v>
      </c>
      <c r="E222" s="1435">
        <v>-862.48</v>
      </c>
      <c r="F222" s="821"/>
      <c r="G222" s="580">
        <v>811.83</v>
      </c>
    </row>
    <row r="223" spans="1:7" ht="13.5" customHeight="1" x14ac:dyDescent="0.2">
      <c r="A223" s="578" t="s">
        <v>8295</v>
      </c>
      <c r="B223" s="585"/>
      <c r="C223" s="722" t="s">
        <v>86</v>
      </c>
      <c r="D223" s="1434" t="s">
        <v>488</v>
      </c>
      <c r="E223" s="1435">
        <v>-160</v>
      </c>
      <c r="F223" s="821"/>
      <c r="G223" s="580"/>
    </row>
    <row r="224" spans="1:7" ht="13.5" customHeight="1" x14ac:dyDescent="0.2">
      <c r="A224" s="578"/>
      <c r="B224" s="585"/>
      <c r="C224" s="722" t="s">
        <v>8296</v>
      </c>
      <c r="D224" s="1434" t="s">
        <v>8297</v>
      </c>
      <c r="E224" s="1435">
        <v>-67.989999999999995</v>
      </c>
      <c r="F224" s="821"/>
      <c r="G224" s="574">
        <v>583.84</v>
      </c>
    </row>
    <row r="225" spans="1:24" ht="13.5" customHeight="1" thickBot="1" x14ac:dyDescent="0.25">
      <c r="A225" s="831"/>
      <c r="B225" s="603"/>
      <c r="C225" s="722"/>
      <c r="D225" s="581"/>
      <c r="E225" s="577"/>
      <c r="F225" s="577"/>
      <c r="G225" s="580"/>
    </row>
    <row r="226" spans="1:24" ht="13.5" customHeight="1" thickBot="1" x14ac:dyDescent="0.25">
      <c r="A226" s="561" t="s">
        <v>2</v>
      </c>
      <c r="B226" s="562"/>
      <c r="C226" s="562" t="s">
        <v>525</v>
      </c>
      <c r="D226" s="562"/>
      <c r="E226" s="562"/>
      <c r="F226" s="562"/>
      <c r="G226" s="564" t="s">
        <v>7</v>
      </c>
    </row>
    <row r="227" spans="1:24" ht="13.5" customHeight="1" x14ac:dyDescent="0.2">
      <c r="A227" s="568">
        <v>45536</v>
      </c>
      <c r="B227" s="585"/>
      <c r="C227" s="570" t="s">
        <v>537</v>
      </c>
      <c r="D227" s="830"/>
      <c r="E227" s="821"/>
      <c r="F227" s="821"/>
      <c r="G227" s="574">
        <v>756.80999999999426</v>
      </c>
    </row>
    <row r="228" spans="1:24" ht="13.5" customHeight="1" x14ac:dyDescent="0.2">
      <c r="A228" s="1436">
        <v>45536</v>
      </c>
      <c r="B228" s="1437"/>
      <c r="C228" s="1438" t="s">
        <v>8152</v>
      </c>
      <c r="D228" s="832"/>
      <c r="E228" s="1439">
        <v>78</v>
      </c>
      <c r="F228" s="1440"/>
      <c r="G228" s="1441">
        <f>G227-E228+F228</f>
        <v>678.80999999999426</v>
      </c>
      <c r="H228" s="1442"/>
      <c r="I228" s="1442"/>
      <c r="J228" s="1442"/>
      <c r="K228" s="1442"/>
      <c r="L228" s="1442"/>
      <c r="M228" s="1442"/>
      <c r="N228" s="1442"/>
      <c r="O228" s="1442"/>
      <c r="P228" s="1442"/>
      <c r="Q228" s="1442"/>
      <c r="R228" s="1442"/>
      <c r="S228" s="1442"/>
      <c r="T228" s="1442"/>
      <c r="U228" s="1442"/>
      <c r="V228" s="1442"/>
      <c r="W228" s="1442"/>
      <c r="X228" s="1442"/>
    </row>
    <row r="229" spans="1:24" ht="13.5" customHeight="1" x14ac:dyDescent="0.2">
      <c r="A229" s="1436">
        <v>45540</v>
      </c>
      <c r="B229" s="1437"/>
      <c r="C229" s="34" t="s">
        <v>8298</v>
      </c>
      <c r="D229" s="42"/>
      <c r="E229" s="69"/>
      <c r="F229" s="557">
        <v>1000</v>
      </c>
      <c r="G229" s="1441">
        <f>G228-E229+F229</f>
        <v>1678.8099999999943</v>
      </c>
      <c r="H229" s="1442"/>
      <c r="I229" s="1442"/>
      <c r="J229" s="1442"/>
      <c r="K229" s="1442"/>
      <c r="L229" s="1442"/>
      <c r="M229" s="1442"/>
      <c r="N229" s="1442"/>
      <c r="O229" s="1442"/>
      <c r="P229" s="1442"/>
      <c r="Q229" s="1442"/>
      <c r="R229" s="1442"/>
      <c r="S229" s="1442"/>
      <c r="T229" s="1442"/>
      <c r="U229" s="1442"/>
      <c r="V229" s="1442"/>
      <c r="W229" s="1442"/>
      <c r="X229" s="1442"/>
    </row>
    <row r="230" spans="1:24" ht="13.5" customHeight="1" x14ac:dyDescent="0.2">
      <c r="A230" s="831"/>
      <c r="B230" s="603"/>
      <c r="C230" s="569" t="s">
        <v>530</v>
      </c>
      <c r="D230" s="581"/>
      <c r="E230" s="1435">
        <v>1256.68</v>
      </c>
      <c r="F230" s="577"/>
      <c r="G230" s="580">
        <f>G229-E230+F230</f>
        <v>422.1299999999942</v>
      </c>
    </row>
    <row r="231" spans="1:24" ht="13.5" customHeight="1" x14ac:dyDescent="0.2">
      <c r="A231" s="578">
        <v>45541</v>
      </c>
      <c r="B231" s="1437"/>
      <c r="C231" s="1443" t="s">
        <v>8113</v>
      </c>
      <c r="D231" s="832"/>
      <c r="E231" s="1439">
        <v>185.7</v>
      </c>
      <c r="F231" s="1440"/>
      <c r="G231" s="1441">
        <f>G230-E231+F231</f>
        <v>236.42999999999421</v>
      </c>
      <c r="H231" s="1442"/>
      <c r="I231" s="1442"/>
      <c r="J231" s="1442"/>
      <c r="K231" s="1442"/>
      <c r="L231" s="1442"/>
      <c r="M231" s="1442"/>
      <c r="N231" s="1442"/>
      <c r="O231" s="1442"/>
      <c r="P231" s="1442"/>
      <c r="Q231" s="1442"/>
      <c r="R231" s="1442"/>
      <c r="S231" s="1442"/>
      <c r="T231" s="1442"/>
      <c r="U231" s="1442"/>
      <c r="V231" s="1442"/>
      <c r="W231" s="1442"/>
      <c r="X231" s="1442"/>
    </row>
    <row r="232" spans="1:24" ht="13.5" customHeight="1" x14ac:dyDescent="0.2">
      <c r="A232" s="831">
        <v>45547</v>
      </c>
      <c r="B232" s="603"/>
      <c r="C232" s="1438" t="s">
        <v>8299</v>
      </c>
      <c r="D232" s="832"/>
      <c r="E232" s="577"/>
      <c r="F232" s="1435">
        <v>214.7</v>
      </c>
      <c r="G232" s="580">
        <f>G231-E232+F232</f>
        <v>451.1299999999942</v>
      </c>
    </row>
    <row r="233" spans="1:24" ht="13.5" customHeight="1" thickBot="1" x14ac:dyDescent="0.25">
      <c r="A233" s="831"/>
      <c r="B233" s="603"/>
      <c r="C233" s="569"/>
      <c r="D233" s="832"/>
      <c r="E233" s="577"/>
      <c r="F233" s="577"/>
      <c r="G233" s="580"/>
    </row>
    <row r="234" spans="1:24" ht="13.5" thickBot="1" x14ac:dyDescent="0.25">
      <c r="A234" s="561" t="s">
        <v>2</v>
      </c>
      <c r="B234" s="562"/>
      <c r="C234" s="562" t="s">
        <v>534</v>
      </c>
      <c r="D234" s="563" t="s">
        <v>4</v>
      </c>
      <c r="E234" s="562" t="s">
        <v>5</v>
      </c>
      <c r="F234" s="562" t="s">
        <v>6</v>
      </c>
      <c r="G234" s="564" t="s">
        <v>7</v>
      </c>
      <c r="H234" s="1442"/>
      <c r="I234" s="1442"/>
      <c r="J234" s="1442"/>
      <c r="K234" s="1442"/>
      <c r="L234" s="1442"/>
      <c r="M234" s="1442"/>
      <c r="N234" s="1442"/>
      <c r="O234" s="1442"/>
      <c r="P234" s="1442"/>
      <c r="Q234" s="1442"/>
      <c r="R234" s="1442"/>
      <c r="S234" s="1442"/>
      <c r="T234" s="1442"/>
      <c r="U234" s="1442"/>
      <c r="V234" s="1442"/>
      <c r="W234" s="1442"/>
      <c r="X234" s="1442"/>
    </row>
    <row r="235" spans="1:24" ht="13.5" customHeight="1" x14ac:dyDescent="0.2">
      <c r="A235" s="568">
        <v>45407</v>
      </c>
      <c r="B235" s="1443"/>
      <c r="C235" s="570" t="s">
        <v>8</v>
      </c>
      <c r="D235" s="1444"/>
      <c r="E235" s="1445"/>
      <c r="F235" s="1446"/>
      <c r="G235" s="205">
        <v>453600</v>
      </c>
      <c r="H235" s="1442"/>
      <c r="I235" s="1442"/>
      <c r="J235" s="1442"/>
      <c r="K235" s="1442"/>
      <c r="L235" s="1442"/>
      <c r="M235" s="1442"/>
      <c r="N235" s="1442"/>
      <c r="O235" s="1442"/>
      <c r="P235" s="1442"/>
      <c r="Q235" s="1442"/>
      <c r="R235" s="1442"/>
      <c r="S235" s="1442"/>
      <c r="T235" s="1442"/>
      <c r="U235" s="1442"/>
      <c r="V235" s="1442"/>
      <c r="W235" s="1442"/>
      <c r="X235" s="1442"/>
    </row>
    <row r="236" spans="1:24" customFormat="1" ht="13.5" customHeight="1" x14ac:dyDescent="0.2">
      <c r="A236" s="171">
        <v>45539</v>
      </c>
      <c r="B236" s="221"/>
      <c r="C236" s="1438" t="s">
        <v>8298</v>
      </c>
      <c r="D236" s="596"/>
      <c r="E236" s="240"/>
      <c r="F236" s="240">
        <v>2000</v>
      </c>
      <c r="G236" s="203">
        <f>G235-E236+F236</f>
        <v>455600</v>
      </c>
    </row>
    <row r="237" spans="1:24" customFormat="1" ht="13.5" customHeight="1" x14ac:dyDescent="0.2">
      <c r="A237" s="171">
        <v>45540</v>
      </c>
      <c r="B237" s="221"/>
      <c r="C237" s="1438" t="s">
        <v>8298</v>
      </c>
      <c r="D237" s="596"/>
      <c r="E237" s="240"/>
      <c r="F237" s="240">
        <v>1000</v>
      </c>
      <c r="G237" s="203">
        <f>G236-E237+F237</f>
        <v>456600</v>
      </c>
    </row>
    <row r="238" spans="1:24" customFormat="1" ht="13.5" customHeight="1" x14ac:dyDescent="0.2">
      <c r="A238" s="171">
        <v>45551</v>
      </c>
      <c r="B238" s="221"/>
      <c r="C238" s="1438" t="s">
        <v>8300</v>
      </c>
      <c r="D238" s="596"/>
      <c r="E238" s="240">
        <v>2000</v>
      </c>
      <c r="F238" s="240"/>
      <c r="G238" s="203">
        <f>G237-E238+F238</f>
        <v>454600</v>
      </c>
    </row>
    <row r="239" spans="1:24" customFormat="1" ht="13.5" customHeight="1" x14ac:dyDescent="0.2">
      <c r="A239" s="171">
        <v>45554</v>
      </c>
      <c r="B239" s="221"/>
      <c r="C239" s="1438" t="s">
        <v>8300</v>
      </c>
      <c r="D239" s="596"/>
      <c r="E239" s="240">
        <v>11000</v>
      </c>
      <c r="F239" s="240"/>
      <c r="G239" s="205">
        <f>G238-E239+F239</f>
        <v>443600</v>
      </c>
    </row>
    <row r="240" spans="1:24" ht="13.5" customHeight="1" thickBot="1" x14ac:dyDescent="0.25">
      <c r="A240" s="585"/>
      <c r="B240" s="585"/>
      <c r="C240" s="795"/>
      <c r="D240" s="803"/>
      <c r="E240" s="782"/>
      <c r="F240" s="782"/>
      <c r="G240" s="580"/>
    </row>
    <row r="241" spans="1:7" ht="13.5" customHeight="1" thickBot="1" x14ac:dyDescent="0.25">
      <c r="A241" s="838"/>
      <c r="B241" s="839"/>
      <c r="C241" s="840" t="s">
        <v>539</v>
      </c>
      <c r="D241" s="841"/>
      <c r="E241" s="824"/>
      <c r="F241" s="824"/>
      <c r="G241" s="842" t="s">
        <v>7</v>
      </c>
    </row>
    <row r="242" spans="1:7" ht="13.5" customHeight="1" x14ac:dyDescent="0.2">
      <c r="A242" s="843" t="s">
        <v>540</v>
      </c>
      <c r="B242" s="843"/>
      <c r="C242" s="844" t="s">
        <v>541</v>
      </c>
      <c r="D242" s="845"/>
      <c r="E242" s="846"/>
      <c r="F242" s="846"/>
      <c r="G242" s="847">
        <v>0</v>
      </c>
    </row>
    <row r="243" spans="1:7" ht="13.5" customHeight="1" x14ac:dyDescent="0.2">
      <c r="A243" s="585" t="s">
        <v>540</v>
      </c>
      <c r="B243" s="585"/>
      <c r="C243" s="795" t="s">
        <v>542</v>
      </c>
      <c r="D243" s="803"/>
      <c r="E243" s="782"/>
      <c r="F243" s="782"/>
      <c r="G243" s="847">
        <v>0</v>
      </c>
    </row>
    <row r="244" spans="1:7" ht="13.5" customHeight="1" x14ac:dyDescent="0.2">
      <c r="A244" s="585"/>
      <c r="B244" s="585"/>
      <c r="C244" s="819" t="s">
        <v>543</v>
      </c>
      <c r="D244" s="803"/>
      <c r="E244" s="782"/>
      <c r="F244" s="782"/>
      <c r="G244" s="783">
        <f>SUM(G242:G243)</f>
        <v>0</v>
      </c>
    </row>
    <row r="245" spans="1:7" ht="13.5" customHeight="1" x14ac:dyDescent="0.2">
      <c r="A245" s="585"/>
      <c r="B245" s="585"/>
      <c r="C245" s="795"/>
      <c r="D245" s="803"/>
      <c r="E245" s="782"/>
      <c r="F245" s="782"/>
      <c r="G245" s="783"/>
    </row>
    <row r="246" spans="1:7" ht="13.5" customHeight="1" x14ac:dyDescent="0.2">
      <c r="A246" s="585"/>
      <c r="B246" s="585"/>
      <c r="C246" s="819" t="s">
        <v>544</v>
      </c>
      <c r="D246" s="803"/>
      <c r="E246" s="782"/>
      <c r="F246" s="782"/>
      <c r="G246" s="783">
        <v>0</v>
      </c>
    </row>
    <row r="247" spans="1:7" ht="13.5" customHeight="1" x14ac:dyDescent="0.2">
      <c r="A247" s="585"/>
      <c r="B247" s="585"/>
      <c r="C247" s="795"/>
      <c r="D247" s="803"/>
      <c r="E247" s="782"/>
      <c r="F247" s="782"/>
      <c r="G247" s="847"/>
    </row>
    <row r="248" spans="1:7" ht="13.5" customHeight="1" x14ac:dyDescent="0.2">
      <c r="A248" s="76"/>
      <c r="B248" s="76"/>
      <c r="C248" s="819" t="s">
        <v>545</v>
      </c>
      <c r="D248" s="78"/>
      <c r="E248" s="78"/>
      <c r="F248" s="78"/>
      <c r="G248" s="783">
        <v>0</v>
      </c>
    </row>
    <row r="249" spans="1:7" ht="13.5" customHeight="1" thickBot="1" x14ac:dyDescent="0.25">
      <c r="A249" s="76"/>
      <c r="B249" s="76"/>
      <c r="C249" s="819"/>
      <c r="D249" s="78"/>
      <c r="E249" s="78"/>
      <c r="F249" s="78"/>
      <c r="G249" s="783"/>
    </row>
    <row r="250" spans="1:7" ht="13.5" customHeight="1" thickBot="1" x14ac:dyDescent="0.25">
      <c r="A250" s="838"/>
      <c r="B250" s="839"/>
      <c r="C250" s="840" t="s">
        <v>8301</v>
      </c>
      <c r="D250" s="841"/>
      <c r="E250" s="824"/>
      <c r="F250" s="824"/>
      <c r="G250" s="842" t="s">
        <v>7</v>
      </c>
    </row>
    <row r="251" spans="1:7" ht="13.5" customHeight="1" x14ac:dyDescent="0.2">
      <c r="A251" s="1447"/>
      <c r="B251" s="1448"/>
      <c r="C251" s="1449"/>
      <c r="D251" s="1450"/>
      <c r="E251" s="1451"/>
      <c r="F251" s="1451"/>
      <c r="G251" s="1452"/>
    </row>
    <row r="252" spans="1:7" ht="13.5" customHeight="1" x14ac:dyDescent="0.2">
      <c r="A252" s="831"/>
      <c r="B252" s="1453"/>
      <c r="C252" s="1454" t="s">
        <v>8302</v>
      </c>
      <c r="D252" s="1450"/>
      <c r="E252" s="1455" t="s">
        <v>8303</v>
      </c>
      <c r="F252" s="1456"/>
      <c r="G252" s="1457"/>
    </row>
    <row r="253" spans="1:7" ht="13.5" customHeight="1" x14ac:dyDescent="0.2">
      <c r="A253" s="831"/>
      <c r="B253" s="1453"/>
      <c r="C253" s="793" t="s">
        <v>8304</v>
      </c>
      <c r="D253" s="1450"/>
      <c r="E253" s="577">
        <v>180000</v>
      </c>
      <c r="F253" s="577"/>
      <c r="G253" s="580"/>
    </row>
    <row r="254" spans="1:7" ht="13.5" customHeight="1" x14ac:dyDescent="0.2">
      <c r="A254" s="831"/>
      <c r="B254" s="1453"/>
      <c r="C254" s="793" t="s">
        <v>3762</v>
      </c>
      <c r="D254" s="1450"/>
      <c r="E254" s="577">
        <v>70000</v>
      </c>
      <c r="F254" s="577"/>
      <c r="G254" s="580"/>
    </row>
    <row r="255" spans="1:7" ht="13.5" customHeight="1" x14ac:dyDescent="0.2">
      <c r="A255" s="831"/>
      <c r="B255" s="1453"/>
      <c r="C255" s="793" t="s">
        <v>8305</v>
      </c>
      <c r="D255" s="1450"/>
      <c r="E255" s="577">
        <v>0</v>
      </c>
      <c r="F255" s="577"/>
      <c r="G255" s="580"/>
    </row>
    <row r="256" spans="1:7" ht="13.5" customHeight="1" x14ac:dyDescent="0.2">
      <c r="A256" s="831"/>
      <c r="B256" s="1453"/>
      <c r="C256" s="793"/>
      <c r="D256" s="1450"/>
      <c r="E256" s="818">
        <f>SUM(E253:E255)</f>
        <v>250000</v>
      </c>
      <c r="F256" s="818">
        <f>SUM(F253:F255)</f>
        <v>0</v>
      </c>
      <c r="G256" s="580"/>
    </row>
    <row r="257" spans="1:7" ht="13.5" customHeight="1" x14ac:dyDescent="0.2">
      <c r="A257" s="831"/>
      <c r="B257" s="1453"/>
      <c r="C257" s="793"/>
      <c r="D257" s="1450"/>
      <c r="E257" s="577"/>
      <c r="F257" s="577"/>
      <c r="G257" s="580"/>
    </row>
    <row r="258" spans="1:7" ht="13.5" customHeight="1" x14ac:dyDescent="0.2">
      <c r="A258" s="831"/>
      <c r="B258" s="1453"/>
      <c r="C258" s="1454" t="s">
        <v>8306</v>
      </c>
      <c r="D258" s="1450"/>
      <c r="E258" s="577"/>
      <c r="F258" s="577"/>
      <c r="G258" s="580"/>
    </row>
    <row r="259" spans="1:7" ht="13.5" customHeight="1" x14ac:dyDescent="0.2">
      <c r="A259" s="603">
        <v>4</v>
      </c>
      <c r="B259" s="1453"/>
      <c r="C259" s="722" t="s">
        <v>8307</v>
      </c>
      <c r="D259" s="1434"/>
      <c r="E259" s="577">
        <v>220</v>
      </c>
      <c r="F259" s="577"/>
      <c r="G259" s="580"/>
    </row>
    <row r="260" spans="1:7" ht="13.5" customHeight="1" x14ac:dyDescent="0.2">
      <c r="A260" s="603">
        <v>5</v>
      </c>
      <c r="B260" s="1453"/>
      <c r="C260" s="722" t="s">
        <v>8308</v>
      </c>
      <c r="D260" s="1434"/>
      <c r="E260" s="577">
        <v>800</v>
      </c>
      <c r="F260" s="577"/>
      <c r="G260" s="580"/>
    </row>
    <row r="261" spans="1:7" ht="13.5" customHeight="1" x14ac:dyDescent="0.2">
      <c r="A261" s="603">
        <v>5</v>
      </c>
      <c r="B261" s="1453"/>
      <c r="C261" s="722" t="s">
        <v>8309</v>
      </c>
      <c r="D261" s="581"/>
      <c r="E261" s="577">
        <v>440</v>
      </c>
      <c r="F261" s="577"/>
      <c r="G261" s="580"/>
    </row>
    <row r="262" spans="1:7" ht="13.5" customHeight="1" x14ac:dyDescent="0.2">
      <c r="A262" s="603">
        <v>7</v>
      </c>
      <c r="B262" s="1453"/>
      <c r="C262" s="722" t="s">
        <v>8310</v>
      </c>
      <c r="D262" s="1434"/>
      <c r="E262" s="577">
        <v>1000</v>
      </c>
      <c r="F262" s="577"/>
      <c r="G262" s="580"/>
    </row>
    <row r="263" spans="1:7" ht="13.5" customHeight="1" x14ac:dyDescent="0.2">
      <c r="A263" s="603">
        <v>7</v>
      </c>
      <c r="B263" s="1453"/>
      <c r="C263" s="722" t="s">
        <v>8311</v>
      </c>
      <c r="D263" s="1434"/>
      <c r="E263" s="577">
        <v>2000</v>
      </c>
      <c r="F263" s="577"/>
      <c r="G263" s="580"/>
    </row>
    <row r="264" spans="1:7" ht="13.5" customHeight="1" x14ac:dyDescent="0.2">
      <c r="A264" s="603">
        <v>7</v>
      </c>
      <c r="B264" s="1453"/>
      <c r="C264" s="722" t="s">
        <v>8312</v>
      </c>
      <c r="D264" s="1434"/>
      <c r="E264" s="577">
        <v>2470</v>
      </c>
      <c r="F264" s="577"/>
      <c r="G264" s="580"/>
    </row>
    <row r="265" spans="1:7" ht="13.5" customHeight="1" x14ac:dyDescent="0.2">
      <c r="A265" s="603">
        <v>7</v>
      </c>
      <c r="B265" s="1453"/>
      <c r="C265" s="722" t="s">
        <v>8313</v>
      </c>
      <c r="D265" s="1434"/>
      <c r="E265" s="577">
        <v>800</v>
      </c>
      <c r="F265" s="577"/>
      <c r="G265" s="580"/>
    </row>
    <row r="266" spans="1:7" ht="13.5" customHeight="1" x14ac:dyDescent="0.2">
      <c r="A266" s="603">
        <v>7</v>
      </c>
      <c r="B266" s="1453"/>
      <c r="C266" s="722" t="s">
        <v>8314</v>
      </c>
      <c r="D266" s="1434"/>
      <c r="E266" s="577">
        <v>550</v>
      </c>
      <c r="F266" s="577"/>
      <c r="G266" s="580"/>
    </row>
    <row r="267" spans="1:7" ht="13.5" customHeight="1" x14ac:dyDescent="0.2">
      <c r="A267" s="603">
        <v>10</v>
      </c>
      <c r="B267" s="1453"/>
      <c r="C267" s="793" t="s">
        <v>8315</v>
      </c>
      <c r="D267" s="1450"/>
      <c r="E267" s="577">
        <v>120</v>
      </c>
      <c r="F267" s="577"/>
      <c r="G267" s="580"/>
    </row>
    <row r="268" spans="1:7" ht="13.5" customHeight="1" x14ac:dyDescent="0.2">
      <c r="A268" s="603">
        <v>10</v>
      </c>
      <c r="B268" s="1453"/>
      <c r="C268" s="793" t="s">
        <v>8316</v>
      </c>
      <c r="D268" s="1450"/>
      <c r="E268" s="577">
        <v>4000</v>
      </c>
      <c r="F268" s="577"/>
      <c r="G268" s="580"/>
    </row>
    <row r="269" spans="1:7" ht="13.5" customHeight="1" x14ac:dyDescent="0.2">
      <c r="A269" s="603">
        <v>11</v>
      </c>
      <c r="B269" s="1453"/>
      <c r="C269" s="793" t="s">
        <v>8317</v>
      </c>
      <c r="D269" s="1450"/>
      <c r="E269" s="577">
        <v>750</v>
      </c>
      <c r="F269" s="577"/>
      <c r="G269" s="580"/>
    </row>
    <row r="270" spans="1:7" ht="13.5" customHeight="1" x14ac:dyDescent="0.2">
      <c r="A270" s="603">
        <v>11</v>
      </c>
      <c r="B270" s="1453"/>
      <c r="C270" s="793" t="s">
        <v>8318</v>
      </c>
      <c r="D270" s="1450"/>
      <c r="E270" s="577">
        <v>450</v>
      </c>
      <c r="F270" s="577"/>
      <c r="G270" s="580"/>
    </row>
    <row r="271" spans="1:7" ht="13.5" customHeight="1" x14ac:dyDescent="0.2">
      <c r="A271" s="603">
        <v>12</v>
      </c>
      <c r="B271" s="1453"/>
      <c r="C271" s="722" t="s">
        <v>8319</v>
      </c>
      <c r="D271" s="1450"/>
      <c r="E271" s="577">
        <v>140</v>
      </c>
      <c r="F271" s="577"/>
      <c r="G271" s="580"/>
    </row>
    <row r="272" spans="1:7" ht="13.5" customHeight="1" x14ac:dyDescent="0.2">
      <c r="A272" s="603">
        <v>12</v>
      </c>
      <c r="B272" s="1453"/>
      <c r="C272" s="722" t="s">
        <v>8313</v>
      </c>
      <c r="D272" s="1434"/>
      <c r="E272" s="577">
        <v>800</v>
      </c>
      <c r="F272" s="577"/>
      <c r="G272" s="580"/>
    </row>
    <row r="273" spans="1:7" ht="13.5" customHeight="1" x14ac:dyDescent="0.2">
      <c r="A273" s="603">
        <v>15</v>
      </c>
      <c r="B273" s="1453"/>
      <c r="C273" s="793" t="s">
        <v>8320</v>
      </c>
      <c r="D273" s="1450"/>
      <c r="E273" s="577">
        <v>70</v>
      </c>
      <c r="F273" s="577"/>
      <c r="G273" s="580"/>
    </row>
    <row r="274" spans="1:7" ht="13.5" customHeight="1" x14ac:dyDescent="0.2">
      <c r="A274" s="603">
        <v>15</v>
      </c>
      <c r="B274" s="1453"/>
      <c r="C274" s="793" t="s">
        <v>8321</v>
      </c>
      <c r="D274" s="1458"/>
      <c r="E274" s="577">
        <v>700</v>
      </c>
      <c r="F274" s="577"/>
      <c r="G274" s="580"/>
    </row>
    <row r="275" spans="1:7" ht="13.5" customHeight="1" x14ac:dyDescent="0.2">
      <c r="A275" s="603">
        <v>15</v>
      </c>
      <c r="B275" s="1453"/>
      <c r="C275" s="793" t="s">
        <v>8322</v>
      </c>
      <c r="D275" s="1458"/>
      <c r="E275" s="577">
        <v>1060</v>
      </c>
      <c r="F275" s="577"/>
      <c r="G275" s="580"/>
    </row>
    <row r="276" spans="1:7" ht="13.5" customHeight="1" x14ac:dyDescent="0.2">
      <c r="A276" s="603">
        <v>19</v>
      </c>
      <c r="B276" s="1453"/>
      <c r="C276" s="722" t="s">
        <v>8313</v>
      </c>
      <c r="D276" s="1434"/>
      <c r="E276" s="577">
        <v>800</v>
      </c>
      <c r="F276" s="577"/>
      <c r="G276" s="580"/>
    </row>
    <row r="277" spans="1:7" ht="13.5" customHeight="1" x14ac:dyDescent="0.2">
      <c r="A277" s="603">
        <v>20</v>
      </c>
      <c r="B277" s="1453"/>
      <c r="C277" s="722" t="s">
        <v>8323</v>
      </c>
      <c r="D277" s="1434"/>
      <c r="E277" s="577">
        <v>120</v>
      </c>
      <c r="F277" s="577"/>
      <c r="G277" s="580"/>
    </row>
    <row r="278" spans="1:7" ht="13.5" customHeight="1" x14ac:dyDescent="0.2">
      <c r="A278" s="603">
        <v>20</v>
      </c>
      <c r="B278" s="1453"/>
      <c r="C278" s="793" t="s">
        <v>8324</v>
      </c>
      <c r="D278" s="1458"/>
      <c r="E278" s="577">
        <v>815</v>
      </c>
      <c r="F278" s="577"/>
      <c r="G278" s="580"/>
    </row>
    <row r="279" spans="1:7" ht="13.5" customHeight="1" x14ac:dyDescent="0.2">
      <c r="A279" s="603">
        <v>20</v>
      </c>
      <c r="B279" s="1453"/>
      <c r="C279" s="793" t="s">
        <v>8325</v>
      </c>
      <c r="D279" s="1458"/>
      <c r="E279" s="577">
        <v>146</v>
      </c>
      <c r="F279" s="577"/>
      <c r="G279" s="580"/>
    </row>
    <row r="280" spans="1:7" ht="13.5" customHeight="1" x14ac:dyDescent="0.2">
      <c r="A280" s="603">
        <v>20</v>
      </c>
      <c r="B280" s="1453"/>
      <c r="C280" s="793" t="s">
        <v>8326</v>
      </c>
      <c r="D280" s="1458"/>
      <c r="E280" s="577">
        <v>290</v>
      </c>
      <c r="F280" s="577"/>
      <c r="G280" s="580"/>
    </row>
    <row r="281" spans="1:7" ht="13.5" customHeight="1" x14ac:dyDescent="0.2">
      <c r="A281" s="603">
        <v>20</v>
      </c>
      <c r="B281" s="1453"/>
      <c r="C281" s="722" t="s">
        <v>8327</v>
      </c>
      <c r="D281" s="581"/>
      <c r="E281" s="577">
        <v>120</v>
      </c>
      <c r="F281" s="577"/>
      <c r="G281" s="580"/>
    </row>
    <row r="282" spans="1:7" ht="13.5" customHeight="1" x14ac:dyDescent="0.2">
      <c r="A282" s="603">
        <v>20</v>
      </c>
      <c r="B282" s="1453"/>
      <c r="C282" s="722" t="s">
        <v>8309</v>
      </c>
      <c r="D282" s="1459"/>
      <c r="E282" s="577">
        <v>440</v>
      </c>
      <c r="F282" s="577"/>
      <c r="G282" s="580"/>
    </row>
    <row r="283" spans="1:7" ht="13.5" customHeight="1" x14ac:dyDescent="0.2">
      <c r="A283" s="603">
        <v>22</v>
      </c>
      <c r="B283" s="1453"/>
      <c r="C283" s="569" t="s">
        <v>8328</v>
      </c>
      <c r="D283" s="1458"/>
      <c r="E283" s="577">
        <v>150</v>
      </c>
      <c r="F283" s="577"/>
      <c r="G283" s="580"/>
    </row>
    <row r="284" spans="1:7" ht="13.5" customHeight="1" x14ac:dyDescent="0.2">
      <c r="A284" s="603">
        <v>22</v>
      </c>
      <c r="B284" s="1453"/>
      <c r="C284" s="634" t="s">
        <v>8329</v>
      </c>
      <c r="D284" s="581"/>
      <c r="E284" s="577">
        <v>50</v>
      </c>
      <c r="F284" s="577"/>
      <c r="G284" s="580"/>
    </row>
    <row r="285" spans="1:7" ht="13.5" customHeight="1" x14ac:dyDescent="0.2">
      <c r="A285" s="603">
        <v>23</v>
      </c>
      <c r="B285" s="1453"/>
      <c r="C285" s="722" t="s">
        <v>8330</v>
      </c>
      <c r="D285" s="1460"/>
      <c r="E285" s="577">
        <v>130</v>
      </c>
      <c r="F285" s="577"/>
      <c r="G285" s="580"/>
    </row>
    <row r="286" spans="1:7" ht="13.5" customHeight="1" x14ac:dyDescent="0.2">
      <c r="A286" s="603">
        <v>25</v>
      </c>
      <c r="B286" s="1453"/>
      <c r="C286" s="793" t="s">
        <v>8331</v>
      </c>
      <c r="D286" s="1458"/>
      <c r="E286" s="577">
        <v>600</v>
      </c>
      <c r="F286" s="577"/>
      <c r="G286" s="580"/>
    </row>
    <row r="287" spans="1:7" ht="13.5" customHeight="1" x14ac:dyDescent="0.2">
      <c r="A287" s="603">
        <v>26</v>
      </c>
      <c r="B287" s="1453"/>
      <c r="C287" s="722" t="s">
        <v>8313</v>
      </c>
      <c r="D287" s="1434"/>
      <c r="E287" s="577">
        <v>800</v>
      </c>
      <c r="F287" s="577"/>
      <c r="G287" s="580"/>
    </row>
    <row r="288" spans="1:7" ht="13.5" customHeight="1" x14ac:dyDescent="0.2">
      <c r="A288" s="603">
        <v>30</v>
      </c>
      <c r="B288" s="1453"/>
      <c r="C288" s="722" t="s">
        <v>8332</v>
      </c>
      <c r="D288" s="1460"/>
      <c r="E288" s="577">
        <v>110</v>
      </c>
      <c r="F288" s="577"/>
      <c r="G288" s="580"/>
    </row>
    <row r="289" spans="1:7" ht="13.5" customHeight="1" x14ac:dyDescent="0.2">
      <c r="A289" s="603">
        <v>31</v>
      </c>
      <c r="B289" s="1453"/>
      <c r="C289" s="722" t="s">
        <v>8333</v>
      </c>
      <c r="D289" s="1460"/>
      <c r="E289" s="577">
        <v>0</v>
      </c>
      <c r="F289" s="577"/>
      <c r="G289" s="580"/>
    </row>
    <row r="290" spans="1:7" ht="13.5" customHeight="1" x14ac:dyDescent="0.2">
      <c r="A290" s="603"/>
      <c r="B290" s="1453"/>
      <c r="C290" s="722"/>
      <c r="D290" s="1434"/>
      <c r="E290" s="577">
        <f>SUM(E259:E289)</f>
        <v>20941</v>
      </c>
      <c r="F290" s="818">
        <f>SUM(F272:F289)</f>
        <v>0</v>
      </c>
      <c r="G290" s="1461"/>
    </row>
    <row r="291" spans="1:7" ht="13.5" customHeight="1" x14ac:dyDescent="0.2">
      <c r="A291" s="603"/>
      <c r="B291" s="1453"/>
      <c r="C291" s="722"/>
      <c r="D291" s="1434"/>
      <c r="E291" s="577"/>
      <c r="F291" s="577"/>
      <c r="G291" s="1461"/>
    </row>
    <row r="292" spans="1:7" ht="13.5" customHeight="1" x14ac:dyDescent="0.2">
      <c r="A292" s="603">
        <v>10</v>
      </c>
      <c r="B292" s="1453"/>
      <c r="C292" s="793" t="s">
        <v>8334</v>
      </c>
      <c r="D292" s="1450"/>
      <c r="E292" s="577">
        <v>17000</v>
      </c>
      <c r="F292" s="577"/>
      <c r="G292" s="580"/>
    </row>
    <row r="293" spans="1:7" ht="13.5" customHeight="1" x14ac:dyDescent="0.2">
      <c r="A293" s="603"/>
      <c r="B293" s="1453"/>
      <c r="C293" s="722"/>
      <c r="D293" s="1434"/>
      <c r="E293" s="577"/>
      <c r="F293" s="577"/>
      <c r="G293" s="1461"/>
    </row>
    <row r="294" spans="1:7" ht="13.5" customHeight="1" x14ac:dyDescent="0.2">
      <c r="A294" s="831"/>
      <c r="B294" s="1453"/>
      <c r="C294" s="722"/>
      <c r="D294" s="1450"/>
      <c r="E294" s="818">
        <f>E290+E292</f>
        <v>37941</v>
      </c>
      <c r="F294" s="818"/>
      <c r="G294" s="1462"/>
    </row>
    <row r="295" spans="1:7" ht="13.5" customHeight="1" x14ac:dyDescent="0.2">
      <c r="A295" s="831"/>
      <c r="B295" s="1453"/>
      <c r="C295" s="793"/>
      <c r="D295" s="1450"/>
      <c r="E295" s="577"/>
      <c r="F295" s="577"/>
      <c r="G295" s="580"/>
    </row>
    <row r="296" spans="1:7" ht="13.5" customHeight="1" x14ac:dyDescent="0.2">
      <c r="A296" s="831"/>
      <c r="B296" s="1453"/>
      <c r="C296" s="1454" t="s">
        <v>8335</v>
      </c>
      <c r="D296" s="1458"/>
      <c r="E296" s="577"/>
      <c r="F296" s="577"/>
      <c r="G296" s="580"/>
    </row>
    <row r="297" spans="1:7" ht="13.5" customHeight="1" x14ac:dyDescent="0.2">
      <c r="A297" s="831"/>
      <c r="B297" s="1453"/>
      <c r="C297" s="722"/>
      <c r="D297" s="1458"/>
      <c r="E297" s="577"/>
      <c r="F297" s="577"/>
      <c r="G297" s="580"/>
    </row>
    <row r="298" spans="1:7" ht="13.5" customHeight="1" x14ac:dyDescent="0.2">
      <c r="A298" s="1455" t="s">
        <v>8303</v>
      </c>
      <c r="B298" s="1453"/>
      <c r="C298" s="722" t="s">
        <v>8336</v>
      </c>
      <c r="D298" s="581"/>
      <c r="E298" s="577">
        <v>4000</v>
      </c>
      <c r="F298" s="577"/>
      <c r="G298" s="580"/>
    </row>
    <row r="299" spans="1:7" ht="13.5" customHeight="1" x14ac:dyDescent="0.2">
      <c r="A299" s="831"/>
      <c r="B299" s="1453"/>
      <c r="C299" s="722" t="s">
        <v>8337</v>
      </c>
      <c r="D299" s="581"/>
      <c r="E299" s="577">
        <v>3500</v>
      </c>
      <c r="F299" s="577"/>
      <c r="G299" s="580"/>
    </row>
    <row r="300" spans="1:7" ht="13.5" customHeight="1" x14ac:dyDescent="0.2">
      <c r="A300" s="831"/>
      <c r="B300" s="1453"/>
      <c r="C300" s="722" t="s">
        <v>8338</v>
      </c>
      <c r="D300" s="581"/>
      <c r="E300" s="577">
        <v>3500</v>
      </c>
      <c r="F300" s="577"/>
      <c r="G300" s="580"/>
    </row>
    <row r="301" spans="1:7" ht="13.5" customHeight="1" x14ac:dyDescent="0.2">
      <c r="A301" s="831"/>
      <c r="B301" s="1453"/>
      <c r="C301" s="722" t="s">
        <v>8339</v>
      </c>
      <c r="D301" s="581"/>
      <c r="E301" s="577">
        <v>1400</v>
      </c>
      <c r="F301" s="577"/>
      <c r="G301" s="580"/>
    </row>
    <row r="302" spans="1:7" ht="13.5" customHeight="1" x14ac:dyDescent="0.2">
      <c r="A302" s="831"/>
      <c r="B302" s="1453"/>
      <c r="C302" s="722" t="s">
        <v>8340</v>
      </c>
      <c r="D302" s="1458"/>
      <c r="E302" s="577">
        <v>1750</v>
      </c>
      <c r="F302" s="577"/>
      <c r="G302" s="580"/>
    </row>
    <row r="303" spans="1:7" ht="13.5" customHeight="1" x14ac:dyDescent="0.2">
      <c r="A303" s="831"/>
      <c r="B303" s="1453"/>
      <c r="C303" s="722" t="s">
        <v>8341</v>
      </c>
      <c r="D303" s="1458"/>
      <c r="E303" s="577">
        <v>4000</v>
      </c>
      <c r="F303" s="1463"/>
      <c r="G303" s="580"/>
    </row>
    <row r="304" spans="1:7" ht="13.5" customHeight="1" x14ac:dyDescent="0.2">
      <c r="A304" s="831"/>
      <c r="B304" s="1453"/>
      <c r="C304" s="722" t="s">
        <v>8342</v>
      </c>
      <c r="D304" s="581"/>
      <c r="E304" s="577">
        <v>500</v>
      </c>
      <c r="F304" s="577"/>
      <c r="G304" s="580"/>
    </row>
    <row r="305" spans="1:7" ht="13.5" customHeight="1" x14ac:dyDescent="0.2">
      <c r="A305" s="831"/>
      <c r="B305" s="1453"/>
      <c r="C305" s="722" t="s">
        <v>8343</v>
      </c>
      <c r="D305" s="581"/>
      <c r="E305" s="577">
        <v>10000</v>
      </c>
      <c r="F305" s="577"/>
      <c r="G305" s="580"/>
    </row>
    <row r="306" spans="1:7" ht="13.5" customHeight="1" x14ac:dyDescent="0.2">
      <c r="A306" s="831"/>
      <c r="B306" s="1453"/>
      <c r="C306" s="722" t="s">
        <v>8344</v>
      </c>
      <c r="D306" s="581"/>
      <c r="E306" s="577">
        <v>450</v>
      </c>
      <c r="F306" s="577"/>
      <c r="G306" s="580"/>
    </row>
    <row r="307" spans="1:7" ht="13.5" customHeight="1" x14ac:dyDescent="0.2">
      <c r="A307" s="831"/>
      <c r="B307" s="1453"/>
      <c r="C307" s="722"/>
      <c r="D307" s="1458"/>
      <c r="E307" s="577"/>
      <c r="F307" s="1463"/>
      <c r="G307" s="580"/>
    </row>
    <row r="308" spans="1:7" ht="13.5" customHeight="1" x14ac:dyDescent="0.2">
      <c r="A308" s="831"/>
      <c r="B308" s="1453"/>
      <c r="C308" s="722"/>
      <c r="D308" s="1458"/>
      <c r="E308" s="577"/>
      <c r="F308" s="1463"/>
      <c r="G308" s="580"/>
    </row>
    <row r="309" spans="1:7" ht="13.5" customHeight="1" x14ac:dyDescent="0.2">
      <c r="A309" s="831"/>
      <c r="B309" s="1453"/>
      <c r="C309" s="722"/>
      <c r="D309" s="581"/>
      <c r="E309" s="818">
        <f>SUM(E298:E308)</f>
        <v>29100</v>
      </c>
      <c r="F309" s="818">
        <f>SUM(F298:F303)</f>
        <v>0</v>
      </c>
      <c r="G309" s="580"/>
    </row>
    <row r="310" spans="1:7" ht="13.5" customHeight="1" x14ac:dyDescent="0.2">
      <c r="A310" s="831"/>
      <c r="B310" s="1453"/>
      <c r="C310" s="722"/>
      <c r="D310" s="1458"/>
      <c r="E310" s="577"/>
      <c r="F310" s="1463"/>
      <c r="G310" s="580"/>
    </row>
    <row r="311" spans="1:7" ht="13.5" customHeight="1" x14ac:dyDescent="0.2">
      <c r="A311" s="831"/>
      <c r="B311" s="1453"/>
      <c r="C311" s="1454" t="s">
        <v>8345</v>
      </c>
      <c r="D311" s="1450"/>
      <c r="E311" s="818">
        <f>E309+E294</f>
        <v>67041</v>
      </c>
      <c r="F311" s="818">
        <f>F309+F290</f>
        <v>0</v>
      </c>
      <c r="G311" s="580"/>
    </row>
    <row r="312" spans="1:7" ht="13.5" customHeight="1" x14ac:dyDescent="0.2">
      <c r="A312" s="831"/>
      <c r="B312" s="1453"/>
      <c r="C312" s="722"/>
      <c r="D312" s="1450"/>
      <c r="E312" s="818"/>
      <c r="F312" s="577"/>
      <c r="G312" s="580"/>
    </row>
    <row r="313" spans="1:7" ht="13.5" customHeight="1" x14ac:dyDescent="0.2">
      <c r="A313" s="831"/>
      <c r="B313" s="1453"/>
      <c r="C313" s="1454" t="s">
        <v>8346</v>
      </c>
      <c r="D313" s="1450"/>
      <c r="E313" s="818">
        <f>E256-E311</f>
        <v>182959</v>
      </c>
      <c r="F313" s="818">
        <f>F256-F311</f>
        <v>0</v>
      </c>
      <c r="G313" s="574"/>
    </row>
    <row r="314" spans="1:7" ht="13.5" customHeight="1" x14ac:dyDescent="0.2">
      <c r="A314" s="831"/>
      <c r="B314" s="1453"/>
      <c r="C314" s="722"/>
      <c r="D314" s="1450"/>
      <c r="E314" s="818"/>
      <c r="F314" s="577"/>
      <c r="G314" s="580"/>
    </row>
    <row r="315" spans="1:7" ht="13.5" customHeight="1" x14ac:dyDescent="0.2">
      <c r="A315" s="831"/>
      <c r="B315" s="1453"/>
      <c r="C315" s="1454" t="s">
        <v>8347</v>
      </c>
      <c r="D315" s="1450"/>
      <c r="E315" s="818"/>
      <c r="F315" s="818"/>
      <c r="G315" s="574"/>
    </row>
    <row r="316" spans="1:7" ht="13.5" customHeight="1" x14ac:dyDescent="0.2">
      <c r="A316" s="831"/>
      <c r="B316" s="1453"/>
      <c r="C316" s="1454"/>
      <c r="D316" s="1450"/>
      <c r="E316" s="818"/>
      <c r="F316" s="818"/>
      <c r="G316" s="574"/>
    </row>
    <row r="317" spans="1:7" ht="13.5" customHeight="1" thickBot="1" x14ac:dyDescent="0.25">
      <c r="A317" s="831"/>
      <c r="B317" s="1453"/>
      <c r="C317" s="722"/>
      <c r="D317" s="1450"/>
      <c r="E317" s="577"/>
      <c r="F317" s="577"/>
      <c r="G317" s="580"/>
    </row>
    <row r="318" spans="1:7" ht="13.5" customHeight="1" thickBot="1" x14ac:dyDescent="0.25">
      <c r="A318" s="838"/>
      <c r="B318" s="1464"/>
      <c r="C318" s="840" t="s">
        <v>8348</v>
      </c>
      <c r="D318" s="841"/>
      <c r="E318" s="824"/>
      <c r="F318" s="824"/>
      <c r="G318" s="842"/>
    </row>
    <row r="319" spans="1:7" ht="13.5" customHeight="1" x14ac:dyDescent="0.2">
      <c r="A319" s="831"/>
      <c r="B319" s="1453"/>
      <c r="C319" s="1454"/>
      <c r="D319" s="1450"/>
      <c r="E319" s="577"/>
      <c r="F319" s="577"/>
      <c r="G319" s="580"/>
    </row>
    <row r="320" spans="1:7" ht="13.5" customHeight="1" x14ac:dyDescent="0.2">
      <c r="A320" s="831"/>
      <c r="B320" s="1453"/>
      <c r="C320" s="722"/>
      <c r="D320" s="581"/>
      <c r="E320" s="577"/>
      <c r="F320" s="577"/>
      <c r="G320" s="580"/>
    </row>
    <row r="321" spans="1:7" ht="13.5" customHeight="1" x14ac:dyDescent="0.2">
      <c r="A321" s="1465" t="s">
        <v>8349</v>
      </c>
      <c r="B321" s="1453"/>
      <c r="C321" s="722" t="s">
        <v>8336</v>
      </c>
      <c r="D321" s="581"/>
      <c r="E321" s="577">
        <v>5000</v>
      </c>
      <c r="F321" s="577"/>
      <c r="G321" s="580"/>
    </row>
    <row r="322" spans="1:7" ht="13.5" customHeight="1" x14ac:dyDescent="0.2">
      <c r="A322" s="831"/>
      <c r="B322" s="1453"/>
      <c r="C322" s="722" t="s">
        <v>8338</v>
      </c>
      <c r="D322" s="581"/>
      <c r="E322" s="577">
        <v>3500</v>
      </c>
      <c r="F322" s="577"/>
      <c r="G322" s="580"/>
    </row>
    <row r="323" spans="1:7" ht="13.5" customHeight="1" x14ac:dyDescent="0.2">
      <c r="A323" s="831"/>
      <c r="B323" s="1453"/>
      <c r="C323" s="722" t="s">
        <v>8350</v>
      </c>
      <c r="D323" s="581"/>
      <c r="E323" s="577">
        <v>1500</v>
      </c>
      <c r="F323" s="577"/>
      <c r="G323" s="580"/>
    </row>
    <row r="324" spans="1:7" ht="13.5" customHeight="1" x14ac:dyDescent="0.2">
      <c r="A324" s="831"/>
      <c r="B324" s="1453"/>
      <c r="C324" s="722" t="s">
        <v>8351</v>
      </c>
      <c r="D324" s="581"/>
      <c r="E324" s="577">
        <v>1500</v>
      </c>
      <c r="F324" s="577"/>
      <c r="G324" s="580"/>
    </row>
    <row r="325" spans="1:7" ht="13.5" customHeight="1" x14ac:dyDescent="0.2">
      <c r="A325" s="831"/>
      <c r="B325" s="1453"/>
      <c r="C325" s="722" t="s">
        <v>8352</v>
      </c>
      <c r="D325" s="1458"/>
      <c r="E325" s="577">
        <v>8000</v>
      </c>
      <c r="F325" s="577"/>
      <c r="G325" s="580"/>
    </row>
    <row r="326" spans="1:7" ht="13.5" customHeight="1" x14ac:dyDescent="0.2">
      <c r="A326" s="831"/>
      <c r="B326" s="1453"/>
      <c r="C326" s="722" t="s">
        <v>8353</v>
      </c>
      <c r="D326" s="581"/>
      <c r="E326" s="577">
        <v>4500</v>
      </c>
      <c r="F326" s="577"/>
      <c r="G326" s="580"/>
    </row>
    <row r="327" spans="1:7" ht="13.5" customHeight="1" x14ac:dyDescent="0.2">
      <c r="A327" s="831"/>
      <c r="B327" s="1453"/>
      <c r="C327" s="722" t="s">
        <v>8354</v>
      </c>
      <c r="D327" s="581"/>
      <c r="E327" s="577">
        <v>3200</v>
      </c>
      <c r="F327" s="577"/>
      <c r="G327" s="580"/>
    </row>
    <row r="328" spans="1:7" ht="13.5" customHeight="1" x14ac:dyDescent="0.2">
      <c r="A328" s="831"/>
      <c r="B328" s="1453"/>
      <c r="C328" s="722" t="s">
        <v>8355</v>
      </c>
      <c r="D328" s="581"/>
      <c r="E328" s="577">
        <v>1050</v>
      </c>
      <c r="F328" s="577"/>
      <c r="G328" s="580"/>
    </row>
    <row r="329" spans="1:7" ht="13.5" customHeight="1" x14ac:dyDescent="0.2">
      <c r="A329" s="831"/>
      <c r="B329" s="1453"/>
      <c r="C329" s="722" t="s">
        <v>8356</v>
      </c>
      <c r="D329" s="581"/>
      <c r="E329" s="577">
        <v>4000</v>
      </c>
      <c r="F329" s="577"/>
      <c r="G329" s="580"/>
    </row>
    <row r="330" spans="1:7" ht="13.5" customHeight="1" x14ac:dyDescent="0.2">
      <c r="A330" s="831"/>
      <c r="B330" s="1453"/>
      <c r="C330" s="722" t="s">
        <v>8337</v>
      </c>
      <c r="D330" s="581"/>
      <c r="E330" s="577">
        <v>5000</v>
      </c>
      <c r="F330" s="577"/>
      <c r="G330" s="580"/>
    </row>
    <row r="331" spans="1:7" ht="13.5" customHeight="1" x14ac:dyDescent="0.2">
      <c r="A331" s="831"/>
      <c r="B331" s="1453"/>
      <c r="C331" s="722" t="s">
        <v>8357</v>
      </c>
      <c r="D331" s="581"/>
      <c r="E331" s="577">
        <v>4000</v>
      </c>
      <c r="F331" s="577"/>
      <c r="G331" s="580"/>
    </row>
    <row r="332" spans="1:7" ht="13.5" customHeight="1" x14ac:dyDescent="0.2">
      <c r="A332" s="831"/>
      <c r="B332" s="1453"/>
      <c r="C332" s="722" t="s">
        <v>8358</v>
      </c>
      <c r="D332" s="581"/>
      <c r="E332" s="577">
        <v>2000</v>
      </c>
      <c r="F332" s="577"/>
      <c r="G332" s="580"/>
    </row>
    <row r="333" spans="1:7" ht="13.5" customHeight="1" x14ac:dyDescent="0.2">
      <c r="A333" s="831"/>
      <c r="B333" s="1453"/>
      <c r="C333" s="722" t="s">
        <v>8359</v>
      </c>
      <c r="D333" s="581"/>
      <c r="E333" s="577">
        <v>3000</v>
      </c>
      <c r="F333" s="577"/>
      <c r="G333" s="580"/>
    </row>
    <row r="334" spans="1:7" ht="13.5" customHeight="1" x14ac:dyDescent="0.2">
      <c r="A334" s="831"/>
      <c r="B334" s="1453"/>
      <c r="C334" s="722" t="s">
        <v>8360</v>
      </c>
      <c r="D334" s="1458"/>
      <c r="E334" s="577">
        <v>1350</v>
      </c>
      <c r="F334" s="577"/>
      <c r="G334" s="580"/>
    </row>
    <row r="335" spans="1:7" ht="13.5" customHeight="1" x14ac:dyDescent="0.2">
      <c r="A335" s="831"/>
      <c r="B335" s="1453"/>
      <c r="C335" s="722" t="s">
        <v>8361</v>
      </c>
      <c r="D335" s="1458"/>
      <c r="E335" s="577">
        <v>1800</v>
      </c>
      <c r="F335" s="577"/>
      <c r="G335" s="580"/>
    </row>
    <row r="336" spans="1:7" ht="13.5" customHeight="1" x14ac:dyDescent="0.2">
      <c r="A336" s="831"/>
      <c r="B336" s="1453"/>
      <c r="C336" s="722"/>
      <c r="D336" s="1458"/>
      <c r="E336" s="577"/>
      <c r="F336" s="577"/>
      <c r="G336" s="580"/>
    </row>
    <row r="337" spans="1:7" ht="13.5" customHeight="1" x14ac:dyDescent="0.2">
      <c r="A337" s="831"/>
      <c r="B337" s="1453"/>
      <c r="C337" s="722"/>
      <c r="D337" s="1458"/>
      <c r="E337" s="577"/>
      <c r="F337" s="577"/>
      <c r="G337" s="580"/>
    </row>
    <row r="338" spans="1:7" ht="13.5" customHeight="1" x14ac:dyDescent="0.2">
      <c r="A338" s="831"/>
      <c r="B338" s="1453"/>
      <c r="C338" s="722"/>
      <c r="D338" s="1458"/>
      <c r="E338" s="577"/>
      <c r="F338" s="577"/>
      <c r="G338" s="580"/>
    </row>
    <row r="339" spans="1:7" ht="13.5" customHeight="1" x14ac:dyDescent="0.2">
      <c r="A339" s="831"/>
      <c r="B339" s="1453"/>
      <c r="C339" s="722"/>
      <c r="D339" s="581"/>
      <c r="E339" s="818">
        <f>SUM(E321:E338)</f>
        <v>49400</v>
      </c>
      <c r="F339" s="577"/>
      <c r="G339" s="580"/>
    </row>
    <row r="340" spans="1:7" ht="13.5" customHeight="1" x14ac:dyDescent="0.2">
      <c r="A340" s="831"/>
      <c r="B340" s="1453"/>
      <c r="C340" s="722"/>
      <c r="D340" s="581"/>
      <c r="E340" s="577"/>
      <c r="F340" s="577"/>
      <c r="G340" s="580"/>
    </row>
    <row r="341" spans="1:7" ht="13.5" customHeight="1" x14ac:dyDescent="0.2">
      <c r="A341" s="831"/>
      <c r="B341" s="1453"/>
      <c r="C341" s="722"/>
      <c r="D341" s="581"/>
      <c r="E341" s="577"/>
      <c r="F341" s="577"/>
      <c r="G341" s="580"/>
    </row>
    <row r="342" spans="1:7" ht="13.5" customHeight="1" x14ac:dyDescent="0.2">
      <c r="A342" s="1465" t="s">
        <v>8362</v>
      </c>
      <c r="B342" s="1453"/>
      <c r="C342" s="722" t="s">
        <v>8336</v>
      </c>
      <c r="D342" s="581"/>
      <c r="E342" s="577">
        <v>5000</v>
      </c>
      <c r="F342" s="577"/>
      <c r="G342" s="580"/>
    </row>
    <row r="343" spans="1:7" ht="13.5" customHeight="1" x14ac:dyDescent="0.2">
      <c r="A343" s="1465"/>
      <c r="B343" s="1453"/>
      <c r="C343" s="722" t="s">
        <v>8363</v>
      </c>
      <c r="D343" s="581"/>
      <c r="E343" s="577">
        <v>7000</v>
      </c>
      <c r="F343" s="577"/>
      <c r="G343" s="580"/>
    </row>
    <row r="344" spans="1:7" ht="13.5" customHeight="1" x14ac:dyDescent="0.2">
      <c r="A344" s="831"/>
      <c r="B344" s="1453"/>
      <c r="C344" s="722" t="s">
        <v>8364</v>
      </c>
      <c r="D344" s="581"/>
      <c r="E344" s="577">
        <v>1000</v>
      </c>
      <c r="F344" s="577"/>
      <c r="G344" s="580"/>
    </row>
    <row r="345" spans="1:7" ht="13.5" customHeight="1" x14ac:dyDescent="0.2">
      <c r="A345" s="831"/>
      <c r="B345" s="1453"/>
      <c r="C345" s="722" t="s">
        <v>8365</v>
      </c>
      <c r="D345" s="1458"/>
      <c r="E345" s="577">
        <v>1800</v>
      </c>
      <c r="F345" s="577"/>
      <c r="G345" s="580"/>
    </row>
    <row r="346" spans="1:7" ht="13.5" customHeight="1" x14ac:dyDescent="0.2">
      <c r="A346" s="831"/>
      <c r="B346" s="1453"/>
      <c r="C346" s="722"/>
      <c r="D346" s="581"/>
      <c r="E346" s="577"/>
      <c r="F346" s="577"/>
      <c r="G346" s="580"/>
    </row>
    <row r="347" spans="1:7" ht="13.5" customHeight="1" x14ac:dyDescent="0.2">
      <c r="A347" s="831"/>
      <c r="B347" s="1453"/>
      <c r="C347" s="722"/>
      <c r="D347" s="581"/>
      <c r="E347" s="577"/>
      <c r="F347" s="577"/>
      <c r="G347" s="580"/>
    </row>
    <row r="348" spans="1:7" ht="13.5" customHeight="1" x14ac:dyDescent="0.2">
      <c r="A348" s="831"/>
      <c r="B348" s="1453"/>
      <c r="C348" s="722"/>
      <c r="D348" s="581"/>
      <c r="E348" s="818">
        <f>SUM(E342:E347)</f>
        <v>14800</v>
      </c>
      <c r="F348" s="577"/>
      <c r="G348" s="580"/>
    </row>
    <row r="349" spans="1:7" ht="13.5" customHeight="1" x14ac:dyDescent="0.2">
      <c r="A349" s="831"/>
      <c r="B349" s="1453"/>
      <c r="C349" s="722"/>
      <c r="D349" s="581"/>
      <c r="E349" s="577"/>
      <c r="F349" s="577"/>
      <c r="G349" s="580"/>
    </row>
    <row r="350" spans="1:7" ht="13.5" customHeight="1" x14ac:dyDescent="0.2">
      <c r="A350" s="831"/>
      <c r="B350" s="1453"/>
      <c r="C350" s="722"/>
      <c r="D350" s="581"/>
      <c r="E350" s="577"/>
      <c r="F350" s="577"/>
      <c r="G350" s="580"/>
    </row>
    <row r="351" spans="1:7" ht="13.5" customHeight="1" x14ac:dyDescent="0.2">
      <c r="A351" s="831"/>
      <c r="B351" s="1453"/>
      <c r="C351" s="722"/>
      <c r="D351" s="581"/>
      <c r="E351" s="577"/>
      <c r="F351" s="577"/>
      <c r="G351" s="580"/>
    </row>
    <row r="352" spans="1:7" ht="13.5" customHeight="1" x14ac:dyDescent="0.2">
      <c r="A352" s="1465" t="s">
        <v>8366</v>
      </c>
      <c r="B352" s="1453"/>
      <c r="C352" s="722" t="s">
        <v>8336</v>
      </c>
      <c r="D352" s="581"/>
      <c r="E352" s="577">
        <v>5000</v>
      </c>
      <c r="F352" s="577"/>
      <c r="G352" s="580"/>
    </row>
    <row r="353" spans="1:7" ht="13.5" customHeight="1" x14ac:dyDescent="0.2">
      <c r="A353" s="831"/>
      <c r="B353" s="1453"/>
      <c r="C353" s="722" t="s">
        <v>8367</v>
      </c>
      <c r="D353" s="1458"/>
      <c r="E353" s="577">
        <v>5700</v>
      </c>
      <c r="F353" s="577"/>
      <c r="G353" s="580"/>
    </row>
    <row r="354" spans="1:7" ht="13.5" customHeight="1" x14ac:dyDescent="0.2">
      <c r="A354" s="831"/>
      <c r="B354" s="1453"/>
      <c r="C354" s="722" t="s">
        <v>8368</v>
      </c>
      <c r="D354" s="1458"/>
      <c r="E354" s="577">
        <v>12000</v>
      </c>
      <c r="F354" s="577"/>
      <c r="G354" s="580"/>
    </row>
    <row r="355" spans="1:7" ht="13.5" customHeight="1" x14ac:dyDescent="0.2">
      <c r="A355" s="831"/>
      <c r="B355" s="1453"/>
      <c r="C355" s="722" t="s">
        <v>8369</v>
      </c>
      <c r="D355" s="1458"/>
      <c r="E355" s="577">
        <v>12000</v>
      </c>
      <c r="F355" s="577"/>
      <c r="G355" s="580"/>
    </row>
    <row r="356" spans="1:7" ht="13.5" customHeight="1" x14ac:dyDescent="0.2">
      <c r="A356" s="1465"/>
      <c r="B356" s="1453"/>
      <c r="C356" s="722" t="s">
        <v>8370</v>
      </c>
      <c r="D356" s="581"/>
      <c r="E356" s="577">
        <v>20000</v>
      </c>
      <c r="F356" s="577"/>
      <c r="G356" s="580"/>
    </row>
    <row r="357" spans="1:7" ht="13.5" customHeight="1" x14ac:dyDescent="0.2">
      <c r="A357" s="831"/>
      <c r="B357" s="1453"/>
      <c r="C357" s="722" t="s">
        <v>8371</v>
      </c>
      <c r="D357" s="581"/>
      <c r="E357" s="577">
        <v>65000</v>
      </c>
      <c r="F357" s="577"/>
      <c r="G357" s="580"/>
    </row>
    <row r="358" spans="1:7" ht="13.5" customHeight="1" x14ac:dyDescent="0.2">
      <c r="A358" s="831"/>
      <c r="B358" s="1453"/>
      <c r="C358" s="722" t="s">
        <v>8372</v>
      </c>
      <c r="D358" s="581"/>
      <c r="E358" s="577">
        <v>65000</v>
      </c>
      <c r="F358" s="577"/>
      <c r="G358" s="580"/>
    </row>
    <row r="359" spans="1:7" ht="13.5" customHeight="1" x14ac:dyDescent="0.2">
      <c r="A359" s="831"/>
      <c r="B359" s="1453"/>
      <c r="C359" s="722" t="s">
        <v>8373</v>
      </c>
      <c r="D359" s="581"/>
      <c r="E359" s="577">
        <v>30000</v>
      </c>
      <c r="F359" s="577"/>
      <c r="G359" s="580"/>
    </row>
    <row r="360" spans="1:7" ht="13.5" customHeight="1" x14ac:dyDescent="0.2">
      <c r="A360" s="831"/>
      <c r="B360" s="1453"/>
      <c r="C360" s="722" t="s">
        <v>8374</v>
      </c>
      <c r="D360" s="581"/>
      <c r="E360" s="577">
        <v>20000</v>
      </c>
      <c r="F360" s="577"/>
      <c r="G360" s="580"/>
    </row>
    <row r="361" spans="1:7" ht="13.5" customHeight="1" x14ac:dyDescent="0.2">
      <c r="A361" s="831"/>
      <c r="B361" s="1453"/>
      <c r="C361" s="722" t="s">
        <v>8375</v>
      </c>
      <c r="D361" s="1458"/>
      <c r="E361" s="577">
        <v>1200</v>
      </c>
      <c r="F361" s="577"/>
      <c r="G361" s="580"/>
    </row>
    <row r="362" spans="1:7" ht="13.5" customHeight="1" x14ac:dyDescent="0.2">
      <c r="A362" s="831"/>
      <c r="B362" s="1453"/>
      <c r="C362" s="722"/>
      <c r="D362" s="581"/>
      <c r="E362" s="577"/>
      <c r="F362" s="577"/>
      <c r="G362" s="580"/>
    </row>
    <row r="363" spans="1:7" ht="13.5" customHeight="1" x14ac:dyDescent="0.2">
      <c r="A363" s="831"/>
      <c r="B363" s="1453"/>
      <c r="C363" s="722"/>
      <c r="D363" s="581"/>
      <c r="E363" s="818">
        <f>SUM(E352:E360)</f>
        <v>234700</v>
      </c>
      <c r="F363" s="577"/>
      <c r="G363" s="580"/>
    </row>
    <row r="364" spans="1:7" ht="13.5" customHeight="1" x14ac:dyDescent="0.2">
      <c r="A364" s="831"/>
      <c r="B364" s="1453"/>
      <c r="C364" s="722"/>
      <c r="D364" s="581"/>
      <c r="E364" s="577"/>
      <c r="F364" s="577"/>
      <c r="G364" s="580"/>
    </row>
    <row r="365" spans="1:7" ht="13.5" customHeight="1" x14ac:dyDescent="0.2">
      <c r="A365" s="831"/>
      <c r="B365" s="1453"/>
      <c r="C365" s="1466" t="s">
        <v>8376</v>
      </c>
      <c r="D365" s="581"/>
      <c r="E365" s="577"/>
      <c r="F365" s="577"/>
      <c r="G365" s="580"/>
    </row>
    <row r="366" spans="1:7" ht="13.5" customHeight="1" x14ac:dyDescent="0.2">
      <c r="A366" s="831"/>
      <c r="B366" s="1453"/>
      <c r="C366" s="722" t="s">
        <v>8377</v>
      </c>
      <c r="D366" s="581"/>
      <c r="E366" s="577">
        <v>50000</v>
      </c>
      <c r="F366" s="577"/>
      <c r="G366" s="580"/>
    </row>
    <row r="367" spans="1:7" ht="13.5" customHeight="1" x14ac:dyDescent="0.2">
      <c r="A367" s="831"/>
      <c r="B367" s="1453"/>
      <c r="C367" s="722" t="s">
        <v>8378</v>
      </c>
      <c r="D367" s="581"/>
      <c r="E367" s="577">
        <v>20000</v>
      </c>
      <c r="F367" s="577"/>
      <c r="G367" s="580"/>
    </row>
    <row r="368" spans="1:7" ht="13.5" customHeight="1" x14ac:dyDescent="0.2">
      <c r="A368" s="831"/>
      <c r="B368" s="1453"/>
      <c r="C368" s="722" t="s">
        <v>8379</v>
      </c>
      <c r="D368" s="581"/>
      <c r="E368" s="577">
        <v>60000</v>
      </c>
      <c r="F368" s="577"/>
      <c r="G368" s="580"/>
    </row>
    <row r="369" spans="1:7" ht="13.5" customHeight="1" x14ac:dyDescent="0.2">
      <c r="A369" s="831"/>
      <c r="B369" s="1453"/>
      <c r="C369" s="722" t="s">
        <v>8380</v>
      </c>
      <c r="D369" s="581"/>
      <c r="E369" s="577">
        <v>250000</v>
      </c>
      <c r="F369" s="577"/>
      <c r="G369" s="580"/>
    </row>
    <row r="370" spans="1:7" ht="13.5" customHeight="1" x14ac:dyDescent="0.2">
      <c r="A370" s="831"/>
      <c r="B370" s="1453"/>
      <c r="C370" s="722"/>
      <c r="D370" s="581"/>
      <c r="E370" s="818">
        <f>SUM(E366:E369)</f>
        <v>380000</v>
      </c>
      <c r="F370" s="577"/>
      <c r="G370" s="580"/>
    </row>
    <row r="371" spans="1:7" ht="13.5" customHeight="1" x14ac:dyDescent="0.2">
      <c r="A371" s="831"/>
      <c r="B371" s="1453"/>
      <c r="C371" s="722"/>
      <c r="D371" s="581"/>
      <c r="E371" s="577"/>
      <c r="F371" s="577"/>
      <c r="G371" s="580"/>
    </row>
    <row r="372" spans="1:7" ht="13.5" customHeight="1" x14ac:dyDescent="0.2">
      <c r="A372" s="831"/>
      <c r="B372" s="1453"/>
      <c r="C372" s="1467" t="s">
        <v>8381</v>
      </c>
      <c r="D372" s="581"/>
      <c r="E372" s="818">
        <f>E370+E363+E348+E339</f>
        <v>678900</v>
      </c>
      <c r="F372" s="577"/>
      <c r="G372" s="580"/>
    </row>
    <row r="373" spans="1:7" ht="13.5" customHeight="1" x14ac:dyDescent="0.2">
      <c r="A373" s="831"/>
      <c r="B373" s="1453"/>
      <c r="C373" s="722"/>
      <c r="D373" s="581"/>
      <c r="E373" s="577"/>
      <c r="F373" s="577"/>
      <c r="G373" s="580"/>
    </row>
    <row r="374" spans="1:7" ht="13.5" customHeight="1" x14ac:dyDescent="0.2">
      <c r="A374" s="831"/>
      <c r="B374" s="1453"/>
      <c r="C374" s="1467" t="s">
        <v>8382</v>
      </c>
      <c r="D374" s="581"/>
      <c r="E374" s="818">
        <f>E372-E313</f>
        <v>495941</v>
      </c>
      <c r="F374" s="577"/>
      <c r="G374" s="580"/>
    </row>
    <row r="375" spans="1:7" ht="13.5" customHeight="1" x14ac:dyDescent="0.2">
      <c r="A375" s="831"/>
      <c r="B375" s="1453"/>
      <c r="C375" s="722"/>
      <c r="D375" s="581"/>
      <c r="E375" s="577"/>
      <c r="F375" s="577"/>
      <c r="G375" s="580"/>
    </row>
    <row r="376" spans="1:7" ht="13.5" customHeight="1" x14ac:dyDescent="0.2">
      <c r="A376" s="831"/>
      <c r="B376" s="1453"/>
      <c r="C376" s="569" t="s">
        <v>8383</v>
      </c>
      <c r="D376" s="1468" t="s">
        <v>8384</v>
      </c>
      <c r="E376" s="1455">
        <f>E374/30000</f>
        <v>16.531366666666667</v>
      </c>
      <c r="F376" s="1468" t="s">
        <v>8384</v>
      </c>
      <c r="G376" s="580"/>
    </row>
    <row r="377" spans="1:7" ht="13.5" customHeight="1" x14ac:dyDescent="0.2">
      <c r="A377" s="76"/>
      <c r="B377" s="1469"/>
      <c r="C377" s="78"/>
      <c r="D377" s="78"/>
      <c r="E377" s="78"/>
      <c r="F377" s="78"/>
      <c r="G377" s="847"/>
    </row>
    <row r="378" spans="1:7" ht="13.5" customHeight="1" x14ac:dyDescent="0.2">
      <c r="A378" s="76"/>
      <c r="B378" s="1469"/>
      <c r="C378" s="569" t="s">
        <v>8385</v>
      </c>
      <c r="D378" s="1468" t="s">
        <v>8384</v>
      </c>
      <c r="E378" s="1470">
        <f>E374/50000</f>
        <v>9.9188200000000002</v>
      </c>
      <c r="F378" s="1468" t="s">
        <v>8384</v>
      </c>
      <c r="G378" s="847"/>
    </row>
    <row r="379" spans="1:7" ht="13.5" customHeight="1" x14ac:dyDescent="0.2">
      <c r="A379" s="76"/>
      <c r="B379" s="1469"/>
      <c r="C379" s="78"/>
      <c r="D379" s="78"/>
      <c r="E379" s="78"/>
      <c r="F379" s="78"/>
      <c r="G379" s="847"/>
    </row>
    <row r="380" spans="1:7" ht="13.5" customHeight="1" x14ac:dyDescent="0.2">
      <c r="A380" s="76"/>
      <c r="B380" s="1469"/>
      <c r="C380" s="78"/>
      <c r="D380" s="78"/>
      <c r="E380" s="78"/>
      <c r="F380" s="78"/>
      <c r="G380" s="847"/>
    </row>
    <row r="381" spans="1:7" ht="13.5" customHeight="1" x14ac:dyDescent="0.2">
      <c r="A381" s="76"/>
      <c r="B381" s="1469"/>
      <c r="C381" s="1471" t="s">
        <v>8386</v>
      </c>
      <c r="D381" s="78"/>
      <c r="E381" s="78"/>
      <c r="F381" s="78"/>
      <c r="G381" s="847"/>
    </row>
    <row r="382" spans="1:7" ht="13.5" customHeight="1" x14ac:dyDescent="0.2">
      <c r="A382" s="76"/>
      <c r="B382" s="1469"/>
      <c r="C382" s="78" t="s">
        <v>8387</v>
      </c>
      <c r="D382" s="78"/>
      <c r="E382" s="577">
        <f>6*1200</f>
        <v>7200</v>
      </c>
      <c r="F382" s="78"/>
      <c r="G382" s="847"/>
    </row>
    <row r="383" spans="1:7" ht="13.5" customHeight="1" x14ac:dyDescent="0.2">
      <c r="A383" s="76"/>
      <c r="B383" s="1469"/>
      <c r="C383" s="78" t="s">
        <v>8388</v>
      </c>
      <c r="D383" s="78"/>
      <c r="E383" s="577">
        <v>4000</v>
      </c>
      <c r="F383" s="78"/>
      <c r="G383" s="847"/>
    </row>
    <row r="384" spans="1:7" ht="13.5" customHeight="1" x14ac:dyDescent="0.2">
      <c r="A384" s="76"/>
      <c r="B384" s="1469"/>
      <c r="C384" s="78" t="s">
        <v>8389</v>
      </c>
      <c r="D384" s="78"/>
      <c r="E384" s="577">
        <v>3000</v>
      </c>
      <c r="F384" s="78"/>
      <c r="G384" s="847"/>
    </row>
    <row r="385" spans="1:7" ht="13.5" customHeight="1" x14ac:dyDescent="0.2">
      <c r="A385" s="76"/>
      <c r="B385" s="1469"/>
      <c r="C385" s="78" t="s">
        <v>8390</v>
      </c>
      <c r="D385" s="78"/>
      <c r="E385" s="577">
        <v>4000</v>
      </c>
      <c r="F385" s="78"/>
      <c r="G385" s="847"/>
    </row>
    <row r="386" spans="1:7" ht="13.5" customHeight="1" x14ac:dyDescent="0.2">
      <c r="A386" s="76"/>
      <c r="B386" s="1469"/>
      <c r="C386" s="78" t="s">
        <v>8373</v>
      </c>
      <c r="D386" s="78"/>
      <c r="E386" s="577">
        <v>4000</v>
      </c>
      <c r="F386" s="78"/>
      <c r="G386" s="847"/>
    </row>
    <row r="387" spans="1:7" ht="13.5" customHeight="1" x14ac:dyDescent="0.2">
      <c r="A387" s="76"/>
      <c r="B387" s="1469"/>
      <c r="C387" s="78"/>
      <c r="D387" s="78"/>
      <c r="E387" s="818">
        <f>SUM(E382:E386)</f>
        <v>22200</v>
      </c>
      <c r="F387" s="78"/>
      <c r="G387" s="847"/>
    </row>
    <row r="388" spans="1:7" ht="13.5" customHeight="1" x14ac:dyDescent="0.2">
      <c r="A388" s="76"/>
      <c r="B388" s="1469"/>
      <c r="C388" s="78"/>
      <c r="D388" s="78"/>
      <c r="E388" s="577"/>
      <c r="F388" s="78"/>
      <c r="G388" s="847"/>
    </row>
    <row r="389" spans="1:7" ht="13.5" customHeight="1" x14ac:dyDescent="0.2">
      <c r="A389" s="76"/>
      <c r="B389" s="1469"/>
      <c r="C389" s="78"/>
      <c r="D389" s="78"/>
      <c r="E389" s="577"/>
      <c r="F389" s="78"/>
      <c r="G389" s="847"/>
    </row>
    <row r="390" spans="1:7" ht="13.5" customHeight="1" x14ac:dyDescent="0.2">
      <c r="A390" s="76"/>
      <c r="B390" s="1469"/>
      <c r="C390" s="78"/>
      <c r="D390" s="78"/>
      <c r="E390" s="577"/>
      <c r="F390" s="78"/>
      <c r="G390" s="847"/>
    </row>
    <row r="391" spans="1:7" ht="13.5" customHeight="1" x14ac:dyDescent="0.2">
      <c r="A391" s="76"/>
      <c r="B391" s="1469"/>
      <c r="C391" s="78"/>
      <c r="D391" s="78"/>
      <c r="E391" s="577"/>
      <c r="F391" s="78"/>
      <c r="G391" s="847"/>
    </row>
  </sheetData>
  <mergeCells count="2">
    <mergeCell ref="A1:C1"/>
    <mergeCell ref="D1:G1"/>
  </mergeCells>
  <dataValidations count="1">
    <dataValidation type="list" allowBlank="1" showInputMessage="1" showErrorMessage="1" sqref="B4 B6:B7 B9 B12" xr:uid="{64CF4B05-166F-425F-95B2-59A8FB8A1D63}">
      <formula1>"aluguéis,diversas,retiradas,esc"</formula1>
    </dataValidation>
  </dataValidations>
  <pageMargins left="0.78740157499999996" right="0.78740157499999996" top="0.984251969" bottom="0.984251969" header="0.49212598499999999" footer="0.49212598499999999"/>
  <pageSetup paperSize="9" orientation="portrait" horizontalDpi="4294967293" verticalDpi="4294967293" r:id="rId1"/>
  <headerFooter alignWithMargins="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75A9F-0A8D-427D-B02E-F68774FA7AE8}">
  <dimension ref="A1:A2"/>
  <sheetViews>
    <sheetView tabSelected="1" workbookViewId="0">
      <selection activeCell="B10" sqref="B10"/>
    </sheetView>
  </sheetViews>
  <sheetFormatPr defaultRowHeight="12.75" x14ac:dyDescent="0.2"/>
  <sheetData>
    <row r="1" spans="1:1" x14ac:dyDescent="0.2">
      <c r="A1" t="s">
        <v>8391</v>
      </c>
    </row>
    <row r="2" spans="1:1" x14ac:dyDescent="0.2">
      <c r="A2" t="s">
        <v>8392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77</vt:i4>
      </vt:variant>
    </vt:vector>
  </HeadingPairs>
  <TitlesOfParts>
    <vt:vector size="77" baseType="lpstr">
      <vt:lpstr>Ago17</vt:lpstr>
      <vt:lpstr>Ago17(2)</vt:lpstr>
      <vt:lpstr>Set17</vt:lpstr>
      <vt:lpstr>Set17 (2)</vt:lpstr>
      <vt:lpstr>Out17</vt:lpstr>
      <vt:lpstr>Out17 (2)</vt:lpstr>
      <vt:lpstr>Nov17</vt:lpstr>
      <vt:lpstr>Nov17 (2)</vt:lpstr>
      <vt:lpstr>Dez17</vt:lpstr>
      <vt:lpstr>Dez17 (2)</vt:lpstr>
      <vt:lpstr>Classifica (2)</vt:lpstr>
      <vt:lpstr>Jan18</vt:lpstr>
      <vt:lpstr>Jan18 (2)</vt:lpstr>
      <vt:lpstr>Fev18</vt:lpstr>
      <vt:lpstr>Fev18 (2)</vt:lpstr>
      <vt:lpstr>Mar18</vt:lpstr>
      <vt:lpstr>Mar18 (2)</vt:lpstr>
      <vt:lpstr>Abr18</vt:lpstr>
      <vt:lpstr>Abr18 (2)</vt:lpstr>
      <vt:lpstr>Mai18</vt:lpstr>
      <vt:lpstr>Mai18 (2)</vt:lpstr>
      <vt:lpstr>Jun18</vt:lpstr>
      <vt:lpstr>Jun18 (2)</vt:lpstr>
      <vt:lpstr>Jul18</vt:lpstr>
      <vt:lpstr>Jul18 (2)</vt:lpstr>
      <vt:lpstr>Ago 18</vt:lpstr>
      <vt:lpstr>Ago 18 (2)</vt:lpstr>
      <vt:lpstr>Set 18 1</vt:lpstr>
      <vt:lpstr>Set 18 (2)</vt:lpstr>
      <vt:lpstr>Out 18 1</vt:lpstr>
      <vt:lpstr>Out 18 (2)</vt:lpstr>
      <vt:lpstr>Nov 18 (1)</vt:lpstr>
      <vt:lpstr>Nov 18 (2)</vt:lpstr>
      <vt:lpstr>Dez 18 (1)</vt:lpstr>
      <vt:lpstr>Dez 18 (2)</vt:lpstr>
      <vt:lpstr>Jan 19</vt:lpstr>
      <vt:lpstr>Jan 19 (2)</vt:lpstr>
      <vt:lpstr>Fev 19</vt:lpstr>
      <vt:lpstr>Fev 19 (2)</vt:lpstr>
      <vt:lpstr>Mar 19</vt:lpstr>
      <vt:lpstr>Mar 19 (2)</vt:lpstr>
      <vt:lpstr>Abr 19</vt:lpstr>
      <vt:lpstr>Abr 19 (2)</vt:lpstr>
      <vt:lpstr>Mai 19</vt:lpstr>
      <vt:lpstr>Mai 19 (2)</vt:lpstr>
      <vt:lpstr>Jun 19 (1)</vt:lpstr>
      <vt:lpstr>Jun 19 (2)</vt:lpstr>
      <vt:lpstr>Jul 19</vt:lpstr>
      <vt:lpstr>Jul 19 (2)</vt:lpstr>
      <vt:lpstr>Ago 19</vt:lpstr>
      <vt:lpstr>Ago 19 (2)</vt:lpstr>
      <vt:lpstr>Set 19</vt:lpstr>
      <vt:lpstr>Set 19 (2)</vt:lpstr>
      <vt:lpstr>Out 19</vt:lpstr>
      <vt:lpstr>Out 19 (2)</vt:lpstr>
      <vt:lpstr>Nov 19</vt:lpstr>
      <vt:lpstr>Nov 19 (2)</vt:lpstr>
      <vt:lpstr>Dez 19 </vt:lpstr>
      <vt:lpstr>Dez 19 (2)</vt:lpstr>
      <vt:lpstr>Classifica</vt:lpstr>
      <vt:lpstr>Jan 20</vt:lpstr>
      <vt:lpstr>Jan 20 (2)</vt:lpstr>
      <vt:lpstr>Fev 20</vt:lpstr>
      <vt:lpstr>Fev 20 (2)</vt:lpstr>
      <vt:lpstr>Mar 20</vt:lpstr>
      <vt:lpstr>Mar 20 (2)</vt:lpstr>
      <vt:lpstr>Abr 20</vt:lpstr>
      <vt:lpstr>Mai 20</vt:lpstr>
      <vt:lpstr>Jun 20 </vt:lpstr>
      <vt:lpstr>Jul 20</vt:lpstr>
      <vt:lpstr>Ago 20</vt:lpstr>
      <vt:lpstr>Set 20</vt:lpstr>
      <vt:lpstr>Out 20</vt:lpstr>
      <vt:lpstr>Nov 20</vt:lpstr>
      <vt:lpstr>Dez 20</vt:lpstr>
      <vt:lpstr>Set 24</vt:lpstr>
      <vt:lpstr>Critérios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Arquitetura JLP Imoveis</dc:creator>
  <cp:lastModifiedBy>Irving Otoni Pereira</cp:lastModifiedBy>
  <cp:lastPrinted>2022-05-30T12:25:17Z</cp:lastPrinted>
  <dcterms:created xsi:type="dcterms:W3CDTF">2022-04-14T11:03:28Z</dcterms:created>
  <dcterms:modified xsi:type="dcterms:W3CDTF">2024-10-17T16:25:04Z</dcterms:modified>
</cp:coreProperties>
</file>